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g3ta06\Documents\SmarthisProjects\EnvioLicitacionesContratosChile_002\"/>
    </mc:Choice>
  </mc:AlternateContent>
  <xr:revisionPtr revIDLastSave="0" documentId="13_ncr:1_{1D0AFF37-F04D-447A-ABAA-AC98BA967F4E}" xr6:coauthVersionLast="47" xr6:coauthVersionMax="47" xr10:uidLastSave="{00000000-0000-0000-0000-000000000000}"/>
  <bookViews>
    <workbookView xWindow="-120" yWindow="-120" windowWidth="23280" windowHeight="12600" firstSheet="1" activeTab="1" xr2:uid="{A9FA4FD4-385B-426E-8FEF-1EEAB383948E}"/>
  </bookViews>
  <sheets>
    <sheet name="Reporte" sheetId="15" r:id="rId1"/>
    <sheet name="Licitaciones" sheetId="1" r:id="rId2"/>
    <sheet name="Cotizaciones" sheetId="5" r:id="rId3"/>
    <sheet name="Reporte Licitaciones" sheetId="6" state="hidden" r:id="rId4"/>
    <sheet name="Lista Datos" sheetId="2" state="hidden" r:id="rId5"/>
  </sheets>
  <definedNames>
    <definedName name="Año">Tabla26[Año]</definedName>
    <definedName name="AREA" localSheetId="2">Tabla4[AREA]</definedName>
    <definedName name="AREA">Tabla4[AREA]</definedName>
    <definedName name="Área">#REF!</definedName>
    <definedName name="Contrato" localSheetId="2">Tabla18[Contrato]</definedName>
    <definedName name="Contrato">Tabla18[Contrato]</definedName>
    <definedName name="Documento" localSheetId="2">Tabla16[Documento]</definedName>
    <definedName name="Documento">Tabla16[Documento]</definedName>
    <definedName name="Empresa" localSheetId="2">Tabla15[Empresa]</definedName>
    <definedName name="Empresa">Tabla15[Empresa]</definedName>
    <definedName name="Estado" localSheetId="2">Tabla14[Estado]</definedName>
    <definedName name="Estado">Tabla14[Estado]</definedName>
    <definedName name="Goferta" localSheetId="2">Tabla10[Goferta]</definedName>
    <definedName name="Goferta">Tabla10[Goferta]</definedName>
    <definedName name="Mes">Tabla24[Mes]</definedName>
    <definedName name="Motivo" localSheetId="2">Tabla8[Motivo]</definedName>
    <definedName name="Motivo">Tabla8[Motivo]</definedName>
    <definedName name="Muestra" localSheetId="2">Tabla13[Muestra]</definedName>
    <definedName name="Muestra">Tabla13[Muestra]</definedName>
    <definedName name="Participa" localSheetId="2">Tabla7[Participa]</definedName>
    <definedName name="Participa">Tabla7[Participa]</definedName>
    <definedName name="Plazo" localSheetId="2">Tabla9[Plazo]</definedName>
    <definedName name="Plazo">Tabla9[Plazo]</definedName>
    <definedName name="Prorroga" localSheetId="2">Tabla17[Prorroga]</definedName>
    <definedName name="Prorroga">Tabla17[Prorroga]</definedName>
    <definedName name="Responsable" localSheetId="2">Tabla6[Responsable]</definedName>
    <definedName name="Responsable">Tabla6[Responsable]</definedName>
    <definedName name="Seguimiento">Tabla23[Seguimiento]</definedName>
    <definedName name="Terreno" localSheetId="2">Tabla11[Terreno]</definedName>
    <definedName name="Terreno">Tabla11[Terreno]</definedName>
    <definedName name="Venta" localSheetId="2">Tabla12[Venta]</definedName>
    <definedName name="Venta">Tabla12[Venta]</definedName>
    <definedName name="Zona">#REF!</definedName>
  </definedNames>
  <calcPr calcId="191028"/>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1266" i="1" l="1"/>
  <c r="U1264" i="1"/>
  <c r="U1265" i="1"/>
  <c r="U1266" i="1"/>
  <c r="U1267" i="1"/>
  <c r="AE1264" i="1"/>
  <c r="AE1265" i="1"/>
  <c r="AK1265" i="1" s="1"/>
  <c r="AE1266" i="1"/>
  <c r="AK1266" i="1" s="1"/>
  <c r="AE1267" i="1"/>
  <c r="AK1267" i="1" s="1"/>
  <c r="AH1264" i="1"/>
  <c r="AH1265" i="1"/>
  <c r="AH1267" i="1"/>
  <c r="AK1264" i="1"/>
  <c r="U1262" i="1"/>
  <c r="U1263" i="1"/>
  <c r="AE1262" i="1"/>
  <c r="AK1262" i="1" s="1"/>
  <c r="AE1263" i="1"/>
  <c r="AK1263" i="1" s="1"/>
  <c r="AH1262" i="1"/>
  <c r="AH1263" i="1"/>
  <c r="U1260" i="1" l="1"/>
  <c r="U1261" i="1"/>
  <c r="AE1260" i="1"/>
  <c r="AK1260" i="1" s="1"/>
  <c r="AE1261" i="1"/>
  <c r="AK1261" i="1" s="1"/>
  <c r="AH1260" i="1"/>
  <c r="AH1261" i="1"/>
  <c r="U1256" i="1"/>
  <c r="U1257" i="1"/>
  <c r="U1258" i="1"/>
  <c r="U1259" i="1"/>
  <c r="AE1256" i="1"/>
  <c r="AE1257" i="1"/>
  <c r="AE1258" i="1"/>
  <c r="AE1259" i="1"/>
  <c r="AK1259" i="1" s="1"/>
  <c r="AH1256" i="1"/>
  <c r="AH1257" i="1"/>
  <c r="AH1258" i="1"/>
  <c r="AH1259" i="1"/>
  <c r="AK1256" i="1"/>
  <c r="AK1257" i="1"/>
  <c r="AK1258" i="1"/>
  <c r="U1255" i="1"/>
  <c r="AE1255" i="1"/>
  <c r="AK1255" i="1" s="1"/>
  <c r="AH1255" i="1"/>
  <c r="U1251" i="1"/>
  <c r="U1252" i="1"/>
  <c r="U1253" i="1"/>
  <c r="U1254" i="1"/>
  <c r="AE1251" i="1"/>
  <c r="AK1251" i="1" s="1"/>
  <c r="AE1252" i="1"/>
  <c r="AK1252" i="1" s="1"/>
  <c r="AE1253" i="1"/>
  <c r="AK1253" i="1" s="1"/>
  <c r="AE1254" i="1"/>
  <c r="AK1254" i="1" s="1"/>
  <c r="AH1251" i="1"/>
  <c r="AH1252" i="1"/>
  <c r="AH1253" i="1"/>
  <c r="AH1254" i="1"/>
  <c r="U1250" i="1"/>
  <c r="AE1250" i="1"/>
  <c r="AK1250" i="1" s="1"/>
  <c r="AH1250" i="1"/>
  <c r="U1247" i="1"/>
  <c r="U1248" i="1"/>
  <c r="U1249" i="1"/>
  <c r="AE1247" i="1"/>
  <c r="AK1247" i="1" s="1"/>
  <c r="AE1248" i="1"/>
  <c r="AK1248" i="1" s="1"/>
  <c r="AE1249" i="1"/>
  <c r="AK1249" i="1" s="1"/>
  <c r="AH1247" i="1"/>
  <c r="AH1248" i="1"/>
  <c r="AH1249" i="1"/>
  <c r="U1246" i="1"/>
  <c r="AE1246" i="1"/>
  <c r="AK1246" i="1" s="1"/>
  <c r="AH1246" i="1"/>
  <c r="U1245" i="1"/>
  <c r="AE1245" i="1"/>
  <c r="AK1245" i="1" s="1"/>
  <c r="AH1245" i="1"/>
  <c r="U1244" i="1"/>
  <c r="AE1244" i="1"/>
  <c r="AK1244" i="1" s="1"/>
  <c r="AH1244" i="1"/>
  <c r="U1243" i="1"/>
  <c r="AE1243" i="1"/>
  <c r="AK1243" i="1" s="1"/>
  <c r="AH1243" i="1"/>
  <c r="J1242" i="1"/>
  <c r="K1242" i="1"/>
  <c r="U1242" i="1"/>
  <c r="AE1242" i="1"/>
  <c r="AK1242" i="1" s="1"/>
  <c r="AH1242" i="1"/>
  <c r="U1236" i="1"/>
  <c r="U1237" i="1"/>
  <c r="U1238" i="1"/>
  <c r="U1239" i="1"/>
  <c r="U1240" i="1"/>
  <c r="U1241" i="1"/>
  <c r="AE1236" i="1"/>
  <c r="AK1236" i="1" s="1"/>
  <c r="AE1237" i="1"/>
  <c r="AK1237" i="1" s="1"/>
  <c r="AE1238" i="1"/>
  <c r="AK1238" i="1" s="1"/>
  <c r="AE1239" i="1"/>
  <c r="AK1239" i="1" s="1"/>
  <c r="AE1240" i="1"/>
  <c r="AK1240" i="1" s="1"/>
  <c r="AE1241" i="1"/>
  <c r="AK1241" i="1" s="1"/>
  <c r="AH1236" i="1"/>
  <c r="AH1237" i="1"/>
  <c r="AH1238" i="1"/>
  <c r="AH1239" i="1"/>
  <c r="AH1240" i="1"/>
  <c r="AH1241" i="1"/>
  <c r="U1235" i="1"/>
  <c r="AE1235" i="1"/>
  <c r="AK1235" i="1" s="1"/>
  <c r="AH1235" i="1"/>
  <c r="U1234" i="1"/>
  <c r="AE1234" i="1"/>
  <c r="AK1234" i="1" s="1"/>
  <c r="AH1234" i="1"/>
  <c r="U1232" i="1"/>
  <c r="U1233" i="1"/>
  <c r="AE1232" i="1"/>
  <c r="AE1233" i="1"/>
  <c r="AK1233" i="1" s="1"/>
  <c r="AH1232" i="1"/>
  <c r="AH1233" i="1"/>
  <c r="AK1232" i="1"/>
  <c r="U1231" i="1"/>
  <c r="AE1231" i="1"/>
  <c r="AK1231" i="1" s="1"/>
  <c r="AH1231" i="1"/>
  <c r="U1230" i="1"/>
  <c r="AE1230" i="1"/>
  <c r="AK1230" i="1" s="1"/>
  <c r="AH1230" i="1"/>
  <c r="U1228" i="1"/>
  <c r="U1229" i="1"/>
  <c r="AE1228" i="1"/>
  <c r="AK1228" i="1" s="1"/>
  <c r="AE1229" i="1"/>
  <c r="AK1229" i="1" s="1"/>
  <c r="AH1228" i="1"/>
  <c r="AH1229" i="1"/>
  <c r="U1227" i="1"/>
  <c r="AE1227" i="1"/>
  <c r="AK1227" i="1" s="1"/>
  <c r="AH1227" i="1"/>
  <c r="U1226" i="1"/>
  <c r="AE1226" i="1"/>
  <c r="AK1226" i="1" s="1"/>
  <c r="AH1226" i="1"/>
  <c r="J1225" i="1"/>
  <c r="K1225" i="1"/>
  <c r="U1225" i="1"/>
  <c r="AE1225" i="1"/>
  <c r="AK1225" i="1" s="1"/>
  <c r="AH1225" i="1"/>
  <c r="J1224" i="1"/>
  <c r="K1224" i="1"/>
  <c r="U1224" i="1"/>
  <c r="AE1224" i="1"/>
  <c r="AK1224" i="1" s="1"/>
  <c r="AH1224" i="1"/>
  <c r="U1220" i="1"/>
  <c r="U1221" i="1"/>
  <c r="U1222" i="1"/>
  <c r="U1223" i="1"/>
  <c r="AE1220" i="1"/>
  <c r="AK1220" i="1" s="1"/>
  <c r="AE1221" i="1"/>
  <c r="AK1221" i="1" s="1"/>
  <c r="AE1222" i="1"/>
  <c r="AK1222" i="1" s="1"/>
  <c r="AE1223" i="1"/>
  <c r="AK1223" i="1" s="1"/>
  <c r="AH1220" i="1"/>
  <c r="AH1221" i="1"/>
  <c r="AH1222" i="1"/>
  <c r="AH1223" i="1"/>
  <c r="U1219" i="1"/>
  <c r="AE1219" i="1"/>
  <c r="AK1219" i="1" s="1"/>
  <c r="AH1219" i="1"/>
  <c r="U1217" i="1"/>
  <c r="U1218" i="1"/>
  <c r="AE1217" i="1"/>
  <c r="AK1217" i="1" s="1"/>
  <c r="AE1218" i="1"/>
  <c r="AK1218" i="1" s="1"/>
  <c r="AH1217" i="1"/>
  <c r="AH1218" i="1"/>
  <c r="U1210" i="1" l="1"/>
  <c r="U1211" i="1"/>
  <c r="U1212" i="1"/>
  <c r="U1213" i="1"/>
  <c r="U1214" i="1"/>
  <c r="U1215" i="1"/>
  <c r="U1216" i="1"/>
  <c r="AE1210" i="1"/>
  <c r="AK1210" i="1" s="1"/>
  <c r="AE1211" i="1"/>
  <c r="AK1211" i="1" s="1"/>
  <c r="AE1212" i="1"/>
  <c r="AK1212" i="1" s="1"/>
  <c r="AE1213" i="1"/>
  <c r="AK1213" i="1" s="1"/>
  <c r="AE1214" i="1"/>
  <c r="AK1214" i="1" s="1"/>
  <c r="AE1215" i="1"/>
  <c r="AK1215" i="1" s="1"/>
  <c r="AE1216" i="1"/>
  <c r="AK1216" i="1" s="1"/>
  <c r="AH1210" i="1"/>
  <c r="AH1211" i="1"/>
  <c r="AH1212" i="1"/>
  <c r="AH1213" i="1"/>
  <c r="AH1214" i="1"/>
  <c r="AH1215" i="1"/>
  <c r="AH1216" i="1"/>
  <c r="U1208" i="1"/>
  <c r="U1209" i="1"/>
  <c r="AE1208" i="1"/>
  <c r="AK1208" i="1" s="1"/>
  <c r="AE1209" i="1"/>
  <c r="AK1209" i="1" s="1"/>
  <c r="AH1208" i="1"/>
  <c r="AH1209" i="1"/>
  <c r="U1206" i="1"/>
  <c r="U1207" i="1"/>
  <c r="AE1206" i="1"/>
  <c r="AK1206" i="1" s="1"/>
  <c r="AE1207" i="1"/>
  <c r="AK1207" i="1" s="1"/>
  <c r="AH1206" i="1"/>
  <c r="AH1207" i="1"/>
  <c r="U1204" i="1"/>
  <c r="U1205" i="1"/>
  <c r="AE1204" i="1"/>
  <c r="AK1204" i="1" s="1"/>
  <c r="AE1205" i="1"/>
  <c r="AK1205" i="1" s="1"/>
  <c r="AH1204" i="1"/>
  <c r="AH1205" i="1"/>
  <c r="U1201" i="1"/>
  <c r="U1202" i="1"/>
  <c r="U1203" i="1"/>
  <c r="AE1201" i="1"/>
  <c r="AK1201" i="1" s="1"/>
  <c r="AE1202" i="1"/>
  <c r="AK1202" i="1" s="1"/>
  <c r="AE1203" i="1"/>
  <c r="AK1203" i="1" s="1"/>
  <c r="AH1201" i="1"/>
  <c r="AH1202" i="1"/>
  <c r="AH1203" i="1"/>
  <c r="U1200" i="1"/>
  <c r="AE1200" i="1"/>
  <c r="AK1200" i="1" s="1"/>
  <c r="AH1200" i="1"/>
  <c r="G378" i="5"/>
  <c r="G379" i="5"/>
  <c r="G380" i="5"/>
  <c r="G381" i="5"/>
  <c r="O378" i="5"/>
  <c r="O379" i="5"/>
  <c r="O380" i="5"/>
  <c r="O381" i="5"/>
  <c r="P378" i="5"/>
  <c r="P379" i="5"/>
  <c r="P380" i="5"/>
  <c r="P381" i="5"/>
  <c r="S378" i="5"/>
  <c r="S379" i="5"/>
  <c r="S380" i="5"/>
  <c r="S381" i="5"/>
  <c r="U1196" i="1"/>
  <c r="U1197" i="1"/>
  <c r="U1198" i="1"/>
  <c r="U1199" i="1"/>
  <c r="AE1196" i="1"/>
  <c r="AK1196" i="1" s="1"/>
  <c r="AE1197" i="1"/>
  <c r="AK1197" i="1" s="1"/>
  <c r="AE1198" i="1"/>
  <c r="AK1198" i="1" s="1"/>
  <c r="AE1199" i="1"/>
  <c r="AK1199" i="1" s="1"/>
  <c r="AH1196" i="1"/>
  <c r="AH1197" i="1"/>
  <c r="AH1198" i="1"/>
  <c r="AH1199" i="1"/>
  <c r="G375" i="5"/>
  <c r="G376" i="5"/>
  <c r="G377" i="5"/>
  <c r="O375" i="5"/>
  <c r="P375" i="5" s="1"/>
  <c r="O376" i="5"/>
  <c r="P376" i="5" s="1"/>
  <c r="O377" i="5"/>
  <c r="P377" i="5" s="1"/>
  <c r="S375" i="5"/>
  <c r="S376" i="5"/>
  <c r="S377" i="5"/>
  <c r="U1195" i="1"/>
  <c r="AE1195" i="1"/>
  <c r="AK1195" i="1" s="1"/>
  <c r="AH1195" i="1"/>
  <c r="U1192" i="1"/>
  <c r="U1193" i="1"/>
  <c r="U1194" i="1"/>
  <c r="AE1192" i="1"/>
  <c r="AK1192" i="1" s="1"/>
  <c r="AE1193" i="1"/>
  <c r="AK1193" i="1" s="1"/>
  <c r="AE1194" i="1"/>
  <c r="AK1194" i="1" s="1"/>
  <c r="AH1192" i="1"/>
  <c r="AH1193" i="1"/>
  <c r="AH1194" i="1"/>
  <c r="G373" i="5"/>
  <c r="G374" i="5"/>
  <c r="O373" i="5"/>
  <c r="P373" i="5" s="1"/>
  <c r="O374" i="5"/>
  <c r="P374" i="5" s="1"/>
  <c r="S373" i="5"/>
  <c r="S374" i="5"/>
  <c r="U1191" i="1"/>
  <c r="AE1191" i="1"/>
  <c r="AK1191" i="1" s="1"/>
  <c r="AH1191" i="1"/>
  <c r="U1190" i="1"/>
  <c r="AE1190" i="1"/>
  <c r="AK1190" i="1" s="1"/>
  <c r="AH1190" i="1"/>
  <c r="U1188" i="1"/>
  <c r="U1189" i="1"/>
  <c r="AE1188" i="1"/>
  <c r="AK1188" i="1" s="1"/>
  <c r="AE1189" i="1"/>
  <c r="AK1189" i="1" s="1"/>
  <c r="AH1188" i="1"/>
  <c r="AH1189" i="1"/>
  <c r="U1183" i="1"/>
  <c r="U1184" i="1"/>
  <c r="U1185" i="1"/>
  <c r="U1186" i="1"/>
  <c r="U1187" i="1"/>
  <c r="AE1183" i="1"/>
  <c r="AK1183" i="1" s="1"/>
  <c r="AE1184" i="1"/>
  <c r="AK1184" i="1" s="1"/>
  <c r="AE1185" i="1"/>
  <c r="AK1185" i="1" s="1"/>
  <c r="AE1186" i="1"/>
  <c r="AK1186" i="1" s="1"/>
  <c r="AE1187" i="1"/>
  <c r="AK1187" i="1" s="1"/>
  <c r="AH1183" i="1"/>
  <c r="AH1184" i="1"/>
  <c r="AH1185" i="1"/>
  <c r="AH1186" i="1"/>
  <c r="AH1187" i="1"/>
  <c r="G368" i="5"/>
  <c r="G369" i="5"/>
  <c r="G370" i="5"/>
  <c r="G371" i="5"/>
  <c r="G372" i="5"/>
  <c r="O368" i="5"/>
  <c r="P368" i="5" s="1"/>
  <c r="O369" i="5"/>
  <c r="O370" i="5"/>
  <c r="P370" i="5" s="1"/>
  <c r="O371" i="5"/>
  <c r="P371" i="5" s="1"/>
  <c r="O372" i="5"/>
  <c r="P372" i="5" s="1"/>
  <c r="P369" i="5"/>
  <c r="S368" i="5"/>
  <c r="S369" i="5"/>
  <c r="S370" i="5"/>
  <c r="S371" i="5"/>
  <c r="S372" i="5"/>
  <c r="U1182" i="1"/>
  <c r="AE1182" i="1"/>
  <c r="AK1182" i="1" s="1"/>
  <c r="AH1182" i="1"/>
  <c r="U1181" i="1"/>
  <c r="AE1181" i="1"/>
  <c r="AK1181" i="1" s="1"/>
  <c r="AH1181" i="1"/>
  <c r="U1180" i="1"/>
  <c r="AE1180" i="1"/>
  <c r="AK1180" i="1" s="1"/>
  <c r="AH1180" i="1"/>
  <c r="U1177" i="1" l="1"/>
  <c r="U1178" i="1"/>
  <c r="U1179" i="1"/>
  <c r="AE1177" i="1"/>
  <c r="AK1177" i="1" s="1"/>
  <c r="AE1178" i="1"/>
  <c r="AK1178" i="1" s="1"/>
  <c r="AE1179" i="1"/>
  <c r="AK1179" i="1" s="1"/>
  <c r="AH1177" i="1"/>
  <c r="AH1178" i="1"/>
  <c r="AH1179" i="1"/>
  <c r="U1176" i="1"/>
  <c r="AE1176" i="1"/>
  <c r="AK1176" i="1" s="1"/>
  <c r="AH1176" i="1"/>
  <c r="G362" i="5" l="1"/>
  <c r="G363" i="5"/>
  <c r="G364" i="5"/>
  <c r="G365" i="5"/>
  <c r="G366" i="5"/>
  <c r="G367" i="5"/>
  <c r="O362" i="5"/>
  <c r="P362" i="5" s="1"/>
  <c r="O363" i="5"/>
  <c r="P363" i="5" s="1"/>
  <c r="O364" i="5"/>
  <c r="O365" i="5"/>
  <c r="P365" i="5" s="1"/>
  <c r="O366" i="5"/>
  <c r="P366" i="5" s="1"/>
  <c r="O367" i="5"/>
  <c r="P367" i="5" s="1"/>
  <c r="P364" i="5"/>
  <c r="S362" i="5"/>
  <c r="S363" i="5"/>
  <c r="S364" i="5"/>
  <c r="S365" i="5"/>
  <c r="S366" i="5"/>
  <c r="S367" i="5"/>
  <c r="U1175" i="1"/>
  <c r="AE1175" i="1"/>
  <c r="AK1175" i="1" s="1"/>
  <c r="AH1175" i="1"/>
  <c r="U1172" i="1"/>
  <c r="U1173" i="1"/>
  <c r="U1174" i="1"/>
  <c r="AE1172" i="1"/>
  <c r="AK1172" i="1" s="1"/>
  <c r="AE1173" i="1"/>
  <c r="AK1173" i="1" s="1"/>
  <c r="AE1174" i="1"/>
  <c r="AK1174" i="1" s="1"/>
  <c r="AH1172" i="1"/>
  <c r="AH1173" i="1"/>
  <c r="AH1174" i="1"/>
  <c r="U1170" i="1"/>
  <c r="U1171" i="1"/>
  <c r="AE1170" i="1"/>
  <c r="AK1170" i="1" s="1"/>
  <c r="AE1171" i="1"/>
  <c r="AK1171" i="1" s="1"/>
  <c r="AH1170" i="1"/>
  <c r="AH1171" i="1"/>
  <c r="U1169" i="1"/>
  <c r="AE1169" i="1"/>
  <c r="AK1169" i="1" s="1"/>
  <c r="AH1169" i="1"/>
  <c r="U1168" i="1"/>
  <c r="AE1168" i="1"/>
  <c r="AK1168" i="1" s="1"/>
  <c r="AH1168" i="1"/>
  <c r="U1167" i="1"/>
  <c r="AE1167" i="1"/>
  <c r="AK1167" i="1" s="1"/>
  <c r="AH1167" i="1"/>
  <c r="U1166" i="1"/>
  <c r="AE1166" i="1"/>
  <c r="AK1166" i="1" s="1"/>
  <c r="AH1166" i="1"/>
  <c r="J1165" i="1"/>
  <c r="K1165" i="1"/>
  <c r="U1165" i="1"/>
  <c r="AE1165" i="1"/>
  <c r="AK1165" i="1" s="1"/>
  <c r="AH1165" i="1"/>
  <c r="U1162" i="1"/>
  <c r="U1163" i="1"/>
  <c r="U1164" i="1"/>
  <c r="AE1162" i="1"/>
  <c r="AK1162" i="1" s="1"/>
  <c r="AE1163" i="1"/>
  <c r="AK1163" i="1" s="1"/>
  <c r="AE1164" i="1"/>
  <c r="AK1164" i="1" s="1"/>
  <c r="AH1162" i="1"/>
  <c r="AH1163" i="1"/>
  <c r="AH1164" i="1"/>
  <c r="U1161" i="1"/>
  <c r="AE1161" i="1"/>
  <c r="AK1161" i="1" s="1"/>
  <c r="AH1161" i="1"/>
  <c r="U1159" i="1"/>
  <c r="U1160" i="1"/>
  <c r="AE1159" i="1"/>
  <c r="AK1159" i="1" s="1"/>
  <c r="AE1160" i="1"/>
  <c r="AK1160" i="1" s="1"/>
  <c r="AH1159" i="1"/>
  <c r="AH1160" i="1"/>
  <c r="G359" i="5"/>
  <c r="G360" i="5"/>
  <c r="G361" i="5"/>
  <c r="O359" i="5"/>
  <c r="P359" i="5" s="1"/>
  <c r="O360" i="5"/>
  <c r="P360" i="5" s="1"/>
  <c r="O361" i="5"/>
  <c r="P361" i="5" s="1"/>
  <c r="S359" i="5"/>
  <c r="S360" i="5"/>
  <c r="S361" i="5"/>
  <c r="U1157" i="1" l="1"/>
  <c r="U1158" i="1"/>
  <c r="AE1157" i="1"/>
  <c r="AK1157" i="1" s="1"/>
  <c r="AE1158" i="1"/>
  <c r="AK1158" i="1" s="1"/>
  <c r="AH1157" i="1"/>
  <c r="AH1158" i="1"/>
  <c r="G355" i="5"/>
  <c r="G356" i="5"/>
  <c r="G357" i="5"/>
  <c r="G358" i="5"/>
  <c r="O355" i="5"/>
  <c r="O356" i="5"/>
  <c r="P356" i="5" s="1"/>
  <c r="O357" i="5"/>
  <c r="P357" i="5" s="1"/>
  <c r="O358" i="5"/>
  <c r="P358" i="5" s="1"/>
  <c r="P355" i="5"/>
  <c r="S355" i="5"/>
  <c r="S356" i="5"/>
  <c r="S357" i="5"/>
  <c r="S358" i="5"/>
  <c r="U1156" i="1"/>
  <c r="AE1156" i="1"/>
  <c r="AK1156" i="1" s="1"/>
  <c r="AH1156" i="1"/>
  <c r="U1155" i="1"/>
  <c r="AE1155" i="1"/>
  <c r="AK1155" i="1" s="1"/>
  <c r="AH1155" i="1"/>
  <c r="U1152" i="1"/>
  <c r="U1153" i="1"/>
  <c r="U1154" i="1"/>
  <c r="AE1152" i="1"/>
  <c r="AK1152" i="1" s="1"/>
  <c r="AE1153" i="1"/>
  <c r="AK1153" i="1" s="1"/>
  <c r="AE1154" i="1"/>
  <c r="AK1154" i="1" s="1"/>
  <c r="AH1152" i="1"/>
  <c r="AH1153" i="1"/>
  <c r="AH1154" i="1"/>
  <c r="U1151" i="1"/>
  <c r="AE1151" i="1"/>
  <c r="AK1151" i="1" s="1"/>
  <c r="AH1151" i="1"/>
  <c r="U1149" i="1"/>
  <c r="U1150" i="1"/>
  <c r="AE1149" i="1"/>
  <c r="AK1149" i="1" s="1"/>
  <c r="AE1150" i="1"/>
  <c r="AK1150" i="1" s="1"/>
  <c r="AH1149" i="1"/>
  <c r="AH1150" i="1"/>
  <c r="U1147" i="1"/>
  <c r="U1148" i="1"/>
  <c r="AE1147" i="1"/>
  <c r="AK1147" i="1" s="1"/>
  <c r="AE1148" i="1"/>
  <c r="AK1148" i="1" s="1"/>
  <c r="AH1147" i="1"/>
  <c r="AH1148" i="1"/>
  <c r="U1146" i="1"/>
  <c r="AE1146" i="1"/>
  <c r="AK1146" i="1" s="1"/>
  <c r="AH1146" i="1"/>
  <c r="U1145" i="1"/>
  <c r="AE1145" i="1"/>
  <c r="AK1145" i="1" s="1"/>
  <c r="AH1145" i="1"/>
  <c r="U1143" i="1"/>
  <c r="U1144" i="1"/>
  <c r="AE1143" i="1"/>
  <c r="AK1143" i="1" s="1"/>
  <c r="AE1144" i="1"/>
  <c r="AK1144" i="1" s="1"/>
  <c r="AH1143" i="1"/>
  <c r="AH1144" i="1"/>
  <c r="U1142" i="1"/>
  <c r="AE1142" i="1"/>
  <c r="AK1142" i="1" s="1"/>
  <c r="AH1142" i="1"/>
  <c r="U1140" i="1"/>
  <c r="U1141" i="1"/>
  <c r="AE1140" i="1"/>
  <c r="AK1140" i="1" s="1"/>
  <c r="AE1141" i="1"/>
  <c r="AK1141" i="1" s="1"/>
  <c r="AH1140" i="1"/>
  <c r="AH1141" i="1"/>
  <c r="U1138" i="1" l="1"/>
  <c r="U1139" i="1"/>
  <c r="AE1138" i="1"/>
  <c r="AK1138" i="1" s="1"/>
  <c r="AE1139" i="1"/>
  <c r="AK1139" i="1" s="1"/>
  <c r="AH1138" i="1"/>
  <c r="AH1139" i="1"/>
  <c r="U1137" i="1"/>
  <c r="AE1137" i="1"/>
  <c r="AK1137" i="1" s="1"/>
  <c r="AH1137" i="1"/>
  <c r="U1135" i="1"/>
  <c r="U1136" i="1"/>
  <c r="AE1135" i="1"/>
  <c r="AK1135" i="1" s="1"/>
  <c r="AE1136" i="1"/>
  <c r="AK1136" i="1" s="1"/>
  <c r="AH1135" i="1"/>
  <c r="AH1136" i="1"/>
  <c r="O352" i="5"/>
  <c r="P352" i="5" s="1"/>
  <c r="O353" i="5"/>
  <c r="P353" i="5" s="1"/>
  <c r="S352" i="5"/>
  <c r="S353" i="5"/>
  <c r="S354" i="5"/>
  <c r="G352" i="5"/>
  <c r="G353" i="5"/>
  <c r="G354" i="5"/>
  <c r="O354" i="5"/>
  <c r="P354" i="5" s="1"/>
  <c r="G347" i="5"/>
  <c r="G348" i="5"/>
  <c r="G349" i="5"/>
  <c r="G350" i="5"/>
  <c r="G351" i="5"/>
  <c r="O347" i="5"/>
  <c r="P347" i="5" s="1"/>
  <c r="O348" i="5"/>
  <c r="P348" i="5" s="1"/>
  <c r="O349" i="5"/>
  <c r="P349" i="5" s="1"/>
  <c r="O350" i="5"/>
  <c r="P350" i="5" s="1"/>
  <c r="O351" i="5"/>
  <c r="P351" i="5" s="1"/>
  <c r="S347" i="5"/>
  <c r="S348" i="5"/>
  <c r="S349" i="5"/>
  <c r="S350" i="5"/>
  <c r="S351" i="5"/>
  <c r="U1134" i="1"/>
  <c r="AE1134" i="1"/>
  <c r="AK1134" i="1" s="1"/>
  <c r="AH1134" i="1"/>
  <c r="U1132" i="1"/>
  <c r="U1133" i="1"/>
  <c r="AE1132" i="1"/>
  <c r="AK1132" i="1" s="1"/>
  <c r="AE1133" i="1"/>
  <c r="AK1133" i="1" s="1"/>
  <c r="AH1132" i="1"/>
  <c r="AH1133" i="1"/>
  <c r="U1130" i="1"/>
  <c r="U1131" i="1"/>
  <c r="AE1130" i="1"/>
  <c r="AK1130" i="1" s="1"/>
  <c r="AE1131" i="1"/>
  <c r="AK1131" i="1" s="1"/>
  <c r="AH1130" i="1"/>
  <c r="AH1131" i="1"/>
  <c r="J1129" i="1"/>
  <c r="K1129" i="1"/>
  <c r="U1129" i="1"/>
  <c r="AE1129" i="1"/>
  <c r="AK1129" i="1" s="1"/>
  <c r="AH1129" i="1"/>
  <c r="J1128" i="1"/>
  <c r="K1128" i="1"/>
  <c r="U1128" i="1"/>
  <c r="AE1128" i="1"/>
  <c r="AK1128" i="1" s="1"/>
  <c r="AH1128" i="1"/>
  <c r="J1127" i="1"/>
  <c r="K1127" i="1"/>
  <c r="U1127" i="1"/>
  <c r="AE1127" i="1"/>
  <c r="AK1127" i="1" s="1"/>
  <c r="AH1127" i="1"/>
  <c r="U1125" i="1"/>
  <c r="U1126" i="1"/>
  <c r="AE1125" i="1"/>
  <c r="AK1125" i="1" s="1"/>
  <c r="AE1126" i="1"/>
  <c r="AK1126" i="1" s="1"/>
  <c r="AH1125" i="1"/>
  <c r="AH1126" i="1"/>
  <c r="U1124" i="1"/>
  <c r="AE1124" i="1"/>
  <c r="AK1124" i="1" s="1"/>
  <c r="AH1124" i="1"/>
  <c r="U1122" i="1"/>
  <c r="U1123" i="1"/>
  <c r="AE1122" i="1"/>
  <c r="AK1122" i="1" s="1"/>
  <c r="AE1123" i="1"/>
  <c r="AK1123" i="1" s="1"/>
  <c r="AH1122" i="1"/>
  <c r="AH1123" i="1"/>
  <c r="U1119" i="1"/>
  <c r="U1120" i="1"/>
  <c r="U1121" i="1"/>
  <c r="AE1119" i="1"/>
  <c r="AK1119" i="1" s="1"/>
  <c r="AE1120" i="1"/>
  <c r="AK1120" i="1" s="1"/>
  <c r="AE1121" i="1"/>
  <c r="AK1121" i="1" s="1"/>
  <c r="AH1119" i="1"/>
  <c r="AH1120" i="1"/>
  <c r="AH1121" i="1"/>
  <c r="U1114" i="1"/>
  <c r="U1115" i="1"/>
  <c r="U1116" i="1"/>
  <c r="U1117" i="1"/>
  <c r="U1118" i="1"/>
  <c r="AE1114" i="1"/>
  <c r="AK1114" i="1" s="1"/>
  <c r="AE1115" i="1"/>
  <c r="AK1115" i="1" s="1"/>
  <c r="AE1116" i="1"/>
  <c r="AK1116" i="1" s="1"/>
  <c r="AE1117" i="1"/>
  <c r="AK1117" i="1" s="1"/>
  <c r="AE1118" i="1"/>
  <c r="AK1118" i="1" s="1"/>
  <c r="AH1114" i="1"/>
  <c r="AH1115" i="1"/>
  <c r="AH1116" i="1"/>
  <c r="AH1117" i="1"/>
  <c r="AH1118" i="1"/>
  <c r="U1111" i="1"/>
  <c r="U1112" i="1"/>
  <c r="U1113" i="1"/>
  <c r="AE1111" i="1"/>
  <c r="AK1111" i="1" s="1"/>
  <c r="AE1112" i="1"/>
  <c r="AK1112" i="1" s="1"/>
  <c r="AE1113" i="1"/>
  <c r="AK1113" i="1" s="1"/>
  <c r="AH1111" i="1"/>
  <c r="AH1112" i="1"/>
  <c r="AH1113" i="1"/>
  <c r="U1107" i="1"/>
  <c r="U1108" i="1"/>
  <c r="U1109" i="1"/>
  <c r="U1110" i="1"/>
  <c r="AE1107" i="1"/>
  <c r="AK1107" i="1" s="1"/>
  <c r="AE1108" i="1"/>
  <c r="AK1108" i="1" s="1"/>
  <c r="AE1109" i="1"/>
  <c r="AK1109" i="1" s="1"/>
  <c r="AE1110" i="1"/>
  <c r="AK1110" i="1" s="1"/>
  <c r="AH1107" i="1"/>
  <c r="AH1108" i="1"/>
  <c r="AH1109" i="1"/>
  <c r="AH1110" i="1"/>
  <c r="U1105" i="1"/>
  <c r="U1106" i="1"/>
  <c r="AE1105" i="1"/>
  <c r="AK1105" i="1" s="1"/>
  <c r="AE1106" i="1"/>
  <c r="AK1106" i="1" s="1"/>
  <c r="AH1105" i="1"/>
  <c r="AH1106" i="1"/>
  <c r="U1100" i="1"/>
  <c r="U1101" i="1"/>
  <c r="U1102" i="1"/>
  <c r="U1103" i="1"/>
  <c r="U1104" i="1"/>
  <c r="AE1100" i="1"/>
  <c r="AK1100" i="1" s="1"/>
  <c r="AE1101" i="1"/>
  <c r="AK1101" i="1" s="1"/>
  <c r="AE1102" i="1"/>
  <c r="AK1102" i="1" s="1"/>
  <c r="AE1103" i="1"/>
  <c r="AK1103" i="1" s="1"/>
  <c r="AE1104" i="1"/>
  <c r="AK1104" i="1" s="1"/>
  <c r="AH1100" i="1"/>
  <c r="AH1101" i="1"/>
  <c r="AH1102" i="1"/>
  <c r="AH1103" i="1"/>
  <c r="AH1104" i="1"/>
  <c r="U1098" i="1"/>
  <c r="U1099" i="1"/>
  <c r="AE1098" i="1"/>
  <c r="AK1098" i="1" s="1"/>
  <c r="AE1099" i="1"/>
  <c r="AK1099" i="1" s="1"/>
  <c r="AH1098" i="1"/>
  <c r="AH1099" i="1"/>
  <c r="U1096" i="1"/>
  <c r="U1097" i="1"/>
  <c r="AE1096" i="1"/>
  <c r="AK1096" i="1" s="1"/>
  <c r="AE1097" i="1"/>
  <c r="AK1097" i="1" s="1"/>
  <c r="AH1096" i="1"/>
  <c r="AH1097" i="1"/>
  <c r="U1095" i="1"/>
  <c r="AE1095" i="1"/>
  <c r="AK1095" i="1" s="1"/>
  <c r="AH1095" i="1"/>
  <c r="J1094" i="1"/>
  <c r="K1094" i="1"/>
  <c r="U1094" i="1"/>
  <c r="AE1094" i="1"/>
  <c r="AK1094" i="1" s="1"/>
  <c r="AH1094" i="1"/>
  <c r="J1093" i="1"/>
  <c r="K1093" i="1"/>
  <c r="U1093" i="1"/>
  <c r="AE1093" i="1"/>
  <c r="AK1093" i="1" s="1"/>
  <c r="AH1093" i="1"/>
  <c r="J1092" i="1"/>
  <c r="K1092" i="1"/>
  <c r="U1092" i="1"/>
  <c r="AE1092" i="1"/>
  <c r="AK1092" i="1" s="1"/>
  <c r="AH1092" i="1"/>
  <c r="J1091" i="1"/>
  <c r="K1091" i="1"/>
  <c r="U1091" i="1"/>
  <c r="AE1091" i="1"/>
  <c r="AK1091" i="1" s="1"/>
  <c r="AH1091" i="1"/>
  <c r="J1090" i="1"/>
  <c r="K1090" i="1"/>
  <c r="U1090" i="1"/>
  <c r="AE1090" i="1"/>
  <c r="AK1090" i="1" s="1"/>
  <c r="AH1090" i="1"/>
  <c r="U1088" i="1"/>
  <c r="U1089" i="1"/>
  <c r="AE1088" i="1"/>
  <c r="AK1088" i="1" s="1"/>
  <c r="AE1089" i="1"/>
  <c r="AK1089" i="1" s="1"/>
  <c r="AH1088" i="1"/>
  <c r="AH1089" i="1"/>
  <c r="U1087" i="1"/>
  <c r="AE1087" i="1"/>
  <c r="AK1087" i="1" s="1"/>
  <c r="AH1087" i="1"/>
  <c r="U1086" i="1"/>
  <c r="AE1086" i="1"/>
  <c r="AK1086" i="1" s="1"/>
  <c r="AH1086" i="1"/>
  <c r="U1085" i="1"/>
  <c r="AE1085" i="1"/>
  <c r="AK1085" i="1" s="1"/>
  <c r="AH1085" i="1"/>
  <c r="J1084" i="1"/>
  <c r="K1084" i="1"/>
  <c r="U1084" i="1"/>
  <c r="AE1084" i="1"/>
  <c r="AK1084" i="1" s="1"/>
  <c r="AH1084" i="1"/>
  <c r="U1081" i="1"/>
  <c r="U1082" i="1"/>
  <c r="U1083" i="1"/>
  <c r="AE1081" i="1"/>
  <c r="AK1081" i="1" s="1"/>
  <c r="AE1082" i="1"/>
  <c r="AK1082" i="1" s="1"/>
  <c r="AE1083" i="1"/>
  <c r="AK1083" i="1" s="1"/>
  <c r="AH1081" i="1"/>
  <c r="AH1082" i="1"/>
  <c r="AH1083" i="1"/>
  <c r="U1080" i="1" l="1"/>
  <c r="AE1080" i="1"/>
  <c r="AK1080" i="1" s="1"/>
  <c r="AH1080" i="1"/>
  <c r="U1077" i="1"/>
  <c r="U1078" i="1"/>
  <c r="U1079" i="1"/>
  <c r="AE1077" i="1"/>
  <c r="AK1077" i="1" s="1"/>
  <c r="AE1078" i="1"/>
  <c r="AK1078" i="1" s="1"/>
  <c r="AE1079" i="1"/>
  <c r="AK1079" i="1" s="1"/>
  <c r="AH1077" i="1"/>
  <c r="AH1078" i="1"/>
  <c r="AH1079" i="1"/>
  <c r="U1076" i="1"/>
  <c r="AE1076" i="1"/>
  <c r="AK1076" i="1" s="1"/>
  <c r="AH1076" i="1"/>
  <c r="U1074" i="1"/>
  <c r="U1075" i="1"/>
  <c r="AE1074" i="1"/>
  <c r="AK1074" i="1" s="1"/>
  <c r="AE1075" i="1"/>
  <c r="AK1075" i="1" s="1"/>
  <c r="AH1074" i="1"/>
  <c r="AH1075" i="1"/>
  <c r="U1073" i="1"/>
  <c r="AE1073" i="1"/>
  <c r="AK1073" i="1" s="1"/>
  <c r="AH1073" i="1"/>
  <c r="J1072" i="1"/>
  <c r="K1072" i="1"/>
  <c r="U1072" i="1"/>
  <c r="AE1072" i="1"/>
  <c r="AK1072" i="1" s="1"/>
  <c r="AH1072" i="1"/>
  <c r="J1071" i="1"/>
  <c r="K1071" i="1"/>
  <c r="U1071" i="1"/>
  <c r="AE1071" i="1"/>
  <c r="AK1071" i="1" s="1"/>
  <c r="AH1071" i="1"/>
  <c r="U1069" i="1"/>
  <c r="U1070" i="1"/>
  <c r="AE1069" i="1"/>
  <c r="AK1069" i="1" s="1"/>
  <c r="AE1070" i="1"/>
  <c r="AK1070" i="1" s="1"/>
  <c r="AH1069" i="1"/>
  <c r="AH1070" i="1"/>
  <c r="U1066" i="1"/>
  <c r="AE1066" i="1"/>
  <c r="AK1066" i="1" s="1"/>
  <c r="AH1066" i="1"/>
  <c r="U1067" i="1"/>
  <c r="AE1067" i="1"/>
  <c r="AK1067" i="1" s="1"/>
  <c r="AH1067" i="1"/>
  <c r="U1068" i="1"/>
  <c r="AE1068" i="1"/>
  <c r="AK1068" i="1" s="1"/>
  <c r="AH1068" i="1"/>
  <c r="U1063" i="1"/>
  <c r="U1064" i="1"/>
  <c r="U1065" i="1"/>
  <c r="AE1063" i="1"/>
  <c r="AK1063" i="1" s="1"/>
  <c r="AE1064" i="1"/>
  <c r="AK1064" i="1" s="1"/>
  <c r="AE1065" i="1"/>
  <c r="AK1065" i="1" s="1"/>
  <c r="AH1063" i="1"/>
  <c r="AH1064" i="1"/>
  <c r="AH1065" i="1"/>
  <c r="U1062" i="1"/>
  <c r="AE1062" i="1"/>
  <c r="AK1062" i="1" s="1"/>
  <c r="AH1062" i="1"/>
  <c r="U1061" i="1"/>
  <c r="AE1061" i="1"/>
  <c r="AK1061" i="1" s="1"/>
  <c r="AH1061" i="1"/>
  <c r="U1058" i="1"/>
  <c r="U1059" i="1"/>
  <c r="U1060" i="1"/>
  <c r="AE1058" i="1"/>
  <c r="AK1058" i="1" s="1"/>
  <c r="AE1059" i="1"/>
  <c r="AK1059" i="1" s="1"/>
  <c r="AE1060" i="1"/>
  <c r="AK1060" i="1" s="1"/>
  <c r="AH1058" i="1"/>
  <c r="AH1059" i="1"/>
  <c r="AH1060" i="1"/>
  <c r="U1057" i="1"/>
  <c r="AE1057" i="1"/>
  <c r="AK1057" i="1" s="1"/>
  <c r="AH1057" i="1"/>
  <c r="U1056" i="1"/>
  <c r="AE1056" i="1"/>
  <c r="AK1056" i="1" s="1"/>
  <c r="AH1056" i="1"/>
  <c r="U1055" i="1"/>
  <c r="AE1055" i="1"/>
  <c r="AK1055" i="1" s="1"/>
  <c r="AH1055" i="1"/>
  <c r="U1052" i="1"/>
  <c r="U1053" i="1"/>
  <c r="U1054" i="1"/>
  <c r="AE1052" i="1"/>
  <c r="AK1052" i="1" s="1"/>
  <c r="AE1053" i="1"/>
  <c r="AK1053" i="1" s="1"/>
  <c r="AE1054" i="1"/>
  <c r="AK1054" i="1" s="1"/>
  <c r="AH1052" i="1"/>
  <c r="AH1053" i="1"/>
  <c r="AH1054" i="1"/>
  <c r="U1047" i="1"/>
  <c r="U1048" i="1"/>
  <c r="U1049" i="1"/>
  <c r="U1050" i="1"/>
  <c r="U1051" i="1"/>
  <c r="AE1047" i="1"/>
  <c r="AK1047" i="1" s="1"/>
  <c r="AE1048" i="1"/>
  <c r="AK1048" i="1" s="1"/>
  <c r="AE1049" i="1"/>
  <c r="AK1049" i="1" s="1"/>
  <c r="AE1050" i="1"/>
  <c r="AK1050" i="1" s="1"/>
  <c r="AE1051" i="1"/>
  <c r="AK1051" i="1" s="1"/>
  <c r="AH1047" i="1"/>
  <c r="AH1048" i="1"/>
  <c r="AH1049" i="1"/>
  <c r="AH1050" i="1"/>
  <c r="AH1051" i="1"/>
  <c r="U1046" i="1"/>
  <c r="AE1046" i="1"/>
  <c r="AK1046" i="1" s="1"/>
  <c r="AH1046" i="1"/>
  <c r="G343" i="5"/>
  <c r="G344" i="5"/>
  <c r="G345" i="5"/>
  <c r="G346" i="5"/>
  <c r="O343" i="5"/>
  <c r="O344" i="5"/>
  <c r="P344" i="5" s="1"/>
  <c r="O345" i="5"/>
  <c r="P345" i="5" s="1"/>
  <c r="O346" i="5"/>
  <c r="P346" i="5" s="1"/>
  <c r="P343" i="5"/>
  <c r="S343" i="5"/>
  <c r="S344" i="5"/>
  <c r="S345" i="5"/>
  <c r="S346" i="5"/>
  <c r="G342" i="5"/>
  <c r="O342" i="5"/>
  <c r="P342" i="5" s="1"/>
  <c r="S342" i="5"/>
  <c r="J1045" i="1"/>
  <c r="K1045" i="1"/>
  <c r="U1045" i="1"/>
  <c r="AE1045" i="1"/>
  <c r="AK1045" i="1" s="1"/>
  <c r="AH1045" i="1"/>
  <c r="G338" i="5"/>
  <c r="G339" i="5"/>
  <c r="G340" i="5"/>
  <c r="G341" i="5"/>
  <c r="O338" i="5"/>
  <c r="O339" i="5"/>
  <c r="P339" i="5" s="1"/>
  <c r="O340" i="5"/>
  <c r="P340" i="5" s="1"/>
  <c r="O341" i="5"/>
  <c r="P341" i="5" s="1"/>
  <c r="P338" i="5"/>
  <c r="S338" i="5"/>
  <c r="S339" i="5"/>
  <c r="S340" i="5"/>
  <c r="S341" i="5"/>
  <c r="J1044" i="1"/>
  <c r="K1044" i="1"/>
  <c r="U1044" i="1"/>
  <c r="AE1044" i="1"/>
  <c r="AK1044" i="1" s="1"/>
  <c r="AH1044" i="1"/>
  <c r="G335" i="5"/>
  <c r="G336" i="5"/>
  <c r="G337" i="5"/>
  <c r="O335" i="5"/>
  <c r="P335" i="5" s="1"/>
  <c r="O336" i="5"/>
  <c r="P336" i="5" s="1"/>
  <c r="O337" i="5"/>
  <c r="P337" i="5" s="1"/>
  <c r="S335" i="5"/>
  <c r="S336" i="5"/>
  <c r="S337" i="5"/>
  <c r="J1043" i="1"/>
  <c r="K1043" i="1"/>
  <c r="U1043" i="1"/>
  <c r="AE1043" i="1"/>
  <c r="AK1043" i="1" s="1"/>
  <c r="AH1043" i="1"/>
  <c r="J1042" i="1"/>
  <c r="K1042" i="1"/>
  <c r="U1042" i="1"/>
  <c r="AE1042" i="1"/>
  <c r="AK1042" i="1" s="1"/>
  <c r="AH1042" i="1"/>
  <c r="G331" i="5"/>
  <c r="G332" i="5"/>
  <c r="G333" i="5"/>
  <c r="G334" i="5"/>
  <c r="O331" i="5"/>
  <c r="O332" i="5"/>
  <c r="O333" i="5"/>
  <c r="O334" i="5"/>
  <c r="P331" i="5"/>
  <c r="P332" i="5"/>
  <c r="P333" i="5"/>
  <c r="P334" i="5"/>
  <c r="S331" i="5"/>
  <c r="S332" i="5"/>
  <c r="S333" i="5"/>
  <c r="S334" i="5"/>
  <c r="J1041" i="1" l="1"/>
  <c r="K1041" i="1"/>
  <c r="U1041" i="1"/>
  <c r="AE1041" i="1"/>
  <c r="AK1041" i="1" s="1"/>
  <c r="AH1041" i="1"/>
  <c r="J1040" i="1"/>
  <c r="K1040" i="1"/>
  <c r="U1040" i="1"/>
  <c r="AE1040" i="1"/>
  <c r="AK1040" i="1" s="1"/>
  <c r="AH1040" i="1"/>
  <c r="J1039" i="1"/>
  <c r="K1039" i="1"/>
  <c r="U1039" i="1"/>
  <c r="AE1039" i="1"/>
  <c r="AK1039" i="1" s="1"/>
  <c r="AH1039" i="1"/>
  <c r="J1038" i="1"/>
  <c r="K1038" i="1"/>
  <c r="U1038" i="1"/>
  <c r="AE1038" i="1"/>
  <c r="AK1038" i="1" s="1"/>
  <c r="AH1038" i="1"/>
  <c r="G326" i="5"/>
  <c r="G327" i="5"/>
  <c r="G328" i="5"/>
  <c r="G329" i="5"/>
  <c r="G330" i="5"/>
  <c r="O326" i="5"/>
  <c r="P326" i="5" s="1"/>
  <c r="O327" i="5"/>
  <c r="P327" i="5" s="1"/>
  <c r="O328" i="5"/>
  <c r="P328" i="5" s="1"/>
  <c r="O329" i="5"/>
  <c r="P329" i="5" s="1"/>
  <c r="O330" i="5"/>
  <c r="P330" i="5" s="1"/>
  <c r="S326" i="5"/>
  <c r="S327" i="5"/>
  <c r="S328" i="5"/>
  <c r="S329" i="5"/>
  <c r="S330" i="5"/>
  <c r="J1037" i="1"/>
  <c r="K1037" i="1"/>
  <c r="U1037" i="1"/>
  <c r="AE1037" i="1"/>
  <c r="AK1037" i="1" s="1"/>
  <c r="AH1037" i="1"/>
  <c r="J1036" i="1"/>
  <c r="K1036" i="1"/>
  <c r="U1036" i="1"/>
  <c r="AE1036" i="1"/>
  <c r="AK1036" i="1" s="1"/>
  <c r="AH1036" i="1"/>
  <c r="G321" i="5"/>
  <c r="G322" i="5"/>
  <c r="G323" i="5"/>
  <c r="G324" i="5"/>
  <c r="G325" i="5"/>
  <c r="O321" i="5"/>
  <c r="P321" i="5" s="1"/>
  <c r="O322" i="5"/>
  <c r="P322" i="5" s="1"/>
  <c r="O323" i="5"/>
  <c r="P323" i="5" s="1"/>
  <c r="O324" i="5"/>
  <c r="P324" i="5" s="1"/>
  <c r="O325" i="5"/>
  <c r="P325" i="5" s="1"/>
  <c r="S321" i="5"/>
  <c r="S322" i="5"/>
  <c r="S323" i="5"/>
  <c r="S324" i="5"/>
  <c r="S325" i="5"/>
  <c r="U1035" i="1"/>
  <c r="AE1035" i="1"/>
  <c r="AK1035" i="1" s="1"/>
  <c r="AH1035" i="1"/>
  <c r="G316" i="5"/>
  <c r="G317" i="5"/>
  <c r="G318" i="5"/>
  <c r="G319" i="5"/>
  <c r="G320" i="5"/>
  <c r="O316" i="5"/>
  <c r="P316" i="5" s="1"/>
  <c r="O317" i="5"/>
  <c r="P317" i="5" s="1"/>
  <c r="O318" i="5"/>
  <c r="P318" i="5" s="1"/>
  <c r="O319" i="5"/>
  <c r="P319" i="5" s="1"/>
  <c r="O320" i="5"/>
  <c r="P320" i="5" s="1"/>
  <c r="S316" i="5"/>
  <c r="S317" i="5"/>
  <c r="S318" i="5"/>
  <c r="S319" i="5"/>
  <c r="S320" i="5"/>
  <c r="U1034" i="1" l="1"/>
  <c r="AE1034" i="1"/>
  <c r="AK1034" i="1" s="1"/>
  <c r="AH1034" i="1"/>
  <c r="U1033" i="1"/>
  <c r="AE1033" i="1"/>
  <c r="AK1033" i="1" s="1"/>
  <c r="AH1033" i="1"/>
  <c r="U1032" i="1"/>
  <c r="AE1032" i="1"/>
  <c r="AK1032" i="1" s="1"/>
  <c r="AH1032" i="1"/>
  <c r="U1029" i="1"/>
  <c r="U1030" i="1"/>
  <c r="U1031" i="1"/>
  <c r="AE1029" i="1"/>
  <c r="AK1029" i="1" s="1"/>
  <c r="AE1030" i="1"/>
  <c r="AK1030" i="1" s="1"/>
  <c r="AE1031" i="1"/>
  <c r="AK1031" i="1" s="1"/>
  <c r="AH1029" i="1"/>
  <c r="AH1030" i="1"/>
  <c r="AH1031" i="1"/>
  <c r="U1027" i="1"/>
  <c r="U1028" i="1"/>
  <c r="AE1027" i="1"/>
  <c r="AK1027" i="1" s="1"/>
  <c r="AE1028" i="1"/>
  <c r="AK1028" i="1" s="1"/>
  <c r="AH1027" i="1"/>
  <c r="AH1028" i="1"/>
  <c r="G313" i="5"/>
  <c r="G314" i="5"/>
  <c r="G315" i="5"/>
  <c r="O313" i="5"/>
  <c r="P313" i="5" s="1"/>
  <c r="O314" i="5"/>
  <c r="P314" i="5" s="1"/>
  <c r="O315" i="5"/>
  <c r="P315" i="5" s="1"/>
  <c r="S313" i="5"/>
  <c r="S314" i="5"/>
  <c r="S315" i="5"/>
  <c r="U1024" i="1"/>
  <c r="U1025" i="1"/>
  <c r="U1026" i="1"/>
  <c r="AE1024" i="1"/>
  <c r="AK1024" i="1" s="1"/>
  <c r="AE1025" i="1"/>
  <c r="AK1025" i="1" s="1"/>
  <c r="AE1026" i="1"/>
  <c r="AK1026" i="1" s="1"/>
  <c r="AH1024" i="1"/>
  <c r="AH1025" i="1"/>
  <c r="AH1026" i="1"/>
  <c r="G310" i="5"/>
  <c r="G311" i="5"/>
  <c r="G312" i="5"/>
  <c r="O310" i="5"/>
  <c r="P310" i="5" s="1"/>
  <c r="O311" i="5"/>
  <c r="P311" i="5" s="1"/>
  <c r="O312" i="5"/>
  <c r="P312" i="5" s="1"/>
  <c r="S310" i="5"/>
  <c r="S311" i="5"/>
  <c r="S312" i="5"/>
  <c r="U1023" i="1"/>
  <c r="AE1023" i="1"/>
  <c r="AK1023" i="1" s="1"/>
  <c r="AH1023" i="1"/>
  <c r="G307" i="5"/>
  <c r="G308" i="5"/>
  <c r="G309" i="5"/>
  <c r="O307" i="5"/>
  <c r="P307" i="5" s="1"/>
  <c r="O308" i="5"/>
  <c r="P308" i="5" s="1"/>
  <c r="O309" i="5"/>
  <c r="P309" i="5" s="1"/>
  <c r="S307" i="5"/>
  <c r="S308" i="5"/>
  <c r="S309" i="5"/>
  <c r="U1022" i="1"/>
  <c r="AE1022" i="1"/>
  <c r="AK1022" i="1" s="1"/>
  <c r="AH1022" i="1"/>
  <c r="G303" i="5"/>
  <c r="G304" i="5"/>
  <c r="G305" i="5"/>
  <c r="G306" i="5"/>
  <c r="O303" i="5"/>
  <c r="P303" i="5" s="1"/>
  <c r="O304" i="5"/>
  <c r="P304" i="5" s="1"/>
  <c r="O305" i="5"/>
  <c r="P305" i="5" s="1"/>
  <c r="O306" i="5"/>
  <c r="P306" i="5" s="1"/>
  <c r="S303" i="5"/>
  <c r="S304" i="5"/>
  <c r="S305" i="5"/>
  <c r="S306" i="5"/>
  <c r="U1020" i="1"/>
  <c r="U1021" i="1"/>
  <c r="AE1020" i="1"/>
  <c r="AK1020" i="1" s="1"/>
  <c r="AE1021" i="1"/>
  <c r="AK1021" i="1" s="1"/>
  <c r="AH1020" i="1"/>
  <c r="AH1021" i="1"/>
  <c r="U1019" i="1"/>
  <c r="AE1019" i="1"/>
  <c r="AK1019" i="1" s="1"/>
  <c r="AH1019" i="1"/>
  <c r="G300" i="5"/>
  <c r="G301" i="5"/>
  <c r="G302" i="5"/>
  <c r="O300" i="5"/>
  <c r="P300" i="5" s="1"/>
  <c r="O301" i="5"/>
  <c r="P301" i="5" s="1"/>
  <c r="O302" i="5"/>
  <c r="P302" i="5" s="1"/>
  <c r="S300" i="5"/>
  <c r="S301" i="5"/>
  <c r="S302" i="5"/>
  <c r="U1018" i="1"/>
  <c r="AE1018" i="1"/>
  <c r="AK1018" i="1" s="1"/>
  <c r="AH1018" i="1"/>
  <c r="U1017" i="1"/>
  <c r="AE1017" i="1"/>
  <c r="AK1017" i="1" s="1"/>
  <c r="AH1017" i="1"/>
  <c r="U1016" i="1"/>
  <c r="AE1016" i="1"/>
  <c r="AK1016" i="1" s="1"/>
  <c r="AH1016" i="1"/>
  <c r="U1014" i="1"/>
  <c r="U1015" i="1"/>
  <c r="AE1014" i="1"/>
  <c r="AK1014" i="1" s="1"/>
  <c r="AE1015" i="1"/>
  <c r="AK1015" i="1" s="1"/>
  <c r="AH1014" i="1"/>
  <c r="AH1015" i="1"/>
  <c r="G293" i="5"/>
  <c r="G294" i="5"/>
  <c r="G295" i="5"/>
  <c r="G296" i="5"/>
  <c r="G297" i="5"/>
  <c r="G298" i="5"/>
  <c r="G299" i="5"/>
  <c r="O293" i="5"/>
  <c r="P293" i="5" s="1"/>
  <c r="O294" i="5"/>
  <c r="P294" i="5" s="1"/>
  <c r="O295" i="5"/>
  <c r="P295" i="5" s="1"/>
  <c r="O296" i="5"/>
  <c r="P296" i="5" s="1"/>
  <c r="O297" i="5"/>
  <c r="P297" i="5" s="1"/>
  <c r="O298" i="5"/>
  <c r="P298" i="5" s="1"/>
  <c r="O299" i="5"/>
  <c r="P299" i="5" s="1"/>
  <c r="S293" i="5"/>
  <c r="S294" i="5"/>
  <c r="S295" i="5"/>
  <c r="S296" i="5"/>
  <c r="S297" i="5"/>
  <c r="S298" i="5"/>
  <c r="S299" i="5"/>
  <c r="U1012" i="1"/>
  <c r="U1013" i="1"/>
  <c r="AE1012" i="1"/>
  <c r="AK1012" i="1" s="1"/>
  <c r="AE1013" i="1"/>
  <c r="AK1013" i="1" s="1"/>
  <c r="AH1012" i="1"/>
  <c r="AH1013" i="1"/>
  <c r="U1011" i="1"/>
  <c r="AE1011" i="1"/>
  <c r="AK1011" i="1" s="1"/>
  <c r="AH1011" i="1"/>
  <c r="G290" i="5"/>
  <c r="G291" i="5"/>
  <c r="G292" i="5"/>
  <c r="O290" i="5"/>
  <c r="P290" i="5" s="1"/>
  <c r="O291" i="5"/>
  <c r="P291" i="5" s="1"/>
  <c r="O292" i="5"/>
  <c r="P292" i="5" s="1"/>
  <c r="S290" i="5"/>
  <c r="S291" i="5"/>
  <c r="S292" i="5"/>
  <c r="U1010" i="1" l="1"/>
  <c r="AE1010" i="1"/>
  <c r="AK1010" i="1" s="1"/>
  <c r="AH1010" i="1"/>
  <c r="U1009" i="1"/>
  <c r="AE1009" i="1"/>
  <c r="AK1009" i="1" s="1"/>
  <c r="AH1009" i="1"/>
  <c r="U1008" i="1"/>
  <c r="AE1008" i="1"/>
  <c r="AK1008" i="1" s="1"/>
  <c r="AH1008" i="1"/>
  <c r="G287" i="5"/>
  <c r="G288" i="5"/>
  <c r="G289" i="5"/>
  <c r="O287" i="5"/>
  <c r="P287" i="5" s="1"/>
  <c r="O288" i="5"/>
  <c r="P288" i="5" s="1"/>
  <c r="O289" i="5"/>
  <c r="P289" i="5" s="1"/>
  <c r="S287" i="5"/>
  <c r="S288" i="5"/>
  <c r="S289" i="5"/>
  <c r="U1006" i="1"/>
  <c r="U1007" i="1"/>
  <c r="AE1006" i="1"/>
  <c r="AK1006" i="1" s="1"/>
  <c r="AE1007" i="1"/>
  <c r="AK1007" i="1" s="1"/>
  <c r="AH1006" i="1"/>
  <c r="AH1007" i="1"/>
  <c r="U1005" i="1"/>
  <c r="AE1005" i="1"/>
  <c r="AK1005" i="1" s="1"/>
  <c r="AH1005" i="1"/>
  <c r="U1003" i="1"/>
  <c r="U1004" i="1"/>
  <c r="AE1003" i="1"/>
  <c r="AK1003" i="1" s="1"/>
  <c r="AE1004" i="1"/>
  <c r="AK1004" i="1" s="1"/>
  <c r="AH1003" i="1"/>
  <c r="AH1004" i="1"/>
  <c r="U1001" i="1"/>
  <c r="U1002" i="1"/>
  <c r="AE1001" i="1"/>
  <c r="AK1001" i="1" s="1"/>
  <c r="AE1002" i="1"/>
  <c r="AK1002" i="1" s="1"/>
  <c r="AH1001" i="1"/>
  <c r="AH1002" i="1"/>
  <c r="G282" i="5"/>
  <c r="G283" i="5"/>
  <c r="G284" i="5"/>
  <c r="G285" i="5"/>
  <c r="G286" i="5"/>
  <c r="O282" i="5"/>
  <c r="P282" i="5" s="1"/>
  <c r="O283" i="5"/>
  <c r="P283" i="5" s="1"/>
  <c r="O284" i="5"/>
  <c r="P284" i="5" s="1"/>
  <c r="O285" i="5"/>
  <c r="P285" i="5" s="1"/>
  <c r="O286" i="5"/>
  <c r="P286" i="5" s="1"/>
  <c r="S282" i="5"/>
  <c r="S283" i="5"/>
  <c r="S284" i="5"/>
  <c r="S285" i="5"/>
  <c r="S286" i="5"/>
  <c r="U998" i="1" l="1"/>
  <c r="U999" i="1"/>
  <c r="U1000" i="1"/>
  <c r="AE998" i="1"/>
  <c r="AK998" i="1" s="1"/>
  <c r="AE999" i="1"/>
  <c r="AK999" i="1" s="1"/>
  <c r="AE1000" i="1"/>
  <c r="AK1000" i="1" s="1"/>
  <c r="AH998" i="1"/>
  <c r="AH999" i="1"/>
  <c r="AH1000" i="1"/>
  <c r="U993" i="1"/>
  <c r="U994" i="1"/>
  <c r="U995" i="1"/>
  <c r="U996" i="1"/>
  <c r="U997" i="1"/>
  <c r="AE993" i="1"/>
  <c r="AK993" i="1" s="1"/>
  <c r="AE994" i="1"/>
  <c r="AK994" i="1" s="1"/>
  <c r="AE995" i="1"/>
  <c r="AK995" i="1" s="1"/>
  <c r="AE996" i="1"/>
  <c r="AK996" i="1" s="1"/>
  <c r="AE997" i="1"/>
  <c r="AK997" i="1" s="1"/>
  <c r="AH993" i="1"/>
  <c r="AH994" i="1"/>
  <c r="AH995" i="1"/>
  <c r="AH996" i="1"/>
  <c r="AH997" i="1"/>
  <c r="U992" i="1"/>
  <c r="AE992" i="1"/>
  <c r="AK992" i="1" s="1"/>
  <c r="AH992" i="1"/>
  <c r="G281" i="5"/>
  <c r="O281" i="5"/>
  <c r="P281" i="5" s="1"/>
  <c r="S281" i="5"/>
  <c r="U991" i="1" l="1"/>
  <c r="AE991" i="1"/>
  <c r="AK991" i="1" s="1"/>
  <c r="AH991" i="1"/>
  <c r="U989" i="1"/>
  <c r="U990" i="1"/>
  <c r="AE989" i="1"/>
  <c r="AK989" i="1" s="1"/>
  <c r="AE990" i="1"/>
  <c r="AK990" i="1" s="1"/>
  <c r="AH989" i="1"/>
  <c r="AH990" i="1"/>
  <c r="U988" i="1"/>
  <c r="AE988" i="1"/>
  <c r="AK988" i="1" s="1"/>
  <c r="AH988" i="1"/>
  <c r="U986" i="1"/>
  <c r="U987" i="1"/>
  <c r="AE986" i="1"/>
  <c r="AK986" i="1" s="1"/>
  <c r="AE987" i="1"/>
  <c r="AK987" i="1" s="1"/>
  <c r="AH986" i="1"/>
  <c r="AH987" i="1"/>
  <c r="U985" i="1"/>
  <c r="AE985" i="1"/>
  <c r="AK985" i="1" s="1"/>
  <c r="AH985" i="1"/>
  <c r="U981" i="1"/>
  <c r="U982" i="1"/>
  <c r="U983" i="1"/>
  <c r="U984" i="1"/>
  <c r="AE981" i="1"/>
  <c r="AK981" i="1" s="1"/>
  <c r="AE982" i="1"/>
  <c r="AK982" i="1" s="1"/>
  <c r="AE983" i="1"/>
  <c r="AK983" i="1" s="1"/>
  <c r="AE984" i="1"/>
  <c r="AK984" i="1" s="1"/>
  <c r="AH981" i="1"/>
  <c r="AH982" i="1"/>
  <c r="AH983" i="1"/>
  <c r="AH984" i="1"/>
  <c r="U979" i="1"/>
  <c r="U980" i="1"/>
  <c r="AE979" i="1"/>
  <c r="AK979" i="1" s="1"/>
  <c r="AE980" i="1"/>
  <c r="AK980" i="1" s="1"/>
  <c r="AH979" i="1"/>
  <c r="AH980" i="1"/>
  <c r="U978" i="1"/>
  <c r="AE978" i="1"/>
  <c r="AK978" i="1" s="1"/>
  <c r="AH978" i="1"/>
  <c r="U975" i="1"/>
  <c r="U976" i="1"/>
  <c r="U977" i="1"/>
  <c r="AE975" i="1"/>
  <c r="AK975" i="1" s="1"/>
  <c r="AE976" i="1"/>
  <c r="AK976" i="1" s="1"/>
  <c r="AE977" i="1"/>
  <c r="AK977" i="1" s="1"/>
  <c r="AH975" i="1"/>
  <c r="AH976" i="1"/>
  <c r="AH977" i="1"/>
  <c r="G275" i="5"/>
  <c r="G276" i="5"/>
  <c r="G277" i="5"/>
  <c r="G278" i="5"/>
  <c r="G279" i="5"/>
  <c r="G280" i="5"/>
  <c r="O275" i="5"/>
  <c r="P275" i="5" s="1"/>
  <c r="O276" i="5"/>
  <c r="P276" i="5" s="1"/>
  <c r="O277" i="5"/>
  <c r="P277" i="5" s="1"/>
  <c r="O278" i="5"/>
  <c r="P278" i="5" s="1"/>
  <c r="O279" i="5"/>
  <c r="P279" i="5" s="1"/>
  <c r="O280" i="5"/>
  <c r="P280" i="5" s="1"/>
  <c r="S275" i="5"/>
  <c r="S276" i="5"/>
  <c r="S277" i="5"/>
  <c r="S278" i="5"/>
  <c r="S279" i="5"/>
  <c r="S280" i="5"/>
  <c r="U972" i="1"/>
  <c r="U973" i="1"/>
  <c r="U974" i="1"/>
  <c r="AE972" i="1"/>
  <c r="AK972" i="1" s="1"/>
  <c r="AE973" i="1"/>
  <c r="AK973" i="1" s="1"/>
  <c r="AE974" i="1"/>
  <c r="AK974" i="1" s="1"/>
  <c r="AH972" i="1"/>
  <c r="AH973" i="1"/>
  <c r="AH974" i="1"/>
  <c r="U971" i="1"/>
  <c r="AE971" i="1"/>
  <c r="AK971" i="1" s="1"/>
  <c r="AH971" i="1"/>
  <c r="G266" i="5"/>
  <c r="G267" i="5"/>
  <c r="G268" i="5"/>
  <c r="G269" i="5"/>
  <c r="G270" i="5"/>
  <c r="G271" i="5"/>
  <c r="G272" i="5"/>
  <c r="G273" i="5"/>
  <c r="G274" i="5"/>
  <c r="O266" i="5"/>
  <c r="P266" i="5" s="1"/>
  <c r="O267" i="5"/>
  <c r="P267" i="5" s="1"/>
  <c r="O268" i="5"/>
  <c r="O269" i="5"/>
  <c r="P269" i="5" s="1"/>
  <c r="O270" i="5"/>
  <c r="P270" i="5" s="1"/>
  <c r="O271" i="5"/>
  <c r="P271" i="5" s="1"/>
  <c r="O272" i="5"/>
  <c r="P272" i="5" s="1"/>
  <c r="O273" i="5"/>
  <c r="P273" i="5" s="1"/>
  <c r="O274" i="5"/>
  <c r="P274" i="5" s="1"/>
  <c r="P268" i="5"/>
  <c r="S266" i="5"/>
  <c r="S267" i="5"/>
  <c r="S268" i="5"/>
  <c r="S269" i="5"/>
  <c r="S270" i="5"/>
  <c r="S271" i="5"/>
  <c r="S272" i="5"/>
  <c r="S273" i="5"/>
  <c r="S274" i="5"/>
  <c r="U970" i="1"/>
  <c r="AE970" i="1"/>
  <c r="AK970" i="1" s="1"/>
  <c r="AH970" i="1"/>
  <c r="U967" i="1"/>
  <c r="U968" i="1"/>
  <c r="U969" i="1"/>
  <c r="AE967" i="1"/>
  <c r="AK967" i="1" s="1"/>
  <c r="AE968" i="1"/>
  <c r="AK968" i="1" s="1"/>
  <c r="AE969" i="1"/>
  <c r="AK969" i="1" s="1"/>
  <c r="AH967" i="1"/>
  <c r="AH968" i="1"/>
  <c r="AH969" i="1"/>
  <c r="U966" i="1"/>
  <c r="AE966" i="1"/>
  <c r="AK966" i="1" s="1"/>
  <c r="AH966" i="1"/>
  <c r="U965" i="1"/>
  <c r="AE965" i="1"/>
  <c r="AK965" i="1" s="1"/>
  <c r="AH965" i="1"/>
  <c r="U964" i="1"/>
  <c r="AE964" i="1"/>
  <c r="AK964" i="1" s="1"/>
  <c r="AH964" i="1"/>
  <c r="U963" i="1"/>
  <c r="AE963" i="1"/>
  <c r="AK963" i="1" s="1"/>
  <c r="AH963" i="1"/>
  <c r="U960" i="1"/>
  <c r="U961" i="1"/>
  <c r="U962" i="1"/>
  <c r="AE960" i="1"/>
  <c r="AK960" i="1" s="1"/>
  <c r="AE961" i="1"/>
  <c r="AK961" i="1" s="1"/>
  <c r="AE962" i="1"/>
  <c r="AK962" i="1" s="1"/>
  <c r="AH960" i="1"/>
  <c r="AH961" i="1"/>
  <c r="AH962" i="1"/>
  <c r="U959" i="1"/>
  <c r="AE959" i="1"/>
  <c r="AK959" i="1" s="1"/>
  <c r="AH959" i="1"/>
  <c r="U957" i="1"/>
  <c r="U958" i="1"/>
  <c r="AE957" i="1"/>
  <c r="AK957" i="1" s="1"/>
  <c r="AE958" i="1"/>
  <c r="AK958" i="1" s="1"/>
  <c r="AH957" i="1"/>
  <c r="AH958" i="1"/>
  <c r="G263" i="5"/>
  <c r="G264" i="5"/>
  <c r="G265" i="5"/>
  <c r="O263" i="5"/>
  <c r="P263" i="5" s="1"/>
  <c r="O264" i="5"/>
  <c r="P264" i="5" s="1"/>
  <c r="O265" i="5"/>
  <c r="P265" i="5" s="1"/>
  <c r="S263" i="5"/>
  <c r="S264" i="5"/>
  <c r="S265" i="5"/>
  <c r="G261" i="5"/>
  <c r="G262" i="5"/>
  <c r="O261" i="5"/>
  <c r="P261" i="5" s="1"/>
  <c r="O262" i="5"/>
  <c r="P262" i="5" s="1"/>
  <c r="S261" i="5"/>
  <c r="S262" i="5"/>
  <c r="U956" i="1"/>
  <c r="AE956" i="1"/>
  <c r="AK956" i="1" s="1"/>
  <c r="AH956" i="1"/>
  <c r="U955" i="1" l="1"/>
  <c r="AE955" i="1"/>
  <c r="AK955" i="1" s="1"/>
  <c r="AH955" i="1"/>
  <c r="U954" i="1"/>
  <c r="AE954" i="1"/>
  <c r="AK954" i="1" s="1"/>
  <c r="AH954" i="1"/>
  <c r="AH953" i="1"/>
  <c r="AE953" i="1"/>
  <c r="AK953" i="1" s="1"/>
  <c r="U953" i="1"/>
  <c r="T947" i="1"/>
  <c r="U947" i="1" s="1"/>
  <c r="U949" i="1"/>
  <c r="U950" i="1"/>
  <c r="U951" i="1"/>
  <c r="U952" i="1"/>
  <c r="AE949" i="1"/>
  <c r="AK949" i="1" s="1"/>
  <c r="AE950" i="1"/>
  <c r="AK950" i="1" s="1"/>
  <c r="AE951" i="1"/>
  <c r="AK951" i="1" s="1"/>
  <c r="AE952" i="1"/>
  <c r="AK952" i="1" s="1"/>
  <c r="AH949" i="1"/>
  <c r="AH950" i="1"/>
  <c r="AH951" i="1"/>
  <c r="AH952" i="1"/>
  <c r="U948" i="1"/>
  <c r="AE948" i="1"/>
  <c r="AK948" i="1" s="1"/>
  <c r="AH948" i="1"/>
  <c r="U946" i="1"/>
  <c r="AE946" i="1"/>
  <c r="AK946" i="1" s="1"/>
  <c r="AE947" i="1"/>
  <c r="AK947" i="1" s="1"/>
  <c r="AH946" i="1"/>
  <c r="AH947" i="1"/>
  <c r="U945" i="1" l="1"/>
  <c r="AE945" i="1"/>
  <c r="AK945" i="1" s="1"/>
  <c r="AH945" i="1"/>
  <c r="U944" i="1"/>
  <c r="AE944" i="1"/>
  <c r="AK944" i="1" s="1"/>
  <c r="AH944" i="1"/>
  <c r="G255" i="5"/>
  <c r="G256" i="5"/>
  <c r="G257" i="5"/>
  <c r="G258" i="5"/>
  <c r="G259" i="5"/>
  <c r="G260" i="5"/>
  <c r="O255" i="5"/>
  <c r="P255" i="5" s="1"/>
  <c r="O256" i="5"/>
  <c r="P256" i="5" s="1"/>
  <c r="O257" i="5"/>
  <c r="P257" i="5" s="1"/>
  <c r="O258" i="5"/>
  <c r="P258" i="5" s="1"/>
  <c r="O259" i="5"/>
  <c r="P259" i="5" s="1"/>
  <c r="O260" i="5"/>
  <c r="P260" i="5" s="1"/>
  <c r="S255" i="5"/>
  <c r="S256" i="5"/>
  <c r="S257" i="5"/>
  <c r="S258" i="5"/>
  <c r="S259" i="5"/>
  <c r="S260" i="5"/>
  <c r="U942" i="1"/>
  <c r="U943" i="1"/>
  <c r="AE942" i="1"/>
  <c r="AK942" i="1" s="1"/>
  <c r="AE943" i="1"/>
  <c r="AK943" i="1" s="1"/>
  <c r="AH942" i="1"/>
  <c r="AH943" i="1"/>
  <c r="G249" i="5" l="1"/>
  <c r="G250" i="5"/>
  <c r="G251" i="5"/>
  <c r="G252" i="5"/>
  <c r="G253" i="5"/>
  <c r="G254" i="5"/>
  <c r="O249" i="5"/>
  <c r="P249" i="5" s="1"/>
  <c r="O250" i="5"/>
  <c r="P250" i="5" s="1"/>
  <c r="O251" i="5"/>
  <c r="P251" i="5" s="1"/>
  <c r="O252" i="5"/>
  <c r="P252" i="5" s="1"/>
  <c r="O253" i="5"/>
  <c r="P253" i="5" s="1"/>
  <c r="O254" i="5"/>
  <c r="P254" i="5" s="1"/>
  <c r="S249" i="5"/>
  <c r="S250" i="5"/>
  <c r="S251" i="5"/>
  <c r="S252" i="5"/>
  <c r="S253" i="5"/>
  <c r="S254" i="5"/>
  <c r="U941" i="1"/>
  <c r="AE941" i="1"/>
  <c r="AK941" i="1" s="1"/>
  <c r="AH941" i="1"/>
  <c r="G245" i="5"/>
  <c r="G246" i="5"/>
  <c r="G247" i="5"/>
  <c r="G248" i="5"/>
  <c r="O245" i="5"/>
  <c r="P245" i="5" s="1"/>
  <c r="O246" i="5"/>
  <c r="P246" i="5" s="1"/>
  <c r="O247" i="5"/>
  <c r="P247" i="5" s="1"/>
  <c r="O248" i="5"/>
  <c r="P248" i="5" s="1"/>
  <c r="S245" i="5"/>
  <c r="S246" i="5"/>
  <c r="S247" i="5"/>
  <c r="S248" i="5"/>
  <c r="G243" i="5"/>
  <c r="G244" i="5"/>
  <c r="O243" i="5"/>
  <c r="P243" i="5" s="1"/>
  <c r="O244" i="5"/>
  <c r="P244" i="5" s="1"/>
  <c r="S243" i="5"/>
  <c r="S244" i="5"/>
  <c r="U940" i="1"/>
  <c r="AE940" i="1"/>
  <c r="AK940" i="1" s="1"/>
  <c r="AH940" i="1"/>
  <c r="G239" i="5" l="1"/>
  <c r="G240" i="5"/>
  <c r="G241" i="5"/>
  <c r="G242" i="5"/>
  <c r="O239" i="5"/>
  <c r="P239" i="5" s="1"/>
  <c r="O240" i="5"/>
  <c r="P240" i="5" s="1"/>
  <c r="O241" i="5"/>
  <c r="P241" i="5" s="1"/>
  <c r="O242" i="5"/>
  <c r="P242" i="5" s="1"/>
  <c r="S239" i="5"/>
  <c r="S240" i="5"/>
  <c r="S241" i="5"/>
  <c r="S242" i="5"/>
  <c r="U939" i="1"/>
  <c r="AE939" i="1"/>
  <c r="AK939" i="1" s="1"/>
  <c r="AH939" i="1"/>
  <c r="U934" i="1" l="1"/>
  <c r="J938" i="1"/>
  <c r="K938" i="1"/>
  <c r="U938" i="1"/>
  <c r="AE938" i="1"/>
  <c r="AK938" i="1" s="1"/>
  <c r="AH938" i="1"/>
  <c r="J937" i="1"/>
  <c r="K937" i="1"/>
  <c r="U937" i="1"/>
  <c r="AE937" i="1"/>
  <c r="AK937" i="1" s="1"/>
  <c r="AH937" i="1"/>
  <c r="J936" i="1"/>
  <c r="K936" i="1"/>
  <c r="U936" i="1"/>
  <c r="AE936" i="1"/>
  <c r="AK936" i="1" s="1"/>
  <c r="AH936" i="1"/>
  <c r="U935" i="1"/>
  <c r="AE933" i="1"/>
  <c r="AK933" i="1" s="1"/>
  <c r="AE934" i="1"/>
  <c r="AK934" i="1" s="1"/>
  <c r="AE935" i="1"/>
  <c r="AK935" i="1" s="1"/>
  <c r="AH933" i="1"/>
  <c r="AH934" i="1"/>
  <c r="AH935" i="1"/>
  <c r="G226" i="5" l="1"/>
  <c r="G224" i="5"/>
  <c r="G225" i="5"/>
  <c r="G227" i="5"/>
  <c r="G228" i="5"/>
  <c r="G229" i="5"/>
  <c r="G230" i="5"/>
  <c r="G231" i="5"/>
  <c r="G232" i="5"/>
  <c r="G233" i="5"/>
  <c r="G234" i="5"/>
  <c r="G235" i="5"/>
  <c r="G236" i="5"/>
  <c r="G237" i="5"/>
  <c r="G238" i="5"/>
  <c r="O226" i="5"/>
  <c r="P226" i="5" s="1"/>
  <c r="O224" i="5"/>
  <c r="P224" i="5" s="1"/>
  <c r="O225" i="5"/>
  <c r="P225" i="5" s="1"/>
  <c r="O227" i="5"/>
  <c r="P227" i="5" s="1"/>
  <c r="O228" i="5"/>
  <c r="P228" i="5" s="1"/>
  <c r="O229" i="5"/>
  <c r="P229" i="5" s="1"/>
  <c r="O230" i="5"/>
  <c r="P230" i="5" s="1"/>
  <c r="O231" i="5"/>
  <c r="P231" i="5" s="1"/>
  <c r="O232" i="5"/>
  <c r="P232" i="5" s="1"/>
  <c r="O233" i="5"/>
  <c r="P233" i="5" s="1"/>
  <c r="O234" i="5"/>
  <c r="P234" i="5" s="1"/>
  <c r="O235" i="5"/>
  <c r="P235" i="5" s="1"/>
  <c r="O236" i="5"/>
  <c r="P236" i="5" s="1"/>
  <c r="O237" i="5"/>
  <c r="P237" i="5" s="1"/>
  <c r="O238" i="5"/>
  <c r="P238" i="5" s="1"/>
  <c r="S226" i="5"/>
  <c r="S224" i="5"/>
  <c r="S225" i="5"/>
  <c r="S227" i="5"/>
  <c r="S228" i="5"/>
  <c r="S229" i="5"/>
  <c r="S230" i="5"/>
  <c r="S231" i="5"/>
  <c r="S232" i="5"/>
  <c r="S233" i="5"/>
  <c r="S234" i="5"/>
  <c r="S235" i="5"/>
  <c r="S236" i="5"/>
  <c r="S237" i="5"/>
  <c r="S238" i="5"/>
  <c r="G210" i="5"/>
  <c r="G211" i="5"/>
  <c r="G212" i="5"/>
  <c r="G213" i="5"/>
  <c r="G214" i="5"/>
  <c r="G215" i="5"/>
  <c r="G216" i="5"/>
  <c r="G217" i="5"/>
  <c r="G218" i="5"/>
  <c r="G219" i="5"/>
  <c r="G220" i="5"/>
  <c r="G221" i="5"/>
  <c r="G222" i="5"/>
  <c r="G223" i="5"/>
  <c r="S223" i="5"/>
  <c r="S222" i="5"/>
  <c r="S221" i="5"/>
  <c r="S220" i="5"/>
  <c r="S219" i="5"/>
  <c r="S218" i="5"/>
  <c r="S217" i="5"/>
  <c r="S216" i="5"/>
  <c r="S215" i="5"/>
  <c r="S214" i="5"/>
  <c r="S213" i="5"/>
  <c r="S212" i="5"/>
  <c r="S211" i="5"/>
  <c r="S210" i="5"/>
  <c r="O223" i="5"/>
  <c r="P223" i="5" s="1"/>
  <c r="O222" i="5"/>
  <c r="P222" i="5" s="1"/>
  <c r="O221" i="5"/>
  <c r="P221" i="5" s="1"/>
  <c r="O220" i="5"/>
  <c r="P220" i="5" s="1"/>
  <c r="O219" i="5"/>
  <c r="P219" i="5" s="1"/>
  <c r="O218" i="5"/>
  <c r="P218" i="5" s="1"/>
  <c r="O217" i="5"/>
  <c r="P217" i="5" s="1"/>
  <c r="O216" i="5"/>
  <c r="P216" i="5" s="1"/>
  <c r="O215" i="5"/>
  <c r="P215" i="5" s="1"/>
  <c r="O214" i="5"/>
  <c r="P214" i="5" s="1"/>
  <c r="O213" i="5"/>
  <c r="P213" i="5" s="1"/>
  <c r="O212" i="5"/>
  <c r="P212" i="5" s="1"/>
  <c r="O211" i="5"/>
  <c r="P211" i="5" s="1"/>
  <c r="O210" i="5"/>
  <c r="P210" i="5" s="1"/>
  <c r="U932" i="1" l="1"/>
  <c r="AE932" i="1"/>
  <c r="AK932" i="1" s="1"/>
  <c r="AH932" i="1"/>
  <c r="G192" i="5"/>
  <c r="G193" i="5"/>
  <c r="G194" i="5"/>
  <c r="G195" i="5"/>
  <c r="G196" i="5"/>
  <c r="G197" i="5"/>
  <c r="G198" i="5"/>
  <c r="G199" i="5"/>
  <c r="G200" i="5"/>
  <c r="G201" i="5"/>
  <c r="G202" i="5"/>
  <c r="G203" i="5"/>
  <c r="G204" i="5"/>
  <c r="G205" i="5"/>
  <c r="G206" i="5"/>
  <c r="G207" i="5"/>
  <c r="G208" i="5"/>
  <c r="G209" i="5"/>
  <c r="O193" i="5"/>
  <c r="P193" i="5" s="1"/>
  <c r="O194" i="5"/>
  <c r="P194" i="5" s="1"/>
  <c r="O195" i="5"/>
  <c r="P195" i="5" s="1"/>
  <c r="O196" i="5"/>
  <c r="P196" i="5" s="1"/>
  <c r="O197" i="5"/>
  <c r="P197" i="5" s="1"/>
  <c r="O198" i="5"/>
  <c r="P198" i="5" s="1"/>
  <c r="O199" i="5"/>
  <c r="P199" i="5" s="1"/>
  <c r="O200" i="5"/>
  <c r="P200" i="5" s="1"/>
  <c r="O201" i="5"/>
  <c r="P201" i="5" s="1"/>
  <c r="O202" i="5"/>
  <c r="P202" i="5" s="1"/>
  <c r="O203" i="5"/>
  <c r="P203" i="5" s="1"/>
  <c r="O204" i="5"/>
  <c r="P204" i="5" s="1"/>
  <c r="O205" i="5"/>
  <c r="P205" i="5" s="1"/>
  <c r="O206" i="5"/>
  <c r="P206" i="5" s="1"/>
  <c r="O207" i="5"/>
  <c r="P207" i="5" s="1"/>
  <c r="O208" i="5"/>
  <c r="P208" i="5" s="1"/>
  <c r="O209" i="5"/>
  <c r="P209" i="5" s="1"/>
  <c r="S193" i="5"/>
  <c r="S194" i="5"/>
  <c r="S195" i="5"/>
  <c r="S196" i="5"/>
  <c r="S197" i="5"/>
  <c r="S198" i="5"/>
  <c r="S199" i="5"/>
  <c r="S200" i="5"/>
  <c r="S201" i="5"/>
  <c r="S202" i="5"/>
  <c r="S203" i="5"/>
  <c r="S204" i="5"/>
  <c r="S205" i="5"/>
  <c r="S206" i="5"/>
  <c r="S207" i="5"/>
  <c r="S208" i="5"/>
  <c r="S209" i="5"/>
  <c r="U931" i="1"/>
  <c r="AE931" i="1"/>
  <c r="AK931" i="1" s="1"/>
  <c r="AH931" i="1"/>
  <c r="U930" i="1"/>
  <c r="AE930" i="1"/>
  <c r="AK930" i="1" s="1"/>
  <c r="AH930" i="1"/>
  <c r="U929" i="1"/>
  <c r="AE929" i="1"/>
  <c r="AK929" i="1" s="1"/>
  <c r="AH929" i="1"/>
  <c r="U926" i="1"/>
  <c r="U927" i="1"/>
  <c r="U928" i="1"/>
  <c r="AE926" i="1"/>
  <c r="AK926" i="1" s="1"/>
  <c r="AE927" i="1"/>
  <c r="AK927" i="1" s="1"/>
  <c r="AE928" i="1"/>
  <c r="AK928" i="1" s="1"/>
  <c r="AH926" i="1"/>
  <c r="AH927" i="1"/>
  <c r="AH928" i="1"/>
  <c r="J925" i="1"/>
  <c r="K925" i="1"/>
  <c r="U925" i="1"/>
  <c r="AE925" i="1"/>
  <c r="AK925" i="1" s="1"/>
  <c r="AH925" i="1"/>
  <c r="U924" i="1"/>
  <c r="AE924" i="1"/>
  <c r="AK924" i="1" s="1"/>
  <c r="AH924" i="1"/>
  <c r="U923" i="1"/>
  <c r="AE923" i="1"/>
  <c r="AK923" i="1" s="1"/>
  <c r="AH923" i="1"/>
  <c r="U922" i="1"/>
  <c r="U921" i="1" l="1"/>
  <c r="AE921" i="1"/>
  <c r="AK921" i="1" s="1"/>
  <c r="AE922" i="1"/>
  <c r="AK922" i="1" s="1"/>
  <c r="AH921" i="1"/>
  <c r="AH922" i="1"/>
  <c r="U920" i="1"/>
  <c r="AE920" i="1"/>
  <c r="AK920" i="1" s="1"/>
  <c r="AH920" i="1"/>
  <c r="U919" i="1"/>
  <c r="AE919" i="1"/>
  <c r="AK919" i="1" s="1"/>
  <c r="AH919" i="1"/>
  <c r="U917" i="1"/>
  <c r="U918" i="1"/>
  <c r="AE917" i="1"/>
  <c r="AK917" i="1" s="1"/>
  <c r="AE918" i="1"/>
  <c r="AK918" i="1" s="1"/>
  <c r="AH917" i="1"/>
  <c r="AH918" i="1"/>
  <c r="U916" i="1"/>
  <c r="AE916" i="1"/>
  <c r="AK916" i="1" s="1"/>
  <c r="AH916" i="1"/>
  <c r="U915" i="1"/>
  <c r="AE915" i="1"/>
  <c r="AK915" i="1" s="1"/>
  <c r="AH915" i="1"/>
  <c r="U912" i="1"/>
  <c r="U913" i="1"/>
  <c r="U914" i="1"/>
  <c r="AE912" i="1"/>
  <c r="AK912" i="1" s="1"/>
  <c r="AE913" i="1"/>
  <c r="AK913" i="1" s="1"/>
  <c r="AE914" i="1"/>
  <c r="AK914" i="1" s="1"/>
  <c r="AH912" i="1"/>
  <c r="AH913" i="1"/>
  <c r="AH914" i="1"/>
  <c r="AF901" i="1"/>
  <c r="J909" i="1" l="1"/>
  <c r="J910" i="1"/>
  <c r="J911" i="1"/>
  <c r="K909" i="1"/>
  <c r="K910" i="1"/>
  <c r="K911" i="1"/>
  <c r="U909" i="1"/>
  <c r="U910" i="1"/>
  <c r="U911" i="1"/>
  <c r="AE909" i="1"/>
  <c r="AK909" i="1" s="1"/>
  <c r="AE910" i="1"/>
  <c r="AK910" i="1" s="1"/>
  <c r="AE911" i="1"/>
  <c r="AK911" i="1" s="1"/>
  <c r="AH909" i="1"/>
  <c r="AH910" i="1"/>
  <c r="AH911" i="1"/>
  <c r="K907" i="1"/>
  <c r="K908" i="1"/>
  <c r="U907" i="1"/>
  <c r="U908" i="1"/>
  <c r="AE907" i="1"/>
  <c r="AK907" i="1" s="1"/>
  <c r="AE908" i="1"/>
  <c r="AK908" i="1" s="1"/>
  <c r="AH907" i="1"/>
  <c r="AH908" i="1"/>
  <c r="O192" i="5"/>
  <c r="P192" i="5" s="1"/>
  <c r="S192" i="5"/>
  <c r="AH906" i="1"/>
  <c r="AE906" i="1"/>
  <c r="AK906" i="1" s="1"/>
  <c r="U906" i="1"/>
  <c r="K906" i="1"/>
  <c r="AH905" i="1"/>
  <c r="AH904" i="1"/>
  <c r="AE905" i="1"/>
  <c r="AK905" i="1" s="1"/>
  <c r="AE904" i="1"/>
  <c r="AK904" i="1" s="1"/>
  <c r="U905" i="1"/>
  <c r="U904" i="1"/>
  <c r="K905" i="1"/>
  <c r="K904" i="1"/>
  <c r="J905" i="1"/>
  <c r="J904" i="1"/>
  <c r="U903" i="1"/>
  <c r="AE903" i="1"/>
  <c r="AK903" i="1" s="1"/>
  <c r="AH903" i="1"/>
  <c r="U900" i="1"/>
  <c r="U901" i="1"/>
  <c r="U902" i="1"/>
  <c r="AE900" i="1"/>
  <c r="AK900" i="1" s="1"/>
  <c r="AE901" i="1"/>
  <c r="AK901" i="1" s="1"/>
  <c r="AE902" i="1"/>
  <c r="AK902" i="1" s="1"/>
  <c r="AH900" i="1"/>
  <c r="AH901" i="1"/>
  <c r="AH902" i="1"/>
  <c r="U898" i="1"/>
  <c r="U899" i="1"/>
  <c r="AE898" i="1"/>
  <c r="AK898" i="1" s="1"/>
  <c r="AE899" i="1"/>
  <c r="AK899" i="1" s="1"/>
  <c r="AH898" i="1"/>
  <c r="AH899" i="1"/>
  <c r="U897" i="1"/>
  <c r="AE897" i="1"/>
  <c r="AK897" i="1" s="1"/>
  <c r="AH897" i="1"/>
  <c r="U896" i="1"/>
  <c r="AE896" i="1"/>
  <c r="AK896" i="1" s="1"/>
  <c r="AH896" i="1"/>
  <c r="U895" i="1"/>
  <c r="AE895" i="1"/>
  <c r="AK895" i="1" s="1"/>
  <c r="AH895" i="1"/>
  <c r="U894" i="1"/>
  <c r="AE894" i="1"/>
  <c r="AK894" i="1" s="1"/>
  <c r="AH894" i="1"/>
  <c r="U893" i="1"/>
  <c r="AE893" i="1"/>
  <c r="AK893" i="1" s="1"/>
  <c r="AH893" i="1"/>
  <c r="U892" i="1"/>
  <c r="AE892" i="1"/>
  <c r="AK892" i="1" s="1"/>
  <c r="AH892" i="1"/>
  <c r="U889" i="1" l="1"/>
  <c r="U890" i="1"/>
  <c r="U891" i="1"/>
  <c r="AE889" i="1"/>
  <c r="AK889" i="1" s="1"/>
  <c r="AE890" i="1"/>
  <c r="AK890" i="1" s="1"/>
  <c r="AE891" i="1"/>
  <c r="AK891" i="1" s="1"/>
  <c r="AH889" i="1"/>
  <c r="AH890" i="1"/>
  <c r="AH891" i="1"/>
  <c r="U885" i="1"/>
  <c r="U886" i="1"/>
  <c r="U887" i="1"/>
  <c r="U888" i="1"/>
  <c r="AE885" i="1"/>
  <c r="AK885" i="1" s="1"/>
  <c r="AE886" i="1"/>
  <c r="AK886" i="1" s="1"/>
  <c r="AE887" i="1"/>
  <c r="AK887" i="1" s="1"/>
  <c r="AE888" i="1"/>
  <c r="AK888" i="1" s="1"/>
  <c r="AH885" i="1"/>
  <c r="AH886" i="1"/>
  <c r="AH887" i="1"/>
  <c r="AH888" i="1"/>
  <c r="U882" i="1"/>
  <c r="U883" i="1"/>
  <c r="U884" i="1"/>
  <c r="AE882" i="1"/>
  <c r="AK882" i="1" s="1"/>
  <c r="AE883" i="1"/>
  <c r="AK883" i="1" s="1"/>
  <c r="AE884" i="1"/>
  <c r="AK884" i="1" s="1"/>
  <c r="AH882" i="1"/>
  <c r="AH883" i="1"/>
  <c r="AH884" i="1"/>
  <c r="U881" i="1"/>
  <c r="AE881" i="1"/>
  <c r="AK881" i="1" s="1"/>
  <c r="AH881" i="1"/>
  <c r="U878" i="1"/>
  <c r="U879" i="1"/>
  <c r="U880" i="1"/>
  <c r="AE878" i="1"/>
  <c r="AK878" i="1" s="1"/>
  <c r="AE879" i="1"/>
  <c r="AK879" i="1" s="1"/>
  <c r="AE880" i="1"/>
  <c r="AK880" i="1" s="1"/>
  <c r="AH878" i="1"/>
  <c r="AH879" i="1"/>
  <c r="AH880" i="1"/>
  <c r="U877" i="1"/>
  <c r="AE877" i="1"/>
  <c r="AK877" i="1" s="1"/>
  <c r="AH877" i="1"/>
  <c r="U874" i="1"/>
  <c r="U875" i="1"/>
  <c r="U876" i="1"/>
  <c r="AE874" i="1"/>
  <c r="AK874" i="1" s="1"/>
  <c r="AE875" i="1"/>
  <c r="AK875" i="1" s="1"/>
  <c r="AE876" i="1"/>
  <c r="AK876" i="1" s="1"/>
  <c r="AH874" i="1"/>
  <c r="AH875" i="1"/>
  <c r="AH876" i="1"/>
  <c r="U873" i="1"/>
  <c r="AE873" i="1"/>
  <c r="AK873" i="1" s="1"/>
  <c r="AH873" i="1"/>
  <c r="U871" i="1"/>
  <c r="U872" i="1"/>
  <c r="AE871" i="1"/>
  <c r="AK871" i="1" s="1"/>
  <c r="AE872" i="1"/>
  <c r="AK872" i="1" s="1"/>
  <c r="AH871" i="1"/>
  <c r="AH872" i="1"/>
  <c r="U869" i="1"/>
  <c r="U870" i="1"/>
  <c r="AE869" i="1"/>
  <c r="AK869" i="1" s="1"/>
  <c r="AE870" i="1"/>
  <c r="AK870" i="1" s="1"/>
  <c r="AH869" i="1"/>
  <c r="AH870" i="1"/>
  <c r="U868" i="1"/>
  <c r="AE868" i="1"/>
  <c r="AK868" i="1" s="1"/>
  <c r="AH868" i="1"/>
  <c r="U867" i="1"/>
  <c r="AE867" i="1"/>
  <c r="AK867" i="1" s="1"/>
  <c r="AH867" i="1"/>
  <c r="U864" i="1"/>
  <c r="U865" i="1"/>
  <c r="U866" i="1"/>
  <c r="AE864" i="1"/>
  <c r="AK864" i="1" s="1"/>
  <c r="AE865" i="1"/>
  <c r="AK865" i="1" s="1"/>
  <c r="AE866" i="1"/>
  <c r="AK866" i="1" s="1"/>
  <c r="AH864" i="1"/>
  <c r="AH865" i="1"/>
  <c r="AH866" i="1"/>
  <c r="U862" i="1"/>
  <c r="U863" i="1"/>
  <c r="AE862" i="1"/>
  <c r="AK862" i="1" s="1"/>
  <c r="AE863" i="1"/>
  <c r="AK863" i="1" s="1"/>
  <c r="AH862" i="1"/>
  <c r="AH863" i="1"/>
  <c r="U861" i="1"/>
  <c r="AE861" i="1"/>
  <c r="AK861" i="1" s="1"/>
  <c r="AH861" i="1"/>
  <c r="U858" i="1"/>
  <c r="U859" i="1"/>
  <c r="U860" i="1"/>
  <c r="AE858" i="1"/>
  <c r="AK858" i="1" s="1"/>
  <c r="AE859" i="1"/>
  <c r="AK859" i="1" s="1"/>
  <c r="AE860" i="1"/>
  <c r="AK860" i="1" s="1"/>
  <c r="AH858" i="1"/>
  <c r="AH859" i="1"/>
  <c r="AH860" i="1"/>
  <c r="U854" i="1"/>
  <c r="U855" i="1"/>
  <c r="U856" i="1"/>
  <c r="U857" i="1"/>
  <c r="AE854" i="1"/>
  <c r="AK854" i="1" s="1"/>
  <c r="AE855" i="1"/>
  <c r="AK855" i="1" s="1"/>
  <c r="AE856" i="1"/>
  <c r="AK856" i="1" s="1"/>
  <c r="AE857" i="1"/>
  <c r="AK857" i="1" s="1"/>
  <c r="AH854" i="1"/>
  <c r="AH855" i="1"/>
  <c r="AH856" i="1"/>
  <c r="AH857" i="1"/>
  <c r="U853" i="1"/>
  <c r="AE853" i="1"/>
  <c r="AK853" i="1" s="1"/>
  <c r="AH853" i="1"/>
  <c r="U850" i="1"/>
  <c r="U851" i="1"/>
  <c r="U852" i="1"/>
  <c r="AE850" i="1"/>
  <c r="AK850" i="1" s="1"/>
  <c r="AE851" i="1"/>
  <c r="AK851" i="1" s="1"/>
  <c r="AE852" i="1"/>
  <c r="AK852" i="1" s="1"/>
  <c r="AH850" i="1"/>
  <c r="AH851" i="1"/>
  <c r="AH852" i="1"/>
  <c r="U849" i="1"/>
  <c r="AE849" i="1"/>
  <c r="AK849" i="1" s="1"/>
  <c r="AH849" i="1"/>
  <c r="U845" i="1"/>
  <c r="U846" i="1"/>
  <c r="U847" i="1"/>
  <c r="U848" i="1"/>
  <c r="AE845" i="1"/>
  <c r="AK845" i="1" s="1"/>
  <c r="AE846" i="1"/>
  <c r="AK846" i="1" s="1"/>
  <c r="AE847" i="1"/>
  <c r="AK847" i="1" s="1"/>
  <c r="AE848" i="1"/>
  <c r="AK848" i="1" s="1"/>
  <c r="AH845" i="1"/>
  <c r="AH846" i="1"/>
  <c r="AH847" i="1"/>
  <c r="AH848" i="1"/>
  <c r="U837" i="1" l="1"/>
  <c r="U838" i="1"/>
  <c r="U839" i="1"/>
  <c r="U840" i="1"/>
  <c r="U841" i="1"/>
  <c r="U842" i="1"/>
  <c r="U843" i="1"/>
  <c r="U844" i="1"/>
  <c r="AE837" i="1"/>
  <c r="AK837" i="1" s="1"/>
  <c r="AE838" i="1"/>
  <c r="AK838" i="1" s="1"/>
  <c r="AE839" i="1"/>
  <c r="AK839" i="1" s="1"/>
  <c r="AE840" i="1"/>
  <c r="AK840" i="1" s="1"/>
  <c r="AE841" i="1"/>
  <c r="AK841" i="1" s="1"/>
  <c r="AE842" i="1"/>
  <c r="AK842" i="1" s="1"/>
  <c r="AE843" i="1"/>
  <c r="AK843" i="1" s="1"/>
  <c r="AE844" i="1"/>
  <c r="AK844" i="1" s="1"/>
  <c r="AH837" i="1"/>
  <c r="AH838" i="1"/>
  <c r="AH839" i="1"/>
  <c r="AH840" i="1"/>
  <c r="AH841" i="1"/>
  <c r="AH842" i="1"/>
  <c r="AH843" i="1"/>
  <c r="AH844" i="1"/>
  <c r="U834" i="1"/>
  <c r="U835" i="1"/>
  <c r="U836" i="1"/>
  <c r="AE834" i="1"/>
  <c r="AK834" i="1" s="1"/>
  <c r="AE835" i="1"/>
  <c r="AK835" i="1" s="1"/>
  <c r="AE836" i="1"/>
  <c r="AK836" i="1" s="1"/>
  <c r="AH834" i="1"/>
  <c r="AH835" i="1"/>
  <c r="AH836" i="1"/>
  <c r="U833" i="1"/>
  <c r="AE833" i="1"/>
  <c r="AK833" i="1" s="1"/>
  <c r="AH833" i="1"/>
  <c r="U831" i="1"/>
  <c r="U832" i="1"/>
  <c r="AE831" i="1"/>
  <c r="AK831" i="1" s="1"/>
  <c r="AE832" i="1"/>
  <c r="AK832" i="1" s="1"/>
  <c r="AH831" i="1"/>
  <c r="AH832" i="1"/>
  <c r="U828" i="1"/>
  <c r="U829" i="1"/>
  <c r="U830" i="1"/>
  <c r="AE828" i="1"/>
  <c r="AK828" i="1" s="1"/>
  <c r="AE829" i="1"/>
  <c r="AK829" i="1" s="1"/>
  <c r="AE830" i="1"/>
  <c r="AK830" i="1" s="1"/>
  <c r="AH828" i="1"/>
  <c r="AH829" i="1"/>
  <c r="AH830" i="1"/>
  <c r="U826" i="1" l="1"/>
  <c r="U827" i="1"/>
  <c r="AE826" i="1"/>
  <c r="AK826" i="1" s="1"/>
  <c r="AE827" i="1"/>
  <c r="AK827" i="1" s="1"/>
  <c r="AH826" i="1"/>
  <c r="AH827" i="1"/>
  <c r="U825" i="1"/>
  <c r="AE825" i="1"/>
  <c r="AK825" i="1" s="1"/>
  <c r="AH825" i="1"/>
  <c r="U499" i="1"/>
  <c r="U824" i="1"/>
  <c r="AE824" i="1"/>
  <c r="AK824" i="1" s="1"/>
  <c r="AH824" i="1"/>
  <c r="U820" i="1"/>
  <c r="U821" i="1"/>
  <c r="U822" i="1"/>
  <c r="U823" i="1"/>
  <c r="AE820" i="1"/>
  <c r="AK820" i="1" s="1"/>
  <c r="AE821" i="1"/>
  <c r="AK821" i="1" s="1"/>
  <c r="AE822" i="1"/>
  <c r="AK822" i="1" s="1"/>
  <c r="AE823" i="1"/>
  <c r="AK823" i="1" s="1"/>
  <c r="AH820" i="1"/>
  <c r="AH821" i="1"/>
  <c r="AH822" i="1"/>
  <c r="AH823" i="1"/>
  <c r="U819" i="1"/>
  <c r="AE819" i="1"/>
  <c r="AK819" i="1" s="1"/>
  <c r="AH819" i="1"/>
  <c r="U567" i="1"/>
  <c r="J818" i="1"/>
  <c r="K818" i="1"/>
  <c r="U818" i="1"/>
  <c r="AE818" i="1"/>
  <c r="AK818" i="1" s="1"/>
  <c r="AH818" i="1"/>
  <c r="J817" i="1"/>
  <c r="K817" i="1"/>
  <c r="U817" i="1"/>
  <c r="AE817" i="1"/>
  <c r="AK817" i="1" s="1"/>
  <c r="AH817" i="1"/>
  <c r="U815" i="1" l="1"/>
  <c r="U816" i="1"/>
  <c r="AE815" i="1"/>
  <c r="AK815" i="1" s="1"/>
  <c r="AE816" i="1"/>
  <c r="AK816" i="1" s="1"/>
  <c r="AH815" i="1"/>
  <c r="AH816" i="1"/>
  <c r="U814" i="1"/>
  <c r="AE814" i="1"/>
  <c r="AK814" i="1" s="1"/>
  <c r="AH814" i="1"/>
  <c r="U812" i="1"/>
  <c r="U813" i="1"/>
  <c r="AE812" i="1"/>
  <c r="AK812" i="1" s="1"/>
  <c r="AE813" i="1"/>
  <c r="AK813" i="1" s="1"/>
  <c r="AH812" i="1"/>
  <c r="AH813" i="1"/>
  <c r="U810" i="1"/>
  <c r="U811" i="1"/>
  <c r="AE810" i="1"/>
  <c r="AK810" i="1" s="1"/>
  <c r="AE811" i="1"/>
  <c r="AK811" i="1" s="1"/>
  <c r="AH810" i="1"/>
  <c r="AH811" i="1"/>
  <c r="U809" i="1"/>
  <c r="AE809" i="1"/>
  <c r="AK809" i="1" s="1"/>
  <c r="AH809" i="1"/>
  <c r="U808" i="1"/>
  <c r="AE808" i="1"/>
  <c r="AK808" i="1" s="1"/>
  <c r="AH808" i="1"/>
  <c r="U807" i="1" l="1"/>
  <c r="AE807" i="1"/>
  <c r="AK807" i="1" s="1"/>
  <c r="AH807" i="1"/>
  <c r="U806" i="1"/>
  <c r="AE806" i="1"/>
  <c r="AK806" i="1" s="1"/>
  <c r="AH806" i="1"/>
  <c r="U805" i="1"/>
  <c r="AE805" i="1"/>
  <c r="AK805" i="1" s="1"/>
  <c r="AH805" i="1"/>
  <c r="U804" i="1"/>
  <c r="AE804" i="1"/>
  <c r="AK804" i="1" s="1"/>
  <c r="AH804" i="1"/>
  <c r="U803" i="1"/>
  <c r="AE803" i="1"/>
  <c r="AK803" i="1" s="1"/>
  <c r="AH803" i="1"/>
  <c r="U802" i="1"/>
  <c r="AE802" i="1"/>
  <c r="AK802" i="1" s="1"/>
  <c r="AH802" i="1"/>
  <c r="U801" i="1"/>
  <c r="AE801" i="1"/>
  <c r="AK801" i="1" s="1"/>
  <c r="AH801" i="1"/>
  <c r="U800" i="1"/>
  <c r="AE800" i="1"/>
  <c r="AK800" i="1" s="1"/>
  <c r="AH800" i="1"/>
  <c r="U797" i="1"/>
  <c r="U798" i="1"/>
  <c r="U799" i="1"/>
  <c r="AE797" i="1"/>
  <c r="AK797" i="1" s="1"/>
  <c r="AE798" i="1"/>
  <c r="AK798" i="1" s="1"/>
  <c r="AE799" i="1"/>
  <c r="AK799" i="1" s="1"/>
  <c r="AH797" i="1"/>
  <c r="AH798" i="1"/>
  <c r="AH799" i="1"/>
  <c r="U796" i="1"/>
  <c r="AE796" i="1"/>
  <c r="AK796" i="1" s="1"/>
  <c r="AH796" i="1"/>
  <c r="U795" i="1"/>
  <c r="AE795" i="1"/>
  <c r="AK795" i="1" s="1"/>
  <c r="AH795" i="1"/>
  <c r="U794" i="1"/>
  <c r="AE794" i="1"/>
  <c r="AK794" i="1" s="1"/>
  <c r="AH794" i="1"/>
  <c r="U793" i="1"/>
  <c r="AE793" i="1"/>
  <c r="AK793" i="1" s="1"/>
  <c r="AH793" i="1"/>
  <c r="U792" i="1"/>
  <c r="AE792" i="1"/>
  <c r="AK792" i="1" s="1"/>
  <c r="AH792" i="1"/>
  <c r="U791" i="1" l="1"/>
  <c r="AE791" i="1"/>
  <c r="AK791" i="1" s="1"/>
  <c r="AH791" i="1"/>
  <c r="U786" i="1"/>
  <c r="U787" i="1"/>
  <c r="U788" i="1"/>
  <c r="U789" i="1"/>
  <c r="U790" i="1"/>
  <c r="AE786" i="1"/>
  <c r="AK786" i="1" s="1"/>
  <c r="AE787" i="1"/>
  <c r="AK787" i="1" s="1"/>
  <c r="AE788" i="1"/>
  <c r="AK788" i="1" s="1"/>
  <c r="AE789" i="1"/>
  <c r="AK789" i="1" s="1"/>
  <c r="AE790" i="1"/>
  <c r="AK790" i="1" s="1"/>
  <c r="AH786" i="1"/>
  <c r="AH787" i="1"/>
  <c r="AH788" i="1"/>
  <c r="AH789" i="1"/>
  <c r="AH790" i="1"/>
  <c r="U785" i="1"/>
  <c r="AE785" i="1"/>
  <c r="AK785" i="1" s="1"/>
  <c r="AH785" i="1"/>
  <c r="U784" i="1"/>
  <c r="AE784" i="1"/>
  <c r="AK784" i="1" s="1"/>
  <c r="AH784" i="1"/>
  <c r="U783" i="1"/>
  <c r="AE783" i="1"/>
  <c r="AK783" i="1" s="1"/>
  <c r="AH783" i="1"/>
  <c r="U781" i="1" l="1"/>
  <c r="U782" i="1"/>
  <c r="AE781" i="1"/>
  <c r="AK781" i="1" s="1"/>
  <c r="AE782" i="1"/>
  <c r="AK782" i="1" s="1"/>
  <c r="AH781" i="1"/>
  <c r="AH782" i="1"/>
  <c r="U780" i="1"/>
  <c r="AE780" i="1"/>
  <c r="AK780" i="1" s="1"/>
  <c r="AH780" i="1"/>
  <c r="U778" i="1"/>
  <c r="U779" i="1"/>
  <c r="AE778" i="1"/>
  <c r="AK778" i="1" s="1"/>
  <c r="AE779" i="1"/>
  <c r="AK779" i="1" s="1"/>
  <c r="AH778" i="1"/>
  <c r="AH779" i="1"/>
  <c r="U777" i="1"/>
  <c r="AE777" i="1"/>
  <c r="AK777" i="1" s="1"/>
  <c r="AH777" i="1"/>
  <c r="U776" i="1"/>
  <c r="AE776" i="1"/>
  <c r="AK776" i="1" s="1"/>
  <c r="AH776" i="1"/>
  <c r="U775" i="1"/>
  <c r="AE775" i="1"/>
  <c r="AK775" i="1" s="1"/>
  <c r="AH775" i="1"/>
  <c r="U774" i="1"/>
  <c r="AE774" i="1"/>
  <c r="AK774" i="1" s="1"/>
  <c r="AH774" i="1"/>
  <c r="U773" i="1"/>
  <c r="AE773" i="1"/>
  <c r="AK773" i="1" s="1"/>
  <c r="AH773" i="1"/>
  <c r="J772" i="1"/>
  <c r="K772" i="1"/>
  <c r="U772" i="1"/>
  <c r="AE772" i="1"/>
  <c r="AK772" i="1" s="1"/>
  <c r="AH772" i="1"/>
  <c r="J771" i="1"/>
  <c r="K771" i="1"/>
  <c r="U771" i="1"/>
  <c r="AE771" i="1"/>
  <c r="AK771" i="1" s="1"/>
  <c r="AH771" i="1"/>
  <c r="U770" i="1"/>
  <c r="AE770" i="1"/>
  <c r="AK770" i="1" s="1"/>
  <c r="AH770" i="1"/>
  <c r="U768" i="1"/>
  <c r="U769" i="1"/>
  <c r="AE768" i="1"/>
  <c r="AK768" i="1" s="1"/>
  <c r="AE769" i="1"/>
  <c r="AK769" i="1" s="1"/>
  <c r="AH768" i="1"/>
  <c r="AH769" i="1"/>
  <c r="U767" i="1"/>
  <c r="AE767" i="1"/>
  <c r="AK767" i="1" s="1"/>
  <c r="AH767" i="1"/>
  <c r="U766" i="1"/>
  <c r="AE766" i="1"/>
  <c r="AK766" i="1" s="1"/>
  <c r="AH766" i="1"/>
  <c r="U765" i="1"/>
  <c r="AE765" i="1"/>
  <c r="AK765" i="1" s="1"/>
  <c r="AH765" i="1"/>
  <c r="U764" i="1"/>
  <c r="AE764" i="1"/>
  <c r="AK764" i="1" s="1"/>
  <c r="AH764" i="1"/>
  <c r="U763" i="1"/>
  <c r="AE763" i="1"/>
  <c r="AK763" i="1" s="1"/>
  <c r="AH763" i="1"/>
  <c r="U762" i="1"/>
  <c r="AE762" i="1"/>
  <c r="AK762" i="1" s="1"/>
  <c r="AH762" i="1"/>
  <c r="U759" i="1"/>
  <c r="U760" i="1"/>
  <c r="U761" i="1"/>
  <c r="AE759" i="1"/>
  <c r="AK759" i="1" s="1"/>
  <c r="AE760" i="1"/>
  <c r="AK760" i="1" s="1"/>
  <c r="AE761" i="1"/>
  <c r="AK761" i="1" s="1"/>
  <c r="AH759" i="1"/>
  <c r="AH760" i="1"/>
  <c r="AH761" i="1"/>
  <c r="U757" i="1"/>
  <c r="U758" i="1"/>
  <c r="AE757" i="1"/>
  <c r="AK757" i="1" s="1"/>
  <c r="AE758" i="1"/>
  <c r="AK758" i="1" s="1"/>
  <c r="AH757" i="1"/>
  <c r="AH758" i="1"/>
  <c r="U756" i="1"/>
  <c r="AE756" i="1"/>
  <c r="AK756" i="1" s="1"/>
  <c r="AH756" i="1"/>
  <c r="U755" i="1"/>
  <c r="AE755" i="1"/>
  <c r="AK755" i="1" s="1"/>
  <c r="AH755" i="1"/>
  <c r="U753" i="1"/>
  <c r="U754" i="1"/>
  <c r="AE753" i="1"/>
  <c r="AK753" i="1" s="1"/>
  <c r="AE754" i="1"/>
  <c r="AK754" i="1" s="1"/>
  <c r="AH753" i="1"/>
  <c r="AH754" i="1"/>
  <c r="U751" i="1"/>
  <c r="U752" i="1"/>
  <c r="AE751" i="1"/>
  <c r="AK751" i="1" s="1"/>
  <c r="AE752" i="1"/>
  <c r="AK752" i="1" s="1"/>
  <c r="AH751" i="1"/>
  <c r="AH752" i="1"/>
  <c r="U750" i="1"/>
  <c r="AE750" i="1"/>
  <c r="AK750" i="1" s="1"/>
  <c r="AH750" i="1"/>
  <c r="U749" i="1"/>
  <c r="AE749" i="1"/>
  <c r="AK749" i="1" s="1"/>
  <c r="AH749" i="1"/>
  <c r="AF748" i="1"/>
  <c r="AH748" i="1" s="1"/>
  <c r="U748" i="1"/>
  <c r="AE748" i="1"/>
  <c r="AK748" i="1" s="1"/>
  <c r="G190" i="5"/>
  <c r="G191" i="5"/>
  <c r="O190" i="5"/>
  <c r="P190" i="5" s="1"/>
  <c r="O191" i="5"/>
  <c r="P191" i="5" s="1"/>
  <c r="S190" i="5"/>
  <c r="S191" i="5"/>
  <c r="U747" i="1"/>
  <c r="AE747" i="1"/>
  <c r="AK747" i="1" s="1"/>
  <c r="AH747" i="1"/>
  <c r="U746" i="1"/>
  <c r="AE746" i="1"/>
  <c r="AK746" i="1" s="1"/>
  <c r="AH746" i="1"/>
  <c r="U744" i="1"/>
  <c r="U745" i="1"/>
  <c r="AE744" i="1"/>
  <c r="AK744" i="1" s="1"/>
  <c r="AE745" i="1"/>
  <c r="AK745" i="1" s="1"/>
  <c r="AH744" i="1"/>
  <c r="AH745" i="1"/>
  <c r="U743" i="1"/>
  <c r="AE743" i="1"/>
  <c r="AK743" i="1" s="1"/>
  <c r="AH743" i="1"/>
  <c r="U742" i="1"/>
  <c r="AE742" i="1"/>
  <c r="AK742" i="1" s="1"/>
  <c r="AH742" i="1"/>
  <c r="U741" i="1"/>
  <c r="AE741" i="1"/>
  <c r="AK741" i="1" s="1"/>
  <c r="AH741" i="1"/>
  <c r="U740" i="1"/>
  <c r="AE740" i="1"/>
  <c r="AK740" i="1" s="1"/>
  <c r="AH740" i="1"/>
  <c r="U739" i="1"/>
  <c r="AE739" i="1"/>
  <c r="AK739" i="1" s="1"/>
  <c r="AH739" i="1"/>
  <c r="U738" i="1"/>
  <c r="AE738" i="1"/>
  <c r="AK738" i="1" s="1"/>
  <c r="AH738" i="1"/>
  <c r="U737" i="1"/>
  <c r="AE737" i="1"/>
  <c r="AK737" i="1" s="1"/>
  <c r="AH737" i="1"/>
  <c r="U736" i="1"/>
  <c r="AE736" i="1"/>
  <c r="AK736" i="1" s="1"/>
  <c r="AH736" i="1"/>
  <c r="U733" i="1"/>
  <c r="U734" i="1"/>
  <c r="U735" i="1"/>
  <c r="AE733" i="1"/>
  <c r="AK733" i="1" s="1"/>
  <c r="AE734" i="1"/>
  <c r="AK734" i="1" s="1"/>
  <c r="AE735" i="1"/>
  <c r="AK735" i="1" s="1"/>
  <c r="AH733" i="1"/>
  <c r="AH734" i="1"/>
  <c r="AH735" i="1"/>
  <c r="U729" i="1"/>
  <c r="U730" i="1"/>
  <c r="U731" i="1"/>
  <c r="U732" i="1"/>
  <c r="AE729" i="1"/>
  <c r="AK729" i="1" s="1"/>
  <c r="AE730" i="1"/>
  <c r="AK730" i="1" s="1"/>
  <c r="AE731" i="1"/>
  <c r="AK731" i="1" s="1"/>
  <c r="AE732" i="1"/>
  <c r="AK732" i="1" s="1"/>
  <c r="AH729" i="1"/>
  <c r="AH730" i="1"/>
  <c r="AH731" i="1"/>
  <c r="AH732" i="1"/>
  <c r="U728" i="1"/>
  <c r="AE728" i="1"/>
  <c r="AK728" i="1" s="1"/>
  <c r="AH728" i="1"/>
  <c r="U727" i="1"/>
  <c r="AE727" i="1"/>
  <c r="AK727" i="1" s="1"/>
  <c r="AH727" i="1"/>
  <c r="U726" i="1"/>
  <c r="AE726" i="1"/>
  <c r="AK726" i="1" s="1"/>
  <c r="AH726" i="1"/>
  <c r="AH719" i="1"/>
  <c r="AE719" i="1"/>
  <c r="AK719" i="1" s="1"/>
  <c r="U719" i="1"/>
  <c r="J720" i="1"/>
  <c r="K720" i="1"/>
  <c r="U720" i="1"/>
  <c r="AE720" i="1"/>
  <c r="AK720" i="1" s="1"/>
  <c r="AH720" i="1"/>
  <c r="U725" i="1"/>
  <c r="AE725" i="1"/>
  <c r="AK725" i="1" s="1"/>
  <c r="AH725" i="1"/>
  <c r="U724" i="1"/>
  <c r="AE724" i="1"/>
  <c r="AK724" i="1" s="1"/>
  <c r="AH724" i="1"/>
  <c r="U723" i="1"/>
  <c r="AE723" i="1"/>
  <c r="AK723" i="1" s="1"/>
  <c r="AH723" i="1"/>
  <c r="U722" i="1" l="1"/>
  <c r="AE722" i="1"/>
  <c r="AK722" i="1" s="1"/>
  <c r="AH722" i="1"/>
  <c r="U721" i="1"/>
  <c r="AE721" i="1"/>
  <c r="AK721" i="1" s="1"/>
  <c r="AH721" i="1"/>
  <c r="U718" i="1"/>
  <c r="AE718" i="1"/>
  <c r="AK718" i="1" s="1"/>
  <c r="AH718" i="1"/>
  <c r="J717" i="1"/>
  <c r="K717" i="1"/>
  <c r="U717" i="1"/>
  <c r="AE717" i="1"/>
  <c r="AK717" i="1" s="1"/>
  <c r="AH717" i="1"/>
  <c r="U716" i="1"/>
  <c r="AE716" i="1"/>
  <c r="AK716" i="1" s="1"/>
  <c r="AH716" i="1"/>
  <c r="U715" i="1"/>
  <c r="AE715" i="1"/>
  <c r="AK715" i="1" s="1"/>
  <c r="AH715" i="1"/>
  <c r="U714" i="1"/>
  <c r="AE714" i="1"/>
  <c r="AK714" i="1" s="1"/>
  <c r="AH714" i="1"/>
  <c r="U713" i="1"/>
  <c r="AE713" i="1"/>
  <c r="AK713" i="1" s="1"/>
  <c r="AH713" i="1"/>
  <c r="U712" i="1"/>
  <c r="AE712" i="1"/>
  <c r="AK712" i="1" s="1"/>
  <c r="AH712" i="1"/>
  <c r="U711" i="1"/>
  <c r="AE711" i="1"/>
  <c r="AK711" i="1" s="1"/>
  <c r="AH711" i="1"/>
  <c r="J672" i="1"/>
  <c r="K672" i="1"/>
  <c r="U672" i="1"/>
  <c r="AE672" i="1"/>
  <c r="AK672" i="1" s="1"/>
  <c r="AH672" i="1"/>
  <c r="U709" i="1" l="1"/>
  <c r="U710" i="1"/>
  <c r="AE709" i="1"/>
  <c r="AK709" i="1" s="1"/>
  <c r="AE710" i="1"/>
  <c r="AK710" i="1" s="1"/>
  <c r="AH709" i="1"/>
  <c r="AH710" i="1"/>
  <c r="O189" i="5"/>
  <c r="P189" i="5" s="1"/>
  <c r="S189" i="5"/>
  <c r="J705" i="1"/>
  <c r="J706" i="1"/>
  <c r="J707" i="1"/>
  <c r="J708" i="1"/>
  <c r="K705" i="1"/>
  <c r="K706" i="1"/>
  <c r="K707" i="1"/>
  <c r="K708" i="1"/>
  <c r="U705" i="1"/>
  <c r="U706" i="1"/>
  <c r="U707" i="1"/>
  <c r="U708" i="1"/>
  <c r="AE705" i="1"/>
  <c r="AK705" i="1" s="1"/>
  <c r="AE706" i="1"/>
  <c r="AK706" i="1" s="1"/>
  <c r="AE707" i="1"/>
  <c r="AK707" i="1" s="1"/>
  <c r="AE708" i="1"/>
  <c r="AK708" i="1" s="1"/>
  <c r="AH705" i="1"/>
  <c r="AH706" i="1"/>
  <c r="AH707" i="1"/>
  <c r="AH708" i="1"/>
  <c r="J704" i="1"/>
  <c r="K704" i="1"/>
  <c r="U704" i="1"/>
  <c r="AE704" i="1"/>
  <c r="AK704" i="1" s="1"/>
  <c r="AH704" i="1"/>
  <c r="K2" i="1"/>
  <c r="J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U703" i="1" l="1"/>
  <c r="AE703" i="1"/>
  <c r="AK703" i="1" s="1"/>
  <c r="AH703" i="1"/>
  <c r="U702" i="1"/>
  <c r="AE702" i="1"/>
  <c r="AK702" i="1" s="1"/>
  <c r="AH702" i="1"/>
  <c r="U701" i="1"/>
  <c r="AE701" i="1"/>
  <c r="AK701" i="1" s="1"/>
  <c r="AH701" i="1"/>
  <c r="U700" i="1"/>
  <c r="AE700" i="1"/>
  <c r="AK700" i="1" s="1"/>
  <c r="AH700" i="1"/>
  <c r="U699" i="1"/>
  <c r="AE699" i="1"/>
  <c r="AK699" i="1" s="1"/>
  <c r="AH699" i="1"/>
  <c r="U698" i="1"/>
  <c r="AE698" i="1"/>
  <c r="AK698" i="1" s="1"/>
  <c r="AH698" i="1"/>
  <c r="U697" i="1"/>
  <c r="AE697" i="1"/>
  <c r="AK697" i="1" s="1"/>
  <c r="AH697" i="1"/>
  <c r="U696" i="1"/>
  <c r="AE696" i="1"/>
  <c r="AK696" i="1" s="1"/>
  <c r="AH696" i="1"/>
  <c r="U695" i="1"/>
  <c r="AE695" i="1"/>
  <c r="AK695" i="1" s="1"/>
  <c r="AH695" i="1"/>
  <c r="U694" i="1"/>
  <c r="AE694" i="1"/>
  <c r="AK694" i="1" s="1"/>
  <c r="AH694" i="1"/>
  <c r="U693" i="1"/>
  <c r="AE693" i="1"/>
  <c r="AK693" i="1" s="1"/>
  <c r="AH693" i="1"/>
  <c r="U692" i="1"/>
  <c r="AE692" i="1"/>
  <c r="AK692" i="1" s="1"/>
  <c r="AH692" i="1"/>
  <c r="U691" i="1"/>
  <c r="AE691" i="1"/>
  <c r="AK691" i="1" s="1"/>
  <c r="AH691" i="1"/>
  <c r="U690" i="1"/>
  <c r="AE690" i="1"/>
  <c r="AK690" i="1" s="1"/>
  <c r="AH690" i="1"/>
  <c r="U689" i="1"/>
  <c r="AE689" i="1"/>
  <c r="AK689" i="1" s="1"/>
  <c r="AH689" i="1"/>
  <c r="U688" i="1"/>
  <c r="AE688" i="1"/>
  <c r="AK688" i="1" s="1"/>
  <c r="AH688" i="1"/>
  <c r="U687" i="1"/>
  <c r="AE687" i="1"/>
  <c r="AK687" i="1" s="1"/>
  <c r="AH687" i="1"/>
  <c r="U686" i="1"/>
  <c r="AE686" i="1"/>
  <c r="AK686" i="1" s="1"/>
  <c r="AH686" i="1"/>
  <c r="U685" i="1"/>
  <c r="AE685" i="1"/>
  <c r="AK685" i="1" s="1"/>
  <c r="AH685" i="1"/>
  <c r="U684" i="1"/>
  <c r="AE684" i="1"/>
  <c r="AK684" i="1" s="1"/>
  <c r="AH684" i="1"/>
  <c r="G186" i="5"/>
  <c r="G187" i="5"/>
  <c r="G188" i="5"/>
  <c r="O186" i="5"/>
  <c r="P186" i="5" s="1"/>
  <c r="O187" i="5"/>
  <c r="P187" i="5" s="1"/>
  <c r="O188" i="5"/>
  <c r="P188" i="5" s="1"/>
  <c r="S186" i="5"/>
  <c r="S187" i="5"/>
  <c r="S188" i="5"/>
  <c r="U683" i="1" l="1"/>
  <c r="AE683" i="1"/>
  <c r="AK683" i="1" s="1"/>
  <c r="AH683" i="1"/>
  <c r="U682" i="1"/>
  <c r="AE682" i="1"/>
  <c r="AK682" i="1" s="1"/>
  <c r="AH682" i="1"/>
  <c r="U681" i="1"/>
  <c r="AE681" i="1"/>
  <c r="AK681" i="1" s="1"/>
  <c r="AH681" i="1"/>
  <c r="U680" i="1"/>
  <c r="AE680" i="1"/>
  <c r="AK680" i="1" s="1"/>
  <c r="AH680" i="1"/>
  <c r="U679" i="1"/>
  <c r="AE679" i="1"/>
  <c r="AK679" i="1" s="1"/>
  <c r="AH679" i="1"/>
  <c r="U678" i="1"/>
  <c r="AE678" i="1"/>
  <c r="AK678" i="1" s="1"/>
  <c r="AH678" i="1"/>
  <c r="U677" i="1"/>
  <c r="AE677" i="1"/>
  <c r="AK677" i="1" s="1"/>
  <c r="AH677" i="1"/>
  <c r="U676" i="1"/>
  <c r="AE676" i="1"/>
  <c r="AK676" i="1" s="1"/>
  <c r="AH676" i="1"/>
  <c r="U675" i="1"/>
  <c r="AE675" i="1"/>
  <c r="AK675" i="1" s="1"/>
  <c r="AH675" i="1"/>
  <c r="U674" i="1"/>
  <c r="AE674" i="1"/>
  <c r="AK674" i="1" s="1"/>
  <c r="AH674" i="1"/>
  <c r="U673" i="1"/>
  <c r="AE673" i="1"/>
  <c r="AK673" i="1" s="1"/>
  <c r="AH673" i="1"/>
  <c r="U485" i="1"/>
  <c r="AE485" i="1"/>
  <c r="AK485" i="1" s="1"/>
  <c r="AH485" i="1"/>
  <c r="U670" i="1"/>
  <c r="U671" i="1"/>
  <c r="AE670" i="1"/>
  <c r="AK670" i="1" s="1"/>
  <c r="AE671" i="1"/>
  <c r="AK671" i="1" s="1"/>
  <c r="AH670" i="1"/>
  <c r="AH671" i="1"/>
  <c r="U668" i="1" l="1"/>
  <c r="U669" i="1"/>
  <c r="AE668" i="1"/>
  <c r="AK668" i="1" s="1"/>
  <c r="AE669" i="1"/>
  <c r="AK669" i="1" s="1"/>
  <c r="AH668" i="1"/>
  <c r="AH669" i="1"/>
  <c r="U667" i="1"/>
  <c r="AE667" i="1"/>
  <c r="AK667" i="1" s="1"/>
  <c r="AH667" i="1"/>
  <c r="U664" i="1"/>
  <c r="U665" i="1"/>
  <c r="U666" i="1"/>
  <c r="AE664" i="1"/>
  <c r="AK664" i="1" s="1"/>
  <c r="AE665" i="1"/>
  <c r="AK665" i="1" s="1"/>
  <c r="AE666" i="1"/>
  <c r="AK666" i="1" s="1"/>
  <c r="AH664" i="1"/>
  <c r="AH665" i="1"/>
  <c r="AH666" i="1"/>
  <c r="U663" i="1"/>
  <c r="AE663" i="1"/>
  <c r="AK663" i="1" s="1"/>
  <c r="AH663" i="1"/>
  <c r="U661" i="1"/>
  <c r="U662" i="1"/>
  <c r="AE661" i="1"/>
  <c r="AK661" i="1" s="1"/>
  <c r="AE662" i="1"/>
  <c r="AK662" i="1" s="1"/>
  <c r="AH661" i="1"/>
  <c r="AH662" i="1"/>
  <c r="U660" i="1"/>
  <c r="AE660" i="1"/>
  <c r="AK660" i="1" s="1"/>
  <c r="AH660" i="1"/>
  <c r="U659" i="1"/>
  <c r="AE659" i="1"/>
  <c r="AK659" i="1" s="1"/>
  <c r="AH659" i="1"/>
  <c r="U658" i="1"/>
  <c r="AE658" i="1"/>
  <c r="AK658" i="1" s="1"/>
  <c r="AH658" i="1"/>
  <c r="U653" i="1"/>
  <c r="U654" i="1"/>
  <c r="U655" i="1"/>
  <c r="U656" i="1"/>
  <c r="U657" i="1"/>
  <c r="AE653" i="1"/>
  <c r="AK653" i="1" s="1"/>
  <c r="AE654" i="1"/>
  <c r="AK654" i="1" s="1"/>
  <c r="AE655" i="1"/>
  <c r="AK655" i="1" s="1"/>
  <c r="AE656" i="1"/>
  <c r="AK656" i="1" s="1"/>
  <c r="AE657" i="1"/>
  <c r="AK657" i="1" s="1"/>
  <c r="AH653" i="1"/>
  <c r="AH654" i="1"/>
  <c r="AH655" i="1"/>
  <c r="AH656" i="1"/>
  <c r="AH657" i="1"/>
  <c r="U651" i="1"/>
  <c r="U652" i="1"/>
  <c r="AE651" i="1"/>
  <c r="AK651" i="1" s="1"/>
  <c r="AE652" i="1"/>
  <c r="AK652" i="1" s="1"/>
  <c r="AH651" i="1"/>
  <c r="AH652" i="1"/>
  <c r="G184" i="5"/>
  <c r="G185" i="5"/>
  <c r="O184" i="5"/>
  <c r="P184" i="5" s="1"/>
  <c r="O185" i="5"/>
  <c r="P185" i="5" s="1"/>
  <c r="S184" i="5"/>
  <c r="S185" i="5"/>
  <c r="U650" i="1"/>
  <c r="AE650" i="1"/>
  <c r="AK650" i="1" s="1"/>
  <c r="AH650" i="1"/>
  <c r="U649" i="1"/>
  <c r="AE649" i="1"/>
  <c r="AK649" i="1" s="1"/>
  <c r="AH649" i="1"/>
  <c r="U648" i="1"/>
  <c r="AE648" i="1"/>
  <c r="AK648" i="1" s="1"/>
  <c r="AH648" i="1"/>
  <c r="U647" i="1"/>
  <c r="AE647" i="1"/>
  <c r="AK647" i="1" s="1"/>
  <c r="AH647" i="1"/>
  <c r="U646" i="1"/>
  <c r="AE646" i="1"/>
  <c r="AK646" i="1" s="1"/>
  <c r="AH646" i="1"/>
  <c r="U645" i="1"/>
  <c r="AE645" i="1"/>
  <c r="AK645" i="1" s="1"/>
  <c r="AH645" i="1"/>
  <c r="U644" i="1"/>
  <c r="AE644" i="1"/>
  <c r="AK644" i="1" s="1"/>
  <c r="AH644" i="1"/>
  <c r="U643" i="1"/>
  <c r="AE643" i="1"/>
  <c r="AK643" i="1" s="1"/>
  <c r="AH643" i="1"/>
  <c r="U642" i="1"/>
  <c r="AE642" i="1"/>
  <c r="AK642" i="1" s="1"/>
  <c r="AH642" i="1"/>
  <c r="T634" i="1"/>
  <c r="AG634" i="1"/>
  <c r="G180" i="5"/>
  <c r="G181" i="5"/>
  <c r="G182" i="5"/>
  <c r="G183" i="5"/>
  <c r="O180" i="5"/>
  <c r="P180" i="5" s="1"/>
  <c r="O181" i="5"/>
  <c r="P181" i="5" s="1"/>
  <c r="O182" i="5"/>
  <c r="P182" i="5" s="1"/>
  <c r="O183" i="5"/>
  <c r="P183" i="5" s="1"/>
  <c r="S180" i="5"/>
  <c r="S181" i="5"/>
  <c r="S182" i="5"/>
  <c r="S183" i="5"/>
  <c r="U641" i="1"/>
  <c r="AE641" i="1"/>
  <c r="AK641" i="1" s="1"/>
  <c r="AH641" i="1"/>
  <c r="U639" i="1"/>
  <c r="U640" i="1"/>
  <c r="AE639" i="1"/>
  <c r="AK639" i="1" s="1"/>
  <c r="AE640" i="1"/>
  <c r="AK640" i="1" s="1"/>
  <c r="AH639" i="1"/>
  <c r="AH640" i="1"/>
  <c r="G174" i="5" l="1"/>
  <c r="G175" i="5"/>
  <c r="G176" i="5"/>
  <c r="G177" i="5"/>
  <c r="G178" i="5"/>
  <c r="G179" i="5"/>
  <c r="O174" i="5"/>
  <c r="P174" i="5" s="1"/>
  <c r="O175" i="5"/>
  <c r="P175" i="5" s="1"/>
  <c r="O176" i="5"/>
  <c r="P176" i="5" s="1"/>
  <c r="O177" i="5"/>
  <c r="P177" i="5" s="1"/>
  <c r="O178" i="5"/>
  <c r="P178" i="5" s="1"/>
  <c r="O179" i="5"/>
  <c r="P179" i="5" s="1"/>
  <c r="S174" i="5"/>
  <c r="S175" i="5"/>
  <c r="S176" i="5"/>
  <c r="S177" i="5"/>
  <c r="S178" i="5"/>
  <c r="S179" i="5"/>
  <c r="U638" i="1"/>
  <c r="AE638" i="1"/>
  <c r="AK638" i="1" s="1"/>
  <c r="AH638" i="1"/>
  <c r="U637" i="1"/>
  <c r="AE637" i="1"/>
  <c r="AK637" i="1" s="1"/>
  <c r="AH637" i="1"/>
  <c r="U636" i="1"/>
  <c r="AE636" i="1"/>
  <c r="AK636" i="1" s="1"/>
  <c r="AH636" i="1"/>
  <c r="G169" i="5"/>
  <c r="G170" i="5"/>
  <c r="G171" i="5"/>
  <c r="G172" i="5"/>
  <c r="G173" i="5"/>
  <c r="O169" i="5"/>
  <c r="P169" i="5" s="1"/>
  <c r="O170" i="5"/>
  <c r="P170" i="5" s="1"/>
  <c r="O171" i="5"/>
  <c r="P171" i="5" s="1"/>
  <c r="O172" i="5"/>
  <c r="P172" i="5" s="1"/>
  <c r="O173" i="5"/>
  <c r="P173" i="5" s="1"/>
  <c r="S169" i="5"/>
  <c r="S170" i="5"/>
  <c r="S171" i="5"/>
  <c r="S172" i="5"/>
  <c r="S173" i="5"/>
  <c r="U635" i="1"/>
  <c r="AE635" i="1"/>
  <c r="AK635" i="1" s="1"/>
  <c r="AH635" i="1"/>
  <c r="U634" i="1"/>
  <c r="AE634" i="1"/>
  <c r="AK634" i="1" s="1"/>
  <c r="AH634" i="1"/>
  <c r="U633" i="1"/>
  <c r="AE633" i="1"/>
  <c r="AK633" i="1" s="1"/>
  <c r="AH633" i="1"/>
  <c r="U632" i="1"/>
  <c r="AE632" i="1"/>
  <c r="AK632" i="1" s="1"/>
  <c r="AH632" i="1"/>
  <c r="G168" i="5"/>
  <c r="G167" i="5"/>
  <c r="G166" i="5"/>
  <c r="G165" i="5"/>
  <c r="O165" i="5"/>
  <c r="P165" i="5" s="1"/>
  <c r="O166" i="5"/>
  <c r="P166" i="5" s="1"/>
  <c r="O167" i="5"/>
  <c r="P167" i="5" s="1"/>
  <c r="O168" i="5"/>
  <c r="P168" i="5" s="1"/>
  <c r="S165" i="5"/>
  <c r="S166" i="5"/>
  <c r="S167" i="5"/>
  <c r="S168" i="5"/>
  <c r="U630" i="1"/>
  <c r="U631" i="1"/>
  <c r="AE630" i="1"/>
  <c r="AK630" i="1" s="1"/>
  <c r="AE631" i="1"/>
  <c r="AK631" i="1" s="1"/>
  <c r="AH630" i="1"/>
  <c r="AH631" i="1"/>
  <c r="T544" i="1"/>
  <c r="U544" i="1" s="1"/>
  <c r="T542" i="1"/>
  <c r="U542" i="1" s="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6" i="1"/>
  <c r="U487" i="1"/>
  <c r="U488" i="1"/>
  <c r="U489" i="1"/>
  <c r="U490" i="1"/>
  <c r="U491" i="1"/>
  <c r="U492" i="1"/>
  <c r="U493" i="1"/>
  <c r="U494" i="1"/>
  <c r="U495" i="1"/>
  <c r="U496" i="1"/>
  <c r="U497" i="1"/>
  <c r="U498"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3" i="1"/>
  <c r="U545" i="1"/>
  <c r="U546" i="1"/>
  <c r="U547" i="1"/>
  <c r="U548" i="1"/>
  <c r="U549" i="1"/>
  <c r="U550" i="1"/>
  <c r="U551" i="1"/>
  <c r="U552" i="1"/>
  <c r="U553" i="1"/>
  <c r="U554" i="1"/>
  <c r="U555" i="1"/>
  <c r="U556" i="1"/>
  <c r="U557" i="1"/>
  <c r="U558" i="1"/>
  <c r="U559" i="1"/>
  <c r="U560" i="1"/>
  <c r="U561" i="1"/>
  <c r="U562" i="1"/>
  <c r="U563" i="1"/>
  <c r="U564" i="1"/>
  <c r="U565" i="1"/>
  <c r="U566"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AE628" i="1"/>
  <c r="AK628" i="1" s="1"/>
  <c r="AE629" i="1"/>
  <c r="AK629" i="1" s="1"/>
  <c r="AH628" i="1"/>
  <c r="AH629" i="1"/>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O155" i="5"/>
  <c r="P155" i="5" s="1"/>
  <c r="O156" i="5"/>
  <c r="P156" i="5" s="1"/>
  <c r="O157" i="5"/>
  <c r="P157" i="5" s="1"/>
  <c r="O158" i="5"/>
  <c r="P158" i="5" s="1"/>
  <c r="O159" i="5"/>
  <c r="P159" i="5" s="1"/>
  <c r="O160" i="5"/>
  <c r="P160" i="5" s="1"/>
  <c r="O161" i="5"/>
  <c r="P161" i="5" s="1"/>
  <c r="O162" i="5"/>
  <c r="P162" i="5" s="1"/>
  <c r="O163" i="5"/>
  <c r="P163" i="5" s="1"/>
  <c r="O164" i="5"/>
  <c r="P164" i="5" s="1"/>
  <c r="S155" i="5"/>
  <c r="S156" i="5"/>
  <c r="S157" i="5"/>
  <c r="S158" i="5"/>
  <c r="S159" i="5"/>
  <c r="S160" i="5"/>
  <c r="S161" i="5"/>
  <c r="S162" i="5"/>
  <c r="S163" i="5"/>
  <c r="S164" i="5"/>
  <c r="B13" i="6" l="1"/>
  <c r="B14" i="6"/>
  <c r="B9" i="6"/>
  <c r="B10" i="6"/>
  <c r="B12" i="6"/>
  <c r="B11" i="6"/>
  <c r="B7" i="6"/>
  <c r="B6" i="6"/>
  <c r="B8" i="6"/>
  <c r="D74" i="6"/>
  <c r="D50" i="6"/>
  <c r="H50" i="6"/>
  <c r="G74" i="6"/>
  <c r="C74" i="6"/>
  <c r="E50" i="6"/>
  <c r="I50" i="6"/>
  <c r="F74" i="6"/>
  <c r="F50" i="6"/>
  <c r="I74" i="6"/>
  <c r="E74" i="6"/>
  <c r="C50" i="6"/>
  <c r="G50" i="6"/>
  <c r="H74" i="6"/>
  <c r="D6" i="6"/>
  <c r="C6" i="6"/>
  <c r="E10" i="6"/>
  <c r="B69" i="6"/>
  <c r="I10" i="6"/>
  <c r="C68" i="6"/>
  <c r="E46" i="6"/>
  <c r="H12" i="6"/>
  <c r="G10" i="6"/>
  <c r="G34" i="6"/>
  <c r="C10" i="6"/>
  <c r="H34" i="6"/>
  <c r="E12" i="6"/>
  <c r="B42" i="6"/>
  <c r="L78" i="6"/>
  <c r="C46" i="6"/>
  <c r="D108" i="6"/>
  <c r="F34" i="6"/>
  <c r="F8" i="6"/>
  <c r="D10" i="6"/>
  <c r="C34" i="6"/>
  <c r="G46" i="6"/>
  <c r="F12" i="6"/>
  <c r="F6" i="6"/>
  <c r="D44" i="6"/>
  <c r="B46" i="6"/>
  <c r="C108" i="6"/>
  <c r="C12" i="6"/>
  <c r="I6" i="6"/>
  <c r="H10" i="6"/>
  <c r="D34" i="6"/>
  <c r="I46" i="6"/>
  <c r="K109" i="6"/>
  <c r="E6" i="6"/>
  <c r="I12" i="6"/>
  <c r="H30" i="6"/>
  <c r="B70" i="6"/>
  <c r="H70" i="6"/>
  <c r="E9" i="6"/>
  <c r="H36" i="6"/>
  <c r="H82" i="6"/>
  <c r="C48" i="6"/>
  <c r="D66" i="6"/>
  <c r="I104" i="6"/>
  <c r="O81" i="6"/>
  <c r="C44" i="6"/>
  <c r="C104" i="6"/>
  <c r="C9" i="6"/>
  <c r="H6" i="6"/>
  <c r="G12" i="6"/>
  <c r="G8" i="6"/>
  <c r="D46" i="6"/>
  <c r="F46" i="6"/>
  <c r="H46" i="6"/>
  <c r="F9" i="6"/>
  <c r="E30" i="6"/>
  <c r="C42" i="6"/>
  <c r="J102" i="6"/>
  <c r="I109" i="6"/>
  <c r="O109" i="6"/>
  <c r="I9" i="6"/>
  <c r="D9" i="6"/>
  <c r="D8" i="6"/>
  <c r="G33" i="6"/>
  <c r="F102" i="6"/>
  <c r="K108" i="6"/>
  <c r="C8" i="6"/>
  <c r="G6" i="6"/>
  <c r="D12" i="6"/>
  <c r="F10" i="6"/>
  <c r="H9" i="6"/>
  <c r="H8" i="6"/>
  <c r="D30" i="6"/>
  <c r="G36" i="6"/>
  <c r="E34" i="6"/>
  <c r="C33" i="6"/>
  <c r="D42" i="6"/>
  <c r="E48" i="6"/>
  <c r="G42" i="6"/>
  <c r="H48" i="6"/>
  <c r="B72" i="6"/>
  <c r="H102" i="6"/>
  <c r="L106" i="6"/>
  <c r="I78" i="6"/>
  <c r="I102" i="6"/>
  <c r="N102" i="6"/>
  <c r="L108" i="6"/>
  <c r="E108" i="6"/>
  <c r="L102" i="6"/>
  <c r="O108" i="6"/>
  <c r="I108" i="6"/>
  <c r="F106" i="6"/>
  <c r="M102" i="6"/>
  <c r="M108" i="6"/>
  <c r="H108" i="6"/>
  <c r="M105" i="6"/>
  <c r="J106" i="6"/>
  <c r="E106" i="6"/>
  <c r="I105" i="6"/>
  <c r="B48" i="6"/>
  <c r="K110" i="6"/>
  <c r="G103" i="6"/>
  <c r="G109" i="6"/>
  <c r="O107" i="6"/>
  <c r="N106" i="6"/>
  <c r="I106" i="6"/>
  <c r="D106" i="6"/>
  <c r="E105" i="6"/>
  <c r="G108" i="6"/>
  <c r="M106" i="6"/>
  <c r="H106" i="6"/>
  <c r="N105" i="6"/>
  <c r="M104" i="6"/>
  <c r="D109" i="6"/>
  <c r="L105" i="6"/>
  <c r="H105" i="6"/>
  <c r="D105" i="6"/>
  <c r="L104" i="6"/>
  <c r="D103" i="6"/>
  <c r="D110" i="6"/>
  <c r="M109" i="6"/>
  <c r="C36" i="6"/>
  <c r="D33" i="6"/>
  <c r="H42" i="6"/>
  <c r="H44" i="6"/>
  <c r="G102" i="6"/>
  <c r="K102" i="6"/>
  <c r="O102" i="6"/>
  <c r="N108" i="6"/>
  <c r="J108" i="6"/>
  <c r="F108" i="6"/>
  <c r="O106" i="6"/>
  <c r="K106" i="6"/>
  <c r="G106" i="6"/>
  <c r="O105" i="6"/>
  <c r="K105" i="6"/>
  <c r="G105" i="6"/>
  <c r="O104" i="6"/>
  <c r="K104" i="6"/>
  <c r="D107" i="6"/>
  <c r="J105" i="6"/>
  <c r="F105" i="6"/>
  <c r="N104" i="6"/>
  <c r="G104" i="6"/>
  <c r="O110" i="6"/>
  <c r="G110" i="6"/>
  <c r="K107" i="6"/>
  <c r="G107" i="6"/>
  <c r="O103" i="6"/>
  <c r="K103" i="6"/>
  <c r="N110" i="6"/>
  <c r="J110" i="6"/>
  <c r="F110" i="6"/>
  <c r="N109" i="6"/>
  <c r="J109" i="6"/>
  <c r="F109" i="6"/>
  <c r="N107" i="6"/>
  <c r="J107" i="6"/>
  <c r="F107" i="6"/>
  <c r="J104" i="6"/>
  <c r="F104" i="6"/>
  <c r="N103" i="6"/>
  <c r="J103" i="6"/>
  <c r="F103" i="6"/>
  <c r="M110" i="6"/>
  <c r="I110" i="6"/>
  <c r="E110" i="6"/>
  <c r="E109" i="6"/>
  <c r="M107" i="6"/>
  <c r="I107" i="6"/>
  <c r="E107" i="6"/>
  <c r="E104" i="6"/>
  <c r="M103" i="6"/>
  <c r="I103" i="6"/>
  <c r="E103" i="6"/>
  <c r="L110" i="6"/>
  <c r="H110" i="6"/>
  <c r="L109" i="6"/>
  <c r="H109" i="6"/>
  <c r="L107" i="6"/>
  <c r="H107" i="6"/>
  <c r="H104" i="6"/>
  <c r="D104" i="6"/>
  <c r="L103" i="6"/>
  <c r="H103" i="6"/>
  <c r="G70" i="6"/>
  <c r="G9" i="6"/>
  <c r="I8" i="6"/>
  <c r="E8" i="6"/>
  <c r="F30" i="6"/>
  <c r="D36" i="6"/>
  <c r="H33" i="6"/>
  <c r="F32" i="6"/>
  <c r="C70" i="6"/>
  <c r="E32" i="6"/>
  <c r="C66" i="6"/>
  <c r="G66" i="6"/>
  <c r="G72" i="6"/>
  <c r="B80" i="6"/>
  <c r="O85" i="6"/>
  <c r="C30" i="6"/>
  <c r="G30" i="6"/>
  <c r="F36" i="6"/>
  <c r="F33" i="6"/>
  <c r="H32" i="6"/>
  <c r="D32" i="6"/>
  <c r="E42" i="6"/>
  <c r="I48" i="6"/>
  <c r="C72" i="6"/>
  <c r="F70" i="6"/>
  <c r="I68" i="6"/>
  <c r="C81" i="6"/>
  <c r="E36" i="6"/>
  <c r="E33" i="6"/>
  <c r="G32" i="6"/>
  <c r="C32" i="6"/>
  <c r="D48" i="6"/>
  <c r="F48" i="6"/>
  <c r="I70" i="6"/>
  <c r="E70" i="6"/>
  <c r="E68" i="6"/>
  <c r="D78" i="6"/>
  <c r="I85" i="6"/>
  <c r="D70" i="6"/>
  <c r="B78" i="6"/>
  <c r="F84" i="6"/>
  <c r="B66" i="6"/>
  <c r="B68" i="6"/>
  <c r="H66" i="6"/>
  <c r="H72" i="6"/>
  <c r="H68" i="6"/>
  <c r="B82" i="6"/>
  <c r="C80" i="6"/>
  <c r="E84" i="6"/>
  <c r="F80" i="6"/>
  <c r="J80" i="6"/>
  <c r="D84" i="6"/>
  <c r="E81" i="6"/>
  <c r="G84" i="6"/>
  <c r="F42" i="6"/>
  <c r="F44" i="6"/>
  <c r="G44" i="6"/>
  <c r="F66" i="6"/>
  <c r="D72" i="6"/>
  <c r="D68" i="6"/>
  <c r="C78" i="6"/>
  <c r="D80" i="6"/>
  <c r="F78" i="6"/>
  <c r="G81" i="6"/>
  <c r="G11" i="6"/>
  <c r="C102" i="6"/>
  <c r="D102" i="6"/>
  <c r="F72" i="6"/>
  <c r="F68" i="6"/>
  <c r="B84" i="6"/>
  <c r="C84" i="6"/>
  <c r="D81" i="6"/>
  <c r="E82" i="6"/>
  <c r="F82" i="6"/>
  <c r="H78" i="6"/>
  <c r="E102" i="6"/>
  <c r="B50" i="6"/>
  <c r="D49" i="6"/>
  <c r="E44" i="6"/>
  <c r="G48" i="6"/>
  <c r="I42" i="6"/>
  <c r="I44" i="6"/>
  <c r="E66" i="6"/>
  <c r="I66" i="6"/>
  <c r="I72" i="6"/>
  <c r="E72" i="6"/>
  <c r="G68" i="6"/>
  <c r="B81" i="6"/>
  <c r="C82" i="6"/>
  <c r="D82" i="6"/>
  <c r="E78" i="6"/>
  <c r="E80" i="6"/>
  <c r="F81" i="6"/>
  <c r="G82" i="6"/>
  <c r="H84" i="6"/>
  <c r="I81" i="6"/>
  <c r="K80" i="6"/>
  <c r="M79" i="6"/>
  <c r="H81" i="6"/>
  <c r="H93" i="6" s="1"/>
  <c r="J78" i="6"/>
  <c r="M82" i="6"/>
  <c r="G78" i="6"/>
  <c r="G80" i="6"/>
  <c r="H80" i="6"/>
  <c r="J84" i="6"/>
  <c r="O84" i="6"/>
  <c r="I14" i="6"/>
  <c r="H37" i="6"/>
  <c r="K85" i="6"/>
  <c r="L82" i="6"/>
  <c r="N78" i="6"/>
  <c r="C49" i="6"/>
  <c r="D69" i="6"/>
  <c r="G13" i="6"/>
  <c r="D85" i="6"/>
  <c r="G85" i="6"/>
  <c r="E69" i="6"/>
  <c r="E14" i="6"/>
  <c r="K84" i="6"/>
  <c r="L81" i="6"/>
  <c r="N84" i="6"/>
  <c r="O80" i="6"/>
  <c r="F13" i="6"/>
  <c r="H85" i="6"/>
  <c r="H13" i="6"/>
  <c r="D35" i="6"/>
  <c r="E73" i="6"/>
  <c r="L85" i="6"/>
  <c r="M83" i="6"/>
  <c r="I13" i="6"/>
  <c r="I82" i="6"/>
  <c r="J82" i="6"/>
  <c r="K81" i="6"/>
  <c r="M78" i="6"/>
  <c r="N80" i="6"/>
  <c r="B45" i="6"/>
  <c r="C7" i="6"/>
  <c r="H14" i="6"/>
  <c r="F11" i="6"/>
  <c r="E38" i="6"/>
  <c r="C35" i="6"/>
  <c r="C31" i="6"/>
  <c r="F43" i="6"/>
  <c r="F71" i="6"/>
  <c r="H69" i="6"/>
  <c r="B83" i="6"/>
  <c r="B79" i="6"/>
  <c r="F83" i="6"/>
  <c r="F79" i="6"/>
  <c r="I86" i="6"/>
  <c r="J83" i="6"/>
  <c r="J79" i="6"/>
  <c r="M86" i="6"/>
  <c r="N83" i="6"/>
  <c r="N79" i="6"/>
  <c r="B49" i="6"/>
  <c r="C107" i="6"/>
  <c r="C103" i="6"/>
  <c r="C11" i="6"/>
  <c r="G35" i="6"/>
  <c r="G31" i="6"/>
  <c r="D45" i="6"/>
  <c r="F47" i="6"/>
  <c r="H49" i="6"/>
  <c r="D73" i="6"/>
  <c r="E86" i="6"/>
  <c r="C14" i="6"/>
  <c r="G14" i="6"/>
  <c r="E13" i="6"/>
  <c r="I11" i="6"/>
  <c r="E11" i="6"/>
  <c r="I7" i="6"/>
  <c r="E7" i="6"/>
  <c r="H38" i="6"/>
  <c r="D38" i="6"/>
  <c r="F35" i="6"/>
  <c r="F31" i="6"/>
  <c r="C47" i="6"/>
  <c r="C43" i="6"/>
  <c r="E49" i="6"/>
  <c r="E45" i="6"/>
  <c r="G47" i="6"/>
  <c r="G43" i="6"/>
  <c r="I49" i="6"/>
  <c r="I45" i="6"/>
  <c r="B71" i="6"/>
  <c r="B67" i="6"/>
  <c r="G73" i="6"/>
  <c r="C73" i="6"/>
  <c r="I71" i="6"/>
  <c r="E71" i="6"/>
  <c r="G69" i="6"/>
  <c r="C69" i="6"/>
  <c r="I67" i="6"/>
  <c r="E67" i="6"/>
  <c r="B86" i="6"/>
  <c r="C83" i="6"/>
  <c r="C79" i="6"/>
  <c r="D83" i="6"/>
  <c r="D79" i="6"/>
  <c r="E85" i="6"/>
  <c r="F86" i="6"/>
  <c r="G83" i="6"/>
  <c r="G79" i="6"/>
  <c r="J86" i="6"/>
  <c r="K78" i="6"/>
  <c r="K83" i="6"/>
  <c r="K79" i="6"/>
  <c r="L84" i="6"/>
  <c r="L80" i="6"/>
  <c r="M85" i="6"/>
  <c r="M81" i="6"/>
  <c r="N86" i="6"/>
  <c r="N82" i="6"/>
  <c r="O78" i="6"/>
  <c r="O83" i="6"/>
  <c r="O79" i="6"/>
  <c r="B44" i="6"/>
  <c r="C110" i="6"/>
  <c r="C106" i="6"/>
  <c r="D14" i="6"/>
  <c r="F7" i="6"/>
  <c r="H45" i="6"/>
  <c r="H73" i="6"/>
  <c r="F67" i="6"/>
  <c r="C13" i="6"/>
  <c r="F14" i="6"/>
  <c r="D13" i="6"/>
  <c r="H11" i="6"/>
  <c r="D11" i="6"/>
  <c r="H7" i="6"/>
  <c r="D7" i="6"/>
  <c r="G38" i="6"/>
  <c r="C38" i="6"/>
  <c r="E37" i="6"/>
  <c r="E35" i="6"/>
  <c r="E31" i="6"/>
  <c r="D47" i="6"/>
  <c r="D43" i="6"/>
  <c r="F49" i="6"/>
  <c r="F45" i="6"/>
  <c r="H47" i="6"/>
  <c r="H43" i="6"/>
  <c r="B74" i="6"/>
  <c r="F73" i="6"/>
  <c r="H71" i="6"/>
  <c r="D71" i="6"/>
  <c r="F69" i="6"/>
  <c r="H67" i="6"/>
  <c r="D67" i="6"/>
  <c r="B85" i="6"/>
  <c r="C86" i="6"/>
  <c r="D86" i="6"/>
  <c r="F85" i="6"/>
  <c r="G86" i="6"/>
  <c r="H83" i="6"/>
  <c r="H79" i="6"/>
  <c r="I84" i="6"/>
  <c r="I80" i="6"/>
  <c r="J85" i="6"/>
  <c r="J81" i="6"/>
  <c r="K86" i="6"/>
  <c r="K82" i="6"/>
  <c r="L83" i="6"/>
  <c r="L79" i="6"/>
  <c r="M84" i="6"/>
  <c r="M80" i="6"/>
  <c r="N85" i="6"/>
  <c r="N81" i="6"/>
  <c r="O86" i="6"/>
  <c r="O82" i="6"/>
  <c r="B47" i="6"/>
  <c r="B43" i="6"/>
  <c r="C109" i="6"/>
  <c r="C105" i="6"/>
  <c r="G7" i="6"/>
  <c r="F38" i="6"/>
  <c r="H35" i="6"/>
  <c r="H31" i="6"/>
  <c r="D31" i="6"/>
  <c r="C45" i="6"/>
  <c r="E47" i="6"/>
  <c r="E43" i="6"/>
  <c r="G49" i="6"/>
  <c r="G45" i="6"/>
  <c r="I47" i="6"/>
  <c r="I43" i="6"/>
  <c r="B73" i="6"/>
  <c r="I73" i="6"/>
  <c r="G71" i="6"/>
  <c r="C71" i="6"/>
  <c r="I69" i="6"/>
  <c r="G67" i="6"/>
  <c r="C67" i="6"/>
  <c r="C85" i="6"/>
  <c r="E83" i="6"/>
  <c r="E79" i="6"/>
  <c r="H86" i="6"/>
  <c r="I83" i="6"/>
  <c r="I79" i="6"/>
  <c r="L86" i="6"/>
  <c r="AE627" i="1"/>
  <c r="AK627" i="1" s="1"/>
  <c r="AH627" i="1"/>
  <c r="AE625" i="1"/>
  <c r="AK625" i="1" s="1"/>
  <c r="AE626" i="1"/>
  <c r="AK626" i="1" s="1"/>
  <c r="AH625" i="1"/>
  <c r="AH626" i="1"/>
  <c r="O154" i="5"/>
  <c r="P154" i="5" s="1"/>
  <c r="S154" i="5"/>
  <c r="B15" i="6" l="1"/>
  <c r="B25" i="6" s="1"/>
  <c r="H96" i="6"/>
  <c r="E62" i="6"/>
  <c r="M94" i="6"/>
  <c r="E92" i="6"/>
  <c r="I56" i="6"/>
  <c r="F54" i="6"/>
  <c r="H54" i="6"/>
  <c r="H94" i="6"/>
  <c r="E22" i="6"/>
  <c r="D18" i="6"/>
  <c r="I22" i="6"/>
  <c r="C23" i="6"/>
  <c r="I92" i="6"/>
  <c r="K93" i="6"/>
  <c r="M92" i="6"/>
  <c r="M96" i="6"/>
  <c r="I96" i="6"/>
  <c r="O92" i="6"/>
  <c r="I62" i="6"/>
  <c r="I94" i="6"/>
  <c r="F24" i="6"/>
  <c r="G92" i="6"/>
  <c r="F58" i="6"/>
  <c r="O96" i="6"/>
  <c r="I95" i="6"/>
  <c r="F19" i="6"/>
  <c r="N98" i="6"/>
  <c r="D24" i="6"/>
  <c r="H24" i="6"/>
  <c r="H62" i="6"/>
  <c r="C58" i="6"/>
  <c r="F22" i="6"/>
  <c r="C18" i="6"/>
  <c r="G22" i="6"/>
  <c r="C22" i="6"/>
  <c r="H22" i="6"/>
  <c r="D22" i="6"/>
  <c r="L90" i="6"/>
  <c r="E58" i="6"/>
  <c r="G58" i="6"/>
  <c r="H21" i="6"/>
  <c r="I21" i="6"/>
  <c r="H18" i="6"/>
  <c r="E24" i="6"/>
  <c r="D58" i="6"/>
  <c r="I20" i="6"/>
  <c r="H20" i="6"/>
  <c r="H58" i="6"/>
  <c r="K92" i="6"/>
  <c r="F18" i="6"/>
  <c r="G18" i="6"/>
  <c r="C20" i="6"/>
  <c r="C54" i="6"/>
  <c r="G54" i="6"/>
  <c r="E54" i="6"/>
  <c r="I54" i="6"/>
  <c r="E21" i="6"/>
  <c r="I18" i="6"/>
  <c r="F20" i="6"/>
  <c r="I23" i="6"/>
  <c r="D54" i="6"/>
  <c r="E18" i="6"/>
  <c r="F62" i="6"/>
  <c r="O93" i="6"/>
  <c r="G21" i="6"/>
  <c r="H92" i="6"/>
  <c r="D20" i="6"/>
  <c r="F21" i="6"/>
  <c r="G20" i="6"/>
  <c r="C21" i="6"/>
  <c r="I58" i="6"/>
  <c r="G24" i="6"/>
  <c r="C24" i="6"/>
  <c r="I24" i="6"/>
  <c r="N92" i="6"/>
  <c r="C62" i="6"/>
  <c r="D62" i="6"/>
  <c r="J92" i="6"/>
  <c r="E60" i="6"/>
  <c r="D21" i="6"/>
  <c r="N94" i="6"/>
  <c r="K90" i="6"/>
  <c r="C61" i="6"/>
  <c r="J94" i="6"/>
  <c r="D92" i="6"/>
  <c r="E20" i="6"/>
  <c r="I111" i="6"/>
  <c r="F92" i="6"/>
  <c r="F57" i="6"/>
  <c r="F94" i="6"/>
  <c r="C92" i="6"/>
  <c r="G62" i="6"/>
  <c r="F25" i="6"/>
  <c r="E15" i="6"/>
  <c r="M98" i="6"/>
  <c r="C19" i="6"/>
  <c r="E26" i="6"/>
  <c r="L94" i="6"/>
  <c r="C96" i="6"/>
  <c r="D111" i="6"/>
  <c r="C94" i="6"/>
  <c r="L111" i="6"/>
  <c r="G111" i="6"/>
  <c r="F111" i="6"/>
  <c r="J111" i="6"/>
  <c r="N111" i="6"/>
  <c r="K111" i="6"/>
  <c r="O94" i="6"/>
  <c r="K94" i="6"/>
  <c r="H111" i="6"/>
  <c r="M111" i="6"/>
  <c r="O111" i="6"/>
  <c r="N93" i="6"/>
  <c r="J93" i="6"/>
  <c r="G96" i="6"/>
  <c r="F93" i="6"/>
  <c r="E93" i="6"/>
  <c r="G25" i="6"/>
  <c r="K96" i="6"/>
  <c r="H19" i="6"/>
  <c r="M93" i="6"/>
  <c r="I98" i="6"/>
  <c r="I93" i="6"/>
  <c r="C93" i="6"/>
  <c r="E111" i="6"/>
  <c r="D93" i="6"/>
  <c r="F95" i="6"/>
  <c r="E57" i="6"/>
  <c r="L93" i="6"/>
  <c r="J96" i="6"/>
  <c r="G94" i="6"/>
  <c r="D94" i="6"/>
  <c r="E94" i="6"/>
  <c r="D96" i="6"/>
  <c r="E96" i="6"/>
  <c r="F96" i="6"/>
  <c r="D90" i="6"/>
  <c r="O97" i="6"/>
  <c r="G19" i="6"/>
  <c r="G93" i="6"/>
  <c r="L96" i="6"/>
  <c r="C90" i="6"/>
  <c r="J98" i="6"/>
  <c r="L98" i="6"/>
  <c r="O98" i="6"/>
  <c r="K98" i="6"/>
  <c r="F90" i="6"/>
  <c r="E95" i="6"/>
  <c r="O95" i="6"/>
  <c r="M90" i="6"/>
  <c r="N90" i="6"/>
  <c r="J90" i="6"/>
  <c r="G90" i="6"/>
  <c r="H90" i="6"/>
  <c r="E98" i="6"/>
  <c r="I90" i="6"/>
  <c r="E90" i="6"/>
  <c r="L95" i="6"/>
  <c r="H95" i="6"/>
  <c r="O90" i="6"/>
  <c r="J91" i="6"/>
  <c r="D61" i="6"/>
  <c r="G23" i="6"/>
  <c r="D57" i="6"/>
  <c r="N96" i="6"/>
  <c r="E91" i="6"/>
  <c r="G57" i="6"/>
  <c r="G61" i="6"/>
  <c r="H91" i="6"/>
  <c r="H57" i="6"/>
  <c r="C98" i="6"/>
  <c r="I61" i="6"/>
  <c r="E61" i="6"/>
  <c r="N95" i="6"/>
  <c r="C95" i="6"/>
  <c r="I15" i="6"/>
  <c r="F61" i="6"/>
  <c r="I57" i="6"/>
  <c r="D23" i="6"/>
  <c r="E75" i="6"/>
  <c r="C57" i="6"/>
  <c r="K95" i="6"/>
  <c r="G95" i="6"/>
  <c r="C51" i="6"/>
  <c r="H98" i="6"/>
  <c r="G98" i="6"/>
  <c r="D98" i="6"/>
  <c r="D75" i="6"/>
  <c r="H59" i="6"/>
  <c r="D51" i="6"/>
  <c r="I25" i="6"/>
  <c r="M97" i="6"/>
  <c r="D95" i="6"/>
  <c r="G51" i="6"/>
  <c r="C55" i="6"/>
  <c r="E23" i="6"/>
  <c r="F26" i="6"/>
  <c r="I19" i="6"/>
  <c r="M95" i="6"/>
  <c r="H25" i="6"/>
  <c r="E39" i="6"/>
  <c r="C75" i="6"/>
  <c r="E51" i="6"/>
  <c r="H75" i="6"/>
  <c r="H15" i="6"/>
  <c r="F75" i="6"/>
  <c r="D26" i="6"/>
  <c r="L87" i="6"/>
  <c r="F98" i="6"/>
  <c r="L91" i="6"/>
  <c r="I75" i="6"/>
  <c r="B75" i="6"/>
  <c r="N97" i="6"/>
  <c r="J97" i="6"/>
  <c r="H51" i="6"/>
  <c r="G15" i="6"/>
  <c r="G26" i="6"/>
  <c r="I26" i="6"/>
  <c r="O87" i="6"/>
  <c r="E97" i="6"/>
  <c r="K97" i="6"/>
  <c r="I51" i="6"/>
  <c r="H39" i="6"/>
  <c r="G75" i="6"/>
  <c r="N91" i="6"/>
  <c r="J95" i="6"/>
  <c r="F51" i="6"/>
  <c r="F15" i="6"/>
  <c r="D25" i="6"/>
  <c r="E19" i="6"/>
  <c r="E25" i="6"/>
  <c r="N87" i="6"/>
  <c r="D97" i="6"/>
  <c r="L97" i="6"/>
  <c r="G97" i="6"/>
  <c r="C25" i="6"/>
  <c r="D19" i="6"/>
  <c r="I97" i="6"/>
  <c r="F97" i="6"/>
  <c r="B51" i="6"/>
  <c r="C111" i="6"/>
  <c r="H23" i="6"/>
  <c r="H61" i="6"/>
  <c r="D87" i="6"/>
  <c r="E87" i="6"/>
  <c r="M91" i="6"/>
  <c r="L92" i="6"/>
  <c r="D91" i="6"/>
  <c r="F91" i="6"/>
  <c r="H26" i="6"/>
  <c r="C26" i="6"/>
  <c r="F23" i="6"/>
  <c r="M87" i="6"/>
  <c r="F87" i="6"/>
  <c r="C97" i="6"/>
  <c r="H97" i="6"/>
  <c r="H87" i="6"/>
  <c r="O91" i="6"/>
  <c r="K91" i="6"/>
  <c r="G91" i="6"/>
  <c r="C91" i="6"/>
  <c r="I91" i="6"/>
  <c r="I60" i="6"/>
  <c r="D59" i="6"/>
  <c r="H60" i="6"/>
  <c r="F60" i="6"/>
  <c r="E56" i="6"/>
  <c r="F59" i="6"/>
  <c r="C56" i="6"/>
  <c r="G56" i="6"/>
  <c r="I59" i="6"/>
  <c r="E59" i="6"/>
  <c r="G59" i="6"/>
  <c r="F55" i="6"/>
  <c r="I55" i="6"/>
  <c r="E55" i="6"/>
  <c r="G55" i="6"/>
  <c r="C59" i="6"/>
  <c r="C60" i="6"/>
  <c r="G60" i="6"/>
  <c r="F56" i="6"/>
  <c r="H56" i="6"/>
  <c r="D60" i="6"/>
  <c r="H55" i="6"/>
  <c r="D55" i="6"/>
  <c r="D56" i="6"/>
  <c r="O153" i="5"/>
  <c r="P153" i="5" s="1"/>
  <c r="S153" i="5"/>
  <c r="O152" i="5"/>
  <c r="P152" i="5" s="1"/>
  <c r="S152" i="5"/>
  <c r="O151" i="5"/>
  <c r="P151" i="5" s="1"/>
  <c r="S151" i="5"/>
  <c r="AE624" i="1"/>
  <c r="AK624" i="1" s="1"/>
  <c r="AH624" i="1"/>
  <c r="AE623" i="1"/>
  <c r="AK623" i="1" s="1"/>
  <c r="AH623" i="1"/>
  <c r="AE622" i="1"/>
  <c r="AK622" i="1" s="1"/>
  <c r="AH622" i="1"/>
  <c r="O150" i="5"/>
  <c r="P150" i="5" s="1"/>
  <c r="S150" i="5"/>
  <c r="AE621" i="1"/>
  <c r="AK621" i="1" s="1"/>
  <c r="AH621" i="1"/>
  <c r="AE620" i="1"/>
  <c r="AK620" i="1" s="1"/>
  <c r="AH620" i="1"/>
  <c r="AE619" i="1"/>
  <c r="AK619" i="1" s="1"/>
  <c r="AH619" i="1"/>
  <c r="AE618" i="1"/>
  <c r="AK618" i="1" s="1"/>
  <c r="AH618" i="1"/>
  <c r="AE617" i="1"/>
  <c r="AK617" i="1" s="1"/>
  <c r="AH617" i="1"/>
  <c r="AE616" i="1"/>
  <c r="AK616" i="1" s="1"/>
  <c r="AH616" i="1"/>
  <c r="AE615" i="1"/>
  <c r="AK615" i="1" s="1"/>
  <c r="AH615" i="1"/>
  <c r="AE614" i="1"/>
  <c r="AK614" i="1" s="1"/>
  <c r="AH614" i="1"/>
  <c r="AE613" i="1"/>
  <c r="AK613" i="1" s="1"/>
  <c r="AH613" i="1"/>
  <c r="AE612" i="1"/>
  <c r="AK612" i="1" s="1"/>
  <c r="AH612" i="1"/>
  <c r="AE611" i="1"/>
  <c r="AK611" i="1" s="1"/>
  <c r="AH611" i="1"/>
  <c r="AE610" i="1"/>
  <c r="AK610" i="1" s="1"/>
  <c r="AH610" i="1"/>
  <c r="AE609" i="1"/>
  <c r="AK609" i="1" s="1"/>
  <c r="AH609" i="1"/>
  <c r="AE608" i="1"/>
  <c r="AK608" i="1" s="1"/>
  <c r="AH608" i="1"/>
  <c r="O149" i="5"/>
  <c r="P149" i="5" s="1"/>
  <c r="S149" i="5"/>
  <c r="O148" i="5"/>
  <c r="P148" i="5" s="1"/>
  <c r="S148" i="5"/>
  <c r="O147" i="5"/>
  <c r="P147" i="5" s="1"/>
  <c r="S147" i="5"/>
  <c r="AE607" i="1"/>
  <c r="AK607" i="1" s="1"/>
  <c r="AH607" i="1"/>
  <c r="AE606" i="1"/>
  <c r="AK606" i="1" s="1"/>
  <c r="AH606" i="1"/>
  <c r="AE605" i="1"/>
  <c r="AK605" i="1" s="1"/>
  <c r="AH605" i="1"/>
  <c r="AE604" i="1"/>
  <c r="AK604" i="1" s="1"/>
  <c r="AH604" i="1"/>
  <c r="AE602" i="1"/>
  <c r="AK602" i="1" s="1"/>
  <c r="AH602" i="1"/>
  <c r="AE601" i="1"/>
  <c r="AK601" i="1" s="1"/>
  <c r="AH601" i="1"/>
  <c r="AE600" i="1"/>
  <c r="AK600" i="1" s="1"/>
  <c r="AH600" i="1"/>
  <c r="O143" i="5"/>
  <c r="P143" i="5" s="1"/>
  <c r="O144" i="5"/>
  <c r="P144" i="5" s="1"/>
  <c r="O145" i="5"/>
  <c r="P145" i="5" s="1"/>
  <c r="O146" i="5"/>
  <c r="P146" i="5" s="1"/>
  <c r="S143" i="5"/>
  <c r="S144" i="5"/>
  <c r="S145" i="5"/>
  <c r="S146" i="5"/>
  <c r="AE582" i="1"/>
  <c r="AK582" i="1" s="1"/>
  <c r="AH582" i="1"/>
  <c r="O136" i="5"/>
  <c r="P136" i="5" s="1"/>
  <c r="O137" i="5"/>
  <c r="P137" i="5" s="1"/>
  <c r="O138" i="5"/>
  <c r="P138" i="5" s="1"/>
  <c r="O139" i="5"/>
  <c r="P139" i="5" s="1"/>
  <c r="O140" i="5"/>
  <c r="P140" i="5" s="1"/>
  <c r="O141" i="5"/>
  <c r="P141" i="5" s="1"/>
  <c r="O142" i="5"/>
  <c r="P142" i="5" s="1"/>
  <c r="S136" i="5"/>
  <c r="S137" i="5"/>
  <c r="S138" i="5"/>
  <c r="S139" i="5"/>
  <c r="S140" i="5"/>
  <c r="S141" i="5"/>
  <c r="S142" i="5"/>
  <c r="B24" i="6" l="1"/>
  <c r="B19" i="6"/>
  <c r="B26" i="6"/>
  <c r="B20" i="6"/>
  <c r="B22" i="6"/>
  <c r="B18" i="6"/>
  <c r="B23" i="6"/>
  <c r="B21" i="6"/>
  <c r="B58" i="6"/>
  <c r="B57" i="6"/>
  <c r="B61" i="6"/>
  <c r="B54" i="6"/>
  <c r="B62" i="6"/>
  <c r="C63" i="6"/>
  <c r="B59" i="6"/>
  <c r="B60" i="6"/>
  <c r="E63" i="6"/>
  <c r="B56" i="6"/>
  <c r="G63" i="6"/>
  <c r="B55" i="6"/>
  <c r="D63" i="6"/>
  <c r="H63" i="6"/>
  <c r="F63" i="6"/>
  <c r="I63" i="6"/>
  <c r="AE599" i="1"/>
  <c r="AK599" i="1" s="1"/>
  <c r="AH599" i="1"/>
  <c r="AE598" i="1"/>
  <c r="AK598" i="1" s="1"/>
  <c r="AH598" i="1"/>
  <c r="AE597" i="1"/>
  <c r="AK597" i="1" s="1"/>
  <c r="AH597" i="1"/>
  <c r="AE595" i="1"/>
  <c r="AK595" i="1" s="1"/>
  <c r="AE596" i="1"/>
  <c r="AK596" i="1" s="1"/>
  <c r="AH595" i="1"/>
  <c r="AH596" i="1"/>
  <c r="AE594" i="1"/>
  <c r="AK594" i="1" s="1"/>
  <c r="AH594" i="1"/>
  <c r="AE593" i="1"/>
  <c r="AK593" i="1" s="1"/>
  <c r="AH593" i="1"/>
  <c r="AE592" i="1"/>
  <c r="AK592" i="1" s="1"/>
  <c r="AH592" i="1"/>
  <c r="AE591" i="1"/>
  <c r="AK591" i="1" s="1"/>
  <c r="AH591" i="1"/>
  <c r="AE590" i="1"/>
  <c r="AK590" i="1" s="1"/>
  <c r="AH590" i="1"/>
  <c r="AE589" i="1"/>
  <c r="AK589" i="1" s="1"/>
  <c r="AH589" i="1"/>
  <c r="AE489" i="1"/>
  <c r="AK489" i="1" s="1"/>
  <c r="AH489" i="1"/>
  <c r="AE588" i="1"/>
  <c r="AK588" i="1" s="1"/>
  <c r="AH588" i="1"/>
  <c r="O132" i="5"/>
  <c r="P132" i="5" s="1"/>
  <c r="O133" i="5"/>
  <c r="P133" i="5" s="1"/>
  <c r="O134" i="5"/>
  <c r="P134" i="5" s="1"/>
  <c r="O135" i="5"/>
  <c r="P135" i="5" s="1"/>
  <c r="S132" i="5"/>
  <c r="S133" i="5"/>
  <c r="S134" i="5"/>
  <c r="S135" i="5"/>
  <c r="B63" i="6" l="1"/>
  <c r="O131" i="5"/>
  <c r="P131" i="5" s="1"/>
  <c r="S131" i="5"/>
  <c r="O128" i="5"/>
  <c r="P128" i="5" s="1"/>
  <c r="O129" i="5"/>
  <c r="P129" i="5" s="1"/>
  <c r="O130" i="5"/>
  <c r="P130" i="5" s="1"/>
  <c r="S128" i="5"/>
  <c r="S129" i="5"/>
  <c r="S130" i="5"/>
  <c r="AE587" i="1"/>
  <c r="AK587" i="1" s="1"/>
  <c r="AH587" i="1"/>
  <c r="AE586" i="1"/>
  <c r="AK586" i="1" s="1"/>
  <c r="AH586" i="1"/>
  <c r="AE585" i="1"/>
  <c r="AK585" i="1" s="1"/>
  <c r="AH585" i="1"/>
  <c r="AE584" i="1"/>
  <c r="AK584" i="1" s="1"/>
  <c r="AH584" i="1"/>
  <c r="AE583" i="1"/>
  <c r="AK583" i="1" s="1"/>
  <c r="AH583" i="1"/>
  <c r="AH581" i="1"/>
  <c r="AE581" i="1"/>
  <c r="AK581" i="1" s="1"/>
  <c r="AH580" i="1"/>
  <c r="AE580" i="1"/>
  <c r="AK580" i="1" s="1"/>
  <c r="AH579" i="1"/>
  <c r="AE579" i="1"/>
  <c r="AK579" i="1" s="1"/>
  <c r="O115" i="5"/>
  <c r="P115" i="5" s="1"/>
  <c r="O116" i="5"/>
  <c r="P116" i="5" s="1"/>
  <c r="O117" i="5"/>
  <c r="P117" i="5" s="1"/>
  <c r="O118" i="5"/>
  <c r="P118" i="5" s="1"/>
  <c r="O119" i="5"/>
  <c r="P119" i="5" s="1"/>
  <c r="O120" i="5"/>
  <c r="P120" i="5" s="1"/>
  <c r="O121" i="5"/>
  <c r="P121" i="5" s="1"/>
  <c r="O122" i="5"/>
  <c r="P122" i="5" s="1"/>
  <c r="O123" i="5"/>
  <c r="P123" i="5" s="1"/>
  <c r="O124" i="5"/>
  <c r="P124" i="5" s="1"/>
  <c r="O125" i="5"/>
  <c r="P125" i="5" s="1"/>
  <c r="O126" i="5"/>
  <c r="P126" i="5" s="1"/>
  <c r="O127" i="5"/>
  <c r="P127" i="5" s="1"/>
  <c r="S115" i="5"/>
  <c r="S116" i="5"/>
  <c r="S117" i="5"/>
  <c r="S118" i="5"/>
  <c r="S119" i="5"/>
  <c r="S120" i="5"/>
  <c r="S121" i="5"/>
  <c r="S122" i="5"/>
  <c r="S123" i="5"/>
  <c r="S124" i="5"/>
  <c r="S125" i="5"/>
  <c r="S126" i="5"/>
  <c r="S127" i="5"/>
  <c r="AE578" i="1"/>
  <c r="AK578" i="1" s="1"/>
  <c r="AH578" i="1"/>
  <c r="O3" i="5"/>
  <c r="I87" i="6" l="1"/>
  <c r="K87" i="6"/>
  <c r="G87" i="6"/>
  <c r="J87" i="6"/>
  <c r="C87" i="6"/>
  <c r="B87" i="6"/>
  <c r="C15" i="6"/>
  <c r="D15" i="6"/>
  <c r="J99" i="6" l="1"/>
  <c r="G99" i="6"/>
  <c r="K99" i="6"/>
  <c r="C99" i="6"/>
  <c r="L99" i="6"/>
  <c r="D99" i="6"/>
  <c r="H99" i="6"/>
  <c r="E99" i="6"/>
  <c r="O99" i="6"/>
  <c r="M99" i="6"/>
  <c r="N99" i="6"/>
  <c r="F99" i="6"/>
  <c r="I99" i="6"/>
  <c r="D27" i="6"/>
  <c r="C27" i="6"/>
  <c r="I27" i="6"/>
  <c r="F27" i="6"/>
  <c r="G27" i="6"/>
  <c r="E27" i="6"/>
  <c r="H27" i="6"/>
  <c r="O4" i="5" l="1"/>
  <c r="O5" i="5"/>
  <c r="O6" i="5"/>
  <c r="O7" i="5"/>
  <c r="P7" i="5" s="1"/>
  <c r="O8" i="5"/>
  <c r="P8" i="5" s="1"/>
  <c r="O9" i="5"/>
  <c r="P9" i="5" s="1"/>
  <c r="O10" i="5"/>
  <c r="P10" i="5" s="1"/>
  <c r="O11" i="5"/>
  <c r="P11" i="5" s="1"/>
  <c r="O12" i="5"/>
  <c r="P12" i="5" s="1"/>
  <c r="O13" i="5"/>
  <c r="P13" i="5" s="1"/>
  <c r="O14" i="5"/>
  <c r="P14" i="5" s="1"/>
  <c r="O15" i="5"/>
  <c r="P15" i="5" s="1"/>
  <c r="O16" i="5"/>
  <c r="P16" i="5" s="1"/>
  <c r="O17" i="5"/>
  <c r="P17" i="5" s="1"/>
  <c r="O18" i="5"/>
  <c r="P18" i="5" s="1"/>
  <c r="O19" i="5"/>
  <c r="P19" i="5" s="1"/>
  <c r="O20" i="5"/>
  <c r="P20" i="5" s="1"/>
  <c r="O21" i="5"/>
  <c r="P21" i="5" s="1"/>
  <c r="O22" i="5"/>
  <c r="P22" i="5" s="1"/>
  <c r="O23" i="5"/>
  <c r="P23" i="5" s="1"/>
  <c r="O24" i="5"/>
  <c r="P24" i="5" s="1"/>
  <c r="O25" i="5"/>
  <c r="P25" i="5" s="1"/>
  <c r="O26" i="5"/>
  <c r="P26" i="5" s="1"/>
  <c r="O27" i="5"/>
  <c r="P27" i="5" s="1"/>
  <c r="O28" i="5"/>
  <c r="P28" i="5" s="1"/>
  <c r="O29" i="5"/>
  <c r="P29" i="5" s="1"/>
  <c r="O30" i="5"/>
  <c r="P30" i="5" s="1"/>
  <c r="O31" i="5"/>
  <c r="P31" i="5" s="1"/>
  <c r="O32" i="5"/>
  <c r="P32" i="5" s="1"/>
  <c r="O33" i="5"/>
  <c r="P33" i="5" s="1"/>
  <c r="O34" i="5"/>
  <c r="P34" i="5" s="1"/>
  <c r="O35" i="5"/>
  <c r="P35" i="5" s="1"/>
  <c r="O36" i="5"/>
  <c r="P36" i="5" s="1"/>
  <c r="O37" i="5"/>
  <c r="P37" i="5" s="1"/>
  <c r="O38" i="5"/>
  <c r="P38" i="5" s="1"/>
  <c r="O39" i="5"/>
  <c r="P39" i="5" s="1"/>
  <c r="O40" i="5"/>
  <c r="P40" i="5" s="1"/>
  <c r="O41" i="5"/>
  <c r="P41" i="5" s="1"/>
  <c r="O42" i="5"/>
  <c r="P42" i="5" s="1"/>
  <c r="O43" i="5"/>
  <c r="P43" i="5" s="1"/>
  <c r="O44" i="5"/>
  <c r="P44" i="5" s="1"/>
  <c r="O45" i="5"/>
  <c r="P45" i="5" s="1"/>
  <c r="O46" i="5"/>
  <c r="P46" i="5" s="1"/>
  <c r="O47" i="5"/>
  <c r="P47" i="5" s="1"/>
  <c r="O48" i="5"/>
  <c r="P48" i="5" s="1"/>
  <c r="O49" i="5"/>
  <c r="P49" i="5" s="1"/>
  <c r="O50" i="5"/>
  <c r="P50" i="5" s="1"/>
  <c r="O51" i="5"/>
  <c r="P51" i="5" s="1"/>
  <c r="O52" i="5"/>
  <c r="P52" i="5" s="1"/>
  <c r="O53" i="5"/>
  <c r="P53" i="5" s="1"/>
  <c r="O54" i="5"/>
  <c r="P54" i="5" s="1"/>
  <c r="O55" i="5"/>
  <c r="P55" i="5" s="1"/>
  <c r="O56" i="5"/>
  <c r="P56" i="5" s="1"/>
  <c r="O57" i="5"/>
  <c r="P57" i="5" s="1"/>
  <c r="O58" i="5"/>
  <c r="P58" i="5" s="1"/>
  <c r="O59" i="5"/>
  <c r="P59" i="5" s="1"/>
  <c r="O60" i="5"/>
  <c r="P60" i="5" s="1"/>
  <c r="O61" i="5"/>
  <c r="P61" i="5" s="1"/>
  <c r="O62" i="5"/>
  <c r="P62" i="5" s="1"/>
  <c r="O63" i="5"/>
  <c r="P63" i="5" s="1"/>
  <c r="O64" i="5"/>
  <c r="P64" i="5" s="1"/>
  <c r="O65" i="5"/>
  <c r="P65" i="5" s="1"/>
  <c r="O66" i="5"/>
  <c r="P66" i="5" s="1"/>
  <c r="O67" i="5"/>
  <c r="P67" i="5" s="1"/>
  <c r="O68" i="5"/>
  <c r="P68" i="5" s="1"/>
  <c r="O69" i="5"/>
  <c r="P69" i="5" s="1"/>
  <c r="O70" i="5"/>
  <c r="P70" i="5" s="1"/>
  <c r="O71" i="5"/>
  <c r="P71" i="5" s="1"/>
  <c r="O72" i="5"/>
  <c r="P72" i="5" s="1"/>
  <c r="O73" i="5"/>
  <c r="P73" i="5" s="1"/>
  <c r="O74" i="5"/>
  <c r="P74" i="5" s="1"/>
  <c r="O75" i="5"/>
  <c r="P75" i="5" s="1"/>
  <c r="O76" i="5"/>
  <c r="P76" i="5" s="1"/>
  <c r="O77" i="5"/>
  <c r="P77" i="5" s="1"/>
  <c r="O78" i="5"/>
  <c r="P78" i="5" s="1"/>
  <c r="O79" i="5"/>
  <c r="P79" i="5" s="1"/>
  <c r="O80" i="5"/>
  <c r="P80" i="5" s="1"/>
  <c r="O81" i="5"/>
  <c r="P81" i="5" s="1"/>
  <c r="O82" i="5"/>
  <c r="P82" i="5" s="1"/>
  <c r="O83" i="5"/>
  <c r="P83" i="5" s="1"/>
  <c r="O84" i="5"/>
  <c r="P84" i="5" s="1"/>
  <c r="O85" i="5"/>
  <c r="P85" i="5" s="1"/>
  <c r="O86" i="5"/>
  <c r="P86" i="5" s="1"/>
  <c r="O87" i="5"/>
  <c r="P87" i="5" s="1"/>
  <c r="O88" i="5"/>
  <c r="P88" i="5" s="1"/>
  <c r="O89" i="5"/>
  <c r="P89" i="5" s="1"/>
  <c r="O90" i="5"/>
  <c r="P90" i="5" s="1"/>
  <c r="O91" i="5"/>
  <c r="P91" i="5" s="1"/>
  <c r="O92" i="5"/>
  <c r="P92" i="5" s="1"/>
  <c r="O93" i="5"/>
  <c r="P93" i="5" s="1"/>
  <c r="O94" i="5"/>
  <c r="P94" i="5" s="1"/>
  <c r="O95" i="5"/>
  <c r="P95" i="5" s="1"/>
  <c r="O96" i="5"/>
  <c r="P96" i="5" s="1"/>
  <c r="O97" i="5"/>
  <c r="P97" i="5" s="1"/>
  <c r="O98" i="5"/>
  <c r="P98" i="5" s="1"/>
  <c r="O99" i="5"/>
  <c r="P99" i="5" s="1"/>
  <c r="O100" i="5"/>
  <c r="P100" i="5" s="1"/>
  <c r="O101" i="5"/>
  <c r="P101" i="5" s="1"/>
  <c r="O102" i="5"/>
  <c r="P102" i="5" s="1"/>
  <c r="O103" i="5"/>
  <c r="P103" i="5" s="1"/>
  <c r="O104" i="5"/>
  <c r="P104" i="5" s="1"/>
  <c r="O105" i="5"/>
  <c r="P105" i="5" s="1"/>
  <c r="O106" i="5"/>
  <c r="P106" i="5" s="1"/>
  <c r="O107" i="5"/>
  <c r="P107" i="5" s="1"/>
  <c r="O108" i="5"/>
  <c r="P108" i="5" s="1"/>
  <c r="O109" i="5"/>
  <c r="P109" i="5" s="1"/>
  <c r="O110" i="5"/>
  <c r="P110" i="5" s="1"/>
  <c r="O111" i="5"/>
  <c r="P111" i="5" s="1"/>
  <c r="O112" i="5"/>
  <c r="P112" i="5" s="1"/>
  <c r="O113" i="5"/>
  <c r="P113" i="5" s="1"/>
  <c r="O114" i="5"/>
  <c r="P114" i="5" s="1"/>
  <c r="P3" i="5"/>
  <c r="P4" i="5"/>
  <c r="P5" i="5"/>
  <c r="P6" i="5"/>
  <c r="S4" i="5"/>
  <c r="S5" i="5"/>
  <c r="S6" i="5"/>
  <c r="S7" i="5"/>
  <c r="S8" i="5"/>
  <c r="S9" i="5"/>
  <c r="S10" i="5"/>
  <c r="S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S40" i="5"/>
  <c r="S41" i="5"/>
  <c r="S42" i="5"/>
  <c r="S43" i="5"/>
  <c r="S44" i="5"/>
  <c r="S45" i="5"/>
  <c r="S46" i="5"/>
  <c r="S47" i="5"/>
  <c r="S48" i="5"/>
  <c r="S49" i="5"/>
  <c r="S50" i="5"/>
  <c r="S51" i="5"/>
  <c r="S52" i="5"/>
  <c r="S53" i="5"/>
  <c r="S54" i="5"/>
  <c r="S55" i="5"/>
  <c r="S56" i="5"/>
  <c r="S57" i="5"/>
  <c r="S58" i="5"/>
  <c r="S59" i="5"/>
  <c r="S60" i="5"/>
  <c r="S61" i="5"/>
  <c r="S62" i="5"/>
  <c r="S63" i="5"/>
  <c r="S64" i="5"/>
  <c r="S65" i="5"/>
  <c r="S66" i="5"/>
  <c r="S67" i="5"/>
  <c r="S68" i="5"/>
  <c r="S69" i="5"/>
  <c r="S70" i="5"/>
  <c r="S71" i="5"/>
  <c r="S72" i="5"/>
  <c r="S73" i="5"/>
  <c r="S74" i="5"/>
  <c r="S75" i="5"/>
  <c r="S76" i="5"/>
  <c r="S77" i="5"/>
  <c r="S78" i="5"/>
  <c r="S79" i="5"/>
  <c r="S80" i="5"/>
  <c r="S81" i="5"/>
  <c r="S82" i="5"/>
  <c r="S83" i="5"/>
  <c r="S84" i="5"/>
  <c r="S85" i="5"/>
  <c r="S86" i="5"/>
  <c r="S87" i="5"/>
  <c r="S88" i="5"/>
  <c r="S89" i="5"/>
  <c r="S90" i="5"/>
  <c r="S91" i="5"/>
  <c r="S92" i="5"/>
  <c r="S93" i="5"/>
  <c r="S94" i="5"/>
  <c r="S95" i="5"/>
  <c r="S96" i="5"/>
  <c r="S97" i="5"/>
  <c r="S98" i="5"/>
  <c r="S99" i="5"/>
  <c r="S100" i="5"/>
  <c r="S101" i="5"/>
  <c r="S102" i="5"/>
  <c r="S103" i="5"/>
  <c r="S104" i="5"/>
  <c r="S105" i="5"/>
  <c r="S106" i="5"/>
  <c r="S107" i="5"/>
  <c r="S108" i="5"/>
  <c r="S109" i="5"/>
  <c r="S110" i="5"/>
  <c r="S111" i="5"/>
  <c r="S112" i="5"/>
  <c r="S113" i="5"/>
  <c r="S114" i="5"/>
  <c r="S3" i="5"/>
  <c r="AE14" i="1"/>
  <c r="AE3" i="1" l="1"/>
  <c r="AK3" i="1" s="1"/>
  <c r="AE4" i="1"/>
  <c r="AK4" i="1" s="1"/>
  <c r="AE5" i="1"/>
  <c r="AK5" i="1" s="1"/>
  <c r="AE6" i="1"/>
  <c r="AK6" i="1" s="1"/>
  <c r="AE7" i="1"/>
  <c r="AK7" i="1" s="1"/>
  <c r="AE8" i="1"/>
  <c r="AK8" i="1" s="1"/>
  <c r="AE9" i="1"/>
  <c r="AK9" i="1" s="1"/>
  <c r="AE10" i="1"/>
  <c r="AK10" i="1" s="1"/>
  <c r="AE11" i="1"/>
  <c r="AK11" i="1" s="1"/>
  <c r="AE12" i="1"/>
  <c r="AK12" i="1" s="1"/>
  <c r="AE13" i="1"/>
  <c r="AK13" i="1" s="1"/>
  <c r="AK14" i="1"/>
  <c r="AE15" i="1"/>
  <c r="AK15" i="1" s="1"/>
  <c r="AE16" i="1"/>
  <c r="AK16" i="1" s="1"/>
  <c r="AE17" i="1"/>
  <c r="AK17" i="1" s="1"/>
  <c r="AE18" i="1"/>
  <c r="AK18" i="1" s="1"/>
  <c r="AE19" i="1"/>
  <c r="AK19" i="1" s="1"/>
  <c r="AE20" i="1"/>
  <c r="AK20" i="1" s="1"/>
  <c r="AE21" i="1"/>
  <c r="AK21" i="1" s="1"/>
  <c r="AE22" i="1"/>
  <c r="AK22" i="1" s="1"/>
  <c r="AE23" i="1"/>
  <c r="AK23" i="1" s="1"/>
  <c r="AE24" i="1"/>
  <c r="AK24" i="1" s="1"/>
  <c r="AE25" i="1"/>
  <c r="AK25" i="1" s="1"/>
  <c r="AE26" i="1"/>
  <c r="AK26" i="1" s="1"/>
  <c r="AE27" i="1"/>
  <c r="AK27" i="1" s="1"/>
  <c r="AE28" i="1"/>
  <c r="AK28" i="1" s="1"/>
  <c r="AE29" i="1"/>
  <c r="AK29" i="1" s="1"/>
  <c r="AE30" i="1"/>
  <c r="AK30" i="1" s="1"/>
  <c r="AE31" i="1"/>
  <c r="AK31" i="1" s="1"/>
  <c r="AE32" i="1"/>
  <c r="AK32" i="1" s="1"/>
  <c r="AE33" i="1"/>
  <c r="AK33" i="1" s="1"/>
  <c r="AE34" i="1"/>
  <c r="AK34" i="1" s="1"/>
  <c r="AE35" i="1"/>
  <c r="AK35" i="1" s="1"/>
  <c r="AE36" i="1"/>
  <c r="AK36" i="1" s="1"/>
  <c r="AE37" i="1"/>
  <c r="AK37" i="1" s="1"/>
  <c r="AE38" i="1"/>
  <c r="AK38" i="1" s="1"/>
  <c r="AE39" i="1"/>
  <c r="AK39" i="1" s="1"/>
  <c r="AE40" i="1"/>
  <c r="AK40" i="1" s="1"/>
  <c r="AE41" i="1"/>
  <c r="AK41" i="1" s="1"/>
  <c r="AE42" i="1"/>
  <c r="AK42" i="1" s="1"/>
  <c r="AE43" i="1"/>
  <c r="AK43" i="1" s="1"/>
  <c r="AE44" i="1"/>
  <c r="AK44" i="1" s="1"/>
  <c r="AE45" i="1"/>
  <c r="AK45" i="1" s="1"/>
  <c r="AE46" i="1"/>
  <c r="AK46" i="1" s="1"/>
  <c r="AE47" i="1"/>
  <c r="AK47" i="1" s="1"/>
  <c r="AE48" i="1"/>
  <c r="AK48" i="1" s="1"/>
  <c r="AE49" i="1"/>
  <c r="AK49" i="1" s="1"/>
  <c r="AE50" i="1"/>
  <c r="AK50" i="1" s="1"/>
  <c r="AE51" i="1"/>
  <c r="AK51" i="1" s="1"/>
  <c r="AE52" i="1"/>
  <c r="AK52" i="1" s="1"/>
  <c r="AE53" i="1"/>
  <c r="AK53" i="1" s="1"/>
  <c r="AE54" i="1"/>
  <c r="AK54" i="1" s="1"/>
  <c r="AE55" i="1"/>
  <c r="AK55" i="1" s="1"/>
  <c r="AE56" i="1"/>
  <c r="AK56" i="1" s="1"/>
  <c r="AE57" i="1"/>
  <c r="AK57" i="1" s="1"/>
  <c r="AE58" i="1"/>
  <c r="AK58" i="1" s="1"/>
  <c r="AE59" i="1"/>
  <c r="AK59" i="1" s="1"/>
  <c r="AE60" i="1"/>
  <c r="AK60" i="1" s="1"/>
  <c r="AE61" i="1"/>
  <c r="AK61" i="1" s="1"/>
  <c r="AE62" i="1"/>
  <c r="AK62" i="1" s="1"/>
  <c r="AE63" i="1"/>
  <c r="AK63" i="1" s="1"/>
  <c r="AE64" i="1"/>
  <c r="AK64" i="1" s="1"/>
  <c r="AE65" i="1"/>
  <c r="AK65" i="1" s="1"/>
  <c r="AE66" i="1"/>
  <c r="AK66" i="1" s="1"/>
  <c r="AE67" i="1"/>
  <c r="AK67" i="1" s="1"/>
  <c r="AE68" i="1"/>
  <c r="AK68" i="1" s="1"/>
  <c r="AE69" i="1"/>
  <c r="AK69" i="1" s="1"/>
  <c r="AE70" i="1"/>
  <c r="AK70" i="1" s="1"/>
  <c r="AE71" i="1"/>
  <c r="AK71" i="1" s="1"/>
  <c r="AE72" i="1"/>
  <c r="AK72" i="1" s="1"/>
  <c r="AE73" i="1"/>
  <c r="AK73" i="1" s="1"/>
  <c r="AE74" i="1"/>
  <c r="AK74" i="1" s="1"/>
  <c r="AE75" i="1"/>
  <c r="AK75" i="1" s="1"/>
  <c r="AE76" i="1"/>
  <c r="AK76" i="1" s="1"/>
  <c r="AE77" i="1"/>
  <c r="AK77" i="1" s="1"/>
  <c r="AE78" i="1"/>
  <c r="AK78" i="1" s="1"/>
  <c r="AE79" i="1"/>
  <c r="AK79" i="1" s="1"/>
  <c r="AE80" i="1"/>
  <c r="AK80" i="1" s="1"/>
  <c r="AE81" i="1"/>
  <c r="AK81" i="1" s="1"/>
  <c r="AE82" i="1"/>
  <c r="AK82" i="1" s="1"/>
  <c r="AE83" i="1"/>
  <c r="AK83" i="1" s="1"/>
  <c r="AE84" i="1"/>
  <c r="AK84" i="1" s="1"/>
  <c r="AE85" i="1"/>
  <c r="AK85" i="1" s="1"/>
  <c r="AE86" i="1"/>
  <c r="AK86" i="1" s="1"/>
  <c r="AE87" i="1"/>
  <c r="AK87" i="1" s="1"/>
  <c r="AE88" i="1"/>
  <c r="AK88" i="1" s="1"/>
  <c r="AE89" i="1"/>
  <c r="AK89" i="1" s="1"/>
  <c r="AE90" i="1"/>
  <c r="AK90" i="1" s="1"/>
  <c r="AE91" i="1"/>
  <c r="AK91" i="1" s="1"/>
  <c r="AE92" i="1"/>
  <c r="AK92" i="1" s="1"/>
  <c r="AE93" i="1"/>
  <c r="AK93" i="1" s="1"/>
  <c r="AE94" i="1"/>
  <c r="AK94" i="1" s="1"/>
  <c r="AE95" i="1"/>
  <c r="AK95" i="1" s="1"/>
  <c r="AE96" i="1"/>
  <c r="AK96" i="1" s="1"/>
  <c r="AE97" i="1"/>
  <c r="AK97" i="1" s="1"/>
  <c r="AE98" i="1"/>
  <c r="AK98" i="1" s="1"/>
  <c r="AE99" i="1"/>
  <c r="AK99" i="1" s="1"/>
  <c r="AE100" i="1"/>
  <c r="AK100" i="1" s="1"/>
  <c r="AE101" i="1"/>
  <c r="AK101" i="1" s="1"/>
  <c r="AE102" i="1"/>
  <c r="AK102" i="1" s="1"/>
  <c r="AE103" i="1"/>
  <c r="AK103" i="1" s="1"/>
  <c r="AE104" i="1"/>
  <c r="AK104" i="1" s="1"/>
  <c r="AE105" i="1"/>
  <c r="AK105" i="1" s="1"/>
  <c r="AE106" i="1"/>
  <c r="AK106" i="1" s="1"/>
  <c r="AE107" i="1"/>
  <c r="AK107" i="1" s="1"/>
  <c r="AE108" i="1"/>
  <c r="AK108" i="1" s="1"/>
  <c r="AE109" i="1"/>
  <c r="AK109" i="1" s="1"/>
  <c r="AE110" i="1"/>
  <c r="AK110" i="1" s="1"/>
  <c r="AE111" i="1"/>
  <c r="AK111" i="1" s="1"/>
  <c r="AE112" i="1"/>
  <c r="AK112" i="1" s="1"/>
  <c r="AE113" i="1"/>
  <c r="AK113" i="1" s="1"/>
  <c r="AE114" i="1"/>
  <c r="AK114" i="1" s="1"/>
  <c r="AE115" i="1"/>
  <c r="AK115" i="1" s="1"/>
  <c r="AE116" i="1"/>
  <c r="AK116" i="1" s="1"/>
  <c r="AE117" i="1"/>
  <c r="AK117" i="1" s="1"/>
  <c r="AE118" i="1"/>
  <c r="AK118" i="1" s="1"/>
  <c r="AE119" i="1"/>
  <c r="AK119" i="1" s="1"/>
  <c r="AE120" i="1"/>
  <c r="AK120" i="1" s="1"/>
  <c r="AE121" i="1"/>
  <c r="AK121" i="1" s="1"/>
  <c r="AE122" i="1"/>
  <c r="AK122" i="1" s="1"/>
  <c r="AE123" i="1"/>
  <c r="AK123" i="1" s="1"/>
  <c r="AE124" i="1"/>
  <c r="AK124" i="1" s="1"/>
  <c r="AE125" i="1"/>
  <c r="AK125" i="1" s="1"/>
  <c r="AE126" i="1"/>
  <c r="AK126" i="1" s="1"/>
  <c r="AE127" i="1"/>
  <c r="AK127" i="1" s="1"/>
  <c r="AE128" i="1"/>
  <c r="AK128" i="1" s="1"/>
  <c r="AE129" i="1"/>
  <c r="AK129" i="1" s="1"/>
  <c r="AE130" i="1"/>
  <c r="AK130" i="1" s="1"/>
  <c r="AE131" i="1"/>
  <c r="AK131" i="1" s="1"/>
  <c r="AE132" i="1"/>
  <c r="AK132" i="1" s="1"/>
  <c r="AE133" i="1"/>
  <c r="AK133" i="1" s="1"/>
  <c r="AE134" i="1"/>
  <c r="AK134" i="1" s="1"/>
  <c r="AE135" i="1"/>
  <c r="AK135" i="1" s="1"/>
  <c r="AE136" i="1"/>
  <c r="AK136" i="1" s="1"/>
  <c r="AE137" i="1"/>
  <c r="AK137" i="1" s="1"/>
  <c r="AE138" i="1"/>
  <c r="AK138" i="1" s="1"/>
  <c r="AE139" i="1"/>
  <c r="AK139" i="1" s="1"/>
  <c r="AE140" i="1"/>
  <c r="AK140" i="1" s="1"/>
  <c r="AE141" i="1"/>
  <c r="AK141" i="1" s="1"/>
  <c r="AE142" i="1"/>
  <c r="AK142" i="1" s="1"/>
  <c r="AE143" i="1"/>
  <c r="AK143" i="1" s="1"/>
  <c r="AE144" i="1"/>
  <c r="AK144" i="1" s="1"/>
  <c r="AE145" i="1"/>
  <c r="AK145" i="1" s="1"/>
  <c r="AE146" i="1"/>
  <c r="AK146" i="1" s="1"/>
  <c r="AE147" i="1"/>
  <c r="AK147" i="1" s="1"/>
  <c r="AE148" i="1"/>
  <c r="AK148" i="1" s="1"/>
  <c r="AE149" i="1"/>
  <c r="AK149" i="1" s="1"/>
  <c r="AE150" i="1"/>
  <c r="AK150" i="1" s="1"/>
  <c r="AE151" i="1"/>
  <c r="AK151" i="1" s="1"/>
  <c r="AE152" i="1"/>
  <c r="AK152" i="1" s="1"/>
  <c r="AE153" i="1"/>
  <c r="AK153" i="1" s="1"/>
  <c r="AE154" i="1"/>
  <c r="AK154" i="1" s="1"/>
  <c r="AE155" i="1"/>
  <c r="AK155" i="1" s="1"/>
  <c r="AE156" i="1"/>
  <c r="AK156" i="1" s="1"/>
  <c r="AE157" i="1"/>
  <c r="AK157" i="1" s="1"/>
  <c r="AE158" i="1"/>
  <c r="AK158" i="1" s="1"/>
  <c r="AE159" i="1"/>
  <c r="AK159" i="1" s="1"/>
  <c r="AE160" i="1"/>
  <c r="AK160" i="1" s="1"/>
  <c r="AE161" i="1"/>
  <c r="AK161" i="1" s="1"/>
  <c r="AE162" i="1"/>
  <c r="AK162" i="1" s="1"/>
  <c r="AE163" i="1"/>
  <c r="AK163" i="1" s="1"/>
  <c r="AE164" i="1"/>
  <c r="AK164" i="1" s="1"/>
  <c r="AE165" i="1"/>
  <c r="AK165" i="1" s="1"/>
  <c r="AE166" i="1"/>
  <c r="AK166" i="1" s="1"/>
  <c r="AE167" i="1"/>
  <c r="AK167" i="1" s="1"/>
  <c r="AE168" i="1"/>
  <c r="AK168" i="1" s="1"/>
  <c r="AE169" i="1"/>
  <c r="AK169" i="1" s="1"/>
  <c r="AE170" i="1"/>
  <c r="AK170" i="1" s="1"/>
  <c r="AE171" i="1"/>
  <c r="AK171" i="1" s="1"/>
  <c r="AE172" i="1"/>
  <c r="AK172" i="1" s="1"/>
  <c r="AE173" i="1"/>
  <c r="AK173" i="1" s="1"/>
  <c r="AE174" i="1"/>
  <c r="AK174" i="1" s="1"/>
  <c r="AE175" i="1"/>
  <c r="AK175" i="1" s="1"/>
  <c r="AE176" i="1"/>
  <c r="AK176" i="1" s="1"/>
  <c r="AE177" i="1"/>
  <c r="AK177" i="1" s="1"/>
  <c r="AE178" i="1"/>
  <c r="AK178" i="1" s="1"/>
  <c r="AE179" i="1"/>
  <c r="AK179" i="1" s="1"/>
  <c r="AE180" i="1"/>
  <c r="AK180" i="1" s="1"/>
  <c r="AE181" i="1"/>
  <c r="AK181" i="1" s="1"/>
  <c r="AE182" i="1"/>
  <c r="AK182" i="1" s="1"/>
  <c r="AE183" i="1"/>
  <c r="AK183" i="1" s="1"/>
  <c r="AE184" i="1"/>
  <c r="AK184" i="1" s="1"/>
  <c r="AE185" i="1"/>
  <c r="AK185" i="1" s="1"/>
  <c r="AE186" i="1"/>
  <c r="AK186" i="1" s="1"/>
  <c r="AE187" i="1"/>
  <c r="AK187" i="1" s="1"/>
  <c r="AE188" i="1"/>
  <c r="AK188" i="1" s="1"/>
  <c r="AE189" i="1"/>
  <c r="AK189" i="1" s="1"/>
  <c r="AE190" i="1"/>
  <c r="AK190" i="1" s="1"/>
  <c r="AE191" i="1"/>
  <c r="AK191" i="1" s="1"/>
  <c r="AE192" i="1"/>
  <c r="AK192" i="1" s="1"/>
  <c r="AE193" i="1"/>
  <c r="AK193" i="1" s="1"/>
  <c r="AE194" i="1"/>
  <c r="AK194" i="1" s="1"/>
  <c r="AE195" i="1"/>
  <c r="AK195" i="1" s="1"/>
  <c r="AE196" i="1"/>
  <c r="AK196" i="1" s="1"/>
  <c r="AE197" i="1"/>
  <c r="AK197" i="1" s="1"/>
  <c r="AE198" i="1"/>
  <c r="AK198" i="1" s="1"/>
  <c r="AE199" i="1"/>
  <c r="AK199" i="1" s="1"/>
  <c r="AE200" i="1"/>
  <c r="AK200" i="1" s="1"/>
  <c r="AE201" i="1"/>
  <c r="AK201" i="1" s="1"/>
  <c r="AE202" i="1"/>
  <c r="AK202" i="1" s="1"/>
  <c r="AE203" i="1"/>
  <c r="AK203" i="1" s="1"/>
  <c r="AE204" i="1"/>
  <c r="AK204" i="1" s="1"/>
  <c r="AE205" i="1"/>
  <c r="AK205" i="1" s="1"/>
  <c r="AE206" i="1"/>
  <c r="AK206" i="1" s="1"/>
  <c r="AE207" i="1"/>
  <c r="AK207" i="1" s="1"/>
  <c r="AE208" i="1"/>
  <c r="AK208" i="1" s="1"/>
  <c r="AE209" i="1"/>
  <c r="AK209" i="1" s="1"/>
  <c r="AE210" i="1"/>
  <c r="AK210" i="1" s="1"/>
  <c r="AE211" i="1"/>
  <c r="AK211" i="1" s="1"/>
  <c r="AE212" i="1"/>
  <c r="AK212" i="1" s="1"/>
  <c r="AE213" i="1"/>
  <c r="AK213" i="1" s="1"/>
  <c r="AE214" i="1"/>
  <c r="AK214" i="1" s="1"/>
  <c r="AE215" i="1"/>
  <c r="AK215" i="1" s="1"/>
  <c r="AE216" i="1"/>
  <c r="AK216" i="1" s="1"/>
  <c r="AE217" i="1"/>
  <c r="AK217" i="1" s="1"/>
  <c r="AE218" i="1"/>
  <c r="AK218" i="1" s="1"/>
  <c r="AE219" i="1"/>
  <c r="AK219" i="1" s="1"/>
  <c r="AE220" i="1"/>
  <c r="AK220" i="1" s="1"/>
  <c r="AE221" i="1"/>
  <c r="AK221" i="1" s="1"/>
  <c r="AE222" i="1"/>
  <c r="AK222" i="1" s="1"/>
  <c r="AE223" i="1"/>
  <c r="AK223" i="1" s="1"/>
  <c r="AE224" i="1"/>
  <c r="AK224" i="1" s="1"/>
  <c r="AE225" i="1"/>
  <c r="AK225" i="1" s="1"/>
  <c r="AE226" i="1"/>
  <c r="AK226" i="1" s="1"/>
  <c r="AE227" i="1"/>
  <c r="AK227" i="1" s="1"/>
  <c r="AE228" i="1"/>
  <c r="AK228" i="1" s="1"/>
  <c r="AE229" i="1"/>
  <c r="AK229" i="1" s="1"/>
  <c r="AE230" i="1"/>
  <c r="AK230" i="1" s="1"/>
  <c r="AE231" i="1"/>
  <c r="AK231" i="1" s="1"/>
  <c r="AE232" i="1"/>
  <c r="AK232" i="1" s="1"/>
  <c r="AE233" i="1"/>
  <c r="AK233" i="1" s="1"/>
  <c r="AE234" i="1"/>
  <c r="AK234" i="1" s="1"/>
  <c r="AE235" i="1"/>
  <c r="AK235" i="1" s="1"/>
  <c r="AE236" i="1"/>
  <c r="AK236" i="1" s="1"/>
  <c r="AE237" i="1"/>
  <c r="AK237" i="1" s="1"/>
  <c r="AE238" i="1"/>
  <c r="AK238" i="1" s="1"/>
  <c r="AE239" i="1"/>
  <c r="AK239" i="1" s="1"/>
  <c r="AE240" i="1"/>
  <c r="AK240" i="1" s="1"/>
  <c r="AE241" i="1"/>
  <c r="AK241" i="1" s="1"/>
  <c r="AE242" i="1"/>
  <c r="AK242" i="1" s="1"/>
  <c r="AE243" i="1"/>
  <c r="AK243" i="1" s="1"/>
  <c r="AE244" i="1"/>
  <c r="AK244" i="1" s="1"/>
  <c r="AE245" i="1"/>
  <c r="AK245" i="1" s="1"/>
  <c r="AE246" i="1"/>
  <c r="AK246" i="1" s="1"/>
  <c r="AE247" i="1"/>
  <c r="AK247" i="1" s="1"/>
  <c r="AE248" i="1"/>
  <c r="AK248" i="1" s="1"/>
  <c r="AE249" i="1"/>
  <c r="AK249" i="1" s="1"/>
  <c r="AE250" i="1"/>
  <c r="AK250" i="1" s="1"/>
  <c r="AE251" i="1"/>
  <c r="AK251" i="1" s="1"/>
  <c r="AE252" i="1"/>
  <c r="AK252" i="1" s="1"/>
  <c r="AE253" i="1"/>
  <c r="AK253" i="1" s="1"/>
  <c r="AE254" i="1"/>
  <c r="AK254" i="1" s="1"/>
  <c r="AE255" i="1"/>
  <c r="AK255" i="1" s="1"/>
  <c r="AE256" i="1"/>
  <c r="AK256" i="1" s="1"/>
  <c r="AE257" i="1"/>
  <c r="AK257" i="1" s="1"/>
  <c r="AE258" i="1"/>
  <c r="AK258" i="1" s="1"/>
  <c r="AE259" i="1"/>
  <c r="AK259" i="1" s="1"/>
  <c r="AE260" i="1"/>
  <c r="AK260" i="1" s="1"/>
  <c r="AE261" i="1"/>
  <c r="AK261" i="1" s="1"/>
  <c r="AE262" i="1"/>
  <c r="AK262" i="1" s="1"/>
  <c r="AE263" i="1"/>
  <c r="AK263" i="1" s="1"/>
  <c r="AE264" i="1"/>
  <c r="AK264" i="1" s="1"/>
  <c r="AE265" i="1"/>
  <c r="AK265" i="1" s="1"/>
  <c r="AE266" i="1"/>
  <c r="AK266" i="1" s="1"/>
  <c r="AE267" i="1"/>
  <c r="AK267" i="1" s="1"/>
  <c r="AE268" i="1"/>
  <c r="AK268" i="1" s="1"/>
  <c r="AE269" i="1"/>
  <c r="AK269" i="1" s="1"/>
  <c r="AE270" i="1"/>
  <c r="AK270" i="1" s="1"/>
  <c r="AE271" i="1"/>
  <c r="AK271" i="1" s="1"/>
  <c r="AE272" i="1"/>
  <c r="AK272" i="1" s="1"/>
  <c r="AE273" i="1"/>
  <c r="AK273" i="1" s="1"/>
  <c r="AE274" i="1"/>
  <c r="AK274" i="1" s="1"/>
  <c r="AE275" i="1"/>
  <c r="AK275" i="1" s="1"/>
  <c r="AE276" i="1"/>
  <c r="AK276" i="1" s="1"/>
  <c r="AE277" i="1"/>
  <c r="AK277" i="1" s="1"/>
  <c r="AE278" i="1"/>
  <c r="AK278" i="1" s="1"/>
  <c r="AE279" i="1"/>
  <c r="AK279" i="1" s="1"/>
  <c r="AE280" i="1"/>
  <c r="AK280" i="1" s="1"/>
  <c r="AE281" i="1"/>
  <c r="AK281" i="1" s="1"/>
  <c r="AE282" i="1"/>
  <c r="AK282" i="1" s="1"/>
  <c r="AE283" i="1"/>
  <c r="AK283" i="1" s="1"/>
  <c r="AE284" i="1"/>
  <c r="AK284" i="1" s="1"/>
  <c r="AE285" i="1"/>
  <c r="AK285" i="1" s="1"/>
  <c r="AE286" i="1"/>
  <c r="AK286" i="1" s="1"/>
  <c r="AE287" i="1"/>
  <c r="AK287" i="1" s="1"/>
  <c r="AE288" i="1"/>
  <c r="AK288" i="1" s="1"/>
  <c r="AE289" i="1"/>
  <c r="AK289" i="1" s="1"/>
  <c r="AE290" i="1"/>
  <c r="AK290" i="1" s="1"/>
  <c r="AE291" i="1"/>
  <c r="AK291" i="1" s="1"/>
  <c r="AE292" i="1"/>
  <c r="AK292" i="1" s="1"/>
  <c r="AE293" i="1"/>
  <c r="AK293" i="1" s="1"/>
  <c r="AE294" i="1"/>
  <c r="AK294" i="1" s="1"/>
  <c r="AE295" i="1"/>
  <c r="AK295" i="1" s="1"/>
  <c r="AE296" i="1"/>
  <c r="AK296" i="1" s="1"/>
  <c r="AE297" i="1"/>
  <c r="AK297" i="1" s="1"/>
  <c r="AE298" i="1"/>
  <c r="AK298" i="1" s="1"/>
  <c r="AE299" i="1"/>
  <c r="AK299" i="1" s="1"/>
  <c r="AE300" i="1"/>
  <c r="AK300" i="1" s="1"/>
  <c r="AE301" i="1"/>
  <c r="AK301" i="1" s="1"/>
  <c r="AE302" i="1"/>
  <c r="AK302" i="1" s="1"/>
  <c r="AE303" i="1"/>
  <c r="AK303" i="1" s="1"/>
  <c r="AE304" i="1"/>
  <c r="AK304" i="1" s="1"/>
  <c r="AE305" i="1"/>
  <c r="AK305" i="1" s="1"/>
  <c r="AE306" i="1"/>
  <c r="AK306" i="1" s="1"/>
  <c r="AE307" i="1"/>
  <c r="AK307" i="1" s="1"/>
  <c r="AE308" i="1"/>
  <c r="AK308" i="1" s="1"/>
  <c r="AE309" i="1"/>
  <c r="AK309" i="1" s="1"/>
  <c r="AE310" i="1"/>
  <c r="AK310" i="1" s="1"/>
  <c r="AE311" i="1"/>
  <c r="AK311" i="1" s="1"/>
  <c r="AE312" i="1"/>
  <c r="AK312" i="1" s="1"/>
  <c r="AE313" i="1"/>
  <c r="AK313" i="1" s="1"/>
  <c r="AE314" i="1"/>
  <c r="AK314" i="1" s="1"/>
  <c r="AE315" i="1"/>
  <c r="AK315" i="1" s="1"/>
  <c r="AE316" i="1"/>
  <c r="AK316" i="1" s="1"/>
  <c r="AE317" i="1"/>
  <c r="AK317" i="1" s="1"/>
  <c r="AE318" i="1"/>
  <c r="AK318" i="1" s="1"/>
  <c r="AE319" i="1"/>
  <c r="AK319" i="1" s="1"/>
  <c r="AE320" i="1"/>
  <c r="AK320" i="1" s="1"/>
  <c r="AE321" i="1"/>
  <c r="AK321" i="1" s="1"/>
  <c r="AE322" i="1"/>
  <c r="AK322" i="1" s="1"/>
  <c r="AE323" i="1"/>
  <c r="AK323" i="1" s="1"/>
  <c r="AE324" i="1"/>
  <c r="AK324" i="1" s="1"/>
  <c r="AE325" i="1"/>
  <c r="AK325" i="1" s="1"/>
  <c r="AE326" i="1"/>
  <c r="AK326" i="1" s="1"/>
  <c r="AE327" i="1"/>
  <c r="AK327" i="1" s="1"/>
  <c r="AE328" i="1"/>
  <c r="AK328" i="1" s="1"/>
  <c r="AE329" i="1"/>
  <c r="AK329" i="1" s="1"/>
  <c r="AE330" i="1"/>
  <c r="AK330" i="1" s="1"/>
  <c r="AE331" i="1"/>
  <c r="AK331" i="1" s="1"/>
  <c r="AE332" i="1"/>
  <c r="AK332" i="1" s="1"/>
  <c r="AE333" i="1"/>
  <c r="AK333" i="1" s="1"/>
  <c r="AE334" i="1"/>
  <c r="AK334" i="1" s="1"/>
  <c r="AE335" i="1"/>
  <c r="AK335" i="1" s="1"/>
  <c r="AE336" i="1"/>
  <c r="AK336" i="1" s="1"/>
  <c r="AE337" i="1"/>
  <c r="AK337" i="1" s="1"/>
  <c r="AE338" i="1"/>
  <c r="AK338" i="1" s="1"/>
  <c r="AE339" i="1"/>
  <c r="AK339" i="1" s="1"/>
  <c r="AE340" i="1"/>
  <c r="AK340" i="1" s="1"/>
  <c r="AE341" i="1"/>
  <c r="AK341" i="1" s="1"/>
  <c r="AE342" i="1"/>
  <c r="AK342" i="1" s="1"/>
  <c r="AE343" i="1"/>
  <c r="AK343" i="1" s="1"/>
  <c r="AE344" i="1"/>
  <c r="AK344" i="1" s="1"/>
  <c r="AE345" i="1"/>
  <c r="AK345" i="1" s="1"/>
  <c r="AE346" i="1"/>
  <c r="AK346" i="1" s="1"/>
  <c r="AE347" i="1"/>
  <c r="AK347" i="1" s="1"/>
  <c r="AE348" i="1"/>
  <c r="AK348" i="1" s="1"/>
  <c r="AE349" i="1"/>
  <c r="AK349" i="1" s="1"/>
  <c r="AE350" i="1"/>
  <c r="AK350" i="1" s="1"/>
  <c r="AE351" i="1"/>
  <c r="AK351" i="1" s="1"/>
  <c r="AE352" i="1"/>
  <c r="AK352" i="1" s="1"/>
  <c r="AE353" i="1"/>
  <c r="AK353" i="1" s="1"/>
  <c r="AE354" i="1"/>
  <c r="AK354" i="1" s="1"/>
  <c r="AE355" i="1"/>
  <c r="AK355" i="1" s="1"/>
  <c r="AE356" i="1"/>
  <c r="AK356" i="1" s="1"/>
  <c r="AE357" i="1"/>
  <c r="AK357" i="1" s="1"/>
  <c r="AE358" i="1"/>
  <c r="AK358" i="1" s="1"/>
  <c r="AE359" i="1"/>
  <c r="AK359" i="1" s="1"/>
  <c r="AE360" i="1"/>
  <c r="AK360" i="1" s="1"/>
  <c r="AE361" i="1"/>
  <c r="AK361" i="1" s="1"/>
  <c r="AE362" i="1"/>
  <c r="AK362" i="1" s="1"/>
  <c r="AE363" i="1"/>
  <c r="AK363" i="1" s="1"/>
  <c r="AE364" i="1"/>
  <c r="AK364" i="1" s="1"/>
  <c r="AE365" i="1"/>
  <c r="AK365" i="1" s="1"/>
  <c r="AE366" i="1"/>
  <c r="AK366" i="1" s="1"/>
  <c r="AE367" i="1"/>
  <c r="AK367" i="1" s="1"/>
  <c r="AE368" i="1"/>
  <c r="AK368" i="1" s="1"/>
  <c r="AE369" i="1"/>
  <c r="AK369" i="1" s="1"/>
  <c r="AE370" i="1"/>
  <c r="AK370" i="1" s="1"/>
  <c r="AE371" i="1"/>
  <c r="AK371" i="1" s="1"/>
  <c r="AE372" i="1"/>
  <c r="AK372" i="1" s="1"/>
  <c r="AE373" i="1"/>
  <c r="AK373" i="1" s="1"/>
  <c r="AE374" i="1"/>
  <c r="AK374" i="1" s="1"/>
  <c r="AE375" i="1"/>
  <c r="AK375" i="1" s="1"/>
  <c r="AE376" i="1"/>
  <c r="AK376" i="1" s="1"/>
  <c r="AE377" i="1"/>
  <c r="AK377" i="1" s="1"/>
  <c r="AE378" i="1"/>
  <c r="AK378" i="1" s="1"/>
  <c r="AE379" i="1"/>
  <c r="AK379" i="1" s="1"/>
  <c r="AE380" i="1"/>
  <c r="AK380" i="1" s="1"/>
  <c r="AE381" i="1"/>
  <c r="AK381" i="1" s="1"/>
  <c r="AE382" i="1"/>
  <c r="AK382" i="1" s="1"/>
  <c r="AE383" i="1"/>
  <c r="AK383" i="1" s="1"/>
  <c r="AE384" i="1"/>
  <c r="AK384" i="1" s="1"/>
  <c r="AE385" i="1"/>
  <c r="AK385" i="1" s="1"/>
  <c r="AE386" i="1"/>
  <c r="AK386" i="1" s="1"/>
  <c r="AE387" i="1"/>
  <c r="AK387" i="1" s="1"/>
  <c r="AE388" i="1"/>
  <c r="AK388" i="1" s="1"/>
  <c r="AE389" i="1"/>
  <c r="AK389" i="1" s="1"/>
  <c r="AE390" i="1"/>
  <c r="AK390" i="1" s="1"/>
  <c r="AE391" i="1"/>
  <c r="AK391" i="1" s="1"/>
  <c r="AE392" i="1"/>
  <c r="AK392" i="1" s="1"/>
  <c r="AE393" i="1"/>
  <c r="AK393" i="1" s="1"/>
  <c r="AE394" i="1"/>
  <c r="AK394" i="1" s="1"/>
  <c r="AE395" i="1"/>
  <c r="AK395" i="1" s="1"/>
  <c r="AE396" i="1"/>
  <c r="AK396" i="1" s="1"/>
  <c r="AE397" i="1"/>
  <c r="AK397" i="1" s="1"/>
  <c r="AE398" i="1"/>
  <c r="AK398" i="1" s="1"/>
  <c r="AE399" i="1"/>
  <c r="AK399" i="1" s="1"/>
  <c r="AE400" i="1"/>
  <c r="AK400" i="1" s="1"/>
  <c r="AE401" i="1"/>
  <c r="AK401" i="1" s="1"/>
  <c r="AE402" i="1"/>
  <c r="AK402" i="1" s="1"/>
  <c r="AE403" i="1"/>
  <c r="AK403" i="1" s="1"/>
  <c r="AE404" i="1"/>
  <c r="AK404" i="1" s="1"/>
  <c r="AE405" i="1"/>
  <c r="AK405" i="1" s="1"/>
  <c r="AE406" i="1"/>
  <c r="AK406" i="1" s="1"/>
  <c r="AE407" i="1"/>
  <c r="AK407" i="1" s="1"/>
  <c r="AE408" i="1"/>
  <c r="AK408" i="1" s="1"/>
  <c r="AE409" i="1"/>
  <c r="AK409" i="1" s="1"/>
  <c r="AE410" i="1"/>
  <c r="AK410" i="1" s="1"/>
  <c r="AE411" i="1"/>
  <c r="AK411" i="1" s="1"/>
  <c r="AE412" i="1"/>
  <c r="AK412" i="1" s="1"/>
  <c r="AE413" i="1"/>
  <c r="AK413" i="1" s="1"/>
  <c r="AE414" i="1"/>
  <c r="AK414" i="1" s="1"/>
  <c r="AE415" i="1"/>
  <c r="AK415" i="1" s="1"/>
  <c r="AE416" i="1"/>
  <c r="AK416" i="1" s="1"/>
  <c r="AE417" i="1"/>
  <c r="AK417" i="1" s="1"/>
  <c r="AE418" i="1"/>
  <c r="AK418" i="1" s="1"/>
  <c r="AE419" i="1"/>
  <c r="AK419" i="1" s="1"/>
  <c r="AE420" i="1"/>
  <c r="AK420" i="1" s="1"/>
  <c r="AE421" i="1"/>
  <c r="AK421" i="1" s="1"/>
  <c r="AE422" i="1"/>
  <c r="AK422" i="1" s="1"/>
  <c r="AE423" i="1"/>
  <c r="AK423" i="1" s="1"/>
  <c r="AE424" i="1"/>
  <c r="AK424" i="1" s="1"/>
  <c r="AE425" i="1"/>
  <c r="AK425" i="1" s="1"/>
  <c r="AE426" i="1"/>
  <c r="AK426" i="1" s="1"/>
  <c r="AE427" i="1"/>
  <c r="AK427" i="1" s="1"/>
  <c r="AE428" i="1"/>
  <c r="AK428" i="1" s="1"/>
  <c r="AE429" i="1"/>
  <c r="AK429" i="1" s="1"/>
  <c r="AE430" i="1"/>
  <c r="AK430" i="1" s="1"/>
  <c r="AE431" i="1"/>
  <c r="AK431" i="1" s="1"/>
  <c r="AE432" i="1"/>
  <c r="AK432" i="1" s="1"/>
  <c r="AE433" i="1"/>
  <c r="AK433" i="1" s="1"/>
  <c r="AE434" i="1"/>
  <c r="AK434" i="1" s="1"/>
  <c r="AE435" i="1"/>
  <c r="AK435" i="1" s="1"/>
  <c r="AE436" i="1"/>
  <c r="AK436" i="1" s="1"/>
  <c r="AE437" i="1"/>
  <c r="AK437" i="1" s="1"/>
  <c r="AE438" i="1"/>
  <c r="AK438" i="1" s="1"/>
  <c r="AE439" i="1"/>
  <c r="AK439" i="1" s="1"/>
  <c r="AE440" i="1"/>
  <c r="AK440" i="1" s="1"/>
  <c r="AE441" i="1"/>
  <c r="AK441" i="1" s="1"/>
  <c r="AE442" i="1"/>
  <c r="AK442" i="1" s="1"/>
  <c r="AE443" i="1"/>
  <c r="AK443" i="1" s="1"/>
  <c r="AE444" i="1"/>
  <c r="AK444" i="1" s="1"/>
  <c r="AE445" i="1"/>
  <c r="AK445" i="1" s="1"/>
  <c r="AE446" i="1"/>
  <c r="AK446" i="1" s="1"/>
  <c r="AE447" i="1"/>
  <c r="AK447" i="1" s="1"/>
  <c r="AE448" i="1"/>
  <c r="AK448" i="1" s="1"/>
  <c r="AE449" i="1"/>
  <c r="AK449" i="1" s="1"/>
  <c r="AE450" i="1"/>
  <c r="AK450" i="1" s="1"/>
  <c r="AE451" i="1"/>
  <c r="AK451" i="1" s="1"/>
  <c r="AE452" i="1"/>
  <c r="AK452" i="1" s="1"/>
  <c r="AE453" i="1"/>
  <c r="AK453" i="1" s="1"/>
  <c r="AE454" i="1"/>
  <c r="AK454" i="1" s="1"/>
  <c r="AE455" i="1"/>
  <c r="AK455" i="1" s="1"/>
  <c r="AE456" i="1"/>
  <c r="AK456" i="1" s="1"/>
  <c r="AE457" i="1"/>
  <c r="AK457" i="1" s="1"/>
  <c r="AE458" i="1"/>
  <c r="AK458" i="1" s="1"/>
  <c r="AE459" i="1"/>
  <c r="AK459" i="1" s="1"/>
  <c r="AE460" i="1"/>
  <c r="AK460" i="1" s="1"/>
  <c r="AE461" i="1"/>
  <c r="AK461" i="1" s="1"/>
  <c r="AE462" i="1"/>
  <c r="AK462" i="1" s="1"/>
  <c r="AE463" i="1"/>
  <c r="AK463" i="1" s="1"/>
  <c r="AE464" i="1"/>
  <c r="AK464" i="1" s="1"/>
  <c r="AE465" i="1"/>
  <c r="AK465" i="1" s="1"/>
  <c r="AE466" i="1"/>
  <c r="AK466" i="1" s="1"/>
  <c r="AE467" i="1"/>
  <c r="AK467" i="1" s="1"/>
  <c r="AE468" i="1"/>
  <c r="AK468" i="1" s="1"/>
  <c r="AE469" i="1"/>
  <c r="AK469" i="1" s="1"/>
  <c r="AE470" i="1"/>
  <c r="AK470" i="1" s="1"/>
  <c r="AE471" i="1"/>
  <c r="AK471" i="1" s="1"/>
  <c r="AE472" i="1"/>
  <c r="AK472" i="1" s="1"/>
  <c r="AE473" i="1"/>
  <c r="AK473" i="1" s="1"/>
  <c r="AE474" i="1"/>
  <c r="AK474" i="1" s="1"/>
  <c r="AE475" i="1"/>
  <c r="AK475" i="1" s="1"/>
  <c r="AE476" i="1"/>
  <c r="AK476" i="1" s="1"/>
  <c r="AE477" i="1"/>
  <c r="AK477" i="1" s="1"/>
  <c r="AE478" i="1"/>
  <c r="AK478" i="1" s="1"/>
  <c r="AE479" i="1"/>
  <c r="AK479" i="1" s="1"/>
  <c r="AE480" i="1"/>
  <c r="AK480" i="1" s="1"/>
  <c r="AE481" i="1"/>
  <c r="AK481" i="1" s="1"/>
  <c r="AE482" i="1"/>
  <c r="AK482" i="1" s="1"/>
  <c r="AE483" i="1"/>
  <c r="AK483" i="1" s="1"/>
  <c r="AE484" i="1"/>
  <c r="AK484" i="1" s="1"/>
  <c r="AE486" i="1"/>
  <c r="AK486" i="1" s="1"/>
  <c r="AE487" i="1"/>
  <c r="AK487" i="1" s="1"/>
  <c r="AE488" i="1"/>
  <c r="AK488" i="1" s="1"/>
  <c r="AE490" i="1"/>
  <c r="AK490" i="1" s="1"/>
  <c r="AE491" i="1"/>
  <c r="AK491" i="1" s="1"/>
  <c r="AE492" i="1"/>
  <c r="AK492" i="1" s="1"/>
  <c r="AE493" i="1"/>
  <c r="AK493" i="1" s="1"/>
  <c r="AE494" i="1"/>
  <c r="AK494" i="1" s="1"/>
  <c r="AE495" i="1"/>
  <c r="AK495" i="1" s="1"/>
  <c r="AE496" i="1"/>
  <c r="AK496" i="1" s="1"/>
  <c r="AE497" i="1"/>
  <c r="AK497" i="1" s="1"/>
  <c r="AE498" i="1"/>
  <c r="AK498" i="1" s="1"/>
  <c r="AE499" i="1"/>
  <c r="AK499" i="1" s="1"/>
  <c r="AE500" i="1"/>
  <c r="AK500" i="1" s="1"/>
  <c r="AE501" i="1"/>
  <c r="AK501" i="1" s="1"/>
  <c r="AE502" i="1"/>
  <c r="AK502" i="1" s="1"/>
  <c r="AE503" i="1"/>
  <c r="AK503" i="1" s="1"/>
  <c r="AE504" i="1"/>
  <c r="AK504" i="1" s="1"/>
  <c r="AE505" i="1"/>
  <c r="AK505" i="1" s="1"/>
  <c r="AE506" i="1"/>
  <c r="AK506" i="1" s="1"/>
  <c r="AE507" i="1"/>
  <c r="AK507" i="1" s="1"/>
  <c r="AE508" i="1"/>
  <c r="AK508" i="1" s="1"/>
  <c r="AE509" i="1"/>
  <c r="AK509" i="1" s="1"/>
  <c r="AE510" i="1"/>
  <c r="AK510" i="1" s="1"/>
  <c r="AE511" i="1"/>
  <c r="AK511" i="1" s="1"/>
  <c r="AE512" i="1"/>
  <c r="AK512" i="1" s="1"/>
  <c r="AE513" i="1"/>
  <c r="AK513" i="1" s="1"/>
  <c r="AE514" i="1"/>
  <c r="AK514" i="1" s="1"/>
  <c r="AE515" i="1"/>
  <c r="AK515" i="1" s="1"/>
  <c r="AE516" i="1"/>
  <c r="AK516" i="1" s="1"/>
  <c r="AE517" i="1"/>
  <c r="AK517" i="1" s="1"/>
  <c r="AE518" i="1"/>
  <c r="AK518" i="1" s="1"/>
  <c r="AE519" i="1"/>
  <c r="AK519" i="1" s="1"/>
  <c r="AE520" i="1"/>
  <c r="AK520" i="1" s="1"/>
  <c r="AE521" i="1"/>
  <c r="AK521" i="1" s="1"/>
  <c r="AE522" i="1"/>
  <c r="AK522" i="1" s="1"/>
  <c r="AE523" i="1"/>
  <c r="AK523" i="1" s="1"/>
  <c r="AE524" i="1"/>
  <c r="AK524" i="1" s="1"/>
  <c r="AE525" i="1"/>
  <c r="AK525" i="1" s="1"/>
  <c r="AE526" i="1"/>
  <c r="AK526" i="1" s="1"/>
  <c r="AE527" i="1"/>
  <c r="AK527" i="1" s="1"/>
  <c r="AE528" i="1"/>
  <c r="AK528" i="1" s="1"/>
  <c r="AE529" i="1"/>
  <c r="AK529" i="1" s="1"/>
  <c r="AE530" i="1"/>
  <c r="AK530" i="1" s="1"/>
  <c r="AE531" i="1"/>
  <c r="AK531" i="1" s="1"/>
  <c r="AE532" i="1"/>
  <c r="AK532" i="1" s="1"/>
  <c r="AE533" i="1"/>
  <c r="AK533" i="1" s="1"/>
  <c r="AE534" i="1"/>
  <c r="AK534" i="1" s="1"/>
  <c r="AE535" i="1"/>
  <c r="AK535" i="1" s="1"/>
  <c r="AE536" i="1"/>
  <c r="AK536" i="1" s="1"/>
  <c r="AE537" i="1"/>
  <c r="AK537" i="1" s="1"/>
  <c r="AE538" i="1"/>
  <c r="AK538" i="1" s="1"/>
  <c r="AE539" i="1"/>
  <c r="AK539" i="1" s="1"/>
  <c r="AE540" i="1"/>
  <c r="AK540" i="1" s="1"/>
  <c r="AE541" i="1"/>
  <c r="AK541" i="1" s="1"/>
  <c r="AE542" i="1"/>
  <c r="AK542" i="1" s="1"/>
  <c r="AE543" i="1"/>
  <c r="AK543" i="1" s="1"/>
  <c r="AE544" i="1"/>
  <c r="AK544" i="1" s="1"/>
  <c r="AE545" i="1"/>
  <c r="AK545" i="1" s="1"/>
  <c r="AE546" i="1"/>
  <c r="AK546" i="1" s="1"/>
  <c r="AE547" i="1"/>
  <c r="AK547" i="1" s="1"/>
  <c r="AE548" i="1"/>
  <c r="AK548" i="1" s="1"/>
  <c r="AE549" i="1"/>
  <c r="AK549" i="1" s="1"/>
  <c r="AE550" i="1"/>
  <c r="AK550" i="1" s="1"/>
  <c r="AE551" i="1"/>
  <c r="AK551" i="1" s="1"/>
  <c r="AE552" i="1"/>
  <c r="AK552" i="1" s="1"/>
  <c r="AE553" i="1"/>
  <c r="AK553" i="1" s="1"/>
  <c r="AE554" i="1"/>
  <c r="AK554" i="1" s="1"/>
  <c r="AE555" i="1"/>
  <c r="AK555" i="1" s="1"/>
  <c r="AE556" i="1"/>
  <c r="AK556" i="1" s="1"/>
  <c r="AE557" i="1"/>
  <c r="AK557" i="1" s="1"/>
  <c r="AE558" i="1"/>
  <c r="AK558" i="1" s="1"/>
  <c r="AE559" i="1"/>
  <c r="AK559" i="1" s="1"/>
  <c r="AE560" i="1"/>
  <c r="AK560" i="1" s="1"/>
  <c r="AE561" i="1"/>
  <c r="AK561" i="1" s="1"/>
  <c r="AE562" i="1"/>
  <c r="AK562" i="1" s="1"/>
  <c r="AE563" i="1"/>
  <c r="AK563" i="1" s="1"/>
  <c r="AE564" i="1"/>
  <c r="AK564" i="1" s="1"/>
  <c r="AE565" i="1"/>
  <c r="AK565" i="1" s="1"/>
  <c r="AE566" i="1"/>
  <c r="AK566" i="1" s="1"/>
  <c r="AE567" i="1"/>
  <c r="AK567" i="1" s="1"/>
  <c r="AE568" i="1"/>
  <c r="AK568" i="1" s="1"/>
  <c r="AE569" i="1"/>
  <c r="AK569" i="1" s="1"/>
  <c r="AE570" i="1"/>
  <c r="AK570" i="1" s="1"/>
  <c r="AE571" i="1"/>
  <c r="AK571" i="1" s="1"/>
  <c r="AE572" i="1"/>
  <c r="AK572" i="1" s="1"/>
  <c r="AE573" i="1"/>
  <c r="AK573" i="1" s="1"/>
  <c r="AE574" i="1"/>
  <c r="AK574" i="1" s="1"/>
  <c r="AE575" i="1"/>
  <c r="AK575" i="1" s="1"/>
  <c r="AE576" i="1"/>
  <c r="AK576" i="1" s="1"/>
  <c r="AE577" i="1"/>
  <c r="AK577" i="1" s="1"/>
  <c r="AE2" i="1"/>
  <c r="AK2" i="1" s="1"/>
  <c r="AH3" i="1"/>
  <c r="AH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6" i="1"/>
  <c r="AH177" i="1"/>
  <c r="AH178" i="1"/>
  <c r="AH179" i="1"/>
  <c r="AH180" i="1"/>
  <c r="AH181" i="1"/>
  <c r="AH182" i="1"/>
  <c r="AH183" i="1"/>
  <c r="AH184" i="1"/>
  <c r="AH185" i="1"/>
  <c r="AH186" i="1"/>
  <c r="AH187" i="1"/>
  <c r="AH188" i="1"/>
  <c r="AH189" i="1"/>
  <c r="AH190" i="1"/>
  <c r="AH191" i="1"/>
  <c r="AH192" i="1"/>
  <c r="AH193" i="1"/>
  <c r="AH194" i="1"/>
  <c r="AH195" i="1"/>
  <c r="AH196" i="1"/>
  <c r="AH197" i="1"/>
  <c r="AH198" i="1"/>
  <c r="AH199" i="1"/>
  <c r="AH200" i="1"/>
  <c r="AH201" i="1"/>
  <c r="AH202" i="1"/>
  <c r="AH203" i="1"/>
  <c r="AH204" i="1"/>
  <c r="AH205" i="1"/>
  <c r="AH206" i="1"/>
  <c r="AH207" i="1"/>
  <c r="AH208" i="1"/>
  <c r="AH209" i="1"/>
  <c r="AH210" i="1"/>
  <c r="AH211" i="1"/>
  <c r="AH212" i="1"/>
  <c r="AH213" i="1"/>
  <c r="AH214" i="1"/>
  <c r="AH215" i="1"/>
  <c r="AH216" i="1"/>
  <c r="AH217" i="1"/>
  <c r="AH218" i="1"/>
  <c r="AH219" i="1"/>
  <c r="AH220" i="1"/>
  <c r="AH221" i="1"/>
  <c r="AH222" i="1"/>
  <c r="AH223" i="1"/>
  <c r="AH224" i="1"/>
  <c r="AH225" i="1"/>
  <c r="AH226" i="1"/>
  <c r="AH227" i="1"/>
  <c r="AH228" i="1"/>
  <c r="AH229" i="1"/>
  <c r="AH230" i="1"/>
  <c r="AH231" i="1"/>
  <c r="AH232" i="1"/>
  <c r="AH233" i="1"/>
  <c r="AH234" i="1"/>
  <c r="AH235" i="1"/>
  <c r="AH236" i="1"/>
  <c r="AH237" i="1"/>
  <c r="AH238" i="1"/>
  <c r="AH239" i="1"/>
  <c r="AH240" i="1"/>
  <c r="AH241" i="1"/>
  <c r="AH242" i="1"/>
  <c r="AH243" i="1"/>
  <c r="AH244" i="1"/>
  <c r="AH245" i="1"/>
  <c r="AH246" i="1"/>
  <c r="AH247" i="1"/>
  <c r="AH248" i="1"/>
  <c r="AH249" i="1"/>
  <c r="AH250" i="1"/>
  <c r="AH251" i="1"/>
  <c r="AH252" i="1"/>
  <c r="AH253" i="1"/>
  <c r="AH254" i="1"/>
  <c r="AH255" i="1"/>
  <c r="AH256" i="1"/>
  <c r="AH257" i="1"/>
  <c r="AH258" i="1"/>
  <c r="AH259" i="1"/>
  <c r="AH260" i="1"/>
  <c r="AH261" i="1"/>
  <c r="AH262" i="1"/>
  <c r="AH263" i="1"/>
  <c r="AH264" i="1"/>
  <c r="AH265" i="1"/>
  <c r="AH266" i="1"/>
  <c r="AH267" i="1"/>
  <c r="AH268" i="1"/>
  <c r="AH269" i="1"/>
  <c r="AH270" i="1"/>
  <c r="AH271" i="1"/>
  <c r="AH272" i="1"/>
  <c r="AH273" i="1"/>
  <c r="AH274" i="1"/>
  <c r="AH275" i="1"/>
  <c r="AH276" i="1"/>
  <c r="AH277" i="1"/>
  <c r="AH278" i="1"/>
  <c r="AH279" i="1"/>
  <c r="AH280" i="1"/>
  <c r="AH281" i="1"/>
  <c r="AH282" i="1"/>
  <c r="AH283" i="1"/>
  <c r="AH284" i="1"/>
  <c r="AH285" i="1"/>
  <c r="AH286" i="1"/>
  <c r="AH287" i="1"/>
  <c r="AH288" i="1"/>
  <c r="AH289" i="1"/>
  <c r="AH290" i="1"/>
  <c r="AH291" i="1"/>
  <c r="AH292" i="1"/>
  <c r="AH293" i="1"/>
  <c r="AH294" i="1"/>
  <c r="AH295" i="1"/>
  <c r="AH296" i="1"/>
  <c r="AH297" i="1"/>
  <c r="AH298" i="1"/>
  <c r="AH299" i="1"/>
  <c r="AH300" i="1"/>
  <c r="AH301" i="1"/>
  <c r="AH302" i="1"/>
  <c r="AH303" i="1"/>
  <c r="AH304" i="1"/>
  <c r="AH305" i="1"/>
  <c r="AH306" i="1"/>
  <c r="AH307" i="1"/>
  <c r="AH308" i="1"/>
  <c r="AH309" i="1"/>
  <c r="AH310" i="1"/>
  <c r="AH311" i="1"/>
  <c r="AH312" i="1"/>
  <c r="AH313" i="1"/>
  <c r="AH314" i="1"/>
  <c r="AH315" i="1"/>
  <c r="AH316" i="1"/>
  <c r="AH317" i="1"/>
  <c r="AH318" i="1"/>
  <c r="AH319" i="1"/>
  <c r="AH320" i="1"/>
  <c r="AH321" i="1"/>
  <c r="AH322" i="1"/>
  <c r="AH323" i="1"/>
  <c r="AH324" i="1"/>
  <c r="AH325" i="1"/>
  <c r="AH326" i="1"/>
  <c r="AH327" i="1"/>
  <c r="AH328" i="1"/>
  <c r="AH329" i="1"/>
  <c r="AH330" i="1"/>
  <c r="AH331" i="1"/>
  <c r="AH332" i="1"/>
  <c r="AH333" i="1"/>
  <c r="AH334" i="1"/>
  <c r="AH335" i="1"/>
  <c r="AH336" i="1"/>
  <c r="AH337" i="1"/>
  <c r="AH338" i="1"/>
  <c r="AH339" i="1"/>
  <c r="AH340" i="1"/>
  <c r="AH341" i="1"/>
  <c r="AH342" i="1"/>
  <c r="AH343" i="1"/>
  <c r="AH344" i="1"/>
  <c r="AH345" i="1"/>
  <c r="AH346" i="1"/>
  <c r="AH347" i="1"/>
  <c r="AH348" i="1"/>
  <c r="AH349" i="1"/>
  <c r="AH350" i="1"/>
  <c r="AH351" i="1"/>
  <c r="AH352" i="1"/>
  <c r="AH353" i="1"/>
  <c r="AH354" i="1"/>
  <c r="AH355" i="1"/>
  <c r="AH356" i="1"/>
  <c r="AH357" i="1"/>
  <c r="AH358" i="1"/>
  <c r="AH359" i="1"/>
  <c r="AH360" i="1"/>
  <c r="AH361" i="1"/>
  <c r="AH362" i="1"/>
  <c r="AH363" i="1"/>
  <c r="AH364" i="1"/>
  <c r="AH365" i="1"/>
  <c r="D37" i="6" s="1"/>
  <c r="D39" i="6" s="1"/>
  <c r="AH366" i="1"/>
  <c r="AH367" i="1"/>
  <c r="AH368" i="1"/>
  <c r="AH369" i="1"/>
  <c r="AH370" i="1"/>
  <c r="AH371" i="1"/>
  <c r="AH372" i="1"/>
  <c r="AH373" i="1"/>
  <c r="AH374" i="1"/>
  <c r="AH375" i="1"/>
  <c r="AH376" i="1"/>
  <c r="AH377" i="1"/>
  <c r="AH378" i="1"/>
  <c r="AH379" i="1"/>
  <c r="AH380" i="1"/>
  <c r="AH381" i="1"/>
  <c r="AH382" i="1"/>
  <c r="AH383" i="1"/>
  <c r="AH384" i="1"/>
  <c r="AH385" i="1"/>
  <c r="AH386" i="1"/>
  <c r="AH387" i="1"/>
  <c r="AH388" i="1"/>
  <c r="AH389" i="1"/>
  <c r="AH390" i="1"/>
  <c r="AH391" i="1"/>
  <c r="AH392" i="1"/>
  <c r="AH393" i="1"/>
  <c r="AH394" i="1"/>
  <c r="AH395" i="1"/>
  <c r="AH396" i="1"/>
  <c r="AH397" i="1"/>
  <c r="AH398" i="1"/>
  <c r="AH399" i="1"/>
  <c r="AH400" i="1"/>
  <c r="AH401" i="1"/>
  <c r="AH402" i="1"/>
  <c r="AH403" i="1"/>
  <c r="AH404" i="1"/>
  <c r="AH405" i="1"/>
  <c r="AH406" i="1"/>
  <c r="AH407" i="1"/>
  <c r="AH408" i="1"/>
  <c r="AH409" i="1"/>
  <c r="AH410" i="1"/>
  <c r="AH411" i="1"/>
  <c r="AH412" i="1"/>
  <c r="AH413" i="1"/>
  <c r="AH414" i="1"/>
  <c r="AH415" i="1"/>
  <c r="AH416" i="1"/>
  <c r="AH417" i="1"/>
  <c r="AH418" i="1"/>
  <c r="AH419" i="1"/>
  <c r="AH420" i="1"/>
  <c r="AH421" i="1"/>
  <c r="AH422" i="1"/>
  <c r="AH423" i="1"/>
  <c r="AH424" i="1"/>
  <c r="AH425" i="1"/>
  <c r="AH426" i="1"/>
  <c r="AH427" i="1"/>
  <c r="AH428" i="1"/>
  <c r="AH429" i="1"/>
  <c r="AH430" i="1"/>
  <c r="AH431" i="1"/>
  <c r="AH432" i="1"/>
  <c r="AH433" i="1"/>
  <c r="AH434" i="1"/>
  <c r="AH435" i="1"/>
  <c r="AH436" i="1"/>
  <c r="AH437" i="1"/>
  <c r="AH438" i="1"/>
  <c r="AH439" i="1"/>
  <c r="AH440" i="1"/>
  <c r="AH441" i="1"/>
  <c r="AH442" i="1"/>
  <c r="AH443" i="1"/>
  <c r="AH444" i="1"/>
  <c r="AH445" i="1"/>
  <c r="AH446" i="1"/>
  <c r="AH447" i="1"/>
  <c r="AH448" i="1"/>
  <c r="AH449" i="1"/>
  <c r="AH450" i="1"/>
  <c r="AH451" i="1"/>
  <c r="AH452" i="1"/>
  <c r="AH453" i="1"/>
  <c r="AH454" i="1"/>
  <c r="AH455" i="1"/>
  <c r="AH456" i="1"/>
  <c r="AH457" i="1"/>
  <c r="AH458" i="1"/>
  <c r="AH459" i="1"/>
  <c r="AH460" i="1"/>
  <c r="AH461" i="1"/>
  <c r="AH462" i="1"/>
  <c r="AH463" i="1"/>
  <c r="AH464" i="1"/>
  <c r="AH465" i="1"/>
  <c r="AH466" i="1"/>
  <c r="AH467" i="1"/>
  <c r="AH468" i="1"/>
  <c r="AH469" i="1"/>
  <c r="AH470" i="1"/>
  <c r="AH471" i="1"/>
  <c r="AH472" i="1"/>
  <c r="AH473" i="1"/>
  <c r="AH474" i="1"/>
  <c r="AH475" i="1"/>
  <c r="AH476" i="1"/>
  <c r="AH477" i="1"/>
  <c r="AH478" i="1"/>
  <c r="AH479" i="1"/>
  <c r="AH480" i="1"/>
  <c r="AH481" i="1"/>
  <c r="AH482" i="1"/>
  <c r="AH483" i="1"/>
  <c r="AH484" i="1"/>
  <c r="AH486" i="1"/>
  <c r="AH487" i="1"/>
  <c r="AH488" i="1"/>
  <c r="AH490" i="1"/>
  <c r="AH491" i="1"/>
  <c r="AH492" i="1"/>
  <c r="AH493" i="1"/>
  <c r="AH494" i="1"/>
  <c r="AH495" i="1"/>
  <c r="AH496" i="1"/>
  <c r="AH497" i="1"/>
  <c r="AH498" i="1"/>
  <c r="AH499" i="1"/>
  <c r="AH500" i="1"/>
  <c r="AH501" i="1"/>
  <c r="AH502" i="1"/>
  <c r="AH503" i="1"/>
  <c r="AH504" i="1"/>
  <c r="AH505" i="1"/>
  <c r="AH506" i="1"/>
  <c r="AH507" i="1"/>
  <c r="AH508" i="1"/>
  <c r="G37" i="6" s="1"/>
  <c r="G39" i="6" s="1"/>
  <c r="AH509" i="1"/>
  <c r="AH510" i="1"/>
  <c r="AH511" i="1"/>
  <c r="AH512" i="1"/>
  <c r="AH513" i="1"/>
  <c r="AH514" i="1"/>
  <c r="AH515" i="1"/>
  <c r="AH516" i="1"/>
  <c r="AH517" i="1"/>
  <c r="AH518" i="1"/>
  <c r="AH519" i="1"/>
  <c r="AH520" i="1"/>
  <c r="AH521" i="1"/>
  <c r="AH522" i="1"/>
  <c r="AH523" i="1"/>
  <c r="AH524" i="1"/>
  <c r="AH525" i="1"/>
  <c r="AH526" i="1"/>
  <c r="AH527" i="1"/>
  <c r="AH528" i="1"/>
  <c r="AH529" i="1"/>
  <c r="AH530" i="1"/>
  <c r="AH531" i="1"/>
  <c r="AH532" i="1"/>
  <c r="AH533" i="1"/>
  <c r="AH534" i="1"/>
  <c r="AH535" i="1"/>
  <c r="AH536" i="1"/>
  <c r="AH537" i="1"/>
  <c r="AH538" i="1"/>
  <c r="AH539" i="1"/>
  <c r="AH540" i="1"/>
  <c r="AH541" i="1"/>
  <c r="AH542" i="1"/>
  <c r="AH543" i="1"/>
  <c r="AH544" i="1"/>
  <c r="AH545" i="1"/>
  <c r="AH546" i="1"/>
  <c r="AH547" i="1"/>
  <c r="AH548" i="1"/>
  <c r="AH549" i="1"/>
  <c r="AH550" i="1"/>
  <c r="AH551" i="1"/>
  <c r="AH552" i="1"/>
  <c r="AH553" i="1"/>
  <c r="AH554" i="1"/>
  <c r="AH555" i="1"/>
  <c r="AH556" i="1"/>
  <c r="AH557" i="1"/>
  <c r="AH558" i="1"/>
  <c r="AH559" i="1"/>
  <c r="AH560" i="1"/>
  <c r="AH561" i="1"/>
  <c r="AH562" i="1"/>
  <c r="AH563" i="1"/>
  <c r="AH564" i="1"/>
  <c r="AH565" i="1"/>
  <c r="AH566" i="1"/>
  <c r="AH567" i="1"/>
  <c r="AH568" i="1"/>
  <c r="AH569" i="1"/>
  <c r="AH570" i="1"/>
  <c r="AH571" i="1"/>
  <c r="AH572" i="1"/>
  <c r="AH573" i="1"/>
  <c r="AH574" i="1"/>
  <c r="AH575" i="1"/>
  <c r="AH576" i="1"/>
  <c r="AH577" i="1"/>
  <c r="AH2" i="1"/>
  <c r="U2" i="1"/>
  <c r="F37" i="6" l="1"/>
  <c r="F39" i="6" s="1"/>
  <c r="C37" i="6"/>
  <c r="C39"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tc={35CE0E32-1109-4E87-8331-090FD5B7321F}</author>
    <author>tc={5146FC1C-84EC-46AA-B112-21A465BAA4C0}</author>
    <author>tc={4B50A758-16C2-4AC7-A845-8B4E4263F135}</author>
  </authors>
  <commentList>
    <comment ref="AY1" authorId="0" shapeId="0" xr:uid="{35CE0E32-1109-4E87-8331-090FD5B7321F}">
      <text>
        <t>[Threaded comment]
Your version of Excel allows you to read this threaded comment; however, any edits to it will get removed if the file is opened in a newer version of Excel. Learn more: https://go.microsoft.com/fwlink/?linkid=870924
Comment:
    Indicar si tiene o no prórroga el contrato</t>
      </text>
    </comment>
    <comment ref="AZ1" authorId="1" shapeId="0" xr:uid="{5146FC1C-84EC-46AA-B112-21A465BAA4C0}">
      <text>
        <t>[Threaded comment]
Your version of Excel allows you to read this threaded comment; however, any edits to it will get removed if the file is opened in a newer version of Excel. Learn more: https://go.microsoft.com/fwlink/?linkid=870924
Comment:
    Indicar si la prórroga es por monto</t>
      </text>
    </comment>
    <comment ref="BA1" authorId="2" shapeId="0" xr:uid="{4B50A758-16C2-4AC7-A845-8B4E4263F135}">
      <text>
        <t>[Threaded comment]
Your version of Excel allows you to read this threaded comment; however, any edits to it will get removed if the file is opened in a newer version of Excel. Learn more: https://go.microsoft.com/fwlink/?linkid=870924
Comment:
    Indicar plazo de prórroga en caso que exista</t>
      </text>
    </comment>
  </commentList>
</comments>
</file>

<file path=xl/sharedStrings.xml><?xml version="1.0" encoding="utf-8"?>
<sst xmlns="http://schemas.openxmlformats.org/spreadsheetml/2006/main" count="22447" uniqueCount="7370">
  <si>
    <t>REPORTE LICITACIONES</t>
  </si>
  <si>
    <t>Estimados:
A continuación revisar el estado de todas las licitaciones que se informan y nuestra participación. La presentación está determinada por subárea de negocio y podrán obtner información de años, meses y responsable. En cada una de las siguientes tablas les indicaré el estado a la fecha, uds además podrán filtrar como más les acomode y dependiendo de la información que quieran visualizar.</t>
  </si>
  <si>
    <t>PARTICIPACION DE LICITACIONES</t>
  </si>
  <si>
    <t>Mes</t>
  </si>
  <si>
    <t>(Todas)</t>
  </si>
  <si>
    <t>Año</t>
  </si>
  <si>
    <t>Responsable</t>
  </si>
  <si>
    <t>Cuenta de Número</t>
  </si>
  <si>
    <t>Etiquetas de columna</t>
  </si>
  <si>
    <t>Etiquetas de fila</t>
  </si>
  <si>
    <t>No</t>
  </si>
  <si>
    <t>Si</t>
  </si>
  <si>
    <t>(en blanco)</t>
  </si>
  <si>
    <t>Total general</t>
  </si>
  <si>
    <t>Equipamiento</t>
  </si>
  <si>
    <t>Helio</t>
  </si>
  <si>
    <t>Hospital</t>
  </si>
  <si>
    <t>Instalaciones</t>
  </si>
  <si>
    <t>Mant. Prev. y/o Correctiva</t>
  </si>
  <si>
    <t>Oxido Nítrico</t>
  </si>
  <si>
    <t>Oxígeno</t>
  </si>
  <si>
    <t>Sueño</t>
  </si>
  <si>
    <t xml:space="preserve">En estas tablas se pueden identificar el número total de procesos que se han notificado, se toma como referencia la fecha de publicación de la licitación. Posteriormente pueden identificar cantidad de procesos en los cuales se ha participado y en cuales NO. Los procesos que están en estado (en blanco) corresponde a aquellos que están notificados pero aún no se determina su participación, es decir aún están abiertos para participar.
A la derecha se identifica el % de participación, deben realizar los mismos filtros en ambas tablas para lograr identificar la misma información en ambas.
Hoy les reporto las licitaciones acumuladas en lo que llevamos de 2023.
Hemos participado en el 14% de los procesos publicados en los últimos 3 meses, corresponde a 29 procesos y nos da una participación de 10 procesos mensuales a la fecha. 
Al cierre 2022 participamos en el 32%, correspondió a 133 procesos lo que nos dio una participación de 11 procesos mensuales.
Es importante saber que la metodología y periodicidad de búsqueda mejoró considerablemente, ya que en 2022 se reportaron 411 proceso y en 3 meses de 2023 se han reportado 202. Por lo que llevamos el 49% notificado en 3 meses versus lo que se reporto en un año completo.
Si bien el % de NO participación es elevado, se rescata que los motivos de NO participación se encuentran mejor identificados que el año anterior, más adelante lo revisaremos
</t>
  </si>
  <si>
    <t>MOTIVO NO PARTICIPACIÓN</t>
  </si>
  <si>
    <t>Participa</t>
  </si>
  <si>
    <t>Comercial no responde</t>
  </si>
  <si>
    <t>Fuera del Presupuesto</t>
  </si>
  <si>
    <t>Monto Bajo</t>
  </si>
  <si>
    <t>No comercializamos</t>
  </si>
  <si>
    <t>No cumple requerimientos técnicos</t>
  </si>
  <si>
    <t>No se alcanza a presentar boleta</t>
  </si>
  <si>
    <t>No se presenta a la visita a terreno</t>
  </si>
  <si>
    <t>No se suben preguntas</t>
  </si>
  <si>
    <t>Sin cobertura</t>
  </si>
  <si>
    <t>Sin stock</t>
  </si>
  <si>
    <t>Tiempo reducido para ofertar</t>
  </si>
  <si>
    <t>En esta tabla se identifica el total de procesos NO participados y el motivo por el cual no se presentó oferta.
Es importante destacar la mayor participación que hemos tenido de cada uno de uds para completar el campo correspondiente, ya que con esta información podremos justificar acciones, recurso y lo que sea necesario para mejorar el proceso así como también aumentar la participación.
En los último meses logramos identificar montos que no resultan atractivos dado que requieren mucho tiempo de elaboración de proceso y la facturación no es representativa, actualmente el mayor motivo de NO participación es monto bajo, superando considerablemente el que se repetÍa anteriormente y que correspondía a "COMERCIAL NO RESPONDE". 
Para mejorar aún más el reporte y definir futuras acciones es importante que en el campo MONTO OFERTADO, se identifique el monto por el cual NO participaremos, ya que con ese dato podemos cuantificar qué monto estamos dejando fuera de todas nuestras ofertas y será nuestra justificación frente a posibles auditorías.</t>
  </si>
  <si>
    <t>En esta tabla se identifica el % por motivo de NO participación, destacan MONTO BAJO Y SIN COBERTURA.
A diferencia del reporte 2022 donde el líder fue COMERCIAL NO RESPONDE ocuapando el 43%, porcentaje que fue disminuyendo el segundo semestre y hoy 2023, sólo corresponde a un 15%.
Esta diferencia está dada por el mayor compromiso y participación de uds en el proceso, podemos seguir mejorando por lo que necesitamos que el apoyo por su parte continue.</t>
  </si>
  <si>
    <t>MONTOS OFERTADOS Y ESTADO LICITACIÓN</t>
  </si>
  <si>
    <t>Estado</t>
  </si>
  <si>
    <t>Suma de Total Ofertado</t>
  </si>
  <si>
    <t>Gases Especiales</t>
  </si>
  <si>
    <t>En esta tabla se pueden identificar los totales ofertados de acuerdo el estado de licitación.
Podremos saber cuánto aún está pendiente de ser adjudicado, qué monto total ya se ha adjudicado, etc.
Para esto es importante que completen la información en la planilla Licitaciones, de lo contrario el reporte aparecerá como ahora, donde sólo hay información de sueño.
La idea es poder identificar todas las subáreas.</t>
  </si>
  <si>
    <t>EMPRESAS ADJUDICADAS Y REPRESENTACIÓN EN EL MERCADO</t>
  </si>
  <si>
    <t>Adjudicada</t>
  </si>
  <si>
    <t>INDURA</t>
  </si>
  <si>
    <t>OTRO</t>
  </si>
  <si>
    <t>En esta tabla podremos ver número de procesos en los cuales HEMOS PARTICIPADO, y qué empresa se ha adjudidicado.
De esta forma tendremos el impacto de cada uno de los participamentes del mercado.</t>
  </si>
  <si>
    <t>En esta tabla vemos el % de representación de cada uno los actores del mercado.</t>
  </si>
  <si>
    <t>Podemos identificar los montos adjudicados totales por compañía</t>
  </si>
  <si>
    <t>En esta tabla podemos identificar el % de participación de acuerdo a los montos adjudicados.</t>
  </si>
  <si>
    <t>ES IMPORTANTE QUE COMPLETEMOS LOS CAMPOS QUE CORRESPONDEN PARA PODER REALIZAR ANÁLISIS Y DE ESTA FORMA PLANTEARNOS NUEVOS PROCEDIMIENTOS, PROYECTOS, METAS, ETC.</t>
  </si>
  <si>
    <t>ETAPA 2 - ANALISTA Y COMERCIAL</t>
  </si>
  <si>
    <t>Número</t>
  </si>
  <si>
    <t>Nombre</t>
  </si>
  <si>
    <t>Descripción</t>
  </si>
  <si>
    <t>Demandante</t>
  </si>
  <si>
    <t>Producto</t>
  </si>
  <si>
    <t>Unidades</t>
  </si>
  <si>
    <t>AREA</t>
  </si>
  <si>
    <t>Publicación</t>
  </si>
  <si>
    <t>Cierre</t>
  </si>
  <si>
    <t>Notificación</t>
  </si>
  <si>
    <t>Motivo</t>
  </si>
  <si>
    <t>Seguimiento</t>
  </si>
  <si>
    <t>Preguntas</t>
  </si>
  <si>
    <t xml:space="preserve">Respuestas </t>
  </si>
  <si>
    <t>Adjudicación</t>
  </si>
  <si>
    <t>PPTO</t>
  </si>
  <si>
    <t>PPTO Neto</t>
  </si>
  <si>
    <t>Plazo Pago</t>
  </si>
  <si>
    <t>Garantía Oferta</t>
  </si>
  <si>
    <t>Monto garantía</t>
  </si>
  <si>
    <t>Vigencia</t>
  </si>
  <si>
    <t>Visita Terreno</t>
  </si>
  <si>
    <t>Tipo Venta</t>
  </si>
  <si>
    <t>Duración (meses)</t>
  </si>
  <si>
    <t>Envío Muestra</t>
  </si>
  <si>
    <t>Vigencia Oferta (días)</t>
  </si>
  <si>
    <t>Fecha Vigencia</t>
  </si>
  <si>
    <t>Unidades2</t>
  </si>
  <si>
    <t>Precio Unitario</t>
  </si>
  <si>
    <t>Total Ofertado</t>
  </si>
  <si>
    <t>Real Adjudicación</t>
  </si>
  <si>
    <t>Vigente Oferta</t>
  </si>
  <si>
    <t>EMPRESA</t>
  </si>
  <si>
    <t>Precio Adjudicado</t>
  </si>
  <si>
    <t>Inicio Contrato</t>
  </si>
  <si>
    <t>Témino Contrato</t>
  </si>
  <si>
    <t>Tipo Documento</t>
  </si>
  <si>
    <t>RUT</t>
  </si>
  <si>
    <t>Boleta Fiel Cumplimiento</t>
  </si>
  <si>
    <t>Monto4</t>
  </si>
  <si>
    <t>Vigencia5</t>
  </si>
  <si>
    <t>Resp. Contrato</t>
  </si>
  <si>
    <t>Mail Resp. Contrato</t>
  </si>
  <si>
    <t>Contacto Pago</t>
  </si>
  <si>
    <t>Mail pago</t>
  </si>
  <si>
    <t>Prorroga</t>
  </si>
  <si>
    <t>Monto6</t>
  </si>
  <si>
    <t>Plazo</t>
  </si>
  <si>
    <t>Estado Contrato</t>
  </si>
  <si>
    <t>2917-96-L121</t>
  </si>
  <si>
    <t>Equipamiento e instrumental clínico Posta Huilma</t>
  </si>
  <si>
    <t>Equipamiento e instrumental clínico Posta Huilma Programa Equidad Rural</t>
  </si>
  <si>
    <t>I. Municipalidad de Río Negro</t>
  </si>
  <si>
    <t>Katherine Teuber</t>
  </si>
  <si>
    <t>69.210.302-5</t>
  </si>
  <si>
    <t>Alejandra Vilugron</t>
  </si>
  <si>
    <t>contabilidadsalud@rionegrochile.cl</t>
  </si>
  <si>
    <t>5209-92-LQ21</t>
  </si>
  <si>
    <t>SUMINISTRO TERAPIA DE OXIDO NITRICO</t>
  </si>
  <si>
    <t>La Universidad de Chile, para su Hospital Clínico de la Universidad de Chile, en adelante e indistintamente el “Hospital Clínico”, establecimiento docente-asistencial de medicina de alta complejidad, llama a licitación pública para la contratación de suministro de terapia con óxido nítrico por inhalación, en adelante los servicios, la cual se regulará por las presentes Bases. El mandante de esta licitación es la Universidad de Chile para su Hospital Clínico de la Universidad de Chile, cuyo domicilio para todos los efectos legales de esta convocatoria es calle Dr. Carlos Lorca Tobar (Ex Santos Dumont) Nº999, comuna de Independencia, Santiago de Chile, representado por su Directora General, en adelante la Directora.</t>
  </si>
  <si>
    <t>UNIVERSIDAD DE CHILE</t>
  </si>
  <si>
    <t>Viviana Elchiver</t>
  </si>
  <si>
    <t>LINDE GAS CHILE S.A.</t>
  </si>
  <si>
    <t>60.910.000-1</t>
  </si>
  <si>
    <t>NANCY MIRANDA</t>
  </si>
  <si>
    <t>nmiranda@hcuch.cl</t>
  </si>
  <si>
    <t>1058024-19-LQ21</t>
  </si>
  <si>
    <t>CONVENIO SUMINISTRO GASES CLÍNICOS (nvc)</t>
  </si>
  <si>
    <t>El Complejo Asistencial "Dr. Víctor Ríos Ruiz" Los Ángeles mediante el área técnica de equipos Industriales y Electricidad llama a Licitación Pública a través del Portal Web Mercado Público, por "Convenio Suministro Gases Clínicos" por 36 meses. Se deberá proveer a través de cilindros con gases clínicos comprimidos a todos los centros de costo del Complejo Asistencial mediante el abastecimiento en centro de acopio designado, manteniendo niveles mínimos de stock por cada uno de los tipos de gases con aprovisionamiento o reabastecimiento periódico semanal considerando todas las medidas de seguridad pertinentes.</t>
  </si>
  <si>
    <t>COMPLEJO ASISTENCIAL DR.VICTOR RIOS RUIZ</t>
  </si>
  <si>
    <t>Nicolás Valdebenito</t>
  </si>
  <si>
    <t>61.607.301-K</t>
  </si>
  <si>
    <t>RODOLFO GONZALEZ</t>
  </si>
  <si>
    <t>RODOLFO.GONZALEZ@SSBIOBIO.CL</t>
  </si>
  <si>
    <t>4476-32-L121</t>
  </si>
  <si>
    <t>EQUIPOS MENORES MAIS</t>
  </si>
  <si>
    <t>Adquisición de equipos menores para dar Cum´plimiento al plan de mejora MAIS De las Postas de la Comuna</t>
  </si>
  <si>
    <t>I.MUNICIPALIDAD DE ROMERAL</t>
  </si>
  <si>
    <t>69.100.200-4</t>
  </si>
  <si>
    <t>SALUDFINANZAS@MUNIROMERAL.CL</t>
  </si>
  <si>
    <t>1057509-302-LE21</t>
  </si>
  <si>
    <t>CONVENIO ANALGESIA DEL PARTO (50% DE O2 + 50% DE N2O), 2°LLAMADO (lbl)</t>
  </si>
  <si>
    <t>El Hospital Clínico Herminda Martín de Chillán llama a Licitación Pública a través del Portal Mercado Público, para suscribir “CONVENIO ANALGESIA DEL PARTO (50% DE O2 + 50% DE N2O)” de acuerdo a requerimientos especificados en Bases Administrativas y Técnicas de la presente licitación. Se pretende obtener la mejor calidad y oportunidad en la adquisición delos servicios a un precio conveniente.</t>
  </si>
  <si>
    <t>HOSPITAL CLINICO HERMINDA MARTIN</t>
  </si>
  <si>
    <t>Desierta (o art. 3 ó 9 Ley 19.886)</t>
  </si>
  <si>
    <t>61.607.001-0</t>
  </si>
  <si>
    <t>tgr</t>
  </si>
  <si>
    <t>www.tgr.cl</t>
  </si>
  <si>
    <t>1380-230-LQ21</t>
  </si>
  <si>
    <t>Propuesta Pública Nº 349-21 denominada “CONTRATACIÓN SERVICIO DE SUMINISTRO DE GASES MEDICINALES PARA EL HOSPITAL”</t>
  </si>
  <si>
    <t>Se requiere la “CONTRATACIÓN SERVICIO DE SUMINISTRO DE GASES MEDICINALES PARA EL HOSPITAL”, en adelante; “el servicio”, con una vigencia de 36 meses, acorde a las condiciones definidas en estas bases. La contratación del servicio se realizará en concordancia con la legislación vigente y las Bases Administrativas, Especificaciones Técnicas y Anexos que constituyen el referido llamado a Licitación, con equipamiento y personal necesario para realizar los trabajos.</t>
  </si>
  <si>
    <t>HOSPITAL DOCTOR HERNAN HENRIQUEZ ARAVENA</t>
  </si>
  <si>
    <t>José Fernando Saéz</t>
  </si>
  <si>
    <t xml:space="preserve"> </t>
  </si>
  <si>
    <t>61.602.232-6</t>
  </si>
  <si>
    <t>EUGENIA ACUÑA</t>
  </si>
  <si>
    <t>eugenia.acuna@asur.cl</t>
  </si>
  <si>
    <t>1057545-79-LE21</t>
  </si>
  <si>
    <t>Insumos Programa Fortalecimiento APS</t>
  </si>
  <si>
    <t>El Servicio de salud Valdivia necesita adquirir insumos para desarrollo del programa de Fortalecimiento del recurso humano APS, de acuerdo al articulo cuarto de las Bases Administrativas.</t>
  </si>
  <si>
    <t>SERVICIO DE SALUD VALDIVIA</t>
  </si>
  <si>
    <t>61.607.500-4</t>
  </si>
  <si>
    <t>Carmen Roldan Saldivia</t>
  </si>
  <si>
    <t>carmen.roldanssv@redsalud.gob.cl</t>
  </si>
  <si>
    <t>3334-52-LE21</t>
  </si>
  <si>
    <t>CONTRATO SUMINSITRO OXIGENO Y AIRE MEDICINAL DESAM</t>
  </si>
  <si>
    <t>La contratación de los Servicios de Suministro de arriendo de cilindros gases medicinales, tiene como objetivo garantizar la existencia de este suministro clínico en las atenciones de los establecimientos dependientes del DESAM La Unión tales como; Cesfam Los Tineos, Cesfam Padre Hurtado y SAR La Unión, así como en cualquier otra dependencia o programa que lo solicite.</t>
  </si>
  <si>
    <t>I MUNICIPALIDAD DE LA UNION</t>
  </si>
  <si>
    <t>69.200.800-6</t>
  </si>
  <si>
    <t>JEANNETE ARAVENA F</t>
  </si>
  <si>
    <t>jeannettearavenaf@gmail.com</t>
  </si>
  <si>
    <t>2963-48-LE21</t>
  </si>
  <si>
    <t>SERVICIO DE OXIGENO DASM LA GRANJA</t>
  </si>
  <si>
    <t>Las presentes Bases están referidas a la propuesta pública denominada SERVICIO MANTENCIÓN, ARRIENDO, LLENADO Y TRASLADO DE SUMINISTRO DE OXÍGENO PARA LAS UNIDADES DEPENDIENTES DEL DEPARTAMENTO DE ADMINISTRACIÓN DE SALUD MUNICIPAL”</t>
  </si>
  <si>
    <t>I MUNICIPALIDAD DE LA GRANJA</t>
  </si>
  <si>
    <t>Roberto Concha</t>
  </si>
  <si>
    <t>69.072.400-6</t>
  </si>
  <si>
    <t>OSCAR PEYRIN KOSSEN</t>
  </si>
  <si>
    <t>FINANZAS@MLAGRANJA.CL</t>
  </si>
  <si>
    <t>1057554-265-LE21</t>
  </si>
  <si>
    <t>Suministro de Oxígeno a Domicilio</t>
  </si>
  <si>
    <t>Las presentes Bases Administrativas tienen por objeto regular el llamado a Propuesta Pública para contratar el suministro de oxígeno a domicilio para pacientes del Programa de Cuidados Paliativos la que se singulariza en las Bases Administrativas y en las Bases Técnicas de la Propuesta.</t>
  </si>
  <si>
    <t>SERVICIO NACIONAL DE SALUD HOSPITAL CARLOS VAN BUREN</t>
  </si>
  <si>
    <t>Michelle Lara</t>
  </si>
  <si>
    <t>Contrato</t>
  </si>
  <si>
    <t>61.602.054-4</t>
  </si>
  <si>
    <t>javier olea</t>
  </si>
  <si>
    <t>javier.oleatorres@redsalu.gov.cl</t>
  </si>
  <si>
    <t>3611-47-LE21</t>
  </si>
  <si>
    <t>Adquisición y Recarga de Oxigeno Médico 3.0</t>
  </si>
  <si>
    <t>I MUNICIPALIDAD DE SAAVEDRA</t>
  </si>
  <si>
    <t>69.190.600-0</t>
  </si>
  <si>
    <t>Nicol Torres Torres</t>
  </si>
  <si>
    <t>unidadcontabledsmsaavedra@gmail.com</t>
  </si>
  <si>
    <t>948354-204-LQ21</t>
  </si>
  <si>
    <t>CONTRATACIÓN DE SERVICIO DE SUMINISTRO DE GASES CLÍNICOS PARA EL HOSPITAL DIPRECA</t>
  </si>
  <si>
    <t>El Hospital de la Dirección de Previsión de Carabineros de Chile, ubicado en Vital Apoquindo N°1.200, Comuna de Las Condes, Región Metropolitana, en adelante “EL HOSPITAL”, llama a licitación pública para la Contratación de Servicio de Suministro de Gases Clínicos, en adelante “EL SERVICIO”, para un período de 24 meses, para el referido Centro Asistencial, cuyas características y requisitos técnicos constan en las Bases Administrativas y Técnicas de esta Licitación con sus respectivos anexos.</t>
  </si>
  <si>
    <t>FUERZA AEREA DE CHILE COMANDO LOGISTICO</t>
  </si>
  <si>
    <t>MESSER</t>
  </si>
  <si>
    <t>61.513.003-6</t>
  </si>
  <si>
    <t>VIRGINIA ESQUIVEL</t>
  </si>
  <si>
    <t>tesoreria1@hospitaldipreca.cl</t>
  </si>
  <si>
    <t>1978-79-LE21</t>
  </si>
  <si>
    <t>COMPRA DE ISNUMOS PARA PACIENTES PROGRAMA AVNIA</t>
  </si>
  <si>
    <t>Esta licitación tiene por objeto dar cobertura a las necesidades de los usuarios del Programa de Asistencia Ventilatoria no Invasiva en Personas de 20 años y más AVNIA mediante la compra de insumos</t>
  </si>
  <si>
    <t>SERVICIO DE SALUD DEL MAULE</t>
  </si>
  <si>
    <t>61.606.900-4</t>
  </si>
  <si>
    <t>Tesorería</t>
  </si>
  <si>
    <t>proveedores@ssmaule.cl</t>
  </si>
  <si>
    <t>1057492-110-LP21</t>
  </si>
  <si>
    <t>MANTENCIÓN PREVENTIVA Y CORRECTIVA DE VENTILADOR MECÁNICO PHILIPS RESPIRONICS</t>
  </si>
  <si>
    <t>HOSPITAL ORIENTE DR LUIS TISNE BROUSSE</t>
  </si>
  <si>
    <t>ANDOVER ALIANZA MÉDICA S.A.</t>
  </si>
  <si>
    <t>61.959.800-8</t>
  </si>
  <si>
    <t>SR. JOSE OVALLE</t>
  </si>
  <si>
    <t>pagos@hsoriente.cl</t>
  </si>
  <si>
    <t>2332-72-LE21</t>
  </si>
  <si>
    <t>SUMINISTRO E INSTALACION DE MANIFOLD DE OXIGENO Y TOMAS MURALES PARA SAPU PADRE HURTADO DEL DEPARTAMENTO DE SALUD MUNICIPAL DE PUERTO MONTT</t>
  </si>
  <si>
    <t>El Departamento de Salud Municipal de Puerto Montt, dentro de su estrategia de compra, llama a participar en la Licitación Pública bajo la modalidad de “SUMINISTRO E INSTALACION DE MANIFOLD DE OXIGENO Y TOMAS MURALES PARA SAPU PADRE HURTADO DEL DEPARTAMENTO DE SALUD MUNICIPAL DE PUERTO MONTT”, con el objeto de mantener el correcto funcionamiento los equipos clínicos que operan en el recinto y que sirven para la prestación de servicios a la comunidad</t>
  </si>
  <si>
    <t>I MUNICIPALIDAD DE PUERTO MONTT</t>
  </si>
  <si>
    <t>Carlos Yañez</t>
  </si>
  <si>
    <t>69.220.100-0</t>
  </si>
  <si>
    <t>Michael Wigstrom</t>
  </si>
  <si>
    <t>michael.wigstrom@saludpm.cl</t>
  </si>
  <si>
    <t>4407-86-L121</t>
  </si>
  <si>
    <t>INSUMOS MÉDICOS ATENCIÓN DOMICILIARIA REFUERZO COVID-19</t>
  </si>
  <si>
    <t>SE REQUIERE LA COMPRA DE INSUMOS MÉDICOS PARA LA ATENCIÓN DOMICILIARIA QUE REALIZA EL CESFAM LUMACO. SEGÚN S.C.M. N°335, CON CARGO AL PROGRAMA REFUERZO COVID-19.</t>
  </si>
  <si>
    <t>Ilustre Municipalidad de Lumaco</t>
  </si>
  <si>
    <t>69.180.800-9</t>
  </si>
  <si>
    <t>Elías Ferreira Llano</t>
  </si>
  <si>
    <t>consultoriolumaco@gmail.com</t>
  </si>
  <si>
    <t>1057390-49-LR21</t>
  </si>
  <si>
    <t>CONV. SUMINISTRO GASES CLINICOS E INDUSTRIALES</t>
  </si>
  <si>
    <t>CONV. SUMINISTRO GASES CLINICOS E INDUSTRIALES 2021</t>
  </si>
  <si>
    <t>SERVICIO DE SALUD ARAUCANIA NORTE</t>
  </si>
  <si>
    <t>61.955.100-1</t>
  </si>
  <si>
    <t>Paula Quijada Fuentes</t>
  </si>
  <si>
    <t>paula.quijada@araucanianorte.cl</t>
  </si>
  <si>
    <t>2284-308-L121</t>
  </si>
  <si>
    <t>MANTENIMIENTO CORRECTIVO DE RED Y CENTRAL DE GASES CLINICOS - SOLICITUD Nº 44214</t>
  </si>
  <si>
    <t>EL SERVICIO REQUERIDO SE ENCUENTRA DETALLADO EN BASES TECNICAS ADJUNTAS AL PROCESO. SE SOLICITA ANALIZAR BASES, EN CASO DE TENER ALGUNA DUDA O CONSULTA, SE DEBE REALIZAR MEDIANTE EL FORO. DE FORMA OBLIGATORIA. LA OFERTA SE DEBE PRESENTAR EN LOS FORMULARIOS ADJUNTOS AL PROCESO.</t>
  </si>
  <si>
    <t>I MUNICIPALIDAD VALDIVIA</t>
  </si>
  <si>
    <t>69.200.100-1</t>
  </si>
  <si>
    <t>1077908-7-LE21</t>
  </si>
  <si>
    <t>SUMINISTRO DE GASES CLINICOS PARA EL CON</t>
  </si>
  <si>
    <t>Disponer de un convenio de provisión de oxígeno y oxido nitroso en forma de gases de uso clínico, que permita de manera oportuna, segura y confiable, resolver la demanda asistencial en las diversas áreas clínicas del Centro Oncológico del Norte.</t>
  </si>
  <si>
    <t>CENTRO ONCOLOGICO DEL NORTE</t>
  </si>
  <si>
    <t>Boris Contreras</t>
  </si>
  <si>
    <t>62.000.380-8</t>
  </si>
  <si>
    <t>2111-254-LE21</t>
  </si>
  <si>
    <t>COMPLEJIZACIÓN TOMAS MURALES DE GASES CLÍNICOS</t>
  </si>
  <si>
    <t>ADQUISICIÓN DEL SERVICIO DE RENOVACIÓN Y COMPLEJIZACIÓN DE TOMAS MURALES DE GASES CLÍNICOS</t>
  </si>
  <si>
    <t>HOSPITAL DE URGENCIA ASISTENCIA PUBLICA DR ALEJANDRO DEL RIO</t>
  </si>
  <si>
    <t>61.608.602-2</t>
  </si>
  <si>
    <t>Jorge Heredia</t>
  </si>
  <si>
    <t>jorge.heredia@redsalud.gov.cl</t>
  </si>
  <si>
    <t>2694-33-LE21</t>
  </si>
  <si>
    <t>EQUIPAMIENTO COVID-19</t>
  </si>
  <si>
    <t>EQUIPAMIENTO MEDICO Y NO MEDICO</t>
  </si>
  <si>
    <t>MUNICIPALIDAD DE CARTAGENA</t>
  </si>
  <si>
    <t>69.073.600-4</t>
  </si>
  <si>
    <t>LORETO SERRANO GARCIA</t>
  </si>
  <si>
    <t>loretosg@live.cl</t>
  </si>
  <si>
    <t>2102-86-L121</t>
  </si>
  <si>
    <t>Monitores de Saturación Adulto y Pedriatricos HSIL</t>
  </si>
  <si>
    <t>Hospital Santa Isabel de Lebu llama a licitación Publica para la adquisición de monitores de saturación adultos y pediatricos</t>
  </si>
  <si>
    <t>SERVICIO NACIONAL DE SALUD HOSPITAL DE LEBU</t>
  </si>
  <si>
    <t>61.602.212-1</t>
  </si>
  <si>
    <t>1057448-90-L121</t>
  </si>
  <si>
    <t>INSTRUMENTOS DE DIAGNOSTICO PARA SALAS RESPIRATORIAS PROGRAMA IRA</t>
  </si>
  <si>
    <t>Que, por razones de buen servicio y en cumplimiento del Plan Anual de Compras del Servicio de Salud Iquique, la presente contratación tiene por objeto contar con Instrumentos de Diagnóstico para Salas Respiratorias programa IRA de la Subdirección de Gestión Asistencial del Servicio de Salud Iquique</t>
  </si>
  <si>
    <t>SERVICIO DE SALUD IQUIQUE</t>
  </si>
  <si>
    <t>61.606.100-3</t>
  </si>
  <si>
    <t>729-418-LE21</t>
  </si>
  <si>
    <t>CAMILLA RÍGIDA / SILLA JOIN / TUBO OXIGENO C/CARGA / MESA KILLIAN (5-3350 MVV)</t>
  </si>
  <si>
    <t>Se requieren ofertas que cumplan con las especificaciones técnicas solicitadas (Solo una oferta por proveedor), es de suma importancia adjuntar Fichas técnicas es obligatoria o de lo contrario queda fuera del proceso, Plazos de entrega, Formulario PEP firmado cuando sea mayor a 1000 UF, declaración de vínculos obligatorio e indicar plazo de entrega en días hábiles bancarios. Se recuerda que la única Orden de Compra válida es la emitida por Metro S.A. La adjudicación será notificada por Gestor de Compras mediante correo electrónico, cabe destacar además que las fichas o información técnica deben ser subidas o de lo contrario quedara fuera del proceso, ojalá esta debe venir en un solo archivo mencionando el ítem. “PARA LOS REPUESTOS QUE NO SE FABRIQUEN Y NO SE COMERCIALICEN EN EL MERCADO NACIONAL, SE ACEPTARAN COTIZACIONES EN OTRAS MONEDAS, EL TIPO DE CAMBIO PARA EFECTOS DE COMPARACIÓN, CORRESPONDERÁ AL DÍA DE LA APERTURA ECONÓMICA”.</t>
  </si>
  <si>
    <t>METRO S.A.</t>
  </si>
  <si>
    <t>Cerrada</t>
  </si>
  <si>
    <t>61.219.000-3</t>
  </si>
  <si>
    <t>MAURICIO VARGAS VELASCO</t>
  </si>
  <si>
    <t>MVARGAS@METRO.CL</t>
  </si>
  <si>
    <t>5586-278-LE21</t>
  </si>
  <si>
    <t>“CONTRATO DE SUMINISTRO GASES CON CERTIFICACIÓN”</t>
  </si>
  <si>
    <t>se requiere de licitación pública para contrato de suministro Gases con Certificación para Laboratorios de Agroindustria de la Universidad de la Frontera.</t>
  </si>
  <si>
    <t>UNIVERSIDAD DE LA FRONTERA</t>
  </si>
  <si>
    <t>87.912.900-1</t>
  </si>
  <si>
    <t>Luis Torralbo</t>
  </si>
  <si>
    <t>luis.torralbo@ufrontera.cl</t>
  </si>
  <si>
    <t>3332-37-L121</t>
  </si>
  <si>
    <t>ADQUISICION DE INSUMOS CORRESPONDIENTE A CONVENIO</t>
  </si>
  <si>
    <t>ADQUISICION DE INSUMOS CORRESPONDIENTE A CONVENIO IMPLEMENTACION DE ESTRATEGIA TESTEO TRAZABILIDAD Y AISLAMIENTO EN APS</t>
  </si>
  <si>
    <t>ILUSTRE MUNICIPALIDAD DE ALTO DEL CARMEN</t>
  </si>
  <si>
    <t>69.251.900-0</t>
  </si>
  <si>
    <t>IVAN RIOS HINOJOSA</t>
  </si>
  <si>
    <t>ADQUISICIONES.SALUD@MUNIALTODELCARMEN.CL</t>
  </si>
  <si>
    <t>5061-142-L121</t>
  </si>
  <si>
    <t>S558 Servicio de provisión de gases clínicos y arriendo de cilindros para establecimientos de Salud Municipal.</t>
  </si>
  <si>
    <t>Servicio de suministro de oxigeno medico, aire medicinal y arriendo de cilindros, para establecimientos de Salud Municipal.</t>
  </si>
  <si>
    <t>I MUNICIPALIDAD DE TEMUCO</t>
  </si>
  <si>
    <t>Orden de Compra</t>
  </si>
  <si>
    <t>69.190.700-7</t>
  </si>
  <si>
    <t>1656-32-LE21</t>
  </si>
  <si>
    <t>SERVICIO DE SUMINISTRO DE GASES PARA LABORATORIO</t>
  </si>
  <si>
    <t>Realizar la compra oportuna y planificada de Gases especiales para el funcionamiento de equipos del Laboratorio de Salud Pública, la cual se define como el convenio de suministro proporcionado por proveedores de estos insumos descritos en las Bases Técnicas.</t>
  </si>
  <si>
    <t>SUBSECRETARIA DE SALUD PUBLICA</t>
  </si>
  <si>
    <t>Gabriela Cardenas</t>
  </si>
  <si>
    <t>61.601.000-K</t>
  </si>
  <si>
    <t>CESAR GALVEZ</t>
  </si>
  <si>
    <t>CLAUDIO.LIRA@REDSALUD.GOB.CL</t>
  </si>
  <si>
    <t>2410-186-LE21</t>
  </si>
  <si>
    <t>SUMINISTRO, TRASLADO Y ARRIENDO DE CILINDROS DE OXIGENO MEDICINAL Y AIRE COMPRIMIDO MEDICINAL</t>
  </si>
  <si>
    <t>Considera el abastecimiento de oxígeno medicinal y aire comprimido medicinal para los establecimientos de atención primaria, ambulancias y puntos de vacunación de la comuna de Los Ángeles, de acuerdo a Bases técnicas adjuntas.</t>
  </si>
  <si>
    <t>I MUNICIPALIDAD DE LOS ANGELES</t>
  </si>
  <si>
    <t>69.170.102-6</t>
  </si>
  <si>
    <t>Oscar Oliva San Martin</t>
  </si>
  <si>
    <t>oscar.oliva@ssbiobio.cl</t>
  </si>
  <si>
    <t>No se adjudicó el item</t>
  </si>
  <si>
    <t>1057418-27-LE21</t>
  </si>
  <si>
    <t>CONVENIO SUMINISTRO MANTENCIÓN PREVENTIVA Y REPARATIVA PARA EQUIPAMIENTO INDUSTRIAL, RED DE OXÍGENO Y OTROS DEL HOSPITAL DE MULCHÉN</t>
  </si>
  <si>
    <t>Hospital de Mulchén</t>
  </si>
  <si>
    <t>61.607.302-8</t>
  </si>
  <si>
    <t>VIVIANA PUENTES</t>
  </si>
  <si>
    <t>VIVIANA.PUESTES@SSBIOBIO.CL</t>
  </si>
  <si>
    <t>1057049-368-LQ21</t>
  </si>
  <si>
    <t>CSC - Suministro Oxígeno Líquido a granel</t>
  </si>
  <si>
    <t>El objetivo de la Propuesta es la Contratación del Suministro Oxigeno Liquido a Granel para el Hospital Clínico San Borja Arriarán, de acuerdo a lo solicitado en las Especificaciones Técnicas, en concordancia con las Bases Administrativas, Técnicas, Formularios, Anexos, Aclaraciones y otros documentos que pudieran formularse en el transcurso de la licitación. Se entenderá que todo proveedor conoce y acepta irrevocablemente el contenido de estas Bases, por el solo hecho de presentar ofertas en este proceso de licitación.</t>
  </si>
  <si>
    <t>SERV SALUD METROPOLITANO CENTRAL HOSPITAL CLINICO SAN BORJA ARRIARAN</t>
  </si>
  <si>
    <t>desierta (o art. 3 ó 9 Ley 19.886)</t>
  </si>
  <si>
    <t>61.608.604-9</t>
  </si>
  <si>
    <t>Silvana Aceto Cassi</t>
  </si>
  <si>
    <t>silvana.aceto@redsalud.gob.cl</t>
  </si>
  <si>
    <t>1057049-366-LQ21</t>
  </si>
  <si>
    <t>PCV - Instalación de Redes de Gases Clínicos</t>
  </si>
  <si>
    <t>El objetivo de la Propuesta, es la “Instalación de Redes de Gases Clínicos en Módulos de Atención de Pacientes del Hospital Clínico San Borja Arriarán”, solicitados en las especificaciones técnicas, en concordancia con las Bases Administrativas, técnicas, formularios, aclaraciones y otros documentos que pudieran formularse en el transcurso de la licitación. Se entenderá que todo proveedor conoce y acepta irrevocablemente el contenido de estas Bases, por el solo hecho de presentar ofertas en este proceso de licitación.</t>
  </si>
  <si>
    <t>silvana.aceto@redsalud.gov.cl</t>
  </si>
  <si>
    <t>1057402-299-LR21</t>
  </si>
  <si>
    <t>INSUMOS MÉDICOS PARA UPC 2022-2023</t>
  </si>
  <si>
    <t>El propósito de la licitación es contar con contratos de suministro de “INSUMOS MÉDICOS PARA UPC 2022-2023”, que permitan el aprovisionamiento oportuno de los productos necesarios en la atención de los usuarios del Hospital para los años 2022 - 2023, en las circunstancias que estos productos no fueran provistos por la Central Nacional de Abastecimiento de los Servicios de Salud, ni se encuentren disponibles en catálogos electrónicos del Convenio Marco o en las Compras Coordinadas yo Conjuntas del Ministerio de Salud, o bien su adquisición sea desventajosa respecto al resultado de la presente licitación, cuyas condiciones más ventajosas serán informadas en la oportunidad correspondiente a la Dirección de Compras, en conformidad con lo dispuesto en el artículo 15 del D.S. Nº 250, de 2004, del Ministerio de Hacienda. El contrato de suministro anteriormente indicado se hará efectivo cada vez que sea necesario, a través de la emisión de órdenes de compra enviadas al proveedor adjudicado mediante la plataforma www.mercadopublico.cl. Sin perjuicio de lo anterior, durante todo el periodo de vigencia del contrato, los productos serán solicitados en la oportunidad del mes que el Hospital estime pertinente, comprometiéndose el oferente adjudicado a difundir esta modalidad de compra a todas las instancias que participan en su proceso de ventas.</t>
  </si>
  <si>
    <t>HOSPITAL CLINICO DE MAGALLANES DR. LAUTARO NAVARRO AVARIA</t>
  </si>
  <si>
    <t>61.607.901-8</t>
  </si>
  <si>
    <t>TESORERIA GENERAL DE LA REPUBLICA</t>
  </si>
  <si>
    <t>4030-41-L121</t>
  </si>
  <si>
    <t>ADQUISICION DE CONCENTRACIÓN DE OXIGENO</t>
  </si>
  <si>
    <t>ADQUISICION DE CONCENTRACION DE OXIGENO PARA LA COMUNA DE CAMIÑA</t>
  </si>
  <si>
    <t>ILUSTRE MUNICIPALIDAD DE CAMINA</t>
  </si>
  <si>
    <t>69.251.100-K</t>
  </si>
  <si>
    <t>DEPARTAMENTO DE SALUD</t>
  </si>
  <si>
    <t>MAGDADEPTOSALUD@GMAIL.COM</t>
  </si>
  <si>
    <t>2026-284-LQ21</t>
  </si>
  <si>
    <t>ARRIENDO, TRANSPORTE Y RECARGA DE OXIGENO QUINTERO</t>
  </si>
  <si>
    <t>Las presentes bases rigen la propuesta pública que tiene por objeto contratar los servicios de arriendo de cilindro, transporte y recarga de oxígeno medicinal para Red de Gases Clinicos y uso dimiciliario, destinado a pacientes de Hospital AdrianaCosuiño de Quintero Por tanto, mediante la presente licitación se pretende contratar, la adqusición bajo contrato de suministro, del arriendo y recarga, por establecimiento, que se detalla más adelante. Durante el período los cupos podrán sufrir modificaciones aumentos los que serán informados con la debida antelación.</t>
  </si>
  <si>
    <t>SERVICIO SALUD VINA DEL MAR QUILLOTA</t>
  </si>
  <si>
    <t>Rogelio Garcia</t>
  </si>
  <si>
    <t>61.606.600-5</t>
  </si>
  <si>
    <t>HUMBERTO SEGOVIA SEGOVIA</t>
  </si>
  <si>
    <t>HUMBERTO.SEGOVIA@REDSALUD.GOV.CL</t>
  </si>
  <si>
    <t>2859-97-L121</t>
  </si>
  <si>
    <t>ADQUISICIÓN DE GASES DE LABORATORIO</t>
  </si>
  <si>
    <t>ADQUISICIÓN DE GASES DE LABORATORIO EN MARCO DEL PROYECTO DENOMINADO "RECUPERACIÓN DE RENIO A PARTIR DE UNA SOLUCIÓN ACUOSA UTILIZANDO LÍQUIDOS IÓNICOS" DE LA UNIVERSIDAD DE ATACAMA.</t>
  </si>
  <si>
    <t>UNIVERSIDAD DE ATACAMA</t>
  </si>
  <si>
    <t>71.236.700-8</t>
  </si>
  <si>
    <t>584146-34-L121</t>
  </si>
  <si>
    <t>EQUIPAMIENTO MEDICO UNIDAD OTORRINO - CESFAM</t>
  </si>
  <si>
    <t>EQUIPAMIENTO MEDICO PARA UNIDADD OTORRINO - CESFAM PURRANQUE.</t>
  </si>
  <si>
    <t>I MUNICIPALIDAD DE PURRANQUE</t>
  </si>
  <si>
    <t>69.210.500-1</t>
  </si>
  <si>
    <t>DIRECCION DE CESFAM</t>
  </si>
  <si>
    <t>pagoproveedores@cesfampurranque.cl</t>
  </si>
  <si>
    <t>1075963-291-LR21</t>
  </si>
  <si>
    <t>CONVENIO DE SUMINISTROS DE DISPOSITIVOS MEDICOS COVID</t>
  </si>
  <si>
    <t>SE DEBEN ADJUNTAR TODOS LOS ANEXOS CON SUS RESPECTIVAS FIRMAS DEL REPRESENTANTE LEGAL. SEGÚN LO INDICADO EN BASES ADMINISTRATIVA ART N°13: DE LA PRESENTACIÓN DE LA PROPUESTA. ADEMAS, ADJUNTAR COPIA DE LA BOLETA DE SERIEDAD DE LA OFERTA EN LOS ARCHIVO ADJUNTOS Y LA ESCRITURA DE CONSTITUCIÓN DE LA SOCIEDAD ACTUALIZADA EN LA CUAL ESTÉN LOS REPRESENTANTE LEGALES. EN EL CASO DE QUE LA BOLETA DE GARANTÍA DE SERIEDAD DE LA OFERTA SEA EMITIDA EN FORMA ELECTRÓNICA, ESTA DEBERÁ SER ENVIADA A LOS SIGUIENTES CORREOS: teresa.romero@hjnc.cl, rodrigo.soriano@hjnc.cl, herman.geraldo@hjnc.cl, daniel.sepulveda@hjnc.cl, pamela.donoso@hjnc.cl.</t>
  </si>
  <si>
    <t>SERVICIO DE SALUD ARICA HOSP DR JUAN NOE CREVANI</t>
  </si>
  <si>
    <t>61.606.001-5</t>
  </si>
  <si>
    <t>PAULINA ASTORGA DIAZ</t>
  </si>
  <si>
    <t>paulina.astorga@hjnc.cl</t>
  </si>
  <si>
    <t>1979-144-LE21</t>
  </si>
  <si>
    <t>143.21 CONVENIO SUMINISTRO DE NITROGENO LIQUIDO; PARA HOSPITAL DE NUEVA IMPERIAL</t>
  </si>
  <si>
    <t>El Hospital de Nueva Imperial, consecuente con la política de mejorar la oportunidad y la calidad de atención a los usuarios del sistema público de salud de la comuna de Nueva Imperial, ha denominado convocar a la presente licitación para asegurar el suministro de NITROGENO LIQUIDO, para procedimientos dermatológicos, la recarga de termo con nitrógeno líquido será por un periodo aproximado de 18 meses o hasta que los fondos disponibles para la licitación se hubiesen agotado o extinguidos pudiendo ser renovada por una sola vez y hasta por seis meses más de acuerdo al siguiente detalle</t>
  </si>
  <si>
    <t>SERVICIO DE SALUD ARAUCANIA SUR HOSPITAL DE NUEVA IMPERIAL</t>
  </si>
  <si>
    <t>61.607.401-6</t>
  </si>
  <si>
    <t>rocio pizarro</t>
  </si>
  <si>
    <t>rocio.pizarro@asur.cl</t>
  </si>
  <si>
    <t>956-135-LE21</t>
  </si>
  <si>
    <t>Insumos para el programa imágenes diagnósticas.</t>
  </si>
  <si>
    <t>La necesidad de adquirir insumos para el programa imágenes diagnósticas.</t>
  </si>
  <si>
    <t>SERVICIO DE SALUD VALPARAISO SAN ANTONIO</t>
  </si>
  <si>
    <t>61.606.500-9</t>
  </si>
  <si>
    <t>MANUEL HORACIO LOPEZ ROJAS</t>
  </si>
  <si>
    <t>horacio.lopez@redsalud.gov.cl</t>
  </si>
  <si>
    <t>2189-130-LE21</t>
  </si>
  <si>
    <t>ADQUISICION EQUIPOS OXIGENOTERAPIA (NUEVO LLAMADO) - HOSPITAL DE CURICO</t>
  </si>
  <si>
    <t>Adquisición de equipos de oxigenoterapia para el Hospital de Curico, segun bases de licitación y demas documentos adjuntos a la licitación.</t>
  </si>
  <si>
    <t>Revocada</t>
  </si>
  <si>
    <t>Alicia Caceres</t>
  </si>
  <si>
    <t>acacerest@ssmaule.cl</t>
  </si>
  <si>
    <t>1080093-22-LE21</t>
  </si>
  <si>
    <t>INSUMOS PARA ATENCIÓN DOMICILIARIA DE PACIENTES</t>
  </si>
  <si>
    <t>El propósito de la presente licitación es la compra de insumos para la atención domiciliaria de pacientes con dependencia severa y moderada en especial en el área de rehabilitación integral para el año 2021</t>
  </si>
  <si>
    <t>SERVICIO DE SALUD MAGALLANES</t>
  </si>
  <si>
    <t>61.607.900-k</t>
  </si>
  <si>
    <t>Carolina Ojeda Aguilar</t>
  </si>
  <si>
    <t>tesoreria.dssm@redsalud.gov.cl</t>
  </si>
  <si>
    <t>4967-28-LE21</t>
  </si>
  <si>
    <t>Recarga de Cilindros de Oxigeno Gaseoso Medicinal</t>
  </si>
  <si>
    <t>Las presentes Bases de licitación orientan, fijan y determinan las normas y procedimientos por las que deben regirse las personas naturales o jurídicas interesadas en participar en el llamado a licitación para la contratación de CONVENIO DE RECARGA DE OXIGENO MEDICINAL GASEOSO CON VALVULA PIN Y ESTÁNDAR por un periodo de 36 meses, de manera de satisfacer permanente, continua, adecuada, oportuna y eficientemente la labor asistencial encomendada al establecimiento.</t>
  </si>
  <si>
    <t>Hospital Quilpué</t>
  </si>
  <si>
    <t>61.606.604-8</t>
  </si>
  <si>
    <t>Héctor Bastías</t>
  </si>
  <si>
    <t>hector.bastias@redsalud.gov.cl</t>
  </si>
  <si>
    <t>1398-120-L121</t>
  </si>
  <si>
    <t>INSUMOS PROGRAMA VENTILACION MECANICA AVNIA</t>
  </si>
  <si>
    <t>COMPRA DE INSUMOS PARA USUARIOS CON VENTILACION MECANICA NO INVASIVA ASOCIADOS A PROGRAMA AVNIA</t>
  </si>
  <si>
    <t>SERVICIO DE SALUD LIBERTADOR BDO OHIGGINS</t>
  </si>
  <si>
    <t>61.606.800-8</t>
  </si>
  <si>
    <t>Paula Sepulveda</t>
  </si>
  <si>
    <t>psepulveda@calvomackenna.cl</t>
  </si>
  <si>
    <t>1719-22-L121</t>
  </si>
  <si>
    <t>SUMINISTRO DE OXIGENO</t>
  </si>
  <si>
    <t>Suministro de oxigeno desde Enero a Diciembre 2022, según bases de decreto N 5775.-</t>
  </si>
  <si>
    <t>ILUSTRE MUNICIPALIDAD DE SAGRADA FAMILIA</t>
  </si>
  <si>
    <t>69.110.200-9</t>
  </si>
  <si>
    <t>Viviana Riquelme</t>
  </si>
  <si>
    <t>vriquelme@sagradafamilia.cl</t>
  </si>
  <si>
    <t>Sin adjudicación el item</t>
  </si>
  <si>
    <t>1057390-47-LQ21</t>
  </si>
  <si>
    <t>CONVENIO DE SUMINISTRO PGM MINISTERIALES 2021-2023</t>
  </si>
  <si>
    <t>La necesidad de suscribir convenios de suministros, necesarios para la gestión de la red asistencial del Servicio de Salud Araucanía Norte y la de sus establecimientos dependientes, con el objeto de poder cumplir a cabalidad con los tratamientos farmacológicos de pacientes beneficiarios del programa ministeriales (PM), para la demanda asistencial de la Provincia de Malleco.</t>
  </si>
  <si>
    <t>Jaime Jimenez</t>
  </si>
  <si>
    <t>jjimenezortiz@araucanianorte.cl</t>
  </si>
  <si>
    <t>1058078-18-LQ21</t>
  </si>
  <si>
    <t>CONTRATACION GAS MEDICINAL</t>
  </si>
  <si>
    <t>CONTRATACIÓN DEL SERVICIO DE RECARGA, MANTENCION PREVENTIVA, REPARATIVA Y ACCESORIOS DE GASES MEDICINALES PARA PACIENTES DEL HOSPITAL SAN JOSE DE MELIPILLA RESOLUCIÓN EXENTA N°742 CON FECHA 17/11/2021</t>
  </si>
  <si>
    <t>Hospital de Melipilla</t>
  </si>
  <si>
    <t>61.602.123-0</t>
  </si>
  <si>
    <t>Luis Farias</t>
  </si>
  <si>
    <t>luis.farias@redsalud.gov.cl</t>
  </si>
  <si>
    <t>1509-68-LE21</t>
  </si>
  <si>
    <t>SUMINISTRO DE GASES CLÍNICOS PARA HCTT.</t>
  </si>
  <si>
    <t>EL HOSPITAL DE TIL TIL REQUIERE CONTRATAR SUMINISTRO DE GASES CLÍNICOS PARA HCTT.VER RESOLUCIÓN N°148 DE FECHA 29 DE NOVIEMBRE DE 2021, APRUEBA BASES DE LICITACIÓN.</t>
  </si>
  <si>
    <t>SERVICIO DE SALUD METROPOLITANO NORTE HOSPITAL DE TIL TIL</t>
  </si>
  <si>
    <t>61.608.006-7</t>
  </si>
  <si>
    <t>VERONICA ORTEGA NARANJO</t>
  </si>
  <si>
    <t>VERONICA.ORTEGA@REDSALUD.GOV.CL</t>
  </si>
  <si>
    <t>1624-54-L121</t>
  </si>
  <si>
    <t>OXIGENO MEDICO</t>
  </si>
  <si>
    <t>Reposición de Oxigeno Médico CONVENIO DE SUMINISTRO DE RECARGA DE GASES CLINICOS, FLETE Y ARRIENDO DE CILINDROS PARA EL HOSPITAL DE NANCAGUA El Presente</t>
  </si>
  <si>
    <t>Hospital de Nancagua</t>
  </si>
  <si>
    <t>61.602.147-8</t>
  </si>
  <si>
    <t>617807-48-LE21</t>
  </si>
  <si>
    <t>ADQUISICION DEL CONVENIO DE SUMINISTRO DE ACCESORIOS SECUNDARIOS PARA GASES CLINICOS DEL HOSPITAL SAN JUAN DE DIOS DE LOS ANDES</t>
  </si>
  <si>
    <t>Las presentes Bases Administrativas y Bases Técnicas tienen por objeto la “ADQUISICION DEL CONVENIO DE SUMINISTRO DE ACCESORIOS SECUNDARIOS PARA GASES CLINICOS DEL HOSPITAL SAN JUAN DE DIOS DE LOS ANDES” Para estos efectos, y a partir de las presentes Bases de Licitación, se establecen las disposiciones que regirán este proceso concursal.</t>
  </si>
  <si>
    <t>SERV NAC SALUD HOSPITAL DE LOS ANDES</t>
  </si>
  <si>
    <t>61.602.036-6</t>
  </si>
  <si>
    <t>SEBASTIAN GORDON ESCUTI</t>
  </si>
  <si>
    <t>sebastian.gordon@redsalud.gov.cl</t>
  </si>
  <si>
    <t>162-53-LE21</t>
  </si>
  <si>
    <t>Provisión de Gases Especiales a Laboratorios</t>
  </si>
  <si>
    <t>Provisión Gases Especiales, para Lab de Osorno y Puerto Montt y los Lab de Marea Roja de Castro y Quellón. Esto para la puesta en marcha de Equipo Espectrofotómetro de Absorción Atómica y Cromatógrafo Gaseoso de Laboratorio Osorno; además para cumplimiento a los Programas de Fiscalización de Agua y Alimento del Laboratorio Puerto Montt y como parte de aplicación de nuevas técnicas Bioterios Lab.</t>
  </si>
  <si>
    <t>Jose Pizarro Peña</t>
  </si>
  <si>
    <t>jose.pizarrop@redsalud.gov.cl</t>
  </si>
  <si>
    <t>1057418-28-LE21</t>
  </si>
  <si>
    <t>Hospital de la Familia y Comunidad de Mulchén</t>
  </si>
  <si>
    <t>1057049-396-LE21</t>
  </si>
  <si>
    <t>SMG. ADQUISICION DE INSUMOS PARA VENTILACION Y OTROS INSUMOS PARA LOS SERVICIOS CLINICOS</t>
  </si>
  <si>
    <t>El objetivo de la Propuesta es la adquisición de Insumos Para Ventilación y Otros Insumos Para Los Servicios Clínicos del Hospital Clínico San Borja Arriarán, solicitados en las especificaciones técnicas, en concordancia con las Bases Administrativas, Técnicas, Formularios, aclaraciones y otros documentos que pudieran formularse en el transcurso de la licitación. Se entenderá que todo proveedor conoce y acepta irrevocablemente el contenido de estas Bases, por el solo hecho de presentar ofertas en este proceso de licitación.</t>
  </si>
  <si>
    <t>HOSPITAL CLINICO SAN BORJA ARRIARAN</t>
  </si>
  <si>
    <t>dipresrecepcion@custodium.com</t>
  </si>
  <si>
    <t>SILVANA ACETO CASSI</t>
  </si>
  <si>
    <t>1057494-87-LQ21</t>
  </si>
  <si>
    <t>SUMINISTRO DE OXIGENO LIQUIDO</t>
  </si>
  <si>
    <t>SUMINISTRO DE OXIGENO LIQUIDO HOSPITAL EXEQUIEL GONZALEZ CORTES</t>
  </si>
  <si>
    <t>SERVICIO DE SALUD SUR HOSPITAL EXEQUIEL</t>
  </si>
  <si>
    <t>61.608.102-0</t>
  </si>
  <si>
    <t>Ignacio Diaz Castañeda</t>
  </si>
  <si>
    <t>ignacio.diaz@redsalud.gov.cl</t>
  </si>
  <si>
    <t>1057499-48-LR21</t>
  </si>
  <si>
    <t>OXIGENOTERAPIA PARA HOSPITALIZACIÓN DOMICILIARIA</t>
  </si>
  <si>
    <t>El Servicio de Salud Metropolitano Sur, ubicado en Avenida Santa Rosa N.º 3453, Comuna de San Miguel, llama a través de su Departamento de Abastecimiento, a licitación pública para la contratación de “OXIGENOTERAPIA PARA HOSPITALIZACIÓN DOMICILIARIA” para la atención de pacientes con problemas respiratorios en las personas mayores o pacientes inmunocomprometidos, que requieren oxigenoterapia y su principal función es evitar hospitalizaciones, los cuales son de carácter necesario para la buena utilización de los recursos y el seguimiento del paciente en su residencia, esto se encuentra en el marco del programa de Hospitalización Domiciliaria.</t>
  </si>
  <si>
    <t>SERVICIO DE SALUD SUR UNIDAD HOSPITALARI</t>
  </si>
  <si>
    <t>AIRLIQUIDE</t>
  </si>
  <si>
    <t>61.608.108-K</t>
  </si>
  <si>
    <t>Rodrigo Gonzalez</t>
  </si>
  <si>
    <t>rodrigo.gonzalez@redsalud.gov.cl</t>
  </si>
  <si>
    <t>1057387-33-LE21</t>
  </si>
  <si>
    <t>SUMINISTRO OXIGENO LIQUIDO Y ESTANQUE CRIOGENICO</t>
  </si>
  <si>
    <t>La presente licitación tiene como objetivo el suministro continuo de oxigeno liquido con provisión de estanque criogénico, para el Hospital de Collipulli, conforme a la propuesta más ventajosa para el Establecimiento.</t>
  </si>
  <si>
    <t>SERVICIO SALUD ARAUCANIA HOSPITAL DE COLLIPULLI</t>
  </si>
  <si>
    <t>61.602.223-7</t>
  </si>
  <si>
    <t>Mercedes Cofre Fermandois</t>
  </si>
  <si>
    <t>mercedes.cofre@araucanianorte.cl</t>
  </si>
  <si>
    <t>1079650-31-LR21</t>
  </si>
  <si>
    <t>AMPLIACIÓN RED DE GASES CLÍNICOS Y ELÉCTRICAS MONOBLOCK HGGB</t>
  </si>
  <si>
    <t>AMPLIACIÓN RED DE GASES CLÍNICOS Y ELÉCTRICAS MONOBLOCK HGGB, SEGÚN DOCUMENTOS ADJUNTOS</t>
  </si>
  <si>
    <t>SERVICIO DE SALUD CONCEPCION</t>
  </si>
  <si>
    <t>61.607.100-9</t>
  </si>
  <si>
    <t>GOBIERNO REGIONAL</t>
  </si>
  <si>
    <t>YSAEZ@GOREBIOBIO.CL</t>
  </si>
  <si>
    <t>1736-404-LE21</t>
  </si>
  <si>
    <t>ADQUISICION Y SERVICIO DE CAMBIO DE MANIFOLD AGA/MEMO N° 1368-1644</t>
  </si>
  <si>
    <t>SE REQUIERE PARA REPARACION DE FILTRACION DE OXIGENO</t>
  </si>
  <si>
    <t>I MUNICIPALIDAD DE LA COMUNA DE EL BOSQUE</t>
  </si>
  <si>
    <t>69.255.300-4</t>
  </si>
  <si>
    <t>ROSE LARENAS MEZA</t>
  </si>
  <si>
    <t>gestionpagooportuno@MUNICIPALIDADELBOSQUE.CL</t>
  </si>
  <si>
    <t>5594-23-LQ21</t>
  </si>
  <si>
    <t>Servicios Oxigenoterapia Domiciliaria</t>
  </si>
  <si>
    <t>Contratar servicios de oxigenoterapia domiciliaria para los beneficiarios del sistema de salud Fuerza Aérea de Chile a nivel nacional.</t>
  </si>
  <si>
    <t>61.103.005-3</t>
  </si>
  <si>
    <t>ALBERTO BAEZA PIZARRO</t>
  </si>
  <si>
    <t>abaezap@fach.mil.cl</t>
  </si>
  <si>
    <t>2111-255-LQ21</t>
  </si>
  <si>
    <t>ACCESORIOS Y REPUESTOS PARA OXIGENOTERAPIA</t>
  </si>
  <si>
    <t>CONVENIO DE SUMINISTRO DE ACCESORIOS Y REPUESTOS PARA OXIGENOTERAPIA</t>
  </si>
  <si>
    <t>FELIPE LABRAÑA</t>
  </si>
  <si>
    <t>felipe.labrana@redsalud.gob.cl</t>
  </si>
  <si>
    <t>1655-65-LE21</t>
  </si>
  <si>
    <t>INSTRUMENTAL DE ENTRENAMIENTO RESPIRATORIO</t>
  </si>
  <si>
    <t>Contar con el Instrumental adecuado para la ejercitación musculatoria a pacientes con enfermedades respiratorias de los Centros de Salud Familiar de la Dirección de Atención Primaria del Servicio de Salud Metropolitano Central.</t>
  </si>
  <si>
    <t xml:space="preserve">SERVICIO DE SALUD METROPOLITANO CENTRAL </t>
  </si>
  <si>
    <t>Spot</t>
  </si>
  <si>
    <t>61.608.605-7</t>
  </si>
  <si>
    <t>Sergio Adriazola</t>
  </si>
  <si>
    <t>sergio.adriazola@redsalud.gob.cl</t>
  </si>
  <si>
    <t>1057491-175-LQ21</t>
  </si>
  <si>
    <t>SERVICIO DE PROVISION DE GASES MEDICINALES, ARRIENDO DE CILINDROS, Y MANTENCIÓN PREVENTIVA Y CORRECTIVA DE INSTALACIONES DE GASES CLINICOS</t>
  </si>
  <si>
    <t>El Hospital Luis Calvo Mackenna requiere contar con la ADQUISICIÓN, POR SISTEMA DE SUMINISTRO, DEL SERVICIO DE PROVISION DE GASES MEDICINALES, ARRIENDO DE CILINDROS, Y MANTENCIÓN PREVENTIVA Y CORRECTIVA DE INSTALACIONES DE GASES CLINICOS, PARA EL HOSPITAL LUIS CALVO MACKENNA, necesarios para el óptimo desempeño de las dependencias del Hospital.</t>
  </si>
  <si>
    <t>SERVICIO DE SALUD ORIENTE HOSPITAL LUIS CALVO MACKENNA</t>
  </si>
  <si>
    <t>Myriam Mc Manus</t>
  </si>
  <si>
    <t>61.608.408-9</t>
  </si>
  <si>
    <t>3690-48-L121</t>
  </si>
  <si>
    <t>Insumos y Equipos Prog. Campana de Invierno</t>
  </si>
  <si>
    <t>requiere la compra de Insumos y Equipos Programa Campaña de Invierno, en el contexto de pandemia COVID 19, debido al riesgo de contagio de esta enfermedad respiratoria y para prevención, es necesario la utilización de medidas de barrera y protección para los funcionarios y los ambientes de uso diario, por lo que el uso de EPP junto con filtros bacteriales para procedimientos de pruebas de función pulmonar se hace imprescindible además, contar con implementos de rehabilitación respiratoria para la correcta rehabilitación de pacientes secuelados por esta enfermedad.</t>
  </si>
  <si>
    <t>I MUNICIPALIDAD DE LAS CABRAS</t>
  </si>
  <si>
    <t>69.080.800-5</t>
  </si>
  <si>
    <t>Johanna Poblete</t>
  </si>
  <si>
    <t>finanzas.saludlascabras@gmail.com</t>
  </si>
  <si>
    <t>4193-59-LE21</t>
  </si>
  <si>
    <t>Contrato Suministro Oxigeno Medico Año 2022</t>
  </si>
  <si>
    <t>Suscribir Contrato Suministro de Oxigeno Medico y Otros para Año 2022 para CESFAM de Caldera.</t>
  </si>
  <si>
    <t>I MUNICIPALIDAD DE CALDERA</t>
  </si>
  <si>
    <t>Lautaro Bernal</t>
  </si>
  <si>
    <t>69.030.300-0</t>
  </si>
  <si>
    <t>Adelinda Vergara Godoy</t>
  </si>
  <si>
    <t>a.vergara@cesfamcaldera.cl</t>
  </si>
  <si>
    <t>4123-19-LE21</t>
  </si>
  <si>
    <t>Compra de Equipamiento Clínico para Cesfam de Ninh</t>
  </si>
  <si>
    <t>I MUNICIPALIDAD DE NINHUE</t>
  </si>
  <si>
    <t>69.140.302-5</t>
  </si>
  <si>
    <t>Juan Rodríguez Jara</t>
  </si>
  <si>
    <t>saludninhue@gmail.com</t>
  </si>
  <si>
    <t>2274-119-L121</t>
  </si>
  <si>
    <t>Adquisicion carga oxigeno cesfam dec.2566</t>
  </si>
  <si>
    <t>cesfam comuna de la pintana</t>
  </si>
  <si>
    <t>I MUNICIPALIDAD DE LA PINTANA</t>
  </si>
  <si>
    <t>69.253.800-5</t>
  </si>
  <si>
    <t>DEPARTAMENTO DE TESORERIA</t>
  </si>
  <si>
    <t>tesoreria.lapintana@gmail.com</t>
  </si>
  <si>
    <t>4375-206-LQ21</t>
  </si>
  <si>
    <t>CONVENIO SUMINISTRO OXÍGENO LÍQUIDO MEDICINAL CRIOGÉNICO</t>
  </si>
  <si>
    <t>El HGGB necesita contar con convenio suministro de oxigeno liquido medicinal, para todo el complejo hospitalario, por un periodo de 36 meses. Solicitado por Profesional de Departamento de Desarrollo Industrial mediante requerimiento N° 16692</t>
  </si>
  <si>
    <t>HOSPITAL GUILLERMO GRANT BENAVENTE DE CO</t>
  </si>
  <si>
    <t>61.602.189-3</t>
  </si>
  <si>
    <t>Loreto Rodriguez Neira</t>
  </si>
  <si>
    <t>lrodriguezn@ssconcepcion.cl</t>
  </si>
  <si>
    <t>1624-55-L121</t>
  </si>
  <si>
    <t>HOSPITAL DE NANCAGUA</t>
  </si>
  <si>
    <t>1979-154-LE21</t>
  </si>
  <si>
    <t>155.21 CONVENIO SUMINISTRO DE NITROGENO LIQUIDO; PARA HOSPITAL DE NUEVA IMPERIAL.</t>
  </si>
  <si>
    <t>El Hospital de Nueva Imperial, consecuente con la política de mejorar la oportunidad y la calidad de atención a los usuarios del sistema público de salud de la comuna de Nueva Imperial, ha denominado convocar a la presente licitación para asegurar el suministro de NITROGENO LIQUIDO, para procedimientos dermatológicos, la recarga de termo con nitrógeno líquido será por un periodo aproximado de 18 meses o hasta que los fondos disponibles para la licitación se hubiesen agotado o extinguidos pudiendo ser renovada por una sola vez y hasta por seis meses</t>
  </si>
  <si>
    <t>HOSPITAL DE NUEVA IMPERIAL</t>
  </si>
  <si>
    <t>2688-42-L121</t>
  </si>
  <si>
    <t>ADQUISICION CARGAS DE OXIGENO Y PRESTAMO ANUAL</t>
  </si>
  <si>
    <t>USO: ADQUISICION CARGAS DE OXIGENO PARA CESFAM ALGARROBO Y PRESTAMO ANUAL DE 2 TUBOS DE OXIGENO 10 M3</t>
  </si>
  <si>
    <t>I MUNICIPALIDAD DE ALGARROBO</t>
  </si>
  <si>
    <t>69.061.600-9</t>
  </si>
  <si>
    <t>SRTA. NATALY AZOCAR</t>
  </si>
  <si>
    <t>NAZOCAR@MUNICIPALIDADALGARROBO.CL</t>
  </si>
  <si>
    <t>1057547-361-LE21</t>
  </si>
  <si>
    <t>MEJORAS RED DE GASES UNIDAD DE PARTOS</t>
  </si>
  <si>
    <t>61.607.502-0</t>
  </si>
  <si>
    <t>Marianela Beltran</t>
  </si>
  <si>
    <t>Marianela.beltran@redsalud.gov.cl</t>
  </si>
  <si>
    <t>1657-49-L121</t>
  </si>
  <si>
    <t>SUMINISTRO DE GAS ESPECIAL CO2 PARA LABORATORIO DE SALUD PUBLICA AMBIENTAL SRMS4.</t>
  </si>
  <si>
    <t>SEREMI DE SALUD IV REGIÓN</t>
  </si>
  <si>
    <t>1057461-67-L121</t>
  </si>
  <si>
    <t>ADQUISICIÓN MOBILIARIO Y EQUIPOS MÉDICOS PARA HOSPITAL CAUQUENES</t>
  </si>
  <si>
    <t>POR PROYECTOS ITS SE REQUIERE ADQUIRIR CAMILLA GINECOLOGICA Y LAMPARA LED DE PIE PARA SERVICIO GINECOLOGICO. AL MOMENTO DE OFERTAR ES ESENCIAL AJUSTARSE A PRESUPUESTO DISPONIBLE CON EL QUE CUENTA HOSPITAL DE CAUQUENES, SE DESCRIBEN EN ITEMS INGRESADOS POR LOS SUMINISTROS. POR SUBTITULO 29 SE REQUIERE ADQUIRIR DE EQUIPO CPAP Y LAMPARA FRONTOLUZ PARA SERVICIOS CLÍNICOS Y OTORRINOLARINGÓLOGO. LEER BASES TÉCNICAS Y ADMINISTRATIVAS DE LA PRESENTE LICITACIÓN.</t>
  </si>
  <si>
    <t>HOSPITAL DE CAUQUENES</t>
  </si>
  <si>
    <t>MEDIPLEX S.A.</t>
  </si>
  <si>
    <t>61.606.913-6</t>
  </si>
  <si>
    <t>3705-105-LE21</t>
  </si>
  <si>
    <t>CONVENIO DE SUMINISTRO DE OXIGENO 2022</t>
  </si>
  <si>
    <t>CONVENIO DE SUMINISTRO DE OXIGENO LOS SAUCES AÑO 2022</t>
  </si>
  <si>
    <t>I MUNICIPALIDAD DE LOS SAUCES</t>
  </si>
  <si>
    <t>69.180.300-7</t>
  </si>
  <si>
    <t>MERY HERNADEZ ZUÑIGA</t>
  </si>
  <si>
    <t>mhernandez@munilossauces.com</t>
  </si>
  <si>
    <t>522-14-LE21</t>
  </si>
  <si>
    <t>Convenio suministro oxígeno, Hospital Litueche</t>
  </si>
  <si>
    <t>El Hospital de Litueche requiere convenio suministro para recarga de oxígeno, arriendo y otros insumos para asegurar el abastecimiento permanente continuio de los pacientes oxígeno requirientes.</t>
  </si>
  <si>
    <t>HOSPITAL DE LITUECHE</t>
  </si>
  <si>
    <t>61.602.152-4</t>
  </si>
  <si>
    <t>Sara Daza Gallardo</t>
  </si>
  <si>
    <t>sara.daza@saludohiggins.cl</t>
  </si>
  <si>
    <t>4493-50-L121</t>
  </si>
  <si>
    <t>CONTRATO DE SUMINISTRO POR OXIGENO MEDICINAL</t>
  </si>
  <si>
    <t>Ilustre Municipalidad de Penco</t>
  </si>
  <si>
    <t>69.150.502-2</t>
  </si>
  <si>
    <t>Gabriel Sánchez Morales</t>
  </si>
  <si>
    <t>gsanchez@penco.cl</t>
  </si>
  <si>
    <t>3944-43-L121</t>
  </si>
  <si>
    <t>LICITACION CONCENTRADOR DE OXIGENO PORTATIL</t>
  </si>
  <si>
    <t>I MUNICIPALIDAD DE PERALILLO</t>
  </si>
  <si>
    <t>69.091.500-6</t>
  </si>
  <si>
    <t>5586-380-LE21</t>
  </si>
  <si>
    <t>CONTRATO DE SUMINISTRO GASES CON CERTIFICACIÓN</t>
  </si>
  <si>
    <t>Miguel Sandoval</t>
  </si>
  <si>
    <t>miguel.sandoval@ufrontera.cl</t>
  </si>
  <si>
    <t>4735-24-LE21</t>
  </si>
  <si>
    <t>CS OXIGENO MEDICINAL Y ARRIENDO TUBOS 2022</t>
  </si>
  <si>
    <t>PARA EL SERVICIO DE URGENCIA RURAL DEL CESFAM Y POSTAS DE SALUD RURAL DE LA COMUNA DE CHOLCHOL.</t>
  </si>
  <si>
    <t>MUNICIPALIDAD DE CHOLCHOL</t>
  </si>
  <si>
    <t>69.265.000-k</t>
  </si>
  <si>
    <t>ROGER GAJARDO POBLETE</t>
  </si>
  <si>
    <t>finanzasdsmcholchol@gmail.com</t>
  </si>
  <si>
    <t>2762-34-LP21</t>
  </si>
  <si>
    <t>OXIGENO MEDICINAL CON CILINDROS EN COMODATO</t>
  </si>
  <si>
    <t>La Ilustre Municipalidad de Coronel, como responsable de la administración de los establecimientos de atención primaria de salud, llama a Licitación Pública para la provisión o suministro de Oxígeno medicinal, considerando la recarga de cilindros y arriendo de cilindros para todos los servicios de urgencia de los Centros de Salud y SAR Carlos Pinto Fierro.</t>
  </si>
  <si>
    <t>I MUNICIPALIDAD DE CORONEL</t>
  </si>
  <si>
    <t>69.151.202-9</t>
  </si>
  <si>
    <t>JOSE PEREZ PILCO</t>
  </si>
  <si>
    <t>recaudacion@dascoronel.cl</t>
  </si>
  <si>
    <t>1624-56-L121</t>
  </si>
  <si>
    <t>4776-48-L121</t>
  </si>
  <si>
    <t>ERVICIO DE MANTENCION PREVENTIVA PARA LA RED DE VACÍO Y OXÍGENO DEL CENTRO DE SALUD Y REHABILITACIÓN CAPREDENA DE LIMACHE</t>
  </si>
  <si>
    <t>CAPREDENA DE LIMACHE</t>
  </si>
  <si>
    <t>61.108.000-k</t>
  </si>
  <si>
    <t>3905-17-LE21</t>
  </si>
  <si>
    <t>SERVICIOS DE RECARGA DE OXIGENO MEDICINAL PARA DEPARTAMENTO DE SALUD DE PINTO, PARA PERIODO AÑO 2022 Y 2023</t>
  </si>
  <si>
    <t>El Departamento de Salud, perteneciente de la I.Municipalidad de Pinto, tiene la necesidad de realizar la suscripción de un convenio de suministro de oxígeno medicinal para cubrir las necesidades del Cesfam , Posta Recinto y Posta Ciruelito.</t>
  </si>
  <si>
    <t>Ilustre Municipalidad de Pinto</t>
  </si>
  <si>
    <t>72.529.500-6</t>
  </si>
  <si>
    <t>Marta Muñoz Cifuentes</t>
  </si>
  <si>
    <t>finanzas@desamupinto.cl</t>
  </si>
  <si>
    <t>3140-22-LE21</t>
  </si>
  <si>
    <t>SUMINISTRO COMPRA OXIGENO MEDICINAL Y MANTENIMIENTO DE REDES</t>
  </si>
  <si>
    <t>CONTRATO SUMINISTRO COMPRA OXIGENO MEDICINAL Y MANTENIMIENTO DE REDES PARA EL DEPARTAMENTO DE SALUD M. LAGO RANCO, PERIODO 2022.</t>
  </si>
  <si>
    <t>I MUNICIPALIDAD DE LAGO RANCO</t>
  </si>
  <si>
    <t>comercial no responde</t>
  </si>
  <si>
    <t>69.201.100-7</t>
  </si>
  <si>
    <t>OSVALDO MERINO MEDINA</t>
  </si>
  <si>
    <t>finanzasdesam@lagoranco.cl</t>
  </si>
  <si>
    <t>2445-178-L121</t>
  </si>
  <si>
    <t>ADQUISICIÓN DE CILINDRO Y RECARGA DE 02 MEDICO PARA SAR BOMBERO GARRIDO Y AGUAS NEGRAS</t>
  </si>
  <si>
    <t>I MUNICIPALIDAD DE CURICO</t>
  </si>
  <si>
    <t>69.100.100-8</t>
  </si>
  <si>
    <t>3692-45-L121</t>
  </si>
  <si>
    <t>CONTRATACIÓN DEL SERVICIO DE RECARGA DE OXIGENO MEDICINAL Y ARRIENDO DE TUBOS DE OXÍGENO PARA LOS ESTABLECIMIENTOS DE SALUD DE LA MUNICIPALIDAD DE EL QUISCO</t>
  </si>
  <si>
    <t>I MUNICIPALIDAD DE EL QUISCO</t>
  </si>
  <si>
    <t>69.061.700-5</t>
  </si>
  <si>
    <t>3507-111-LE21</t>
  </si>
  <si>
    <t>contrato suministro oxigeno</t>
  </si>
  <si>
    <t>contrato recarga botellas de oxigeno , según anexo adjunto</t>
  </si>
  <si>
    <t>Ilustre Municipalidad de Calbuco</t>
  </si>
  <si>
    <t>65.321.890-7</t>
  </si>
  <si>
    <t>nadia almonacid q</t>
  </si>
  <si>
    <t>nadia.almonacid@desamcalbuco.cl</t>
  </si>
  <si>
    <t>4197-30-L121</t>
  </si>
  <si>
    <t>SUMINISTRO OXIGENO QUEMCHI 2 LLAMADO</t>
  </si>
  <si>
    <t>Las presentes Bases, indican los Términos Técnicos y Administrativos de Referencia, correspondiente a la Contratación de Servicios de recarga de Oxigeno médico y arriendo de cilindros para la Red de Establecimientos de Salud la comuna de Quemchi.</t>
  </si>
  <si>
    <t>I MUNICIPALIDAD DE QUEMCHI</t>
  </si>
  <si>
    <t>69.230.200-1</t>
  </si>
  <si>
    <t>Patricio Oyarzo Campos</t>
  </si>
  <si>
    <t>Finanzas.contabilidad2020@gmail.com</t>
  </si>
  <si>
    <t>2026-301-LQ21</t>
  </si>
  <si>
    <t>Las presentes bases rigen la propuesta pública que tiene por objeto contratar los servicios de arriendo de cilindro, transporte y recarga de oxígeno medicinal para Red de Gases Clínicos y uso domiciliario, destinado a pacientes de Hospital Adriana Cosuiño de Quintero</t>
  </si>
  <si>
    <t>SUBDEPARTAMENTO DE FINANZAS</t>
  </si>
  <si>
    <t>MANUEL.MARIN@REDSALUD.GOV.CL</t>
  </si>
  <si>
    <t>1660-163-LE21</t>
  </si>
  <si>
    <t>CONVENIO Y SUMINISTRO DE GASES MEDICINALES 2022</t>
  </si>
  <si>
    <t>SE REQUIERE: 1 CONVENIO Y SUMINISTRO DE GASES MEDICINALES AÑO 2022, SE ADJUNTAN BASES ADMINISTRATIVAS Y TÉCNICAS REQUERENTE:HEBER VICENCIO SOTO</t>
  </si>
  <si>
    <t>HOSPITAL DE SALAMANCA</t>
  </si>
  <si>
    <t>61.606.408-8</t>
  </si>
  <si>
    <t>MARTIN BRICEÑO TAPIA</t>
  </si>
  <si>
    <t>martin.briceno@redsalud.gov.cl</t>
  </si>
  <si>
    <t>4337-4-L122</t>
  </si>
  <si>
    <t>C.S. Oxigeno Medical</t>
  </si>
  <si>
    <t>I MUNICIPALIDAD DE RENAICO</t>
  </si>
  <si>
    <t>69.180.400-3</t>
  </si>
  <si>
    <t>Tatiana Quintana</t>
  </si>
  <si>
    <t>cesfamrenaicofacturacion@gmail.com</t>
  </si>
  <si>
    <t>2744-1-L122</t>
  </si>
  <si>
    <t>Servicio de Arriendo de Cilindros, Suministro y Recarga de Oxigeno Gaseoso Medicinal</t>
  </si>
  <si>
    <t>Req. de compra N°90 Servicio de Arriendo de Cilindros, Suministro y Recarga de Oxigeno Gaseoso Medicinal</t>
  </si>
  <si>
    <t>I MUNICIPALIDAD DE ANGOL</t>
  </si>
  <si>
    <t>69.180.100-4</t>
  </si>
  <si>
    <t>Pedro Parada Díaz</t>
  </si>
  <si>
    <t>pedro.parada@dsmangol.cl</t>
  </si>
  <si>
    <t>162-1-LE22</t>
  </si>
  <si>
    <t>Necesidad de adquirir servicios de provisión de Gases Especiales, para los Laboratorios de Osorno, Puerto Montt, Castro y Quellón.</t>
  </si>
  <si>
    <t>SUBSECRETARIA DE SALUD X REGIÓN</t>
  </si>
  <si>
    <t>3959-3-L122</t>
  </si>
  <si>
    <t>CONVENIO SUMINISTRO MANTENCION Y RECARGA OXIGENO, N/P N° 740</t>
  </si>
  <si>
    <t>I MUNICIPALIDAD DE NAVIDAD</t>
  </si>
  <si>
    <t>69.073.800-7</t>
  </si>
  <si>
    <t>3996-110-L121</t>
  </si>
  <si>
    <t>Servicio de oxigeno Medicinal 2022</t>
  </si>
  <si>
    <t>La necesidad de contar con Servicios de oxigeno Medicinal año 2022, para los usuarios de CESFAM Coltauco y sus establecimientos dependientes.</t>
  </si>
  <si>
    <t>I MUNICIPALIDAD DE COLTAUCO</t>
  </si>
  <si>
    <t>1/17/2022</t>
  </si>
  <si>
    <t>1/17/2023</t>
  </si>
  <si>
    <t>69.080.700-9</t>
  </si>
  <si>
    <t>Hilda Rivas Liberona</t>
  </si>
  <si>
    <t>carmen.rivas@coltauco.cl</t>
  </si>
  <si>
    <t>3996-4-L122</t>
  </si>
  <si>
    <t>Servicio de oxigeno Medicinal Centro de Diálisis 2022</t>
  </si>
  <si>
    <t>La necesidad de contar Servicio de oxigeno Medicinal para el Centro de Diálisis Coltauco.</t>
  </si>
  <si>
    <t>2146-2-LE22</t>
  </si>
  <si>
    <t>Compra Serv. recarga de oxígeno médico Hosp. Andac</t>
  </si>
  <si>
    <t>El Hospital de Andacollo, requiere Compra de Servicios de cilindros y recarga de oxígeno medico por un periodo de 2 años</t>
  </si>
  <si>
    <t>HOSPITAL DE ANDACOLLO</t>
  </si>
  <si>
    <t>61.606.405-3</t>
  </si>
  <si>
    <t>ZINIA COLLAO VICENTELO</t>
  </si>
  <si>
    <t>zinia.collao@redsalud.gob.cl</t>
  </si>
  <si>
    <t>1057509-365-LE21</t>
  </si>
  <si>
    <t>CONVENIO ANALGESIA DEL PARTO (LBL)</t>
  </si>
  <si>
    <t>El Hospital Clínico Herminda Martín de Chillán llama a Licitación Pública a través del Portal Mercado Público, para suscribir “CONVENIO ANALGESIA DEL PARTO” de acuerdo a requerimientos especificados en Bases Administrativas y Técnicas de la presente licitación. Se pretende obtener la mejor calidad y oportunidad en la adquisición delos servicios a un precio conveniente.</t>
  </si>
  <si>
    <t>2910-4-LE22</t>
  </si>
  <si>
    <t>ARRIENDO CILINDRO Y RECARGA DE OXIGENO MEDICINAL</t>
  </si>
  <si>
    <t>El objetivo de la presente licitación es contar con el servicio de arriendo de cilindros, y el suministro de oxígeno medicinal en los Establecimientos de Salud de la Comuna de Futrono y Ambulancias.</t>
  </si>
  <si>
    <t>I MUNICIPALIDAD DE FUTRONO</t>
  </si>
  <si>
    <t>69.200.700-k</t>
  </si>
  <si>
    <t>KAREN URIBE</t>
  </si>
  <si>
    <t>KURIBE@MUNIFUTRONO.CL</t>
  </si>
  <si>
    <t>2908-1-L122</t>
  </si>
  <si>
    <t>Convenio suministro Oxigeno medicinal Cesfam Malal</t>
  </si>
  <si>
    <t>CONVENIO DE SUMINISTRO OXIGENO MEDICINAL CESFAM MALALHUE</t>
  </si>
  <si>
    <t>I MUNICIPALIDAD DE LANCO</t>
  </si>
  <si>
    <t>69.200.300-4</t>
  </si>
  <si>
    <t>Alex Vallejos Tapia</t>
  </si>
  <si>
    <t>alex.vallejos@munilanco.cl</t>
  </si>
  <si>
    <t>1469-5-LE22</t>
  </si>
  <si>
    <t>Adquisición Helio y Nitrógeno Liquido Universidad</t>
  </si>
  <si>
    <t>La presente licitación pública tiene por objeto la adquisición de Adquisición de Campanas de Extracción de gases orgánicos yo corrosivos</t>
  </si>
  <si>
    <t>UNIVERSIDAD DE TALCA</t>
  </si>
  <si>
    <t>70.885.500-6</t>
  </si>
  <si>
    <t>Jefe del Departamento de Tesorería</t>
  </si>
  <si>
    <t>psamur@utalca.cl</t>
  </si>
  <si>
    <t>1057461-4-LE22</t>
  </si>
  <si>
    <t>SUMINISTROS PARA GASES CLINICOS HOSPITAL DE CAUQUENES</t>
  </si>
  <si>
    <t>HOSPITAL DE CAUQUENES SOLICITA SUMINISTROS PARA GASES CLINICOS. DURACIÓN 12 MESES DE CONTRATO SE SOLICITA BOLETA DE FIEL CUMPLIMIENTO SEGÚN LO INDICADO EN BASES. LAS COMPRAS SE REALIZARAN PARCIALIZADAS SEGÚN LO SOLICITE LA ENTIDAD. LEER BASES TÉCNICAS Y ADMINISTRATIVAS ADJUNTAS COMO ANEXOS</t>
  </si>
  <si>
    <t>Jesús Carmona Coloma</t>
  </si>
  <si>
    <t>jcarmona@ssmaule.cl</t>
  </si>
  <si>
    <t>1660-6-LE22</t>
  </si>
  <si>
    <t>SE REQUIERE: CONVENIO Y SUMINISTRO DE GASES MEDICINALES AÑO 2022, SE ADJUNTAN LAS BASES ADMINISTRATIVAS Y TÉCNICAS. REQUERENTE:HEBER VICENCIO SOTO</t>
  </si>
  <si>
    <t>3853-4-L122</t>
  </si>
  <si>
    <t>Suministro Oxígeno Medicinal Paciente Domiciliario</t>
  </si>
  <si>
    <t>El Departamento de Salud Municipal de Río Bueno, requiere adquirir "Contrato de Suministro de Oxígeno Medicinal para Pacientes Domiciliarios Oxígeno Dependiente", pertenecientes al CESFAM de la comuna de Río Bueno</t>
  </si>
  <si>
    <t>I MUNICIPALIDAD DE RIO BUENO</t>
  </si>
  <si>
    <t>YESSICA HIDALGO LEAL</t>
  </si>
  <si>
    <t>contabilidad.salud@muniriobueno.cl</t>
  </si>
  <si>
    <t>4484-2-L122</t>
  </si>
  <si>
    <t>SUMINISTRO DE OXIGENO AÑO 2022</t>
  </si>
  <si>
    <t>SE REQUIERE LA CONTRATACION DE SUMINISTRO DE OXIGENO PARA EL AÑO 2022</t>
  </si>
  <si>
    <t>I MUNICIPALIDAD DE TIERRA AMARILLA</t>
  </si>
  <si>
    <t>69.030.400-7</t>
  </si>
  <si>
    <t>JAVIERA LIRA SOTO</t>
  </si>
  <si>
    <t>JAVIERA.S.LIRA@GMAIL.COM</t>
  </si>
  <si>
    <t>5520-8-LE22</t>
  </si>
  <si>
    <t>Suministro de Hielo seco argón oxígeno y nitrógeno</t>
  </si>
  <si>
    <t>Por el presente instrumento, IDIEM, licita la contratación del Suministro de Hielo seco, argón, oxígeno y nitrógeno, por un periodo de 24 meses o hasta la total utilización de los recursos asignados para la contratación, lo primero que ocurra, bajo la modalidad de ejecución en el tiempo, según las características que se han definido en las presentes bases administrativas, bases técnicas y anexos.</t>
  </si>
  <si>
    <t>Estefanía Espinoza</t>
  </si>
  <si>
    <t>estefania.espinoza@idiem.cl</t>
  </si>
  <si>
    <t>1057501-355-LE21</t>
  </si>
  <si>
    <t>CONVENIO CIRCUITOS Y ACCESORIOS PARA MONITORES</t>
  </si>
  <si>
    <t>La necesidad de adquirir los accesorios, para dar continuidad a procedimientos de las distintas unidades del Complejo Asistencial.</t>
  </si>
  <si>
    <t>COMPLEJO ASISTENCIAL DR. SOTERO DEL RIO</t>
  </si>
  <si>
    <t>61.608.502-6</t>
  </si>
  <si>
    <t>RAMON VARAS</t>
  </si>
  <si>
    <t>ravaras@ssmso.cl</t>
  </si>
  <si>
    <t>3130-1-LP22</t>
  </si>
  <si>
    <t>SERVICIO DE ABASTECIMIENTO DE GASES MEDICINALES</t>
  </si>
  <si>
    <t>CONTRATAR EL SERVICIO DE ABASTECIMIENTO DE GASES MEDICINALES, CON ARRENDAMIENTO DE ESTANQUE MEDICINAL PARA EL HOSPITAL DE LAS FF.AA. "CIRUJANO GUZMÁN" DE PUNTA ARENAS, POR UN PERÍODO DE 3 AÑOS.</t>
  </si>
  <si>
    <t>HOSPITAL NAVAL CIRUJANO GUZMAN DE MAGALLANES</t>
  </si>
  <si>
    <t>Christian Sanhueza</t>
  </si>
  <si>
    <t>61.102.029-5</t>
  </si>
  <si>
    <t>Pablo CIátera</t>
  </si>
  <si>
    <t>pciatera@sanidadnaval.cl</t>
  </si>
  <si>
    <t>Maria Soledad Valderas</t>
  </si>
  <si>
    <t>mvalderas@sanidadnaval.cl</t>
  </si>
  <si>
    <t>4401-7-LE22</t>
  </si>
  <si>
    <t>SC 8 SUMINISTRO DE OXIGENO</t>
  </si>
  <si>
    <t>SE REQUIERE ADQUIRIR SUMINISTRO DE OXIGENO MEDICINAL PARA EL DEPARTAMENTO DE SALUD DE SAN CLEMENTE.</t>
  </si>
  <si>
    <t>I MUNICIPALIDAD DE SAN CLEMENTE</t>
  </si>
  <si>
    <t>69.110.500-8</t>
  </si>
  <si>
    <t>Carlos Amaro Ortega</t>
  </si>
  <si>
    <t>pagoproveedores@saludsanclemente.cl</t>
  </si>
  <si>
    <t>3944-2-L122</t>
  </si>
  <si>
    <t>CONTRATO SUMINISTRO DE OXÍGENO MEDICINAL 24 MESES</t>
  </si>
  <si>
    <t>1947-143-LQ21</t>
  </si>
  <si>
    <t>ADQUISICIÓN DE SUMINISTRO DE GASES CLÍNICOS PARA EL HOSPITAL ROBERTO DEL RÍO(SRA)</t>
  </si>
  <si>
    <t>El objeto de la licitación es la contratación del Suministro de Gases Clínicos, por un periodo de 36 meses, para ejecutar los trabajos de entrega de cilindros con gases de uso medicinal. Asegurando el abastecimiento del Hospital Roberto del Río</t>
  </si>
  <si>
    <t>HOSPITAL ROBERTO DEL RIO</t>
  </si>
  <si>
    <t>61.608.004-0</t>
  </si>
  <si>
    <t>Scottie Gacitúa Carvallo</t>
  </si>
  <si>
    <t>scottie.gacitua@redsalud.gov.cl</t>
  </si>
  <si>
    <t>1057492-6-LQ22</t>
  </si>
  <si>
    <t>SERVICIO DE TERAPIA CON OXIDO NÍTRICO</t>
  </si>
  <si>
    <t>SERVICIO DE TERAPIA CON OXIDO NÍTRICO, POR UN PERIODO DE 24 MESES</t>
  </si>
  <si>
    <t>Profesional de Subdirección Operaciones</t>
  </si>
  <si>
    <t>secretraria.operaciones@hsoriente.cl</t>
  </si>
  <si>
    <t>Sr. José Ovalle Belmar</t>
  </si>
  <si>
    <t>3501-1-LE22</t>
  </si>
  <si>
    <t>SERVICIO DE RECARGA ARRIENDO DE CILINDROS Y FLETE DE OXIGENO GASEOSO MEDICINAL PARA CUBRIR LAS NECESIDADES DEL CESFAM SERVICIO 24 HORAS CECOSF Y AMBULANCIAS</t>
  </si>
  <si>
    <t>ABASTECER LAS DISTINTANTAS UNIDADES DEL DEPARTAMENTO. SEGUN BASES.</t>
  </si>
  <si>
    <t>I MUNICIPALIDAD DE QUINTA DE TILCOCO</t>
  </si>
  <si>
    <t>69.081.700-4</t>
  </si>
  <si>
    <t>CASANDRA CARMONA</t>
  </si>
  <si>
    <t>finansaludqta@yahoo.es</t>
  </si>
  <si>
    <t>4488-3-LE22</t>
  </si>
  <si>
    <t>OXIGENO MEDICINAL</t>
  </si>
  <si>
    <t>CONVENIO POR RECARGAS DE OXIGENO MEDICINAL, ARRIENDO DE CILINDROS Y OTROS PARA EL CESFAM YANEQUEN NEGRETE, SUS POSTAS RURALES Y VEHICULOS (AMBULANCIAS)</t>
  </si>
  <si>
    <t>Ilustre Municipalidad de Negrete</t>
  </si>
  <si>
    <t>69.170.800-4</t>
  </si>
  <si>
    <t>YESICA CARCAMO LAGOS</t>
  </si>
  <si>
    <t>YCARCAMOLAGOS@GMAIL.COM</t>
  </si>
  <si>
    <t>2773-6-LE22</t>
  </si>
  <si>
    <t>Servicio de suministro de oxígeno domiciliario</t>
  </si>
  <si>
    <t>Se requiere la contratación del servicio de oxígenoterapia a domicilio, según lo indicado en las bases administrativas especiales y bajo lo señalado en las especificaciones técnicas</t>
  </si>
  <si>
    <t>I MUNICIPALIDAD DE CHIGUAYANTE</t>
  </si>
  <si>
    <t>69.264.700-9</t>
  </si>
  <si>
    <t>Hugolina Sanhueza</t>
  </si>
  <si>
    <t>hsanhueza@daschiguayante.cl</t>
  </si>
  <si>
    <t>2710-20-L122</t>
  </si>
  <si>
    <t>CONTRATO SUMINISTRO OXIGENO MEDICINAL APS OVALLE</t>
  </si>
  <si>
    <t>MUNICIPALIDAD DE OVALLE</t>
  </si>
  <si>
    <t>69.040.700-0</t>
  </si>
  <si>
    <t>3636-5-LE22</t>
  </si>
  <si>
    <t>CONVENIO SUMINISTRO OXIGENO MEDICO</t>
  </si>
  <si>
    <t>NECESIDAD DE CONTAR CON SERVICIO DE SUMINISTRO DE OXIGENO MEDICO PARA LOS ESTABLECIMIENTOS DE SALUD DE LA COMUNA.</t>
  </si>
  <si>
    <t>Ilustre Municipalidad de Malloa</t>
  </si>
  <si>
    <t>69.081.500-1</t>
  </si>
  <si>
    <t>Katherine Ramírez Vargas</t>
  </si>
  <si>
    <t>kgabriela36@gmail.com</t>
  </si>
  <si>
    <t>4476-4-LE22</t>
  </si>
  <si>
    <t>CONTRATO DE SUMINISTRO RECARGAS DE OXIGENO</t>
  </si>
  <si>
    <t>CONTRATO DE SERVICIO DE RECARGAS DE OXIGENO MEDICINAL PARA DEPTO. DE SALUD DE ROMERAL</t>
  </si>
  <si>
    <t>2/22/2022</t>
  </si>
  <si>
    <t>12/22/2022</t>
  </si>
  <si>
    <t>NANCY GARRIDO ORELLANA</t>
  </si>
  <si>
    <t>saludfinanzas@muniromeral.cl</t>
  </si>
  <si>
    <t>2790-40-L122</t>
  </si>
  <si>
    <t>SERVICIO DE MANTENCION Y REPARACION DEL SISTEMA DE GASES CLINICOS</t>
  </si>
  <si>
    <t>I MUNICIPALIDAD DE PAINE</t>
  </si>
  <si>
    <t>69.072.600-9</t>
  </si>
  <si>
    <t>4464-4-LR22</t>
  </si>
  <si>
    <t>CONV. SUMINISTRO DE OXIGENO LÍQUIDO MEDICINAL</t>
  </si>
  <si>
    <t>El Hospital San Juan de Dios de Curicó, CONVENIO DE SUMINISTRO DE OXIGENO LÍQUIDO MEDICINAL para el nuevo recinto del Hospital, para dar un servicio eficiente, tanto a los usuarios como al personal del establecimiento, asegurando un abastecimiento permanente del producto.</t>
  </si>
  <si>
    <t>HOSPITAL DE CURICO</t>
  </si>
  <si>
    <t>61.606.903-9</t>
  </si>
  <si>
    <t>Sr. Rodrigo Corvalán Letelier</t>
  </si>
  <si>
    <t>rcorvalan@hospitalcurico.cl</t>
  </si>
  <si>
    <t>2908-10-L122</t>
  </si>
  <si>
    <t>Convenio suministro Oxigeno medicinal 2° llamado</t>
  </si>
  <si>
    <t>Convenio suministro Oxigeno medicinal Cesfam Malalhue, segundo llamado</t>
  </si>
  <si>
    <t>621-59-LR22</t>
  </si>
  <si>
    <t>VENTILADOR MECANICO NO INVASIVO BINIVEL 1000016606</t>
  </si>
  <si>
    <t>Bases administrativas y técnicas tipo por las que se regirán los procesos de licitación para la adquisición de fármacos, dispositivos médicos e insumos o alimentos, bajo la modalidad de “distribución directa” destinados al apoyo del ejercicio de acciones de salud, en adelante las “Bases”.</t>
  </si>
  <si>
    <t>CENTRAL DE ABASTECIMIENTO</t>
  </si>
  <si>
    <t>61.608.700-2</t>
  </si>
  <si>
    <t>Victor Barberis Castex</t>
  </si>
  <si>
    <t>vbarberis@cenabast.cl</t>
  </si>
  <si>
    <t>4083-2-LE22</t>
  </si>
  <si>
    <t>Convenio Suministro de Oxígeno Medicinal</t>
  </si>
  <si>
    <t>El objetivo de la presente licitación pública es Convenio de Suministro de Oxígeno Gaseoso y Arriendo de Cilindros del Departamento de Salud de la Municipalidad de Cabrero según NP Nº12 emitida con fecha 15-11-2021 de acuerdo a las Bases Administrativas, Bases Técnicas y los Anexos que regulan este proceso licitatorio.</t>
  </si>
  <si>
    <t>I MUNICIPALIDAD DE CABRERO</t>
  </si>
  <si>
    <t>69.151.002-6</t>
  </si>
  <si>
    <t>Romina Ambiado Ganga</t>
  </si>
  <si>
    <t>rganga@cabrero.cl</t>
  </si>
  <si>
    <t>1191382-9-LE22</t>
  </si>
  <si>
    <t>PP 642-2021 “SUMINISTRO DE OXIGENO MEDICINAL PARA LOS CENTROS DE SALUD DEPENDIENTES DEL ÁREA SALUD MUNICIPAL DE VALDIVIA-SOLICITUD Nº 44261”</t>
  </si>
  <si>
    <t>PP 642-2021 / “SUMINISTRO DE OXIGENO MEDICINAL PARA LOS CENTROS DE SALUD DEPENDIENTES DEL ÁREA SALUD MUNICIPAL DE VALDIVIA-SOLICITUD Nº 44261”</t>
  </si>
  <si>
    <t>FREDDY OYARZUN MOREIRA</t>
  </si>
  <si>
    <t>freddydesam26@gmail.com</t>
  </si>
  <si>
    <t>RAINIERO ROJAS VEJAR</t>
  </si>
  <si>
    <t>rainiero.desam@gmail.com</t>
  </si>
  <si>
    <t>483-6-LE22</t>
  </si>
  <si>
    <t>LICITACION INSUMOS CLINICOS</t>
  </si>
  <si>
    <t>El Hospital de Contulmo, requiere adquirir INSUMOS CLINICOS, basándose Bases Administrativas y Técnicas, éstos INSUMOS CLINICOS e Insumos se requieren según Especificaciones Técnicas y con fecha de vencimiento superior a 18 meses.</t>
  </si>
  <si>
    <t>HOSPITAL DE CONTULMO</t>
  </si>
  <si>
    <t>61.607.103-3</t>
  </si>
  <si>
    <t>DAMIAN IBAÑEZ</t>
  </si>
  <si>
    <t>DAMIAN.HCONTULMO@GMAIL.COM</t>
  </si>
  <si>
    <t>2421-7-LE22</t>
  </si>
  <si>
    <t>SUMINISTRO OXIGENO DOMICILIARIO 2022-2023</t>
  </si>
  <si>
    <t>SE SOLICITA EL SUMINISTRO DE SERVICIOS DE OXIGENO DOMICILIARIO PARA LOS USUARIOS PERTENECIENTES A LOS CENTROS DE SALUD DEPENDIENTES DE LA ILUSTRE MUNICIPALIDAD DE CONCEPCIÓN</t>
  </si>
  <si>
    <t>I MUNICIPALIDAD DE CONCEPCION</t>
  </si>
  <si>
    <t>69.256.900-8</t>
  </si>
  <si>
    <t>Doris Inostroza</t>
  </si>
  <si>
    <t>dinostroza@dasconcepcion.cl</t>
  </si>
  <si>
    <t>5350-11-LE22</t>
  </si>
  <si>
    <t>CONVENIO SERVICIO GASES CLINICOS Y MEDICINALES</t>
  </si>
  <si>
    <t>USOS ESTABLECIMIENTOS DE SALUD MUNICIPAL Y UNIDADES DE APOYO</t>
  </si>
  <si>
    <t>I MUNICIPALIDAD DE VALLENAR</t>
  </si>
  <si>
    <t>69.030.500-3</t>
  </si>
  <si>
    <t>RAFAEL PIZARRO NUÑEZ</t>
  </si>
  <si>
    <t>ADQUISICIONESYOPERACIONES@SALUDVALLENAR.CL</t>
  </si>
  <si>
    <t>DIEGO HUERTA CERDA</t>
  </si>
  <si>
    <t>DIEGO.HUERTA@SALUDVALLENAR.CL</t>
  </si>
  <si>
    <t>872-16-L122</t>
  </si>
  <si>
    <t>GASES ESPECIALES DE LABORATORIO (Según Bases Adjuntas)</t>
  </si>
  <si>
    <t>COMISION CHILENA DE ENERGIA NUCLEAR</t>
  </si>
  <si>
    <t>82.983.100-7</t>
  </si>
  <si>
    <t>1556-3-LE22</t>
  </si>
  <si>
    <t>Convenio de Suministro de Oxigeno y gases Clínicos</t>
  </si>
  <si>
    <t>HOSPITAL DE CHANARAL</t>
  </si>
  <si>
    <t>David Cautín</t>
  </si>
  <si>
    <t>61.606.305-7</t>
  </si>
  <si>
    <t>Moises Arce Elizondo</t>
  </si>
  <si>
    <t>moises.arce@redsalud.gov.cl</t>
  </si>
  <si>
    <t>1650-7-LE22</t>
  </si>
  <si>
    <t>Insumos Médicos HSJ</t>
  </si>
  <si>
    <t>Compra de insumos, con solicitud de compra n°201</t>
  </si>
  <si>
    <t>Hospital Santa Juana</t>
  </si>
  <si>
    <t>61.602.204-0</t>
  </si>
  <si>
    <t>dipresrecepcion@custodium.com; lilian.rodriguez@ssconcepcion.cl</t>
  </si>
  <si>
    <t>VERONICA BARRALES CHACANO</t>
  </si>
  <si>
    <t>veronica.barrales@ssconcepcion.cl</t>
  </si>
  <si>
    <t>1656-2-LE22</t>
  </si>
  <si>
    <t>SUMINISTRO DE GASES PARA LABORATORIO AMBIENTAL</t>
  </si>
  <si>
    <t>SE REQUIRE EL SUMINISTRO DE GASES PARA EQUIPOS DEL LABORATORIO AMBIENTAL DE LA SEREMI DE SALUD DE O'HIGGINS</t>
  </si>
  <si>
    <t>Seremi de Salud VI Región</t>
  </si>
  <si>
    <t>3747-5-L122</t>
  </si>
  <si>
    <t>OXIGENO MEDICINAL RECARGA Y ARRIENDO DE TUBOS PARA ESTABLECIMIENTOS DE SALUD.</t>
  </si>
  <si>
    <t>CONTRATO DE SUMINISTROS POR ADQUISICION DE OXIGENO MEDICINAL , RECARGA Y ARRIENDO DE TUBOS PARA ESTABLECIMIENTOS DE SALUD.</t>
  </si>
  <si>
    <t>I MUNICIPALIDAD DE SAN IGNACIO</t>
  </si>
  <si>
    <t>69.141.300-4</t>
  </si>
  <si>
    <t>SARA SALAZAR OSSES</t>
  </si>
  <si>
    <t>sary786@gmail.com</t>
  </si>
  <si>
    <t>1057489-50-LQ22</t>
  </si>
  <si>
    <t>GASES CLINICOS Y MEDICINALES</t>
  </si>
  <si>
    <t>Apruébense las Bases que regularán el proceso para efectuar llamado a Propuesta Pública, para la adquisición del Convenio de Suministro de Gases Clínicos y Medicinales por veinticuatro 24 meses para Unidad de Hospitalización Domiciliaria y Unidad de Alivio del Dolor del Hospital del Salvador, según los requerimientos referidos en los considerandos de las presentes Bases. 2.- Las Bases Administrativas y Técnicas que por este acto se aprueban, se entenderán que forman parte integrante de la presente Resolución y cualquier modificación de su texto que se efectúe antes del cierre de recepción de ofertas, deberá ceñirse a lo dispuesto en el Artículo 19º del Decreto N°250 que aprueban Reglamento de la Ley Nº19.886. 3.- El texto de las Bases que regularán el procedimiento concursal para la adquisición de Convenio de Suministro de Gases Clínicos y Medicinales por veinticuatro 24 meses para Unidad de Hospitalización Domiciliaria y Unidad de Alivio del Dolor del Hospital del Salvador, está integrado por tres Sub Títulos: I Bases Administrativas, II Especificaciones Técnicas y III Anexos, el que se transcribe a continuación:</t>
  </si>
  <si>
    <t>HOSPITAL DEL SALVADOR</t>
  </si>
  <si>
    <t>61.608.406-2</t>
  </si>
  <si>
    <t>DANIELA DE LOS ANGELES LOPEZ</t>
  </si>
  <si>
    <t>DLOPEZ@HSALVADOR.CL</t>
  </si>
  <si>
    <t>3710-25-L122</t>
  </si>
  <si>
    <t>Insumos médicos para convenio de Fortalecimiento RRHH en APS prorroga 2021 CESFAM Victoria</t>
  </si>
  <si>
    <t>Insumos médicos para convenio de Fortalecimiento RRHH en APS, prorroga 2021, CESFAM Victoria</t>
  </si>
  <si>
    <t>I MUNICIPALIDAD DE VICTORIA</t>
  </si>
  <si>
    <t>69.180.900-5</t>
  </si>
  <si>
    <t>Sofia Rutsche</t>
  </si>
  <si>
    <t>consultoriocompra@gmail.com</t>
  </si>
  <si>
    <t>3501-2-LE22</t>
  </si>
  <si>
    <t>ERVICIO DE RECARGA ARRIENDO DE CILINDROS Y FLETE DE OXIGENO GASEOSO MEDICINAL PARA CUBRIR LAS NECESIDADES DEL CESFAM SERVICIO 24 HORAS CECOSF Y AMBULANCIAS</t>
  </si>
  <si>
    <t>SEGUN BASES ADJUNTAS</t>
  </si>
  <si>
    <t>621-74-LR22</t>
  </si>
  <si>
    <t>AEROCAMARA ADULTO BIVAL PINHALAD AEROSO 1000016660</t>
  </si>
  <si>
    <t>Víctor Barberis Castex</t>
  </si>
  <si>
    <t>4968-1-LP22</t>
  </si>
  <si>
    <t>2DO LLAMADO OXIGENOTERAPIA DOMICILIARIA</t>
  </si>
  <si>
    <t>HOSPITAL DE QUILPUE</t>
  </si>
  <si>
    <t>1057417-12-LQ22</t>
  </si>
  <si>
    <t>ADQUISICIÓN DE ACCESORIOS INSUMOS Y OTROS ELEMENTOS MÉDICOS DEL ÁREA DENTAL ECG Y OXIGENOTERAPIA 3° LLAMADO LDO</t>
  </si>
  <si>
    <t>cuya finalidad es poder realizar recambio en equipos e instalaciones de apoyo, para mantener la continuidad de servicio. Los insumos y accesorios en óptimas condiciones son fundamental para una atención segura y de calidad para los pacientes del Complejo Asistencial “Dr. Víctor Ríos Ruiz” Los Ángeles</t>
  </si>
  <si>
    <t>61.607.301-k</t>
  </si>
  <si>
    <t>Rodolfo González</t>
  </si>
  <si>
    <t>rodolfo.gonzalez@ssbiobio.cl</t>
  </si>
  <si>
    <t>1057489-116-LE22</t>
  </si>
  <si>
    <t xml:space="preserve">Convenio de Suministro de Mascarillas Faciales Con Arnés por 12 meses para el Hospital Del Salvador </t>
  </si>
  <si>
    <t>Que, el Hospital del Salvador necesita contar con un Convenio de Suministro de Mascarillas Faciales Con Arnés por 12 meses con la finalidad de satisfacer de manera adecuada y eficiente la labor asistencial;</t>
  </si>
  <si>
    <t>SERVICIO DE SALUD ORIENTE HOSPITAL DEL SALVADOR</t>
  </si>
  <si>
    <t>DANIELA LOPEZ</t>
  </si>
  <si>
    <t>5461-8-LQ22</t>
  </si>
  <si>
    <t>SUMINISTRO CONTINUO OXIGENO MEDICO Y GASES CLINICO</t>
  </si>
  <si>
    <t>ESTA LICITACIÓN TIENE POR OBJETO LA CONTRATACIÓN DEL SUMINISTRO CONTINUO DE OXIGENO MEDICO Y GASES CLÍNICOS, FLETE, ARRIENDO DE ESTANQUE CRIOGENICO Y ARRIENDO DE CILINDROS.</t>
  </si>
  <si>
    <t>HOSPITAL DE PEÑAFLOR</t>
  </si>
  <si>
    <t>61.602.121-4</t>
  </si>
  <si>
    <t>RONNY VALENZUELA</t>
  </si>
  <si>
    <t>ronny.valenzuela@redsalud.gov.cl</t>
  </si>
  <si>
    <t>3921-10-LE22</t>
  </si>
  <si>
    <t>MANTENCION ARRIENDO Y LLENADO DE OXIGENO.</t>
  </si>
  <si>
    <t>MANTENCION, ARRIENDO Y LLENADO DE OXIGENO, PARA LAS DEPENDENCIAS DEL DEPARTAMENTO DE SALUD MUNICIPAL DE VILLARRICA.</t>
  </si>
  <si>
    <t>I MUNICIPALIDAD DE VILLARRICA</t>
  </si>
  <si>
    <t>69.191.500-K</t>
  </si>
  <si>
    <t>INGRID RODRIGUEZ</t>
  </si>
  <si>
    <t>i.rodriguez.dsm@gmail.com</t>
  </si>
  <si>
    <t>3740-1-LE22</t>
  </si>
  <si>
    <t>INSUMOS ENFERMERA 2022</t>
  </si>
  <si>
    <t>NECESIDAD DE PACIENTES DE APS</t>
  </si>
  <si>
    <t>I MUNICIPALIDAD DE HUASCO</t>
  </si>
  <si>
    <t>69.030.700-6</t>
  </si>
  <si>
    <t>KARINA ROJAS CASTELLANO</t>
  </si>
  <si>
    <t>karinarojas1@hotmail.com</t>
  </si>
  <si>
    <t>1057489-118-LE22</t>
  </si>
  <si>
    <t>Convenio de Suministro de Mascarillas Oronasales por 24 meses para el Hospital Del Salvador</t>
  </si>
  <si>
    <t>Que, el Hospital del Salvador necesita contar con un Convenio de Suministro de Mascarillas Oronasales por 24 meses con la finalidad de satisfacer de manera adecuada y eficiente la labor asistencial;</t>
  </si>
  <si>
    <t>1057544-42-LE22</t>
  </si>
  <si>
    <t>CONTRATACIÓN DE SERVICIOS DE MANTENCIÓN CORRECTIVA DE DIVERSOS EQUIPOS MÉDICOS DEL HOSPITAL LAS HIGUERAS TALCAHUANO</t>
  </si>
  <si>
    <t>La presente licitación contempla la mantención correctiva de diversos equipos médicos del Hospital Las Higueras de Talcahuano, de acuerdo con las especificaciones técnicas adjuntas.</t>
  </si>
  <si>
    <t>SERVICIO DE SALUD DE TALCAHUANO HOSPITAL</t>
  </si>
  <si>
    <t>61.607.202-1</t>
  </si>
  <si>
    <t>John Barahona</t>
  </si>
  <si>
    <t>jhon.barahona@redsalud.gov.cl</t>
  </si>
  <si>
    <t>2080-3-LR22</t>
  </si>
  <si>
    <t>SUMINISTRO INSUMOS VENTILACION MECANICA</t>
  </si>
  <si>
    <t>El objeto de esta Licitación es contar con un adecuado Suministro Insumos Ventilación Mecánica, durante el curso del contrato.</t>
  </si>
  <si>
    <t>SERVICIO DE SALUD DEL LIBERTADOR B O'HIGGINS HOSPITAL REG RANCAGUA</t>
  </si>
  <si>
    <t>61.602.138-9</t>
  </si>
  <si>
    <t>Pablo del Pino Ahumada</t>
  </si>
  <si>
    <t>pablo.delpino@redsalud.gov.cl</t>
  </si>
  <si>
    <t>1667-43-LR21</t>
  </si>
  <si>
    <t>SERVICIO DE TERAPIA DE OXIDO NÍTRICO</t>
  </si>
  <si>
    <t>EL HOSPITAL GUILLERMO GRANT BENAVENTE NECESITA CONTAR CON EL SERVICIO DE TERAPIA DE INHALACIÓN DE OXIDO NÍTRICO PARA SUS PACIENTES POR UN PERIODO DE 24 MESES</t>
  </si>
  <si>
    <t>HOSPITAL GUILLERMO GRANT BENAVENTE</t>
  </si>
  <si>
    <t>LORETO RODRIGUEZ NEIRA</t>
  </si>
  <si>
    <t>2069-21-LE22</t>
  </si>
  <si>
    <t>CGM MANT PREV Y CORR VENT NO INVASIVO LOWENSTEIN</t>
  </si>
  <si>
    <t>El Hospital Barros Luco Trudeau, Establecimiento Autogestionado en Red, desarrolla labores asistenciales de carácter ambulatorio, hospitalizados y de urgencia utilizando una serie de equipos los que requieren estar en óptimas condiciones para el desarrollo de las funciones asistenciales del hospital.</t>
  </si>
  <si>
    <t>SERVICIO DE SALUD METROPOLITANO SUR HOSP</t>
  </si>
  <si>
    <t>61.608.101-2</t>
  </si>
  <si>
    <t>Jefa departamento gestión financiera y contable</t>
  </si>
  <si>
    <t>pedro.fernandez@redsalud.gov.cl</t>
  </si>
  <si>
    <t>2677-3-LP22</t>
  </si>
  <si>
    <t>SUMINISTRO DE OXÍGENO MEDICINAL</t>
  </si>
  <si>
    <t>Las presentes Bases de Licitación, reglamentan el proceso de llamado a Licitación Pública para la contratación del suministro de arriendo, recarga, transporte, así como también otros servicios asociados que se requieran, para cilindros de oxígeno médico de los establecimientos de salud de Mostazal, vehículos de emergencia y para su entrega a usuarios postrados y terminales de la comuna de Mostazal, durante los años 2022, 2023 y 2024, denominada “Suministro de Oxígeno Medicinal”; dependiente del Departamento de Salud de la Municipalidad de Mostazal.</t>
  </si>
  <si>
    <t>I MUNICIPALIDAD DE MOSTAZAL</t>
  </si>
  <si>
    <t>69.080.500-6</t>
  </si>
  <si>
    <t>4968-4-LP22</t>
  </si>
  <si>
    <t>OXIGENOTERAPIA DOMICILIARIA</t>
  </si>
  <si>
    <t>3996-23-LE22</t>
  </si>
  <si>
    <t>SUMINISTRO INSUMOS DE ENFERMERIA 2022</t>
  </si>
  <si>
    <t>SE REQUIERE REALIZAR LA CONTRATACION DE INSUMOS DE ENFERMERIA, EN FORMATO DE ENTREGA DE SUMINISTRO, PARA CUBRIR NECESIDADES DE LOS ESTABLECIMIENTOS DE SALUD PRIMARIA DE LA COMUNA</t>
  </si>
  <si>
    <t>HILDA CARMEN RIVAS LIBERONA</t>
  </si>
  <si>
    <t>departamentosaludfinanzas@gmail.com</t>
  </si>
  <si>
    <t>1019-18-LE22</t>
  </si>
  <si>
    <t>ADQUISICIÓN DE GASES PARA LABORATORIO AMBIENTAL</t>
  </si>
  <si>
    <t>La presente licitación busca mantener abastecido al Laboratorio Ambiental de todos los gases necesarios para su correcto funcionamiento.</t>
  </si>
  <si>
    <t>MINISTERIO DE OBRAS PUBLICAS</t>
  </si>
  <si>
    <t>61.202.000-0</t>
  </si>
  <si>
    <t>Felipe Castillo Cea</t>
  </si>
  <si>
    <t>felipe.castillo@mop.gov.cl</t>
  </si>
  <si>
    <t>1075337-30-LP22</t>
  </si>
  <si>
    <t>SUMINISTRO DE GASES CLINICOS</t>
  </si>
  <si>
    <t>El objetivo de la presente licitación pública es suscribir un convenio por los servicios de Suministro De Cilindros, Recarga Y Accesorios De Gases Clínicos Pertenecientes Al Hospital Dr. Mauricio Heyermann Torres De Angol.</t>
  </si>
  <si>
    <t>HOSPITAL DE ANGOL</t>
  </si>
  <si>
    <t>61.602.222-9</t>
  </si>
  <si>
    <t>Carlos Arriagada Gonzalez</t>
  </si>
  <si>
    <t>carlos.arriagada@araucanianorte.cl</t>
  </si>
  <si>
    <t>2803-1-LR22</t>
  </si>
  <si>
    <t>SUMINISTRO DE INSUMOS INSTRUMENTAL Y EQUIPAMIENTO</t>
  </si>
  <si>
    <t>Mantener un flujo adecuado de abastecimiento de productos, insumos, instrumental y equipos de alta calidad para la atención oportuna y adecuada de los pacientes y usuarios del CESFAM CENTENARIO DE LOS ANDES, brindando estándares de calidad en los procesos de compra, recepción, almacenamiento y dispensación de insumos.</t>
  </si>
  <si>
    <t>MUNICIPALIDAD DE LOS ANDES</t>
  </si>
  <si>
    <t>69.051.100-2</t>
  </si>
  <si>
    <t>Camila Cubillo</t>
  </si>
  <si>
    <t>c.cubillos@gmail.com</t>
  </si>
  <si>
    <t>619133-8-LQ22</t>
  </si>
  <si>
    <t>CONVENIO SUMINISTRO DE OXIGENO LIQUIDO MEDICINAL CRIOGENICO PARA EL HOSPITAL SAN CAMILO</t>
  </si>
  <si>
    <t>Hospital San Camilo de San Felipe</t>
  </si>
  <si>
    <t>61.602.038-2</t>
  </si>
  <si>
    <t>MARGARITA GONZALEZ</t>
  </si>
  <si>
    <t>margarita.gonzalezi@redsalud.gov.cl</t>
  </si>
  <si>
    <t>1626-4-L122</t>
  </si>
  <si>
    <t>Recarga de cilindros de oxígeno médico</t>
  </si>
  <si>
    <t>Hospital de Lolol</t>
  </si>
  <si>
    <t>61.602.150-8</t>
  </si>
  <si>
    <t>3692-8-L122</t>
  </si>
  <si>
    <t>ADQUISICION MEDICAMENTOS FARMACIAS MUNICIPALES</t>
  </si>
  <si>
    <t>ADQUISICION MEDICAMENTOS FARMACIAS MUNICIPALES DE ELQUISCO E ISLA NEGRA.</t>
  </si>
  <si>
    <t>1540-23-LQ22</t>
  </si>
  <si>
    <t>CONVENIO DE SUMINISTROS DE INSUMOS CRITICOS</t>
  </si>
  <si>
    <t>Se requiere el convenio de suministros de insumos críticos, para cubrir demanda de pacientes con cuadros severos agudos y graves, en los servicios de UPC, Urgencia y/o Cuidados Medios, por el periodo de 24 meses.</t>
  </si>
  <si>
    <t>SERVICIO DE SALUD MAGALLANES HOSPITAL DE PTO NATALES</t>
  </si>
  <si>
    <t>61.607.904-2</t>
  </si>
  <si>
    <t>SARA BARRIA VERA</t>
  </si>
  <si>
    <t>sara.barria@redsalud.gov.cl</t>
  </si>
  <si>
    <t>3949-8-L122</t>
  </si>
  <si>
    <t>MEDICAMENTOS FALTANTES CENABAST MARZO 2022</t>
  </si>
  <si>
    <t>SE REQUIERE LA ADQUISICIÓN DE MEDICAMENTOS POR FALTA DE STOCK EN DROGUERIA APS, PARA CUBRIR LAS NECESIDADES DE LAS UNIDADES DEL CESFAM DR. ALEJANDRO GUTIÉRREZ.</t>
  </si>
  <si>
    <t>CONSULTORIO GENERAL URBANO DR ALEJANDRO GUTIERREZ</t>
  </si>
  <si>
    <t>61.974.500-0</t>
  </si>
  <si>
    <t>769-15-LE22</t>
  </si>
  <si>
    <t>CONV. ADQ.DE INSUMOSY DISP. MÉDICOS AVNIA P.19</t>
  </si>
  <si>
    <t>La presente propuesta pública tiene como objetivo adquirir o contratar lo siguiente:</t>
  </si>
  <si>
    <t>SERVICIO DE SALUD ANTOFAGASTA DIRECCION</t>
  </si>
  <si>
    <t>61.606.200-k</t>
  </si>
  <si>
    <t>Juana Opazo</t>
  </si>
  <si>
    <t>juana.opazo@ssantofagasta.cl</t>
  </si>
  <si>
    <t>2825-7-L122</t>
  </si>
  <si>
    <t>ADQUISICION CILINDROS DE OXIGENO MEDICINAL</t>
  </si>
  <si>
    <t>COMPRA DE CILINDROS DE OXIGENO MEDICINAL PARA DEPENDENCIAS CESFAM Y ANEXOS</t>
  </si>
  <si>
    <t>I MUNICIPALIDAD DE CONSTITUCION</t>
  </si>
  <si>
    <t>69.120.100-7</t>
  </si>
  <si>
    <t>Dpto de Finanzas Salud</t>
  </si>
  <si>
    <t>robrec@gmail.com</t>
  </si>
  <si>
    <t>1464-22-LE22</t>
  </si>
  <si>
    <t>Insumos Médicos Marzo 2022</t>
  </si>
  <si>
    <t>Cotizar insumos médicos para los servicios clinicos del Hospital de Parral.</t>
  </si>
  <si>
    <t>HOSPITAL DE PARRAL</t>
  </si>
  <si>
    <t>61.606.918-7</t>
  </si>
  <si>
    <t>Marcelo Benavides Contreras</t>
  </si>
  <si>
    <t>mparra@hospitaldeparral.cl</t>
  </si>
  <si>
    <t>5841-5-LE22</t>
  </si>
  <si>
    <t>SUMINISTRO DE GASES DE LABORATORIO</t>
  </si>
  <si>
    <t>SUMINISTRO DE GASES DE LABORATORIO PARA LA FACULTAD D CS. QUIMICAS Y FARMACEUTICAS</t>
  </si>
  <si>
    <t>ALEJANDRO FIGUEROA</t>
  </si>
  <si>
    <t>AFIGUEROA@CIQ.UCHILE.CL</t>
  </si>
  <si>
    <t>1057543-25-LE22</t>
  </si>
  <si>
    <t>Insumos varios 2022</t>
  </si>
  <si>
    <t>SERVICIO DE SALUD TALCAHUANO HOSPITAL DE</t>
  </si>
  <si>
    <t>61.607.201-3</t>
  </si>
  <si>
    <t>Waldo Solar Ulloa</t>
  </si>
  <si>
    <t>waldo.solar@redsalud.gov.cl</t>
  </si>
  <si>
    <t>1057544-47-LQ22</t>
  </si>
  <si>
    <t>Compra por suministro de gases clínicos e insumos</t>
  </si>
  <si>
    <t>La presente licitación contempla la compra por suministro de gases clínicos e insumos., según oferta económica Formulario N° 5 de las presentes Bases Administrativas</t>
  </si>
  <si>
    <t xml:space="preserve">SERVICIO DE SALUD DE TALCAHUANO </t>
  </si>
  <si>
    <t>769-16-LE22</t>
  </si>
  <si>
    <t>CONV. MEDICAMENTOS E INSUMOS SAMU ANTFAGASTA P.15</t>
  </si>
  <si>
    <t>La presente propuesta pública tiene como objetivo adquirir o contratar lo siguiente: Medicamentos e insumos para cubrir necesidades de pacientes atendidos en el SAMU de la Región de Antofagasta, los cuales serán solicitados de acuerdo a la demanda asistencial, es decir las cantidades pueden aumentar o disminuir.</t>
  </si>
  <si>
    <t>SERVICIO DE SALUD ANTOFAGASTA</t>
  </si>
  <si>
    <t>3788-13-LE22</t>
  </si>
  <si>
    <t>MPLEMENTOS E INSUMOS DE ENFERMERÍA</t>
  </si>
  <si>
    <t>El objetivo de la presente licitación es adquirir, los insumos necesarios para la modalidad técnico profesional de Atención Enfermería Mención Adulto Mayor del liceo Rodulfo Amando Philippi.</t>
  </si>
  <si>
    <t>I MUNICIPALIDAD DE PAILLACO</t>
  </si>
  <si>
    <t>69.200.900-2</t>
  </si>
  <si>
    <t>YASNA SEGURA PARRA</t>
  </si>
  <si>
    <t>educacion@munipaillaco.cl</t>
  </si>
  <si>
    <t>4488-5-LE22</t>
  </si>
  <si>
    <t>CONVENIO POR SUMINISTRO RECARGAS OXIGENO MEDICINAL CESFAM YANEQUEN NEGRETE</t>
  </si>
  <si>
    <t>I MUNICIPALIDAD DE NEGRETE</t>
  </si>
  <si>
    <t>4060-1-LE22</t>
  </si>
  <si>
    <t>MEDICAMENTOS PARA POSTA RURAL DE VILLA TEHUELCHES</t>
  </si>
  <si>
    <t>Por medio de las presentes bases técnicas la Municipalidad establece las especificaciones técnicas para la adquisición de medicamentos para el funcionamiento de la posta rural de Villa Tehuelches y la correcta atención de usuarios de la Comuna de Laguna Blanca</t>
  </si>
  <si>
    <t>I MUNICIPALIDAD DE LAGUNA BLANCA</t>
  </si>
  <si>
    <t>69.251.200-6</t>
  </si>
  <si>
    <t>MARCELA CURILLAN CARDENAS</t>
  </si>
  <si>
    <t>marcela.curillan@mlagunablanca.cl</t>
  </si>
  <si>
    <t>1058062-8-LP22</t>
  </si>
  <si>
    <t>SUMINISTRO GASES MEDICINALES Y ARRIENDO CILINDRO</t>
  </si>
  <si>
    <t>Se requiere contratar los servicios para el SUMINISTRO DE GASES MEDICINALES Y ARRIENDO DE CILINDROS, con el objeto de asegurar el óptimo funcionamiento del Hospital. El proceso se regirá según lo indicado en Bases Técnicas y Administrativas, adjuntas como anexo.</t>
  </si>
  <si>
    <t>Jesus Carmona Coloma</t>
  </si>
  <si>
    <t>1079650-6-LR22</t>
  </si>
  <si>
    <t>SEGUNDO LLAMADO AMPLIACIÓN RED DE GASES CLÍNICOS Y ELÉCTRICAS MONOBLOCK HGGB</t>
  </si>
  <si>
    <t>SEGUNDO LLAMADO AMPLIACIÓN RED DE GASES CLÍNICOS Y ELÉCTRICAS MONOBLOCK HGGB, DE ACUERDO A LA DOCUMENTACIÓN ADJUNTA.</t>
  </si>
  <si>
    <t>1540-28-LQ22</t>
  </si>
  <si>
    <t>CONV SUM INSUMOS PARA VENTILACION MECANICA</t>
  </si>
  <si>
    <t>Convenio de suministros de insumos para ser utilizados en pacientes con tratamiento de Ventilación Mecánica Invasiva y Ventilación Mecánica No Invasiva, en los servicios de UPC Adulto yo Urgencia Adulto e Infantil, para el Hospital “Dr. Augusto Essmann Burgos” de Puerto Natales, por el periodo de 24 meses</t>
  </si>
  <si>
    <t>886954-51-LQ22</t>
  </si>
  <si>
    <t>CONV. BIENAL DE AEROCAMARA ALARGADORES Y BALON CONTRAPULSAC PARA EL HGGB 2022</t>
  </si>
  <si>
    <t>La necesidad de abastecer de insumos para la atención oportuna del paciente.</t>
  </si>
  <si>
    <t>3210-9-LE22</t>
  </si>
  <si>
    <t>CONTRATO SUMINISTRO OXIGENO</t>
  </si>
  <si>
    <t>DISPONER DE UN PROVEEDOR QUESUMINISTRE DE FORMA CONTINUA OXIGENO AL DPTO DE SALUD DE SAN RAFAEL</t>
  </si>
  <si>
    <t>I MUNICIPALIDAD DE SAN RAFAEL</t>
  </si>
  <si>
    <t>69.264.500-6</t>
  </si>
  <si>
    <t>Alvara Ponce Ponce</t>
  </si>
  <si>
    <t>finanzas@apssanrafael.cl</t>
  </si>
  <si>
    <t>1057387-12-LE22</t>
  </si>
  <si>
    <t>CONVENIO DE SUMINISTRO OXIGENO LIQUIDO Y ESTANQUE CRIOGENICO PARA HOSPITAL SAN AGUSTÍN DE COLLIPULLI</t>
  </si>
  <si>
    <t>La presente licitación tiene como objetivo el suministro continuo de oxígeno liquido con provisión de estanque criogénico, para el Hospital de Collipulli, conforme a la propuesta más ventajosa para el Establecimiento</t>
  </si>
  <si>
    <t>HOSPITAL DE COLLIPULLI</t>
  </si>
  <si>
    <t>3690-10-LQ22</t>
  </si>
  <si>
    <t>SUMINISTRO INSUMOS CLINICOS AREA SALUD 2022-2023</t>
  </si>
  <si>
    <t>La Ilustre Municipalidad de Las Cabras a través del Departamento de salud, como responsable de los establecimientos de atención primaria de salud de la comuna, busca proporcionar un servicio del mayor grado de satisfacción posible a las personas beneficiarias del sistema de salud municipal. Es por lo anterior que tiene la necesidad de adquirir materiales e insumos quirurgicos para los años 2022 y 2023.</t>
  </si>
  <si>
    <t>Samuel Sepulveda Acevedo</t>
  </si>
  <si>
    <t>finanzas@cesfamlascabras.cl</t>
  </si>
  <si>
    <t>3558-2-LE22</t>
  </si>
  <si>
    <t>CONVENIO SUMINISTRO OXIGENO MEDICO PENCAHUE</t>
  </si>
  <si>
    <t>El Departamento de salud de Pencahue requiere proveer de oxigeno medicinal sus instalaciones y unidades de emergencia, considera arriendo de cilindros y mantenciones preventivas de instalaciones.</t>
  </si>
  <si>
    <t>I MUNICIPALIDAD DE PENCAHUE</t>
  </si>
  <si>
    <t>3/29/2022</t>
  </si>
  <si>
    <t>3/29/2024</t>
  </si>
  <si>
    <t>69.110.800-7</t>
  </si>
  <si>
    <t>Juan Alcantar Torres</t>
  </si>
  <si>
    <t>jalcantar2018@gmail.com</t>
  </si>
  <si>
    <t>2324-139-L122</t>
  </si>
  <si>
    <t>INSUMOS ATENCION PODOLOGICA DE ADULTOS MAYORES ELEAM ALERCE  DIDECO MUNICIPALIDAD DE PUERTO MONTT</t>
  </si>
  <si>
    <t>INSUMOS ATENCION PODOLOGICA DE ADULTOS MAYORES, ELEAM ALERCE / DIDECO, MUNICIPALIDAD DE PUERTO MONTT</t>
  </si>
  <si>
    <t>Orlando Arismendi</t>
  </si>
  <si>
    <t>orlando.arismendi@puertomontt.cl</t>
  </si>
  <si>
    <t>948355-9-LP22</t>
  </si>
  <si>
    <t>Adquisición de Insumos Médicos por Sistema de Suministro para el Hospital DIPRECA</t>
  </si>
  <si>
    <t>El Hospital de la Dirección de Previsión de Carabineros de Chile, ubicado en Av. Vital Apoquindo N° 1.200, Comuna de Las Condes, Región Metropolitana, en adelante “EL HOSPITAL”, llama a Licitación Pública para la Adquisición por Sistema de Suministro de Insumos Médicos, en adelante “LOS INSUMOS”, para un período de 24 meses o hasta que se consuma la totalidad del monto contratado, según lo que primero ocurra, para el referido Centro Asistencial, cuyas características y requisitos técnicos constan en las Bases Administrativas y Técnicas de esta Licitación con sus respectivos Anexos.</t>
  </si>
  <si>
    <t>FONDO HOSPITAL DE LA DIRECCION DE PREVISION DE CARABINEROS DE CHILE</t>
  </si>
  <si>
    <t>Viviana Garcia</t>
  </si>
  <si>
    <t>2832-4-LR22</t>
  </si>
  <si>
    <t xml:space="preserve">CTTO. SUM. INSUMOS CLINICOS DEPTO. SALUD QUILLOTA </t>
  </si>
  <si>
    <t>LICITACION PUBLICA CONTRATO DE SUMINISTRO DE INSUMOS CLINICOS DEPARTAMENTO DE SALUD DE LA MUNICIPALIDAD DE QUILLOTA.</t>
  </si>
  <si>
    <t>I MUNICIPALIDAD DE QUILLOTA</t>
  </si>
  <si>
    <t>69.260.400-8</t>
  </si>
  <si>
    <t>Francisca Olivares Palma</t>
  </si>
  <si>
    <t>francisca.olivares@saludquillota.cl</t>
  </si>
  <si>
    <t>552757-7-LE22</t>
  </si>
  <si>
    <t>CONTRATO DE SUMINISTROS DE INSUMOS MÉDICOS PARA EL DEPARTAMENTO DE SALUD MUNICIPAL PICHILEMU AÑO 2022</t>
  </si>
  <si>
    <t>Invita a los oferentes relacionados con el rubro de INSUMOS MEDICOS, a participar del Llamado a Licitación Pública para realizar un contrato de Suministro de insumos médicos para abastecer los requerimientos que emanan de la población que atienden los profesionales y técnicos de salud en sus 3 Postas y Estaciones Medico Rurales existentes en la comuna de Pichilemu, para el año 2022.</t>
  </si>
  <si>
    <t>I MUNICIPALIDAD DE PICHILEMU</t>
  </si>
  <si>
    <t>69.091.200-7</t>
  </si>
  <si>
    <t>MARCELA MARTINEZ GONZALEZ</t>
  </si>
  <si>
    <t>MMARTINEZ@PICHILEMU.CL</t>
  </si>
  <si>
    <t>3950-17-LE22</t>
  </si>
  <si>
    <t xml:space="preserve">Adquisición de Medicamentos e Insumos </t>
  </si>
  <si>
    <t xml:space="preserve">Que la Dirección Atención Primaria, ha determinado licitar los servicios establecidos en la Licitación “ADQUISICIÓN DE MEDICAMENTOS E INSUMOS PARA STOCK EN BODEGA, DE LA DIRECCIÓN ATENCIÓN PRIMARIA.” </t>
  </si>
  <si>
    <t>DIRECCION SALUD RURAL</t>
  </si>
  <si>
    <t>61.974.600-7</t>
  </si>
  <si>
    <t>CAMILO VALLEJOS</t>
  </si>
  <si>
    <t>dsr.contabilidad@saludaysen.cl</t>
  </si>
  <si>
    <t>1627-31-LQ22</t>
  </si>
  <si>
    <t>Suministro Gases Medicinales</t>
  </si>
  <si>
    <t>Llama a licitación Pública para el Suministro de Gases Medicinales y Arriendo de Cilindros para el Hospital de San Fernando</t>
  </si>
  <si>
    <t>HOSPITAL DE SAN FERNANDO</t>
  </si>
  <si>
    <t>61.602.145-1</t>
  </si>
  <si>
    <t>Cristian Moreno Gutiérrez</t>
  </si>
  <si>
    <t>cmoreno@hospitalsanfernando.cl</t>
  </si>
  <si>
    <t>1057499-8-LE22</t>
  </si>
  <si>
    <t>ADQUISICIÓN DE MÁSCARAS PARA EL PROGRAMA DE ASISTENCIA VENTILATORIA NO INVASIVA DEL ADULTO</t>
  </si>
  <si>
    <t>El objetivo de la presente licitación es definir las condiciones técnicas y contractuales para la adquisición de máscaras para el programa de asistencia ventilatoria no invasiva del adulto.</t>
  </si>
  <si>
    <t>4999-3-LE22</t>
  </si>
  <si>
    <t>ADQUISICIÓN EQUIPOS CLÍNICOS CAMP VACUNACION SPA</t>
  </si>
  <si>
    <t>El Departamento de Salud de la Municipalidad de San Pedro de Atacama, hace un llamado a propuesta pública para la gestionar la adquisición de Equipos Clínicos para la Vacunación Masiva en Comuna San Pedro de Atacama, como parte de la Estrategia Nacional para enfrentar la pandemia.  De tal manera, las presentes bases de licitación regularan este proceso, cuyos oferentes deben cumplir los requisitos de estas Bases.</t>
  </si>
  <si>
    <t>I MUNICIPALIDAD DE SAN PEDRO DE ATACAMA</t>
  </si>
  <si>
    <t>69.252.500-0</t>
  </si>
  <si>
    <t>adqsalud@munispa.cl</t>
  </si>
  <si>
    <t>KARINA CHAYLE CRUZ</t>
  </si>
  <si>
    <t>finanzassalud@munispa.cl</t>
  </si>
  <si>
    <t>1718-7-L122</t>
  </si>
  <si>
    <t>OXIGENO MEDICINAL Y ARRIENDO DE CILINDRO.</t>
  </si>
  <si>
    <t>SOL.COMPRA 08224. DEPTO. DE SALUD. SAR Y SUC DE LA COMUNA. OXIGENO MEDICINAL Y ARRIENDO DE CILINDRO POR 5 MESES DE ABRIL A AGOSTO 2022.</t>
  </si>
  <si>
    <t>I MUNICIPALIDAD DE SAN RAMON</t>
  </si>
  <si>
    <t>69.253.900-1</t>
  </si>
  <si>
    <t>SAMUEL BUSTOS</t>
  </si>
  <si>
    <t>sbustos@municipalidadsanramon.cl</t>
  </si>
  <si>
    <t>1057441-8-LP22</t>
  </si>
  <si>
    <t>CONVENIO SUMINISTRO INSUMOS GASES CLÍNICOS</t>
  </si>
  <si>
    <t>Conforme a la Ley de Compras Públicas, su Reglamento y modificaciones, el Hospital Provincial de Ovalle llama a licitación pública a empresas o proveedores del rubro, personas naturales o jurídicas, chilenas o extranjeras, así como a Uniones Temporales de Proveedores, para celebrar un Convenio de Suministro de Insumos de Gases Clínicos, por un periodo de 24 (veinticuatro) meses o hasta agotar el presupuesto máximo referencial, para un oportuno y adecuado suministro de estos productos y así garantizar el correcto funcionamiento del Establecimiento.</t>
  </si>
  <si>
    <t xml:space="preserve">SERVICIO DE SALUD COQUIMBO </t>
  </si>
  <si>
    <t>61.606.404-5</t>
  </si>
  <si>
    <t>Rocío Ávalos Laflor</t>
  </si>
  <si>
    <t>rocio.avalos@redsalud.gov.cl</t>
  </si>
  <si>
    <t>1641-41-LE22</t>
  </si>
  <si>
    <t>JA-SERVICIOS DE SUMINISTRO ÓXIDO NÍTRICO PARA PA</t>
  </si>
  <si>
    <t>Objetivo y Descripción de la licitación El objeto de la presente licitación es la contratación de SERVICIOS DE SUMINISTRO ÓXIDO NÍTRICO PARA PACIENTES NEONATOLOGICOS Y PEDIÁTRICOS”, según el siguiente detalle: ITEM CÓDIGO INTERNO DESCRIPCIÓN UNIDAD DE MEDIDA CANTIDAD ESTIMADA (*) 1 10-010-002-0001 SERVICIOS DE SUMINISTRO ÓXIDO NÍTRICO PARA PACIENTES NEONATOLOGICOS Y PEDIÁTRICOS GLOBAL SEGÚN REQUERIMIENTO No se aceptarán más de una oferta por línea de un proveedor, solo debe postular con una oferta por línea. * No se aceptarán más de una oferta por línea de un proveedor, solo se debe postular con una Oferta por línea. En caso de que se produzca una doble oferta por línea, solo valdrá la que haya sido publicada en primera instancia en el portal y sea comprobada con el respectivo comprobante de oferta adjunto en la publicación. (*) Se deja constancia que las cantidades de productos o servicios son de flujo variables, no comprometiendo el Hospital a adquirir cantidades determinadas de manera periódica, por lo que en ningún caso se fijará stock mínimo de compra, ni tampoco totales, por lo que el o los adjudicatarios estarán imposibilitados de señalar cantidades mínimas para su despacho. El proveedor deberá ofertar, incluyendo todos los costos asociados, traslados o fletes, embalaje, seguros, impuestos, etc., hasta su recepción conforme en el Hospital. La oferta a través de la Plataforma Mercado Público deberá efectuarse por el valor neto (Sin IVA) Asimismo, se hace presente que este proceso de licitación se hará por ítem adjudicado, por lo cual cada proveedor podrá ofertar por un ítem de los señalados en este punto, por más de uno o por la totalidad de los mismos, correspondiendo cada ítem a una línea de producto o servicio.</t>
  </si>
  <si>
    <t>HOSPITAL SAN JUAN DE DIOS</t>
  </si>
  <si>
    <t>61.608.204-3</t>
  </si>
  <si>
    <t>RODRIGO BRAVO</t>
  </si>
  <si>
    <t>RODRIGO.BRAVOG@REDSALUD.GOV.CL</t>
  </si>
  <si>
    <t>3651-16-L122</t>
  </si>
  <si>
    <t>INSUMOS SALA IRA ERA  CESFAM CANTERAS</t>
  </si>
  <si>
    <t>INSUMOS  SALA IRA ERA CESFAM CANTERAS , PRESUPUESTO MUNICIPAL 2022</t>
  </si>
  <si>
    <t>I MUNICIPALIDAD DE QUILLECO</t>
  </si>
  <si>
    <t>69.170.402-5</t>
  </si>
  <si>
    <t>Gissela Urriola Salas</t>
  </si>
  <si>
    <t>gisse.urriola@live.cl</t>
  </si>
  <si>
    <t>3853-10-L122</t>
  </si>
  <si>
    <t>Suministro de Oxígeno Medicinal Para Pacientes Domiciliarios</t>
  </si>
  <si>
    <t>l Departamento de Salud Municipal de Río Bueno, requiere adquirir "Contrato de Suministro de Oxígeno Medicinal para Pacientes Domiciliarios Oxígeno Dependiente", que pertenecen al CESFAM de Río Bueno.</t>
  </si>
  <si>
    <t>69.201.000-0</t>
  </si>
  <si>
    <t>Yéssica Hidalgo Leal</t>
  </si>
  <si>
    <t>434-19-L122</t>
  </si>
  <si>
    <t>CONCENTRADOR DE OXIGENO. SEGUN MEMO N° 67-A DIDEDO</t>
  </si>
  <si>
    <t>CONCENTRADOR DE OXIGENO PORTATIL CON BATERIAS, NECESARIO PARA PERSONA CARENTE DE RECURSOS ATENDIDA POR EL PROGRAMA PLAN ASISTENCIAL. SEGUN MEMO N° 67-A DIDEDO. FLETE INCLUIDO Y PUESTO EN BODEGA MUNICIPAL.</t>
  </si>
  <si>
    <t>I MUNICIPALIDAD DE CAUQUENES</t>
  </si>
  <si>
    <t>69.120.400-6</t>
  </si>
  <si>
    <t>Lucia del rio</t>
  </si>
  <si>
    <t>tesoreria@cauquenes.cl</t>
  </si>
  <si>
    <t>2098-54-LE22</t>
  </si>
  <si>
    <t>INSUMOS PARA SERVICIO DE URGENCIA FOLIO PAC N°22 Y PARA SMQ FOLIO PAC N°36</t>
  </si>
  <si>
    <t>HOSPITAL CURANILAHUE REQUIERE LA COMPRA DE INSUMOS CLINICOS UTILIZADOS EN EL SERVICIO DE URGENCIA Y MEDICO QUIRURGICO DE NUESTRO ESTABLECIMIENTO</t>
  </si>
  <si>
    <t>SERVICIO NACIONAL DE SALUD HOSPITAL DE C</t>
  </si>
  <si>
    <t>61.602.211-3</t>
  </si>
  <si>
    <t>Alejandra Araneda</t>
  </si>
  <si>
    <t>alejandra.araneda@hospitaldecuranilahue.cl</t>
  </si>
  <si>
    <t>4401-23-LE22</t>
  </si>
  <si>
    <t>SC 179 - INSUMOS CLINICOS</t>
  </si>
  <si>
    <t>Solicitar al sector privado la “Adquisición de Insumos Clínicos para el Departamento de Salud”, a objeto de recibir del proveedor según se solicite en cada caso, todos o parte de los productos descritos en la presente licitación pública.</t>
  </si>
  <si>
    <t>Rodrigo Gaete Ruano</t>
  </si>
  <si>
    <t>rodrigogaete@saludsanclemente.cl</t>
  </si>
  <si>
    <t>2125-18-LE22</t>
  </si>
  <si>
    <t>Convenio de suministro de insumos medicos II</t>
  </si>
  <si>
    <t xml:space="preserve">Solicitud de compra N° BFI-20-22 de fecha 14.03.2022 de Jefe bodega farmacos e insumos. </t>
  </si>
  <si>
    <t>Hospital de Illapel</t>
  </si>
  <si>
    <t>61.606.407-K</t>
  </si>
  <si>
    <t>BRIAN MICHELL ARROYO</t>
  </si>
  <si>
    <t>brian.michell@redsalud.gov.cl</t>
  </si>
  <si>
    <t>3937-8-LE22</t>
  </si>
  <si>
    <t>ADQUISICIÓN DE OXIGENO MEDICINAL PARA ABASTECER EL DEPARTAMENTO DE SALUD CURARREHUE</t>
  </si>
  <si>
    <t>La necesidad de abastecimiento de Oxigeno Medicinal del CESFAM de Curarrehue y Postas de Salud Rural de la Comuna 2022.</t>
  </si>
  <si>
    <t>ILUSTRE MUNICIPALIDAD DE CURARREHUE</t>
  </si>
  <si>
    <t>69.252.400-4</t>
  </si>
  <si>
    <t>GABRIELA CORTES ROSALES</t>
  </si>
  <si>
    <t>finanzas.salud2013@gmail.com</t>
  </si>
  <si>
    <t>1650-10-LE22</t>
  </si>
  <si>
    <t>Compra de insumos médicos, con solicitud de compra interna N°208, para hospital Santa Juana.</t>
  </si>
  <si>
    <t>Francia Rivera</t>
  </si>
  <si>
    <t>1057489-125-LR22</t>
  </si>
  <si>
    <t>CONV. SUMINISTRO DE GASES CLINICOS Y MEDICINALES</t>
  </si>
  <si>
    <t>ue, el Hospital del Salvador necesita contar con un “Convenio Suministro de Gases Clínicos y Medicinales por dieciocho 18 meses para el HdS”, con la finalidad de satisfacer de manera adecuada y eficiente la labor asistencial durante el año 2022-2023. Que, por la cuantía determinada, la presente licitación se ubica en el tramo para contrataciones iguales o superiores a 5.000 UTM, en conformidad al Artículo 19º bis del Reglamento de la Ley Nº19.886; Que, la cuantía de contratación, de conformidad a Resolución N°16 de 2020 de Contraloría General de la República, por ser inferior a 15.000 UTM, queda sujeta a controles de reemplazo, motivo por el cual no puede superar dicho límite; Que hechas las consultas respectivas, la provisión de suministro de gases clínicos y medicinales, no se encuentra disponible por Convenios Marcos ofrecidos en el Sistema de Información de la Dirección de Compras, www.mercadopublico.cl;</t>
  </si>
  <si>
    <t>ivania wilenmann</t>
  </si>
  <si>
    <t>iwilenmann@hsalvador.cl</t>
  </si>
  <si>
    <t>4083-7-LE22</t>
  </si>
  <si>
    <t>Rosa Morales Valdes</t>
  </si>
  <si>
    <t>rmorales@cabrero.cl</t>
  </si>
  <si>
    <t>1180825-6-LE22</t>
  </si>
  <si>
    <t>Reposicion de equipo y equipamiento proyecto</t>
  </si>
  <si>
    <t>“PROVISIÓN DE EQUIPOS Y EQUIPAMIENTO, PROYECTO DENOMINADO “REPOSICIÓN POSTA DE SALUD RURAL CALETA LOS HORNOS, LA HIGUERA”</t>
  </si>
  <si>
    <t>SERVICIO DE SALUD COQUIMBO</t>
  </si>
  <si>
    <t>61.606.400-2</t>
  </si>
  <si>
    <t>Ricardo Redel</t>
  </si>
  <si>
    <t>ricardo.redel@redsalud.gov.cl</t>
  </si>
  <si>
    <t>2854-9-LE22</t>
  </si>
  <si>
    <t>CONVENIO DE SUMINISTRO - OXIGENO MEDICINAL CESFAM</t>
  </si>
  <si>
    <t>Se requiere realizar un CONVENIO DE SUMINISTRO DE OXIGENO MEDICINAL CESFAM-SAR DE PUERTO VARAS, según especificaciones indicadas en Bases Técnicas, que tienen como objetivo, proveer a los usuarios del CESFAM y SAR de Puerto Varas de este insumo para terapias respiratorias asociadas a sus diagnósticos clínicos.</t>
  </si>
  <si>
    <t>I MUNICIPALIDAD DE PUERTO VARAS</t>
  </si>
  <si>
    <t>69.220.200-7</t>
  </si>
  <si>
    <t>Marcela Paredes</t>
  </si>
  <si>
    <t>facturacionsalud@ptovaras.cl</t>
  </si>
  <si>
    <t>1627-38-LE22</t>
  </si>
  <si>
    <t>insumos clinicos varios 1</t>
  </si>
  <si>
    <t>se requiere compra de insumos para Hospital San Fernando, plan de compra 2022</t>
  </si>
  <si>
    <t>CRISTIAN MORENO</t>
  </si>
  <si>
    <t>3690-17-LQ22</t>
  </si>
  <si>
    <t>Suministro Insumos Clínicos Área de Salud años 2022-2023 II Lllamado</t>
  </si>
  <si>
    <t>La Ilustre Municipalidad de Las Cabras a través del Departamento de salud, como responsable de los establecimientos de atención primaria de salud de la comuna,  tiene la necesidad de adquirir materiales e insumos quirúrgicos para los años 2022 y 2023.</t>
  </si>
  <si>
    <t>Roberto Gonzalez Troncoso</t>
  </si>
  <si>
    <t>salud@cesfamlascabras.cl</t>
  </si>
  <si>
    <t>1057472-24-LE22</t>
  </si>
  <si>
    <t>SERVICIO DE MANT DE COLUMNAS DE GASES CLÍNICOS</t>
  </si>
  <si>
    <t>Aprueba bases licitación pública y sus anexos para la adquisición del Servicio de “MANTENIMIENTO DE COLUMNAS DE GASES CLÍNICOS”, para el Hospital El Carmen Dr. Luis Valentín Ferrada</t>
  </si>
  <si>
    <t xml:space="preserve">HOSPITAL CLINICO METROPOLITANO EL CARMEN </t>
  </si>
  <si>
    <t>61.980.320-5</t>
  </si>
  <si>
    <t>Hospital El Carmen Dr. Luis Valentín Ferrada</t>
  </si>
  <si>
    <t>mariela.fuentes@redsalud.gob.cl</t>
  </si>
  <si>
    <t>3210-11-L122</t>
  </si>
  <si>
    <t>Contrato Suministro Oxigeno</t>
  </si>
  <si>
    <t>5061-49-L122</t>
  </si>
  <si>
    <t>S2 Adquisición de (8) concentrador de oxigeno para programa covid de la estrategia atención domiciliaria compleja del departamento de salud municipal</t>
  </si>
  <si>
    <t>1624-23-L122</t>
  </si>
  <si>
    <t>636811-6-LE22</t>
  </si>
  <si>
    <t>CONVENIO SUMINISTRO OXIGENO MEDICINAL Y OTROS</t>
  </si>
  <si>
    <t>REALIZAR CONVENIO SUMINISTRO OXIGENO MEDICINAL Y OTROS EN CILINDRO</t>
  </si>
  <si>
    <t>HOSPITAL DE MOLINA</t>
  </si>
  <si>
    <t>61.606.908-k</t>
  </si>
  <si>
    <t>Gloria Correa Contreras</t>
  </si>
  <si>
    <t>gcorrea@ssmaule.cl</t>
  </si>
  <si>
    <t>3853-26-L122</t>
  </si>
  <si>
    <t>CONTRATO DE SUMINISTRO DE OXÍGENO MEDICINAL PARA EL SAPU Y ESTABLECIMIENTOS DE LA SALUD PRIMARIA</t>
  </si>
  <si>
    <t>El Departamento de Salud Municipal de Río Bueno, requiere adquirir "Contrato de Suministro de Oxígeno Medicinal", para el SAPU y Otros Establecimientos de la Salud Primaria Municipal de Río Bueno.</t>
  </si>
  <si>
    <t>61.602.203-2</t>
  </si>
  <si>
    <t>depto.finanzas.2022@gmail.com</t>
  </si>
  <si>
    <t>898-25-LR22</t>
  </si>
  <si>
    <t>SUMINISTRO DE OXIGENO CRIOGENICO CON ESTANQUE</t>
  </si>
  <si>
    <t>Establecen los fines, condiciones y requisitos que deberán ser cumplidos por las empresas oferentes, en todas y cada una de las partes que conformen su oferta disposiciones generales que regirán la Licitación Pública que celebre el Hospital Claudio Vicuña, dependiente del Servicio de Salud Val paraíso San Antonio para la licitación “SUMINISTRO DE OXIGENO CRIOGENICO CON ESTANQUE EN COMODATO PARA EL NUEVO HOSPITAL CLAUDIO VICUÑA”, con el objeto de dar condiciones clínicas a los pacientes que requieran tratamiento de oxigenoterapia en hospitalización cerrada.</t>
  </si>
  <si>
    <t>HOSPITAL CLAUDIO VICUNA</t>
  </si>
  <si>
    <t>61.602.126-5</t>
  </si>
  <si>
    <t>10°°%</t>
  </si>
  <si>
    <t>Carmen Gloria Osorio Cueto</t>
  </si>
  <si>
    <t>carmengloria.osorio@redsalud.gov.cl</t>
  </si>
  <si>
    <t>4457-16-LE22</t>
  </si>
  <si>
    <t>CONTRATO DE SUMINISTRO SERVICIO DE OXIGENO MEDICIN</t>
  </si>
  <si>
    <t>CONTRATO DE SUMINISTRO “SERVICIOS DE OXIGENO GASEOSO MEDICINAL, OXIGENO TERAPIA DOMICILIARIA Y OTROS ACCESORIOS PARA DIRECCION DE SALUD MUNICIPAL” SOLICITUD DE ADQUISICIONES N° 54 ID DOC 633881 DE FECHA 15.03.2022</t>
  </si>
  <si>
    <t>I MUNICIPALIDAD DE HUALQUI</t>
  </si>
  <si>
    <t>69.150.601-0</t>
  </si>
  <si>
    <t>ANGELICA HERRERA GACITUA</t>
  </si>
  <si>
    <t>dashualqui.jefadefinanzas@gmail.com</t>
  </si>
  <si>
    <t>1057432-18-LE22</t>
  </si>
  <si>
    <t>ADQUISICIÓN DE MASCARILLAS NASALES SSC.</t>
  </si>
  <si>
    <t>Adquisición de mascarillas Nasobucal para ventilación no invasiva Modelo referencia/Tipo Airfit F20 RESMED Y modelo referencial Amara View para el Departamento de Atención Primaria de Salud del Servicio de Salud Concepción</t>
  </si>
  <si>
    <t>partes@ssconcepcion.cl</t>
  </si>
  <si>
    <t>Ivan Cruz Cruz</t>
  </si>
  <si>
    <t>icruz@ssconcepcion.cl</t>
  </si>
  <si>
    <t>1554-14-LQ22</t>
  </si>
  <si>
    <t>Serv. arriendo equipos oxigenoterapia domicilio</t>
  </si>
  <si>
    <t>El objeto de la licitación, es efectuar el llamado público, para la presentación de ofertas a fin de satisfacer las demandas del Establecimiento, los cuales deberán tener la suficiencia técnica y especializada para prestar colaboración con el Hospital Regional. Dichos requerimientos y servicios deberán enfocar su trabajo en la atención de calidad, con responsabilidad y pertinencia, encontrándose disponibles para el equipo de salud cuando este lo requiera, subordinándose a las normas del establecimiento hospitalario. Los cuales serán coordinados y supervisados por la contraparte Técnica.</t>
  </si>
  <si>
    <t>Hospital de Copiapó</t>
  </si>
  <si>
    <t>277.680.000</t>
  </si>
  <si>
    <t>61.606.307-3</t>
  </si>
  <si>
    <t>Danary Vera Moreta</t>
  </si>
  <si>
    <t>danary.vera@redsalud.gov.cl</t>
  </si>
  <si>
    <t>2360-25-LE22</t>
  </si>
  <si>
    <t>RECARGA Y ARRIENDO DE CILINDROS DE OXIGENO</t>
  </si>
  <si>
    <t>SERVICIO DE RECARGA Y ARRIENDO DE CILINDROS DE OXIGENO Y AIRE MEDICINAL. LA NECESIDAD DE ABASTECER CON OXIGENO A LOS CESFAM DE LA COMUNA.</t>
  </si>
  <si>
    <t>I MUNICIPALIDAD DE TALCAHUANO</t>
  </si>
  <si>
    <t>69.150.800-5</t>
  </si>
  <si>
    <t>Juan Francisco Torres Vargas.</t>
  </si>
  <si>
    <t>juan.torres@talcahuano.cl</t>
  </si>
  <si>
    <t>2080-111-LQ22</t>
  </si>
  <si>
    <t>SUMINISTRO INSUMOS PARA INGRESO Y VALORACION</t>
  </si>
  <si>
    <t>El objeto de esta Licitación es contar con un adecuado Suministro</t>
  </si>
  <si>
    <t>HOSPITAL REG RANCAGUA</t>
  </si>
  <si>
    <t>pablo.delpino@redsalid.gov.cl</t>
  </si>
  <si>
    <t>3747-10-L122</t>
  </si>
  <si>
    <t>Andrea Solis Perez</t>
  </si>
  <si>
    <t>andreakata.30@gmail.com</t>
  </si>
  <si>
    <t>NICOLE SAEZ POBLETE</t>
  </si>
  <si>
    <t>finanzasdesamu2018@gmail.com</t>
  </si>
  <si>
    <t>1057430-26-LQ22</t>
  </si>
  <si>
    <t>Convenio de Suministros Gases Medicinales</t>
  </si>
  <si>
    <t>La necesidad de contar con un Convenio de Suministros de Gases Medicinales en cilindros, con arriendo de los envases, para el Hospital de Lota, para uso en los Servicios Clínicos y Unidades.</t>
  </si>
  <si>
    <t>HOSPITAL DE LOTA</t>
  </si>
  <si>
    <t>Yesenia Fonseca Carrasco</t>
  </si>
  <si>
    <t>yesenia.fonseca@ssconcepcion.cl</t>
  </si>
  <si>
    <t>Gregoria González Leal</t>
  </si>
  <si>
    <t>ggonzalez@ssconcepcion.cl</t>
  </si>
  <si>
    <t>1057541-12-LE22</t>
  </si>
  <si>
    <t>SEGUNDO LLAMADO CONVENIO DE SUMINISTROS OXÍGENO MEDICINAL E INSUMO</t>
  </si>
  <si>
    <t>Se requiere Convenio de Suministro Oxígeno Medicinal e Insumos para la atención pre-hospitalaria de pacientes para el Departamento SAMU del Servicio Salud Talcahuano, por un periodo de 24 meses o hasta agotar el presupuesto disponible, lo que ocurra primero. Se requiere realizar un contrato por los servicios de suministro de oxígeno medicinal para: 17 unidades de cilindros de 6 metros cúbicos que se mantienen dentro de las 17 ambulancias con las que cuenta el Departamento SAMU. Además, se requiere contar con un stock adicional de 10 cilindros de 6 metros cúbicos y de 48 cilindros de aproximadamente 1 metro cubico, debe ser de fácil transporte y con regulador incorporado.</t>
  </si>
  <si>
    <t>SERVICIO DE SALUD TALCAHUANO</t>
  </si>
  <si>
    <t>61.607.200-5</t>
  </si>
  <si>
    <t>SOLEDAD VERGARA</t>
  </si>
  <si>
    <t>soledade.vergara@redsalud.gob.cl</t>
  </si>
  <si>
    <t>ANGELA CAMPOS</t>
  </si>
  <si>
    <t>angela.campos@redsalud.gov.cl</t>
  </si>
  <si>
    <t>1057402-87-LE22</t>
  </si>
  <si>
    <t>REPASO INSUMOS VIA AEREA Y OTROS</t>
  </si>
  <si>
    <t>El propósito de la licitación es contar con contratos de suministro de “REPASO INSUMOS VIA AEREA Y OTROS”, y que permitan el aprovisionamiento oportuno de los productos necesarios en la atención de los usuarios del Hospital para los años 2022 al 2024, en las circunstancias que estos productos no fueran provistos por la Central Nacional de Abastecimiento de los Servicios de Salud, ni se encuentren disponibles en catálogos electrónicos del Convenio Marco o en las Compras Coordinadas yo Conjuntas del Ministerio de Salud, o bien su adquisición sea desventajosa respecto al resultado de la presente licitación, cuyas condiciones más ventajosas serán informadas en la oportunidad correspondiente a la Dirección de Compras, en conformidad con lo dispuesto en el artículo 15 del D.S. Nº 250, de 2004, del Ministerio de Hacienda. El contrato de suministro anteriormente indicado se hará efectivo cada vez que sea necesario, a través de la emisión de órdenes de compra enviadas al proveedor adjudicado mediante la plataforma www.mercadopublico.cl. Sin perjuicio de lo anterior, durante todo el periodo de vigencia del contrato, los productos serán solicitados en la oportunidad del mes que el Hospital estime pertinente, comprometiéndose el oferente adjudicado a difundir esta modalidad de compra a todas las instancias que participan en su proceso de ventas.</t>
  </si>
  <si>
    <t>Tesoreria General de la Republica</t>
  </si>
  <si>
    <t>2986-37-LE22</t>
  </si>
  <si>
    <t>Contrato de suministro de oxigeno medicinal e insu</t>
  </si>
  <si>
    <t>Contrato suministro de oxigeno medicinal e insumos CESFAM Tomás Rojas Vergara</t>
  </si>
  <si>
    <t>I MUNICIPALIDAD DE LOS LAGOS</t>
  </si>
  <si>
    <t>69.200.600-3</t>
  </si>
  <si>
    <t>RICARDO FIGUEROA ISLAS</t>
  </si>
  <si>
    <t>compras.desam@saludloslagos.cl</t>
  </si>
  <si>
    <t>2101-17-LP22</t>
  </si>
  <si>
    <t>CONVENIO SUMINISTRO GASES CLÍNICOS Y SUS SERVICIOS</t>
  </si>
  <si>
    <t>Se requiere contratar un Servicio por el suministro de gases medicinales, mezclas especiales, envases, válvulas, adaptadores, conectores, carros, cilindros y estanques aptos para las instalaciones y equipamiento existentes que sean requeridos bajo el estado y situación de consumo de gases y explotación del Hospital Intercultural Kallvu LLanka de Cañete requiera, a todo evento garantizar la óptima capacidad de explotación de todos los servicio intrahospitalario, dando cumplimiento a las Bases Técnicas, por un periodo de 24 meses.</t>
  </si>
  <si>
    <t>Hospital Cañete</t>
  </si>
  <si>
    <t>61.602.213-k</t>
  </si>
  <si>
    <t>Miguel Gallardo</t>
  </si>
  <si>
    <t>jefe.mantencion@hospitalcanete.cl</t>
  </si>
  <si>
    <t>Contanza Monsalvez</t>
  </si>
  <si>
    <t>jefe.finanzas@hospitalcanete.cl</t>
  </si>
  <si>
    <t>886954-80-LE22</t>
  </si>
  <si>
    <t>Convenio suministro campaña de invierno 2022</t>
  </si>
  <si>
    <t>Proveer al HGGB de los insumos necesarios para la atencion oportuna de los paciente</t>
  </si>
  <si>
    <t xml:space="preserve">HOSPITAL GUILLERMO GRANT BENAVENTE </t>
  </si>
  <si>
    <t>Loreto Rodríguez Neira</t>
  </si>
  <si>
    <t>1747-21-LE22</t>
  </si>
  <si>
    <t>SUMINISTRO DE OXIGENO MEDICINAL METROS CUBICOS HCM</t>
  </si>
  <si>
    <t>Servicios de recarga de oxígeno medicinal, considerando lo siguiente: Teniendo un consumo promedio de 30 tubos de oxígeno de 10 metros cúbicos mensuales, los cuales deben ser arrendados por el Proveedor, considerando 40 tubos para arrendar. Además, un consumo promedio de 20 tubos de oxígeno de 1 metro cúbico mensuales.</t>
  </si>
  <si>
    <t>HOSPITAL DE MEJILLONES</t>
  </si>
  <si>
    <t>61.606.205-0</t>
  </si>
  <si>
    <t>Francia Bruna</t>
  </si>
  <si>
    <t>francia.bruna@hospitalmejillones.cl</t>
  </si>
  <si>
    <t>1057496-19-LE22</t>
  </si>
  <si>
    <t>Adquisición insumos médicos Hospital San Luis</t>
  </si>
  <si>
    <t>Adquisición insumos médicos, Hospital San Luis</t>
  </si>
  <si>
    <t>HOSPITAL SAN LUIS</t>
  </si>
  <si>
    <t>61.608.105-5</t>
  </si>
  <si>
    <t>María Eugenia Díaz Molina</t>
  </si>
  <si>
    <t>mariae.diaz@redsalud.gov.cl</t>
  </si>
  <si>
    <t>1063538-84-LQ22</t>
  </si>
  <si>
    <t>CONVENIO POR SUMINISTRO INSUMOS DE VÍA AÉREA</t>
  </si>
  <si>
    <t>El Hospital Base San José Osorno, en adelante también el “Hospital”, requiere gestionar un convenio por suministro de bienes e insumos para abastecer el stock de bodega del HBSJO, de acuerdo a las condiciones establecidas en las presentes bases administrativas, económicas, técnicas y sus anexos. La forma de la presente licitación pública corresponde a aquella adquisición mayor a 2.000 UTM e inferiores a 5.000 UTM.</t>
  </si>
  <si>
    <t>HOSPITAL BASE OSORNO</t>
  </si>
  <si>
    <t>61.602.260-1</t>
  </si>
  <si>
    <t>CLAUDIA SANDOVAL</t>
  </si>
  <si>
    <t>gestionpagofacturas@redsalud.gob.cl</t>
  </si>
  <si>
    <t>3853-28-L122</t>
  </si>
  <si>
    <t>Suministro de Oxígeno Medicinal para Pacientes Domiciliarios</t>
  </si>
  <si>
    <t>El Departamento de Salud Municipal de Río Bueno, requiere adquirir "Contrato de Suministro de Oxígeno Medicinal", para "Pacientes Domiciliarios Oxígeno Dependientes", pertenecientes a la Salud Primaria Municipal de Río Bueno</t>
  </si>
  <si>
    <t>2098-71-LE22</t>
  </si>
  <si>
    <t>ADQUISICION INSUMOS CONECTORES DE VACIO AIRE COMPRIMIDO Y OXIGENOTERAPIA HRAV</t>
  </si>
  <si>
    <t>Conforme a la Ley de Compras Públicas n° 19.886, de Bases Sobre Contratos Administrativos de Suministro y Prestación de Servicios, su Reglamento aprobado mediante Decreto 250/2004 y las modificaciones vigentes a la fecha de esta publicación, el Hospital a través de su Departamento de Abastecimiento y Logística invita a los oferentes, personas naturales o jurídicas, a participar en una licitación pública, determinando los requisitos administrativos mínimos para participar en la propuesta y garantizar con este mismo instrumento la calidad y entrega de los productos requeridos</t>
  </si>
  <si>
    <t>Hospital Curanilahue</t>
  </si>
  <si>
    <t>Francisca Romero Neira</t>
  </si>
  <si>
    <t>francisca.romero@hospitaldecuranilahue.cl</t>
  </si>
  <si>
    <t>1063538-88-LQ22</t>
  </si>
  <si>
    <t>CONVENIO POR SUMINISTRO CIRCUITOS DE VÍA AÉREA</t>
  </si>
  <si>
    <t>Claudia Sandoval</t>
  </si>
  <si>
    <t>1650-15-LE22</t>
  </si>
  <si>
    <t>Compra de insumos médicos, hospital Santa Juana, con solicitud de compra interna N°211 de fecha 13 de abril del 2022.</t>
  </si>
  <si>
    <t>2421-25-LE22</t>
  </si>
  <si>
    <t>SUMINISTRO OXIGENO MEDICINAL DAS CONCEPCIÓN 2022-23</t>
  </si>
  <si>
    <t>SUMINISTRO OXIGENO MEDICINAL PARA ESTABLECIMIENTOS DE SALUD DAS CONCEPCIÓN</t>
  </si>
  <si>
    <t>I. MUNICIPALIDAD DE CONCEPCIÓN</t>
  </si>
  <si>
    <t>2780-133-L122</t>
  </si>
  <si>
    <t>COMPRA DE INSUMOS PARA FARMACIA POPULAR DE LA LIGUA</t>
  </si>
  <si>
    <t>I MUNICIPALIDAD DE LA LIGUA</t>
  </si>
  <si>
    <t>69.050.100-7</t>
  </si>
  <si>
    <t>2703-104-L122</t>
  </si>
  <si>
    <t>SC 9240 Suministro de oxígeno medicinal SAR.</t>
  </si>
  <si>
    <t>SC 9240 Suministro de oxígeno medicinal Cilindros de 10 m3, Según especificaciones técnicas adjuntas para SAR Talagante..</t>
  </si>
  <si>
    <t>I MUNICIPALIDAD DE TALAGANTE</t>
  </si>
  <si>
    <t>69.071.800-6</t>
  </si>
  <si>
    <t>Víctor Aguilar</t>
  </si>
  <si>
    <t>vaguilar@talagante.cl</t>
  </si>
  <si>
    <t>3654-16-LE22</t>
  </si>
  <si>
    <t>ADQ DE GASES FLETE Y ARRIENDO DE CILINDROS</t>
  </si>
  <si>
    <t>ADQUISICIÓN DE GASES,FLETE Y ARRIENDO DE CILINDROS DE GASES, PARA LABORATORIOS DEL IDIC.</t>
  </si>
  <si>
    <t>COMANDO DE APOYO A LA FUERZA</t>
  </si>
  <si>
    <t>61.101.034-6</t>
  </si>
  <si>
    <t>CESAR LOPEZ MORENO</t>
  </si>
  <si>
    <t>cesar.lopez@idic.cl</t>
  </si>
  <si>
    <t>5184-39-LQ22</t>
  </si>
  <si>
    <t>CONVENIO SUMINISTRO OXIGENO LIQUIDO MEDICINAL</t>
  </si>
  <si>
    <t>MM N114 CONVENIO SUMINISTRO OXIGENO LIQUIDO MEDICINAL Sr. Proveedor: “FAVOR ACEPTAR ORDEN DE COMPRA, PARA PAGO OPORTUNO” Factura en formato digital: enviar a dipresrecepcion@custodium.com</t>
  </si>
  <si>
    <t>HOSPITAL DE LINARES</t>
  </si>
  <si>
    <t>61.606.917-9</t>
  </si>
  <si>
    <t>Ana Flor Barros Soto</t>
  </si>
  <si>
    <t>abarros@hospitaldelinares.cl</t>
  </si>
  <si>
    <t>4776-10-LQ22</t>
  </si>
  <si>
    <t>SUMINISTRO DE OXÍGENO MEDICINAL PARA LOS CENTROS DE REHABILITACIÓN CAPREDENA LA FLORIDA Y LIMACHE</t>
  </si>
  <si>
    <t>El objeto de la presente licitación es contratar el “SUMINISTRO DE OXÍGENO MEDICINAL PARA LOS CENTROS DE REHABILITACIÓN CAPREDENA LA FLORIDA Y LIMACHE”, por un período de 36 meses.</t>
  </si>
  <si>
    <t>CAPREDENA</t>
  </si>
  <si>
    <t>HERNAN HERNANDEZ L.</t>
  </si>
  <si>
    <t>hernan.hernandez@capredena.gov.cl</t>
  </si>
  <si>
    <t>948355-17-LP22</t>
  </si>
  <si>
    <t>El Hospital de la Dirección de Previsión de Carabineros de Chile, ubicado en Av. Vital Apoquindo N° 1.200, Comuna de Las Condes, Región Metropolitana, en adelante “EL HOSPITAL”,  llama a Licitación Pública para la Adquisición de Insumos Médicos por Sistema de Suministro,  en adelante “LOS INSUMOS”, para un período de 24 meses o hasta que se consuma la totalidad del monto contratado, según lo que primero ocurra, para el referido Centro Asistencial, cuyas características y requisitos técnicos constan en las Bases Administrativas y Técnicas de esta Licitación con sus respectivos Anexos.</t>
  </si>
  <si>
    <t>4375-60-LP22</t>
  </si>
  <si>
    <t>Campaña invierno 2022</t>
  </si>
  <si>
    <t>El HGGB requiere adquirir insumos para cubrir campaña invierno 2022, destinado a Servicio de Medicina,UCI Médica, UCI Quirúrgica, Urgencia adulto y niño, UCI Pediátrica y Pediatría, según consolidado de Jefa de Gestión de Procesos Clínicos de Enfermería. Autorización Jefa CR Gestión Abastecimiento.</t>
  </si>
  <si>
    <t>Loreto rodriguez Neira</t>
  </si>
  <si>
    <t>2986-41-LE22</t>
  </si>
  <si>
    <t>CONTRATO SUMINISTRO DE OXIGENO MEDICINAL</t>
  </si>
  <si>
    <t>CONTRATO DE SUMINISTRO DE OXIGENO MEDICINAL E INSUMOS EN CESFAM TOMAS ROJAS VERGARA, CECOSF Y POSTAS DEPENDIENTES DEL DEPARTAMENTO DE SALUD MUNICIPAL DE LOS LAGOS AÑO 2022.</t>
  </si>
  <si>
    <t>JORGE RICARDO FIGUEROA ISLAS</t>
  </si>
  <si>
    <t>comprasdesamloslagos@gmail.com</t>
  </si>
  <si>
    <t>1057545-23-LQ22</t>
  </si>
  <si>
    <t>Convenio de Suministro de Gases Clinicos</t>
  </si>
  <si>
    <t>El Servicio de Salud Valdivia requiere contratar a través de un convenio de suministro la provisión de gases clínicos para el SAr,Hospital de Paillaco y Los Lagos</t>
  </si>
  <si>
    <t>Carmen Roldan</t>
  </si>
  <si>
    <t>937232-26-LP22</t>
  </si>
  <si>
    <t>Servicio de Provisión de Oxígeno Domiciliario</t>
  </si>
  <si>
    <t>Garantizar la provisión del Servicio de Domiciliario de Oxígeno Clínico con la finalidad de permitir el normal funcionamiento de Hospitalización Domiciliaria entregada por el CRS HPC, dando cumplimiento a la normativa vigente y a las regulaciones locales del establecimiento de salud.</t>
  </si>
  <si>
    <t>CRS Hospital Provincia Cordillera</t>
  </si>
  <si>
    <t>61.980.620-4</t>
  </si>
  <si>
    <t>Yolanda Cea Quiroz</t>
  </si>
  <si>
    <t>pagos@hpcordillera.cl</t>
  </si>
  <si>
    <t>2548-16-LE22</t>
  </si>
  <si>
    <t>ENTREGA OXIGENO ARRIENDO CILINDROS Y ADQ INSUMOS</t>
  </si>
  <si>
    <t>SUMINISTRO DE OXIGENO Y AIRE, ARRIENDO DE CILINDROS, MANTENCION DE REDES GASES CLINICOS Y ADQUISICIÓN DE INSUMOS PARA LOS ESTABLECIMIENTOS DE SALUD MUNICIPAL DE PADRE LAS CASAS</t>
  </si>
  <si>
    <t>I MUNICIPALIDAD DE PADRE LAS CASAS</t>
  </si>
  <si>
    <t>61.955.000-5</t>
  </si>
  <si>
    <t>ELIANA ARRIAGADA PIRQUIL</t>
  </si>
  <si>
    <t>facturassalud@padrelascasas.cl</t>
  </si>
  <si>
    <t>1499-64-LE22</t>
  </si>
  <si>
    <t>suministro de oxígeno líquido</t>
  </si>
  <si>
    <t>Contar con el Servicio de suministro de Oxígeno Líquido para las dependencias del Instituto Nacional del Tórax, ubicado en José Manuel Infante Nº 717, comuna de Providencia.</t>
  </si>
  <si>
    <t>INSTITUTO NACIONAL DEL TORAX</t>
  </si>
  <si>
    <t>61.608.402-k</t>
  </si>
  <si>
    <t>Enrique Martínez L.</t>
  </si>
  <si>
    <t>emartinez@torax.cl</t>
  </si>
  <si>
    <t>2080-118-LR22</t>
  </si>
  <si>
    <t>SUM. INSUMOS MANEJO VÍA AÉREA HRLBO.</t>
  </si>
  <si>
    <t>El Hospital Regional Libertador Bernardo O´Higgins en adelante el Hospital llama a licitación pública para la “SUMINISTRO INSUMOS MANEJO VÍA AÉREA PARA EL HOSPITAL REGIONAL LIBERTADOR BERNARDO O`HIGGINS”, con la finalidad de apoyar la actividad de apoyo diagnóstico y resolutividad de los procedimientos del Hospital, y con esto responder a las prestaciones que deriven de la atención de los beneficiarios del sistema público, contribuyendo así a la mejora de la actividad del establecimiento y cubriendo las necesidades de los beneficiarios.</t>
  </si>
  <si>
    <t>Pablo Del Pino Ahumada</t>
  </si>
  <si>
    <t>pablo.delpino@redsalud.gob.cl</t>
  </si>
  <si>
    <t>2026-59-LP22</t>
  </si>
  <si>
    <t>CONVENIO SUMINISTRO DE OXIGENO HOSPITAL LIGUA</t>
  </si>
  <si>
    <t>Las presentes bases rigen la propuesta pública que tiene por objeto realizar “CONVENIO SUMINISTRO DE OXIGENO Y GASES CLINICOS PARA EL HOSPITAL SAN AGUSTIN DE LA LIGUA”.</t>
  </si>
  <si>
    <t>769-34-LE22</t>
  </si>
  <si>
    <t>SUMINISTRO MEDICAMENTOS E INSUMOS ATENCION MEDICA DE URGENCIA SAMU ANTOFAGASTA. PTA 42</t>
  </si>
  <si>
    <t>El Servicio de Salud Antofagasta, a través de las presentes bases, llama a licitación pública, de acuerdo a lo regido en la ley de compras N° 19.886 y su reglamento. La presente propuesta pública tiene como objetivo adquirir o contratar lo siguiente: Medicamentos e insumos para cubrir necesidades de pacientes atendidos en el SAMU de la Región de Antofagasta, los cuales serán solicitados de acuerdo a la demanda asistencial, es decir las cantidades pueden aumentar o disminuir. Cabe señalar que de acuerdo a lo previsto por el Art. 30, letra D, de la Ley Nº 19.886 y en el Artículo 14 del Decreto Supremo Nº 250, de 2004, del Ministerio de Hacienda que aprueba el Reglamento de dicho cuerpo legal, los bienes que se licitan no se encuentran incluidos en el Catálogo de Convenio Marco de la Dirección de Compras y Contratación Pública</t>
  </si>
  <si>
    <t>2703-120-L122</t>
  </si>
  <si>
    <t>SC 9240 Suministro de oxígeno medicinal SAR. Según especificaciones técnicas adjuntas.</t>
  </si>
  <si>
    <t>635-64-L122</t>
  </si>
  <si>
    <t>Adquisición reguladores de oxigeno y flujometros, SAMU, OT 471</t>
  </si>
  <si>
    <t>SERVICIO DE SALUD DE ARICA</t>
  </si>
  <si>
    <t>olindo carvajal</t>
  </si>
  <si>
    <t>61.606.000-7</t>
  </si>
  <si>
    <t>4030-13-L122</t>
  </si>
  <si>
    <t>CONVENIO DE SUMINISTRO DE OXIGENO CAMIÑA</t>
  </si>
  <si>
    <t>5942-2-LE22</t>
  </si>
  <si>
    <t>Suministro de gases especiales</t>
  </si>
  <si>
    <t>El Laboratorio de Farmacología de la Facultad de Ciencias Veterinarias y Pecuarias de la Universidad de Chile en adelante, FARMAVET, licita la contratación del suministro de gases especiales, por un periodo de 24 meses o hasta el agotamiento de los recursos asignados, lo que primero ocurra, según las características que se han definido en las presentes bases administrativas, bases técnicas y anexos.</t>
  </si>
  <si>
    <t>Felipe Muñoz</t>
  </si>
  <si>
    <t>fmunozg@uchile.cl</t>
  </si>
  <si>
    <t>4555-6-L122</t>
  </si>
  <si>
    <t>SUMINISTRO OXÍGENO MEDICINAL PARA LOS CESFAM</t>
  </si>
  <si>
    <t>La Ilustre Municipalidad de Zapallar, en adelante e indistintamente la “MUNICIPALIDAD” o el “MUNICIPIO”, llama a licitación pública para la contratación del “SERVICIO, VÍA SUMINISTRO, DE OXÍGENO MEDICINAL PARA LOS CESFAM DE LA COMUNA DE ZAPALLAR”., la cual se regulará por las presentes Bases. El mandante de esta licitación es la MUNICIPALIDAD, cuyo domicilio para todos los efectos legales de esta convocatoria es calle Germán Riesco N°399, comuna de Zapallar, región de Valparaíso, representado por su Alcalde.</t>
  </si>
  <si>
    <t>I MUNICIPALIDAD DE ZAPALLAR</t>
  </si>
  <si>
    <t>69.050.400-6</t>
  </si>
  <si>
    <t>Osvaldo Cruz</t>
  </si>
  <si>
    <t>ocruz@saludzapallar.cl</t>
  </si>
  <si>
    <t>1057402-95-LR22</t>
  </si>
  <si>
    <t>INSUMOS PARA PABELLON</t>
  </si>
  <si>
    <t>El propósito de la licitación es contar con contratos de suministro de “INSUMOS PARA PABELLON”, y que permitan el aprovisionamiento oportuno de los productos necesarios en la atención de los usuarios del Hospital para los años 2022 al 2023, en las circunstancias que estos productos no fueran provistos por la Central Nacional de Abastecimiento de los Servicios de Salud, ni se encuentren disponibles en catálogos electrónicos del Convenio Marco o en las Compras Coordinadas yo Conjuntas del Ministerio de Salud, o bien su adquisición sea desventajosa respecto al resultado de la presente licitación, cuyas condiciones más ventajosas serán informadas en la oportunidad correspondiente a la Dirección de Compras, en conformidad con lo dispuesto en el artículo 15 del D.S. Nº 250, de 2004, del Ministerio de Hacienda.</t>
  </si>
  <si>
    <t>1057448-33-LR22</t>
  </si>
  <si>
    <t>ADQ VENTILADORES NO INVASIVOS HAH</t>
  </si>
  <si>
    <t xml:space="preserve">Se requiere adquirir ventiladores no invasivos, dadas las necesidades y requerimientos de la Red Asistencial para dar respuesta a las exigencias de una creciente demanda de sus usuarios por más y mejores prestaciones de salud, se hace indispensable la habilitación e implementación del proyecto Construcción del Hospital de Alto Hospicio. </t>
  </si>
  <si>
    <t>1063538-86-LQ22</t>
  </si>
  <si>
    <t>SUMINISTRO GAS CLINICOS Y OXIGENO LIQUIDO HBSJO</t>
  </si>
  <si>
    <t>El Hospital Base San José Osorno, en adelante también el “Hospital”, requiere el Convenio De Suministro Gases Clínicos Y Oxigeno Liquido para el HBSJO, necesario para abastecer la ejecución de distintos procedimientos, de acuerdo a las condiciones establecidas en las presentes bases administrativas, económicas, técnicas y sus anexos. La forma de la presente licitación pública corresponde a aquella adquisición mayor a 2.000 e inferior a 5.000 UTM.</t>
  </si>
  <si>
    <t>Jose Cordova</t>
  </si>
  <si>
    <t>jose.cordova@redsalud.gob.cl</t>
  </si>
  <si>
    <t>1057545-31-LE22</t>
  </si>
  <si>
    <t>ADQUISICION DE INSUMOS PARA SALAS IRA Y ERA</t>
  </si>
  <si>
    <t>El Servicio de Salud Valdivia necesita adquirir insumos necesarios para el desarrollo de las prestaciones del Programa IRA Y ERA que se desarrolla en la Red Asistencial dependiente del Servicio de Salud Valdivia</t>
  </si>
  <si>
    <t>1641-69-LR22</t>
  </si>
  <si>
    <t>COC SERVICIO DE OXIGENO TERAPIA PARA PACIENTES</t>
  </si>
  <si>
    <t>El objeto de la presente licitación es la contratación de “SERVICIO DE OXIGENO TERAPIA PARA PACIENTES ADULTOS Y PEDIATRICOS DEL SERVICIO DE HOSPITALIZACIÓN DOMICILIARIA”, según el siguiente detalle: -N° de pacientes anual estimado: 2.580 -Duración: 36 meses</t>
  </si>
  <si>
    <t>Rodrigo Bravo Gajardo</t>
  </si>
  <si>
    <t>rodrigo.bravog@redsalud.gov.cl</t>
  </si>
  <si>
    <t>1057509-117-LE22</t>
  </si>
  <si>
    <t>CONVENIO MANTENCIÓN PREVENTIVA CORRECTIVA Y SUMINISTRO MATERIAL SECUNDARIO PARA GASES CLÍNICOS cce</t>
  </si>
  <si>
    <t>El Hospital Clínico Herminda Martín de Chillán llama a Licitación Pública a través del Portal Mercado Público, para suscribir “Convenio Mantención Preventiva, Correctiva y Suministro de Material Secundario para Gases Clínicos”, destinados a diversas áreas del establecimiento, de acuerdo a protocolos técnicos y administrativos establecidos por el Hospital, de acuerdo a protocolos técnicos y administrativos establecidos por el Hospital. Se pretende obtener la mejor calidad y oportunidad en la compra de los servicios a un precio conveniente.</t>
  </si>
  <si>
    <t>Tesorería General de la República</t>
  </si>
  <si>
    <t>1075963-185-LE22</t>
  </si>
  <si>
    <t>SERVICIO DE MANTENCIÓN DE GASES CLÍNICOS TOMAS Y CENTRALES DE GASES</t>
  </si>
  <si>
    <t>SERVICIO DE MANTENCIÓN DE GASES CLÍNICOS ,TOMAS Y CENTRALES DE GASES PARA EL HOSPITAL DE ARICA Y PARINACOTA.</t>
  </si>
  <si>
    <t>HOSP DR JUAN NOE CREVANI</t>
  </si>
  <si>
    <t>Olindo Carvajal</t>
  </si>
  <si>
    <t>Roberto Gutierrez Walker</t>
  </si>
  <si>
    <t>roberto.gutierrez@hjnc.cl</t>
  </si>
  <si>
    <t>RENATA BALTOLU</t>
  </si>
  <si>
    <t>renata.baltolu.z@hjnc.cl</t>
  </si>
  <si>
    <t>494-5-LQ22</t>
  </si>
  <si>
    <t>C.S en Oxígeno Medicinal Criogenico</t>
  </si>
  <si>
    <t>GARANTIZAR EL ABASTECIMIENTO OPORTUNO DEL HOSPITAL REGIONAL DE COPIAPO.</t>
  </si>
  <si>
    <t>HOSPITAL COPIAPO</t>
  </si>
  <si>
    <t>DANARY VERA MORETA</t>
  </si>
  <si>
    <t>DANARY.VERA@REDSALUD.GOV.CL</t>
  </si>
  <si>
    <t>5394-30-L122</t>
  </si>
  <si>
    <t>Servicio de Instalación de Puesto de Toma de Oxígeno para la instalación y operación de analizador de Carbono y Nitrógeno SOL.127976-127977</t>
  </si>
  <si>
    <t>UNIVERSIDAD DE MAGALLANES</t>
  </si>
  <si>
    <t>71.133.700-8</t>
  </si>
  <si>
    <t>3729-68-LE22</t>
  </si>
  <si>
    <t>SUMINISTRO DE OXIGENO 2022-2024</t>
  </si>
  <si>
    <t>CONVENIO DE SUMINISTRO 2022-2024, CONFORME A NOTA DE PEDIDO N°1932 DE FECHA 25.04.2022, DEL DEPTO. DE SALUD MUNICIPAL, DECRETO N°1468 DE FECHA 13.05.2022 APRUEBA PRIMER LLAMADO A LICITACIÓN PUBLICA Y DECRETO N°1469 , DE FECHA 13.05.2022, DESIGNA COMISIÓN.</t>
  </si>
  <si>
    <t>I MUNICIPALIDAD DE CHIMBARONGO</t>
  </si>
  <si>
    <t>69.090.300-8</t>
  </si>
  <si>
    <t>CLAUDIA CERDA</t>
  </si>
  <si>
    <t>ccerda@municipalidadchimbarongo.cl</t>
  </si>
  <si>
    <t>3260-25-L122</t>
  </si>
  <si>
    <t>Abastecimiento de Oxigeno Medicinal</t>
  </si>
  <si>
    <t>Licitación Pública para suscribir un Convenio de Suministro y Servicio para el abastecimiento de Oxigeno Medicinal para el Departamento de Salud Municipal.</t>
  </si>
  <si>
    <t>I MUNICIPALIDAD DE RIO HURTADO</t>
  </si>
  <si>
    <t>69.041.000-1</t>
  </si>
  <si>
    <t>Patricio Aguilera Díaz</t>
  </si>
  <si>
    <t>paguilera@riohurtado.cl</t>
  </si>
  <si>
    <t>5221-4-LQ22</t>
  </si>
  <si>
    <t>EQUIPOS PARA MONITOREO Y TRATAMIENTO</t>
  </si>
  <si>
    <t>ADQUISICION DE EQUIPOS Y EQUIPAMIENTO PARA MONITOREO Y TRATAMIENTO CESFAM THOMAS FENTON Código BIP Nº 30481819-0 REPOSICIÓN CESFAM THOMAS FENTON, COMUNA DE PUNTA ARENAS LUGAR DE ENTREGA. Lautaro Navarro #829 FECHA 01/09/2022 CONTACTO: Mónica Sandoval Vargas, teléfono 61 2 291190, Monica.sandoval@redsalud.gov.cl Rocío Letelier Matisen, teléfono 61 2 291182, Rocio.letelier@redsalud.gov.cl</t>
  </si>
  <si>
    <t>1499-67-LE22</t>
  </si>
  <si>
    <t>Gases Medicinales</t>
  </si>
  <si>
    <t>El Instituto Nacional del Tórax necesita contar para su gestión Gases medicinales de distintos tipos y formatos, en forma permanente, con el objeto de poder cumplir y satisfacer debidamente la demanda asistencial que legalmente le ha sido encomendada.</t>
  </si>
  <si>
    <t>2703-125-L122</t>
  </si>
  <si>
    <t>Victor Aguilar</t>
  </si>
  <si>
    <t>1057496-26-LP22</t>
  </si>
  <si>
    <t>SUMINISTRO DE GASES MEDICINALES PARA EL HSLBP</t>
  </si>
  <si>
    <t>SUMINISTRO DE GASES MEDICINALES PARA EL HOSPITAL SAN LUIS DE BUIN-PAINE</t>
  </si>
  <si>
    <t>HOSPITAL SAN LUIS DE BUIN-PAINE</t>
  </si>
  <si>
    <t>MARÍA EUGENIA DÍAZ MOLINA</t>
  </si>
  <si>
    <t>1070620-30-LE22</t>
  </si>
  <si>
    <t>jvt Ampliacion de gases clinicos Endoscopia-Imagen</t>
  </si>
  <si>
    <t>jvt Ampliación de gases clínicos Unidad Endoscopia e Imagenología Rex 891 de 05MAY2022</t>
  </si>
  <si>
    <t>HOSPITAL DOCTOR ERNESTO TORRES GALDAMES</t>
  </si>
  <si>
    <t>62.000.530-4</t>
  </si>
  <si>
    <t>Cristian Palacios Reyes</t>
  </si>
  <si>
    <t>cristian.palacios@hospitaliquique.cl</t>
  </si>
  <si>
    <t>2215-19-LQ22</t>
  </si>
  <si>
    <t>ADQUISICIÓN DE GASES MEDICINALES DOMICILIARIO</t>
  </si>
  <si>
    <t>ADQUISICIÓN DE GASES MEDICINALES PARA EL SUMINISTRO DOMICILIARIO DEL HOSPITAL DR. CARLOS CISTERNAS DE CALAMA</t>
  </si>
  <si>
    <t>Hospital Carlos Cisternas de Calama</t>
  </si>
  <si>
    <t>61.606.202-6</t>
  </si>
  <si>
    <t>Jocelyn Villarroel Vega</t>
  </si>
  <si>
    <t>jocelyn.villaroel@redsalud.gov.cl</t>
  </si>
  <si>
    <t>1057499-16-LE22</t>
  </si>
  <si>
    <t>ADQUISICIÓN DE FÁRMACOS E INSUMOS VARIOS</t>
  </si>
  <si>
    <t>El Servicio de Salud Metropolitano Sur, en adelante el Servicio, requiere la adquisición de fármacos e insumos varios para la Red del Servicio de Salud Metropolitano Sur.</t>
  </si>
  <si>
    <t>SERVICIO DE SALUD SUR</t>
  </si>
  <si>
    <t>rodrigo.gonzalez@ssms.gob.cl</t>
  </si>
  <si>
    <t>898-74-LP22</t>
  </si>
  <si>
    <t>CONVENIO DE SUMINISTRO OXIGENO LIQUIDO</t>
  </si>
  <si>
    <t>CONVENIO DE SUMINISTRO OXIGENO LIQUIDO MEDICINAL PARA EL HOSPITAL CLAUDIO VICUÑA</t>
  </si>
  <si>
    <t>CARMEN GLORIA OSORIO CUETO</t>
  </si>
  <si>
    <t>carmengloriaosorio@redsalud.gov.cl</t>
  </si>
  <si>
    <t>1057385-14-LE22</t>
  </si>
  <si>
    <t>SUMINISTRO DE OXIGENO MEDICINAL Y OXIDO NITROSO</t>
  </si>
  <si>
    <t>SOL.COMPRA Nº113 DE KN. CHRISTIAN MORENO. SE ADJUNTAN BASES.</t>
  </si>
  <si>
    <t>HOSPITAL 21 DE MAYO TALTAL</t>
  </si>
  <si>
    <t>61.606.204-2</t>
  </si>
  <si>
    <t>CRISTIAN PREISLER</t>
  </si>
  <si>
    <t>director.taltal@redsalud.gov.cl</t>
  </si>
  <si>
    <t>victoria.torres@redsalud.gov.cl</t>
  </si>
  <si>
    <t>898-55-LR22</t>
  </si>
  <si>
    <t>1057417-92-H222</t>
  </si>
  <si>
    <t>ADQUISICIÓN DE ACCESORIOS INSUMOS Y OTROS ELEMENTOS MÉDICOS DEL ÁREA DENTAL ECG Y OXIGENOTERAPIA mss</t>
  </si>
  <si>
    <t>realizar recambio en equipos e instalaciones de apoyo, para mantener la continuidad de servicio. Los insumos y accesorios en óptimas condiciones son fundamental para una atención segura y de calidad para los pacientes del Complejo Asistencial “Dr. Víctor Ríos Ruiz” Los Ángeles.</t>
  </si>
  <si>
    <t>RODOLFO GONZALEZ ARANEDA</t>
  </si>
  <si>
    <t>1057545-39-LE22</t>
  </si>
  <si>
    <t>CONVENIO SUMINISTRO GASES CLINICOS H. CORRAL</t>
  </si>
  <si>
    <t>El Servicio de Salud Valdivia requiere para el Hospital de Corral comprar a través de un Convenio de Suministro de Gases Clínicos e insumos.</t>
  </si>
  <si>
    <t>Cristina Ampuero</t>
  </si>
  <si>
    <t>cristina.ampuero@redsalud.gob.cl</t>
  </si>
  <si>
    <t>4738-11-LE22</t>
  </si>
  <si>
    <t>ARRIENDO DE CILINDROS Y RECARGA DE OXIGENO</t>
  </si>
  <si>
    <t>Se requiere contratar los servicios de recarga de oxigeno medicinal y arriendo de cilindros por un periodo de 30 meses</t>
  </si>
  <si>
    <t>I MUNICIPALIDAD DE CODEGUA</t>
  </si>
  <si>
    <t>69.080.400-K</t>
  </si>
  <si>
    <t>Maria Carrasco Carrasco</t>
  </si>
  <si>
    <t>mccarrascoc@yahoo.es</t>
  </si>
  <si>
    <t>4429-45-LE22</t>
  </si>
  <si>
    <t>SERVICIO RECARGA MANTENCION Y ARRIENDO DE CILINDROS DE OXIGENO PARA CESFAM DE HUALPEN</t>
  </si>
  <si>
    <t>SERVICIO RECARGA, MANTENCION Y ARRIENDO DE CILINDROS DE OXIGENO PARA CESFAM DE HUALPEN DECRETO Nº 166</t>
  </si>
  <si>
    <t>MUNICIPALIDAD DE HUALPEN</t>
  </si>
  <si>
    <t>25.000.000</t>
  </si>
  <si>
    <t>69.264.400-k</t>
  </si>
  <si>
    <t>CARLOS CARES MORALES</t>
  </si>
  <si>
    <t>ccares@hualpenciudad.cl</t>
  </si>
  <si>
    <t>1057554-50-LR22</t>
  </si>
  <si>
    <t>CS DE OXÍGENO CRIOGÉNICO PARA EL HCVB</t>
  </si>
  <si>
    <t>La necesidad del Hospital Carlos Van Buren de llamar a Licitación Pública a través del portal Mercado Público, para contratar el convenio de suministro de oxígeno criogénico, el arriendo de estanque y sistema de oxígeno para el Hospital Carlos Van Buren, por un período de 24 meses corridos.</t>
  </si>
  <si>
    <t>HOSPITAL CARLOS VAN BUREN</t>
  </si>
  <si>
    <t>5602-50-LE22</t>
  </si>
  <si>
    <t>Servicio de suministro de gases especiales para el</t>
  </si>
  <si>
    <t>Servicio de suministro de gases especiales para el Laboratorio de Salud Pública Ambiental y Laboral Arica. Res. Ex. N416</t>
  </si>
  <si>
    <t>Seremi de Salud Arica y Parinacota</t>
  </si>
  <si>
    <t>Eduardo Flores</t>
  </si>
  <si>
    <t>eduardo.flores@redsalud.gob.cl</t>
  </si>
  <si>
    <t>1499-76-LE22</t>
  </si>
  <si>
    <t>Oxígeno Líquido</t>
  </si>
  <si>
    <t>El Instituto Nacional del Tórax necesita contar para su gestión con el suministro de oxígeno líquido en forma permanente, con el objeto de poder cumplir y satisfacer debidamente la demanda asistencial que legalmente le ha sido encomendada.</t>
  </si>
  <si>
    <t>3447-75-LQ22</t>
  </si>
  <si>
    <t>Cilindros de Oxígeno Medicinal DST Área Salud</t>
  </si>
  <si>
    <t>Art. 4º La MAHO en su calidad de administradora de la comuna de Alto Hospicio, llama a licitación pública con el fin de generar un contrato para el Suministro de Servicios de Recarga, Arriendo, Flete, Mantención, Cambio de Válvulas y Adquisición de Accesorios de Oxigenoterapia para Cilindros de Oxígeno Medicinal para los Recintos de Salud dependientes del Departamento de Salud de la Municipalidad de Alto Hospicio, de acuerdo a las características entregadas en las presentes bases administrativas y técnicas adjuntas, en virtud de una mejor y eficiente gestión municipal.</t>
  </si>
  <si>
    <t>MUNICIPALIDAD DE ALTO HOSPICIO</t>
  </si>
  <si>
    <t>69.265.100-6</t>
  </si>
  <si>
    <t>PATRICIO GALLARDO MARTÍNEZ</t>
  </si>
  <si>
    <t>pgallardo@maho.cl</t>
  </si>
  <si>
    <t>324-136-L122</t>
  </si>
  <si>
    <t>Programa equipo médico</t>
  </si>
  <si>
    <t>Insumos médicos</t>
  </si>
  <si>
    <t>I MUNICIPALIDAD DE CERRILLOS</t>
  </si>
  <si>
    <t>69.255.000-5</t>
  </si>
  <si>
    <t>Rodrigo Arriola Poblete</t>
  </si>
  <si>
    <t>rarriola@mcerrillos.cl</t>
  </si>
  <si>
    <t>2026-75-LP22</t>
  </si>
  <si>
    <t>Convenio de Suministro Oxigeno H. La Calera</t>
  </si>
  <si>
    <t>Las presentes bases norman el proceso de llamado a Licitación Pública, a través del Sistema Mercado Público, para lo cual la Dirección de Salud, hace un llamado para contratar la CONVENIO DE SUMINISTRO DE GASES CLINICOS PARA EL HOSPITAL DR. MARIO SANCHEZ VERGARA”, de acuerdo al detalle y especificaciones técnicas indicadas en Bases Técnicas.</t>
  </si>
  <si>
    <t>MANUEL MARIN GONZALEZ</t>
  </si>
  <si>
    <t>1057508-59-LQ22</t>
  </si>
  <si>
    <t>Convenio suministro de gases clinicos HCSF H. San Carlos y CESFAM Violeta Parra SSÑ</t>
  </si>
  <si>
    <t>El objetivo de la licitación pública a través del portal Mercado Público, es suscribir un convenio de suministro de gases clínicos para Hospitales Comunitarios de Salud Familiar, Hospital de San Carlos y CESFAM Violeta Parra, dependientes del Servicio de Salud Ñuble. Se deja expresamente establecido que la Dirección del Servicio o Establecimientos dependientes requerirán la realización de las entregas de acuerdo con los respectivos marcos presupuestarios.</t>
  </si>
  <si>
    <t>SERVICIO DE SALUD NUBLE</t>
  </si>
  <si>
    <t>61.607.000-2</t>
  </si>
  <si>
    <t>Patricia Rosales Concha</t>
  </si>
  <si>
    <t>patricia.rosales@redsalud.gov.cl</t>
  </si>
  <si>
    <t>2598-15-LE22</t>
  </si>
  <si>
    <t>MANTENCION Y REPARACION RED GASES CLINICOS SAR</t>
  </si>
  <si>
    <t>El Departamento de Salud Municipal Concón, DESAM, requiere el servicio de mantención red de gases clínicos y reparación de bancos de gases clínicos del SAR de Concón</t>
  </si>
  <si>
    <t>I MUNICIPALIDAD DE CONCON</t>
  </si>
  <si>
    <t>73.568.600-3</t>
  </si>
  <si>
    <t>BELARMINO GALLARDO</t>
  </si>
  <si>
    <t>pagosproveedores.saludconcon@gmail.com</t>
  </si>
  <si>
    <t>2387-73-L122</t>
  </si>
  <si>
    <t>CONT. SUM. DE OXIGENO Y ACETILENO CON ARRIENDO</t>
  </si>
  <si>
    <t>CONTRATO SUMINISTRO DE OXIGENO Y ACETILENO CON ARRIENDO DE ENVASE. SE ADJUNTA BASES ADMINISTRATIVAS ESPECIALES, ANEXOS Y ESPECIFICACIONES TÉCNICAS.</t>
  </si>
  <si>
    <t>I MUNICIPALIDAD DE PUCON</t>
  </si>
  <si>
    <t>69.191.600-6</t>
  </si>
  <si>
    <t>CARLOS OLAVE SOLAR</t>
  </si>
  <si>
    <t>colave@municipalidadpucon.cl</t>
  </si>
  <si>
    <t>MARCIA ORTEGA</t>
  </si>
  <si>
    <t>mortega@municipalidadpucon.cl</t>
  </si>
  <si>
    <t>2703-150-L122</t>
  </si>
  <si>
    <t>vaguilar@talasald.cl</t>
  </si>
  <si>
    <t>5061-91-L122</t>
  </si>
  <si>
    <t>S217 Servicio de suministro oxigeno medicinal y arriendo de cilindros, para establecimientos de salud</t>
  </si>
  <si>
    <t>1979-138-LQ22</t>
  </si>
  <si>
    <t>147.22 “CONVENIO DE SUMINISTRO DE DISPOSITIVOS MEDICOS PARA POLICLINICO DE ESPECIALIDADES PARA NODO COSTERO: HOSPITAL NVA IMPERIAL.”</t>
  </si>
  <si>
    <t>Se requiere contrato de suministro por el periodo de 18 meses para las adquisiciones de “CONVENIO DE SUMINISTRO DE DISPOSITIVOS MEDICOS PARA POLICLINICO DE ESPECIALIDADES PARA NODO COSTERO: HOSPITAL NVA IMPERIAL.” de acuerdo a necesidades del Hospital Nueva Imperial.</t>
  </si>
  <si>
    <t>ROCIO PIZARRO</t>
  </si>
  <si>
    <t>ROCIO.PIZARRO@ASUR.CL</t>
  </si>
  <si>
    <t>1057049-170-LQ22</t>
  </si>
  <si>
    <t>CSP - SUMINISTRO DE OXÍGENO DOMICILIARIO</t>
  </si>
  <si>
    <t>El objetivo de la Propuesta, es la contratación para 36 meses, del Suministro de Oxígeno Domiciliario para el Hospital Clínico San Borja Arriarán, de acuerdo a lo solicitado en las Especificaciones Técnicas, en concordancia con las Bases Administrativas, Técnicas, Formularios, Anexos, Aclaraciones y otros documentos que pudieran formularse en el transcurso de la licitación. Se entenderá que todo proveedor conoce y acepta irrevocablemente el contenido de estas Bases, por el solo hecho de presentar ofertas en este proceso de licitación.</t>
  </si>
  <si>
    <t>1070620-42-LQ22</t>
  </si>
  <si>
    <t>rfm Serv. Recarga O2 Medicinal y otros Gases</t>
  </si>
  <si>
    <t>rfm Serv Recarga O2 Medicinal y otros Gases COMODATO DE ESTANQUE CRIOGENICO - ARRENDAMIENTO CON TRASLADO DE TUBOS DE OXIGENO Y OTROS GASES - INCLUYE RECARGA DE ESTANQUE Y DE TUBOS PARA EL HETG DE IQUIQUE Rex 1162 de 07JUN2022</t>
  </si>
  <si>
    <t>301.549.999</t>
  </si>
  <si>
    <t>CRISTIAN PALACIOS REYES</t>
  </si>
  <si>
    <t>cristian.palacios@redsalud.gob.cl</t>
  </si>
  <si>
    <t>1057441-34-LQ22</t>
  </si>
  <si>
    <t>CONVENIO DE MANTENCIÓN PREVENTIVA DE SISTEMA DE GASES CLÍNICOS</t>
  </si>
  <si>
    <t>Conforme a la Ley de Compras Públicas N° 19.886, su Reglamento y modificaciones, el Hospital Provincial de Ovalle llama a licitación pública a empresas o proveedores del rubro, personas naturales o jurídicas, chilenas o extranjeras, así como a Uniones Temporales de Proveedores, para llevar a cabo un CONVENIO DE MANTENCIÓN DE SISTEMA DE GASES CLÍNICOS, por un periodo de 24 (veinticuatro) meses o hasta agotar el presupuesto referencial, para un oportuno y adecuado suministro de estos servicios y así garantizar el correcto funcionamiento del Establecimiento.</t>
  </si>
  <si>
    <t>HOSPITAL DE OVALLE</t>
  </si>
  <si>
    <t>611669-8-LE22</t>
  </si>
  <si>
    <t>Suministro de gases para la operación del LAC</t>
  </si>
  <si>
    <t>La Superintendencia del Medio Ambiente, en adelante, la SMA o la Superintendencia, en apoyo a la ejecución de sus funciones, establecidas en el artículo segundo de la Ley N° 20.4172010, que crea la Ley Orgánica de la Superintendencia del Medio Ambiente, viene en llamar a licitación pública a proponentes personas naturales o jurídicas, o unión temporal de proveedores, chilenas o extranjeras, con el objeto de adquirir, por medio de un convenio de suministro, los productos “GASES PARA LA OPERACIÓN DEL LABORATORIO DE ALTA COMPLEJIDAD”, cuyos objetivos y alcances se detallan en las Bases Técnicas. El presupuesto máximo disponible para la adquisición de estos productos, asciende a la suma de 12.500.000.- Doce millones quinientos mil pesos, impuestos incluidos, para un período de 24 meses. Los precios ofertados no serán reajustables. La participación de los proponentes y la presentación de las propuestas se efectuarán de conformidad a las estipulaciones de las presentes Bases Administrativas y Técnicas, en lo sucesivo, “las Bases”.</t>
  </si>
  <si>
    <t>Superintendencia del Medio Ambiente</t>
  </si>
  <si>
    <t>61.979.950-k</t>
  </si>
  <si>
    <t>Paulina Tapia</t>
  </si>
  <si>
    <t>finanzas@sma.gob.cl</t>
  </si>
  <si>
    <t>1057547-172-LE22</t>
  </si>
  <si>
    <t>MEJORAMIENTO RED DE GASES CLINICOS</t>
  </si>
  <si>
    <t>MEJORAMIENTO RED DE GASES CLINICOS PARA SERVICIO HOSPITALIZADOS DEL HOSPITAL BASE VALDIVIA</t>
  </si>
  <si>
    <t>HOSPITAL BASE VALDIVIA</t>
  </si>
  <si>
    <t>Alberto Delgado Kauzlarich</t>
  </si>
  <si>
    <t>alberto.delgado@redsalud.gov.cl</t>
  </si>
  <si>
    <t>898-86-LP22</t>
  </si>
  <si>
    <t>2069-49-LQ22</t>
  </si>
  <si>
    <t>PSD - SERV TERAPIA DE OXIDO NITRICO PARA EL HBLT</t>
  </si>
  <si>
    <t>Con el objeto de cumplir con su fin asistencial, el Hospital Barros Luco Trudeau, Establecimiento Autogestionado en Red, requiere la contratación de terapia para inhalación de Óxido Nítrico para su Servicio de Neonatología y dar cumplimiento a la Guía Clínica Auge establecida por el Ministerio de Salud donde se indica el uso de esta terapia para pacientes con Síndrome de Dificultad Respiratoria SDR del Recién Nacido. Dicha terapia es indicada para el tratamiento de recién nacidos de 34 semanas de gestación o más, con diagnóstico de insuficiencia respiratoria hipóxica asociada a evidencia clínica o ecocardiográfica de hipertensión pulmonar, este tratamiento tiene impacto en la disminución de mortalidad asociada a esta patología, menor conexión a ECMO y disminución de secuelas respiratorias, además de contribuir a mejorar la calidad de vida de los niños que egresan de la unidad de Neonatología. Su acción principal es actuar como fuerte vasodilatador selectivo del territorio pulmonar que permite mejorar la oxigenación en pacientes graves con un índice de oxigenación muy alterado.</t>
  </si>
  <si>
    <t>HOSPITAL BARROS LUCO TRUDEAU</t>
  </si>
  <si>
    <t>DIEGO LATORRE</t>
  </si>
  <si>
    <t>DIEGO.LATORRE@REDSALUD.GOB.CL</t>
  </si>
  <si>
    <t>FRANCISCO PUL</t>
  </si>
  <si>
    <t>FRANCISCO.EPUL@REDSALUD.GOB.CL</t>
  </si>
  <si>
    <t>1057509-168-LE22</t>
  </si>
  <si>
    <t>Convenio Suministro de CO2 y Acetileno 2° llamado cav</t>
  </si>
  <si>
    <t>El Hospital Clínico Herminda Martín de Chillán llama a Licitación Pública a través del Portal Mercado Público, para suscribir “Convenio para el suministro de CO2 y Acetileno, 2° llamado”, para uso en los Servicios Clínicos y de mantención, de acuerdo a protocolos técnicos y administrativos establecidos. Se pretende obtener la mejor calidad y oportunidad en el suministro de los gases a un precio conveniente.</t>
  </si>
  <si>
    <t>1057441-36-LQ22</t>
  </si>
  <si>
    <t>CONVENIO DE SUMINISTRO OXÍGENO MEDICINAL Y GASES CLÍNICOS</t>
  </si>
  <si>
    <t>Conforme a la Ley de Compras Públicas, su Reglamento y modificaciones, el Hospital Provincial de Ovalle llama a licitación pública a empresas o proveedores del rubro, personas naturales o jurídicas, chilenas o extranjeras, así como a Uniones Temporales de Proveedores, para celebrar un Convenio de Suministro de Oxígeno Medicinal y Gases Clínicos, por un periodo de 24 (veinticuatro) meses o hasta agotar el presupuesto referencial, para un oportuno y adecuado suministro de estos productos y así garantizar el correcto funcionamiento del Establecimiento.</t>
  </si>
  <si>
    <t>777304-70-LQ22</t>
  </si>
  <si>
    <t>INSUMOS DE RESPIRACION VIA AEREA</t>
  </si>
  <si>
    <t>Las presentes bases de licitación son formuladas para establecer la regulación del proceso de adquisición de INSUMOS DE RESPIRACION VIA AEREA PARA HOSPITAL LA FLORIDA, y reglamentan entre otros aspectos las condiciones que deben cumplir las ofertas, las etapas del proceso licitatorio, su forma de evaluación y adjudicación, las condiciones de los contratos, y todos los aspectos necesarios para el correcto proceso de adquisición. Cabe hacer presente que todos los insumos y suministrados deben ser nuevos y sin uso, todo lo anterior debe ajustarse a las especificaciones de estas bases. Las cantidades de los productos solicitados en la presente licitación son referenciales y estimados, por lo cual, pueden disminuir o aumentar de acuerdo a las necesidades, contingencia, existencias y recursos financieros del Hospital la Florida. No podrá el proveedor ofertar complementos, extras, ni accesorios no contemplados en los requerimientos de estas Bases. Cualquier extra no requerido no será considerado en la evaluación. Los productos solicitados, así como los montos estimados de gasto, asignados a cada uno, se encuentran detallados en las bases Técnicas de licitación.</t>
  </si>
  <si>
    <t>HOSPITAL CLINICO METROPOLITANO DE LA FLORIDA DOCTORA ELOISA DIAZ</t>
  </si>
  <si>
    <t>65.075.485-9</t>
  </si>
  <si>
    <t>Gustavo Hernandez</t>
  </si>
  <si>
    <t>gustavo.hernandez@hospitallaflorida.cl</t>
  </si>
  <si>
    <t>1057402-146-LP22</t>
  </si>
  <si>
    <t>INSUMOS MÉDICOS PARA UPC 2022-2023 REPASO</t>
  </si>
  <si>
    <t>El propósito de la licitación es contar con contratos de suministro de “INSUMOS MÉDICOS PARA UPC 2022-2023 REPASO”, que permitan el aprovisionamiento oportuno de los productos necesarios en la atención de los usuarios del Hospital para los años 2022 - 2023, en las circunstancias que estos productos no fueran provistos por la Central Nacional de Abastecimiento de los Servicios de Salud, ni se encuentren disponibles en catálogos electrónicos del Convenio Marco o en las Compras Coordinadas yo Conjuntas del Ministerio de Salud, o bien su adquisición sea desventajosa respecto al resultado de la presente licitación, cuyas condiciones más ventajosas serán informadas en la oportunidad correspondiente a la Dirección de Compras, en conformidad con lo dispuesto en el artículo 15 del D.S. Nº 250, de 2004, del Ministerio de Hacienda. El contrato de suministro anteriormente indicado se hará efectivo cada vez que sea necesario, a través de la emisión de órdenes de compra enviadas al proveedor adjudicado mediante la plataforma www.mercadopublico.cl. Sin perjuicio de lo anterior, durante todo el periodo de vigencia del contrato, los productos serán solicitados en la oportunidad del mes que el Hospital estime pertinente, comprometiéndose el oferente adjudicado a difundir esta modalidad de compra a todas las instancias que participan en su proceso de ventas.</t>
  </si>
  <si>
    <t>TESORERÍA GENERAL DE LA REPÚBLICA</t>
  </si>
  <si>
    <t>WWW.TGR.CL</t>
  </si>
  <si>
    <t>5056-32-LQ22</t>
  </si>
  <si>
    <t>SERVICIO DE OXIGENOTERAPIA DOMICILIARIA</t>
  </si>
  <si>
    <t>HOSPITAL DE TALCA</t>
  </si>
  <si>
    <t>61.606.901-2</t>
  </si>
  <si>
    <t>Mario Muñoz Davila</t>
  </si>
  <si>
    <t>4030-22-L122</t>
  </si>
  <si>
    <t>ADQUISICION DE SUMINISTRO DE OXIGENO</t>
  </si>
  <si>
    <t>4281-36-L122</t>
  </si>
  <si>
    <t>RECARGA Y ARRIENDO DE CILINDROS DE OXIGENO.</t>
  </si>
  <si>
    <t>ADQUISICIÓN DE CONVENIO DE SUMINSITROS POR RECARGA Y ARRIENDO DE CILINDROS DE OXIGENO MEDICO PARA EL DEPARTAMENTO DE SALUD MUNICIPAL DE CUNCO.</t>
  </si>
  <si>
    <t>I MUNICIPALIDAD DE CUNCO</t>
  </si>
  <si>
    <t>69.191.000-8</t>
  </si>
  <si>
    <t>ENRIQUE PINILLA JARA</t>
  </si>
  <si>
    <t>enriquepinilla@municunco.cl</t>
  </si>
  <si>
    <t>1057934-1-LE22</t>
  </si>
  <si>
    <t>Compra de equipamiento clínico y otros</t>
  </si>
  <si>
    <t>La presente licitación pública tiene por objetivo la Compra de equipamiento clínico y otros para el Hospital Las Higueras, de acuerdo al detalle indicado en las bases administrativas y Especificaciones Técnicas adjuntas:</t>
  </si>
  <si>
    <t>SERVICIO DE SALUD DE TALCAHUANO</t>
  </si>
  <si>
    <t>2026-100-LE22</t>
  </si>
  <si>
    <t>CILINDROS PARA OXIGENO MEDICINAL PARA BASES SAMU</t>
  </si>
  <si>
    <t>“ADQUISICIÓN DE CILINDROS PARA OXIGENO MEDICINAL BASES SAMU DE LA RED”, a cargo del Servicio de Salud Viña del Mar-Quillota.</t>
  </si>
  <si>
    <t>MANUEL MARÍN</t>
  </si>
  <si>
    <t>manuel.marin@redsalud.gov.cl</t>
  </si>
  <si>
    <t>2366-82-LE22</t>
  </si>
  <si>
    <t>ADQUISICIÓN EQUIPAMIENTO E INSUMOS REHABILITACIÓN PULMONAR M:834</t>
  </si>
  <si>
    <t>I MUNICIPALIDAD DE ARICA</t>
  </si>
  <si>
    <t>69.010.100-9</t>
  </si>
  <si>
    <t>Jacqueline Morales Álvarez</t>
  </si>
  <si>
    <t>jacqueline.morales@sermusarica.cl</t>
  </si>
  <si>
    <t>5349-23-LP22</t>
  </si>
  <si>
    <t>CONTRATO DE SUMINISTRO DE GASES CLINICOS CON ARRIENDO DE CILINDROS</t>
  </si>
  <si>
    <t>1.1 ÁMBITO DE APLICACIÓN DE LAS BASES El Hospital Provincial del Huasco, establecimiento de salud dependiente del Servicio de Salud Atacama, ubicado en Avenida Huasco Nº 392, Sector Media Luna, Acceso Sur, de la ciudad y comuna de Vallenar, en adelante indistintamente el Hospital o HPH, requiere suscribir un contrato de SUMINISTRO DE GASES CLINICOS CON ARRIENDO DE CILINDROS, de acuerdo al siguiente detalle N° Ítem PRODUCTO PERIODO CANTIDAD ESTIMADA ANUAL CANTIDAD ESTIMADA TOTAL DEL CONTRATO CANTIDAD DE CILINDROS EN ARRIENDO APROX. 1 Oxígeno medicinal gaseoso para llenado de cilindros de 0.4 y/o 0.7 M3 36 MESES 500 m3 1.500 m3 100 2 Anhídrido carbónico para cilindros de 3 kg 36 MESES 350 kg 1.050 kg 10 3 Aire comprimido para ambulancias para cilindros de 3 m3. 36 MESES 6 m3 18 m3 4 4 Oxígeno medicinal gaseoso, para cilindros de 6 m3 36 MESES 250 m3 750 m3 20 5 Óxido Nitroso con oxígeno, para analgesia del parto, cilindros de 12 kilos 36 MESES 168 kg 504 kg 12 6 Óxido Nitroso para cilindros de 36 kg 36 MESES 504 kg 1.512 kg 10 7 Oxígeno para cilindros de 10 m3. 36 MESES 9.200 m3 27.600 m3 100 8 Nitrógeno para cilindros de 8,5 m3. 36 MESES 59.5 m3 178.5 m3 10 Las características y especificaciones de los productos requeridos se describen en las bases técnicas de la presente licitación. Las condiciones administrativas que regirán la adquisición de los productos quedarán definidas en las presentes bases administrativas.</t>
  </si>
  <si>
    <t>HOSPITAL PROVINCIAL DEL HUASCO MSR FERNANDO ARIZTIA RUIZ</t>
  </si>
  <si>
    <t>61.606.303-0</t>
  </si>
  <si>
    <t>Yessenia León</t>
  </si>
  <si>
    <t>Yesenia.leon@redsalud.gov.cl</t>
  </si>
  <si>
    <t>1057547-210-LE22</t>
  </si>
  <si>
    <t>CONVENIO DE SUMINISTRO OXIGENOTERAPIA ADOMICILIO</t>
  </si>
  <si>
    <t>CONVENIO PARA SUMINISTRO DE OXIGENOTERAPIA DOMICILIARIA PARA PACIENTES DEL HOSPITAL BASE VALDIVIA</t>
  </si>
  <si>
    <t>HOSPITAL BASE VALDIVA</t>
  </si>
  <si>
    <t>Alberto Delgado K</t>
  </si>
  <si>
    <t>5153-17-LQ22</t>
  </si>
  <si>
    <t>Serv.Mant. Prev. y Corr. de Equip. Redes de Gases</t>
  </si>
  <si>
    <t>Artículo 1º: Objeto y mandante.- La Universidad de Chile, para su Hospital Clínico de la Universidad de Chile, en adelante e indistintamente el “Hospital Clínico”, establecimiento docente-asistencial de medicina de alta complejidad, llama a licitación pública para la contratación de servicios de servicios de Mantenimiento Preventivo y Correctivo de Redes y Gases Clínicos, en adelante los servicios, la cual se regulará por las presentes Bases</t>
  </si>
  <si>
    <t>Nancy Miranda</t>
  </si>
  <si>
    <t>5052-14-LE22</t>
  </si>
  <si>
    <t>Convenio de insumos para kinesiología y otras áreas</t>
  </si>
  <si>
    <t>El objetivo de la presente licitación, es la adquisición de insumos para kinesiología y otras áreas del servicio de medicina fisica y rehabilitación correspondiente al Hospital Regional de Talca, con el fin de asegurar el abastecimiento en calidad y oportunidad, para satisfacer la demanda de los usuarios.</t>
  </si>
  <si>
    <t>Unidad de Contratos</t>
  </si>
  <si>
    <t>contratoshrt@hospitaldetalca.cl</t>
  </si>
  <si>
    <t>Mario Muñoz Dávila</t>
  </si>
  <si>
    <t>898-99-LE22</t>
  </si>
  <si>
    <t>MANT. DE COMPRESORES DE AIRE MEDICINAL Y BOMBA DE</t>
  </si>
  <si>
    <t>La necesidad del Hospital Claudio Vicuña, establecimiento dependiente del Servicio de Salud Valparaíso San Antonio, de contratar servicios de “MANTENCION DE COMPRESORES DE AIRE MEDICINAL Y BOMBA DE VACIO DE LAS REDES DE GASES CLINICOS”.</t>
  </si>
  <si>
    <t>1057496-33-LE22</t>
  </si>
  <si>
    <t>HOSPITAL SAN LUIS DE BUIN</t>
  </si>
  <si>
    <t>aerocamara</t>
  </si>
  <si>
    <t>5520-52-LE22</t>
  </si>
  <si>
    <t>suministro de gases industriales</t>
  </si>
  <si>
    <t>Por el presente instrumento, IDIEM licita el suministro de gases industriales, por un periodo de 24 meses o hasta la total utilización de los recursos destinados, cualquiera de las circunstancias que se verifique primero, según las características que se han definido en las presentes bases administrativas, bases técnicas y anexos. La licitación se compone de 1 línea de productos.</t>
  </si>
  <si>
    <t>Paola Ojeda</t>
  </si>
  <si>
    <t>estefanía espinoza</t>
  </si>
  <si>
    <t>1057544-200-LP22</t>
  </si>
  <si>
    <t>Contratación de servicios de oxigenoterapia domiciliaria</t>
  </si>
  <si>
    <t>Se requiere la Contratación de servicios de oxigenoterapia domiciliaria para el Hospital Las Higueras</t>
  </si>
  <si>
    <t>HOSPITAL LAS HIGUERAS DE TALCAHUANO</t>
  </si>
  <si>
    <t>359-45-LP22</t>
  </si>
  <si>
    <t>SUMINISTRO DE OXÍGENO MEDICINAL DOMICILIARIO</t>
  </si>
  <si>
    <t>Que, para tal efecto el CR. Alivio del dolor y cuidados paliativos requiere contratar los servicios de suministro de Oxígeno medicinal domiciliario para los pacientes del Instituto.</t>
  </si>
  <si>
    <t>Instituto Nacional del Cancer</t>
  </si>
  <si>
    <t>61.608.404-6</t>
  </si>
  <si>
    <t>Jefe de finanzas</t>
  </si>
  <si>
    <t>alexis.ascui@incancer.cl</t>
  </si>
  <si>
    <t>4401-69-L122</t>
  </si>
  <si>
    <t>Sc 578 Suministro de oxigeno</t>
  </si>
  <si>
    <t>Se solicita la contratación de suministro de oxigeno para dependencias del Departamento de Salud de San Clemente</t>
  </si>
  <si>
    <t>1057501-152-LR22</t>
  </si>
  <si>
    <t>Servicios de Oxigenoterapia Domiciliaria</t>
  </si>
  <si>
    <t>El objeto de la presente licitación es llamar a propuesta pública para la “Contratación de SERVICIOS DE OXIGENOTERAPIA DOMICILIARIA”, para beneficiarios del sistema público de salud atendidos en el Complejo Asistencial Dr. Sótero del Río. En atención a lo dispuesto en el Artículo 14° del Reglamento de la Ley Nº 19.886 y dado que los servicios no se encuentran en Convenio Marco de la Dirección de Compras y Contratación Pública, las presentes Bases Administrativas establecen las disposiciones que regirán la licitación y posterior Contrato. Se aplicarán en las presentes Bases Administrativas y en los Anexos, la Ley N°19.886 y su Reglamento, según los términos y definiciones establecidas en el Decreto Nº 250/2004 del Ministerio de Hacienda, que aprueba el Reglamento de la Ley Nº 19.886 y modificaciones con el Decreto Supremo Nº 1763 del 06 de octubre de 2009, de “Bases sobre Contratos Administrativos de Suministro y Prestación de Servicios”</t>
  </si>
  <si>
    <t>Ramon Varas</t>
  </si>
  <si>
    <t>1057545-51-LQ22</t>
  </si>
  <si>
    <t>Convenio de Suministro de Gases Clínicos Hospital La Unión</t>
  </si>
  <si>
    <t>El Servicio de Salud Valdivia requiere contratar para el hospital La Unión el convenio de suministro de gases clínicos</t>
  </si>
  <si>
    <t>Milton Moraga</t>
  </si>
  <si>
    <t>milton.moraga@redsalud.gov.cl</t>
  </si>
  <si>
    <t>608-167-LR22</t>
  </si>
  <si>
    <t>KCD_SUMINISTRO DE EQUIPOS PARA OXIGENOTERAPIA DOMICILIRIA</t>
  </si>
  <si>
    <t>HOSPITAL DR GUSTAVO FRICKE</t>
  </si>
  <si>
    <t>61.606.602-1</t>
  </si>
  <si>
    <t>CRISTIAN ARANGUEZ</t>
  </si>
  <si>
    <t>CRISTIAN.ARANGUEZ@REDSALUD.GOB.CL</t>
  </si>
  <si>
    <t>324-181-LE22</t>
  </si>
  <si>
    <t>Servicio de Arriendo de Oxigenoterapia</t>
  </si>
  <si>
    <t>Las presentes Bases Administrativas regulan el llamado a Propuesta Pública que realiza la Municipalidad de Cerrillos para efectuar el “SERVICIO DE ARRIENDO DE OXIGENOTERAPIA DOMICILIARIA”. Se necesita el Arriendo de Equipos de Oxigenoterapia domiciliaria para pacientes de la Comuna de Cerrillos, que no se encuentren cubiertos por programas de Salud Pública, el servicio contratado será por un periodo de 36 meses o hasta agotar el presupuesto disponible. Los requisitos y exigencias técnicas se establecen en las presentes Bases Administrativas Generales y Especificaciones Técnicas que son parte de esta licitación. MANDANTE: Municipalidad de Cerrillos. UNIDAD TÉCNICA: DIDECO, Depto. Acción Social. Los requisitos y exigencias técnicas se establecen en las presentes Bases de Especificaciones Técnicas, Bases Administrativas Generales y documentos acompañantes de la presente propuesta.</t>
  </si>
  <si>
    <t>INTERNATIONAL</t>
  </si>
  <si>
    <t>2258-195-LQ22</t>
  </si>
  <si>
    <t>SERVICIO DE OXIGENOTERAPIA DOMICILIARIA DEL HRA</t>
  </si>
  <si>
    <t>El Hospital Regional de Antofagasta, establecimiento Auto gestionado en Red, dependiente del Servicio de Salud Antofagasta, requiere Licitar “Servicio de oxigenoterapia domiciliaria para el Hospital Regional de Antofagasta”. mediante una licitación pública por servicios requeridos, donde el objetivo primordial es contar con los servicios apropiados Considerando optimizar el uso de los recursos disponibles y realizar un contrato con una empresa responsable de realizar el servicio de prestaciones entregadas a domicilio, transfiriendo al lugar de convalecencia toda tecnología necesaria en equipos e insumos para entregar soporte ventilatorio.</t>
  </si>
  <si>
    <t>SERVICIO DE SALUD ANTOFAGASTA HOSPITAL L</t>
  </si>
  <si>
    <t>61.606.201-8</t>
  </si>
  <si>
    <t>SERGIO MORENO RIOS</t>
  </si>
  <si>
    <t>jefe.finanzas.hra@redsalud.gov.cl</t>
  </si>
  <si>
    <t>898-101-LR22</t>
  </si>
  <si>
    <t>1057539-94-LR22</t>
  </si>
  <si>
    <t>Convenio Suministro CPAP e Insumos HPM</t>
  </si>
  <si>
    <t>Contar con el debido y necesario abastecimiento de Cpap, Mascarillas, Cánulas y equipos en comodato para la correcta ejecución del tratamiento de apnea del sueño en la Unidad del sueño y Neurofisiología, debido al vencimiento próximo de la licitación 1057539-83-LP19, razón por la cual se convoca a la presente licitación pública.</t>
  </si>
  <si>
    <t>HOSPITAL PUERTO MONTT</t>
  </si>
  <si>
    <t>61.975.100-0</t>
  </si>
  <si>
    <t>Anelia Soto</t>
  </si>
  <si>
    <t>asoto@ssdr.gob.cl</t>
  </si>
  <si>
    <t>586-42-LE22</t>
  </si>
  <si>
    <t>Suministro de Gases y Servicio de mantenimiento</t>
  </si>
  <si>
    <t>Suministro de Gases y Servicio de Mantenimiento Preventivo y Correctivo de las Redes de Gases para el Laboratorio Químico del Servicio Nacional de Aduanas</t>
  </si>
  <si>
    <t>SERVICIO NACIONAL DE ADUANAS</t>
  </si>
  <si>
    <t>60.804.000-5</t>
  </si>
  <si>
    <t>Veronica Santoro</t>
  </si>
  <si>
    <t>vsantoro@aduana.cl</t>
  </si>
  <si>
    <t>1057545-50-LR22</t>
  </si>
  <si>
    <t>Convenio de suministro de Gases Clínicos para Hospitales y SAR</t>
  </si>
  <si>
    <t>el Servicio de Salud Valdivia requiere contratar a través de un convenio el suministro de gases clínicos para el Hospital Los Lagos,Paillaco,Corral y SAR Barrios Bajos</t>
  </si>
  <si>
    <t>carmen.roldanssv@redsalud.gov.cl</t>
  </si>
  <si>
    <t>1057545-61-LQ22</t>
  </si>
  <si>
    <t>Convenio de Suministro de Gases Clínicos Hospital Rio Bueno</t>
  </si>
  <si>
    <t>El Servicio de Salud Valdivia requiere contratar a través de un convenio de suministro la provisión de gases clinicos</t>
  </si>
  <si>
    <t>Paola Tutt</t>
  </si>
  <si>
    <t>5350-44-L122</t>
  </si>
  <si>
    <t>MEDICAMENTOS FARMACIA CENTRAL</t>
  </si>
  <si>
    <t>USOS FARMACIA CENTRAL</t>
  </si>
  <si>
    <t>5520-62-LE22</t>
  </si>
  <si>
    <t>SUMINISTRO DE HIELO SECO ARGÓN OXIGENO Y NITROGENO</t>
  </si>
  <si>
    <t>Por el presente instrumento, IDIEM licita la contratación del suministro de hielo seco, argón, oxígeno y nitrógeno, por un periodo de 24 meses o hasta la total utilización de los recursos asignados, cualquiera de las circunstancias que se verifique primero, según las características que se han definido en las presentes bases administrativas, bases técnicas y anexos.</t>
  </si>
  <si>
    <t>5056-39-LQ22</t>
  </si>
  <si>
    <t>El referente técnico del convenio será el Jefe Unidad Hospitalización Domiciliaria o sub-rogante, quien deberá notificar mediante correo electrónico o memorándum al Departamento de Abastecimiento y a la Unidad de Control y Eficiencia Operacional de la Sub Dirección Administrativa, cuando exista incumplimiento de algún oferente adjudicado en cuanto a la calidad del servicio integral contratado por mantención y que sea distinto a lo indicado en oferta, para lo cual podrá solicitar la aplicación de una sanción por incumplimiento y/o cobro de documento de garantía según lo estipulado en las presentes bases administrativas. Una vez terminado el contrato el referente técnico del convenio o su subrogante deberá completar formulario de conformidad del servicio contratado, evaluando la calidad técnica entregada por proveedor o prestador adjudicado. Se contará además con un referente administrativo del convenio, Jefe de compras generales, quien deberá notificar mediante correo electrónico o memorándum al Departamento de Abastecimiento y a la Unidad de Control y Eficiencia Operacional de la Sub Dirección Administrativa, cuando exista alguna irregularidad en aspectos administrativos asociados al servicio, para lo cual podrá solicitar la aplicación de una sanción por incumplimiento y/o cobro de garantía según lo estipulado en las presentes bases administrativas. Una vez terminado el contrato el referente administrativo deberá completar formulario de conformidad del servicio contratado, evaluando el comportamiento administrativo del convenio.</t>
  </si>
  <si>
    <t>1057554-86-LE22</t>
  </si>
  <si>
    <t>Convenio de suministro de oxígeno a domicilio para pacientes del Programa de Cuidados Paliativos del Hospital Carlos Van Buren</t>
  </si>
  <si>
    <t>Las presentes Bases Administrativas tienen por objeto regular el llamado a Propuesta Pública para contratar el suministro de oxígeno a domicilio para pacientes del programa de cuidados paliativos del Hospital Carlos Van Buren la que se singulariza en las Bases Administrativas y en las Bases Técnicas de la Propuesta.</t>
  </si>
  <si>
    <t>Javier Olea Torres</t>
  </si>
  <si>
    <t>javier.oleatorres@redsalud.gov.cl</t>
  </si>
  <si>
    <t>1057547-269-LE22</t>
  </si>
  <si>
    <t>ADQUISICION MATERIALES PARA TALLER DE GASES CLINIC</t>
  </si>
  <si>
    <t>ADQUISICION MATERIALES PARA TALLER DE GASES CLINICOS DEL HOSPITAL BASE VALDIVIA</t>
  </si>
  <si>
    <t>621-686-LR22</t>
  </si>
  <si>
    <t>VENTILADOR MECANICO NO INVASIVO BINIVEL 1000017270</t>
  </si>
  <si>
    <t>No suben las Bases</t>
  </si>
  <si>
    <t>2258-166-LR22</t>
  </si>
  <si>
    <t>INSUMOS VIA RESPIRATORIA</t>
  </si>
  <si>
    <t>PODER CONTAR CON LOS INSUMOS NECESARIOS SOLICITADOS POR SDE PARA DIFERENTES UNIDADES CLINICAS PARA PACIENTES RESPIRATORIOS QUE SE ENCUENTARN HOSPITALIZADOS EN HOSPITAL REGIONAL ANTOFAGASTA.</t>
  </si>
  <si>
    <t xml:space="preserve">SERVICIO DE SALUD ANTOFAGASTA </t>
  </si>
  <si>
    <t>Sergio Moreno Rios</t>
  </si>
  <si>
    <t>Estephany Escudero</t>
  </si>
  <si>
    <t>asesor.gcl.hra@redsalud.gov.cl</t>
  </si>
  <si>
    <t>1057536-65-LR22</t>
  </si>
  <si>
    <t>Convenio Suministro de Fármacos Red SSDR</t>
  </si>
  <si>
    <t>CONVENIO DE SUMINISTRO DE FÁRMACOS PARA LA RED DEL SERVICIO DE SALUD DEL RELONCAVÍ</t>
  </si>
  <si>
    <t>SERVICIO SALUD DEL RELONCAVI</t>
  </si>
  <si>
    <t>61.607.700-7</t>
  </si>
  <si>
    <t>FINANZAS@SSDR.GOB.CL</t>
  </si>
  <si>
    <t>4968-23-B222</t>
  </si>
  <si>
    <t>Que, el Hospital de Quilpué requiere contratar los servicios de OXIGENOTERAPIA DOMICILIARIA, de manera de satisfacer adecuada y oportunamente la demanda asistencial a la población asignada, que legalmente le ha sido encomendada</t>
  </si>
  <si>
    <t>3873-10-LE22</t>
  </si>
  <si>
    <t>ABASTECIMIENTO DE OXIGENO MEDICO Y MANTENCION TEC.</t>
  </si>
  <si>
    <t>LICITACIÓN PÚBLICA PARA CONVENIO DE ABASTECIMIENTO DE OXIGENO MEDICO Y MANTENCION TECNICA DE LOS CILINDROS DEL DEPARTAMENTO DE SALUD DE LA COMUNA DE PUNITAQUI</t>
  </si>
  <si>
    <t>I MUNICIPALIDAD DE PUNITAQUI</t>
  </si>
  <si>
    <t>69.040.900-3</t>
  </si>
  <si>
    <t>Natalia Molina Toro</t>
  </si>
  <si>
    <t>nmolina@munipunitaqui.cl</t>
  </si>
  <si>
    <t>1057501-249-LQ22</t>
  </si>
  <si>
    <t>Contratación para el Suministro de Oxigeno Medicinal Liquido</t>
  </si>
  <si>
    <t>La necesidad de contar con oxígeno medicinal líquido para dar cumplimiento con los distintos servicios clínicos del Complejo.</t>
  </si>
  <si>
    <t>1057509-214-LE22</t>
  </si>
  <si>
    <t>CONVENIO DE SUMINISTRO DE CO2 Y ACETILENO cav</t>
  </si>
  <si>
    <t>El Hospital Clínico Herminda Martín de Chillán llama a Licitación Pública a través del Portal Mercado Público, para suscribir “Convenio para el suministro de CO2 y Acetileno”, para uso en los Servicios Clínicos y de mantención, de acuerdo a protocolos técnicos y administrativos establecidos. Se pretende obtener la mejor calidad y oportunidad en el suministro de los gases a un precio conveniente.</t>
  </si>
  <si>
    <t>Alex Rivera</t>
  </si>
  <si>
    <t>1558-27-LE22</t>
  </si>
  <si>
    <t>Suministro de oxígeno gaseoso de uso medicinal.</t>
  </si>
  <si>
    <t>Realizar licitación para contrato de suministros oxígeno gaseoso de uso medicinal por un año para pacientes hospital Florencio Vargas Díaz, según lo solicitado por encargado de mantención.</t>
  </si>
  <si>
    <t>SERVICIO DE SALUD ATACAMA</t>
  </si>
  <si>
    <t>61.606.306-5</t>
  </si>
  <si>
    <t>Mauricio Blanco Hidalgo</t>
  </si>
  <si>
    <t>mauricio.blancoh@redsalud.gov.cl</t>
  </si>
  <si>
    <t>1075963-349-LE22</t>
  </si>
  <si>
    <t>CONVENIO DE SUMINISTRO DE GASES MEDICINALES POR 6 MESES</t>
  </si>
  <si>
    <t>CONVENIO DE SUMINISTRO DE GASES MEDICINALES POR 6 MESES.</t>
  </si>
  <si>
    <t>HERMAN GERALDO DIAZ</t>
  </si>
  <si>
    <t>herman.geraldo@hjnc.cl</t>
  </si>
  <si>
    <t>607-105-L122</t>
  </si>
  <si>
    <t>CARGA DE OXÍGENO Y DIÓXIDO DE CARBONO ZOOLÓGICO</t>
  </si>
  <si>
    <t>PARQUE METROPOLITANO DE SANTIAGO</t>
  </si>
  <si>
    <t>61.809.000-0</t>
  </si>
  <si>
    <t>4642-64-LQ22</t>
  </si>
  <si>
    <t>SUMINISTRO DE GASES MEDICINALES POR 24 MESES.</t>
  </si>
  <si>
    <t>SUMINISTRO DE GASES MEDICINALES CON ENTREGA DE EQUIPAMIENTO EN COMODATO PARA EL HOSPITAL DE CARABINEROS, POR UN PERIODO DE 24 MESES, RES. EX. N1055 DE FECHA 02.08.2022 SOLICITUD ERP. 2201360 CR. N126 DE FECHA 02.06.2022.</t>
  </si>
  <si>
    <t>FONDO PARA HOSPITALES DE CARABINEROS DE CHILE</t>
  </si>
  <si>
    <t>60.514.000-9</t>
  </si>
  <si>
    <t>Elena Molina</t>
  </si>
  <si>
    <t>ELENA.MOLINA@HOSCAR.CL</t>
  </si>
  <si>
    <t>1549-88-LE22</t>
  </si>
  <si>
    <t>ADQUISICION Y RECARGA DE 1.000 LITROS DE HELIO LIQUIDO PARA RESONADOR MAGNETICO HOSPITAL SAN JOSE POR UN PERIODO DE 12 MESES.</t>
  </si>
  <si>
    <t>ADQUISICION Y RECARGA DE 1.000 LITROS DE HELIO LIQUIDO PARA RESONADOR MAGNETICO HOSPITAL SAN JOSE, POR UN PERIODO DE 12 MESES.</t>
  </si>
  <si>
    <t>HOSPITAL SAN JOSE</t>
  </si>
  <si>
    <t>61.608.002-4</t>
  </si>
  <si>
    <t>SARA.ITURRA@REDSALUD.GOV.CL</t>
  </si>
  <si>
    <t>948354-155-LE22</t>
  </si>
  <si>
    <t>Adquisición de Flujómetros de Oxígeno y Reguladores de Vacío Central para el Hospital Dipreca.</t>
  </si>
  <si>
    <t>El Hospital de la Dirección de Previsión de Carabineros de Chile, ubicado en Vital Apoquindo N°1.200, Comuna de Las Condes, Región Metropolitana, en adelante “EL HOSPITAL”, llama a Licitación Pública para la Adquisición de Flujómetros de Oxígeno y Reguladores de Vacío Central para el Hospital Dipreca, en adelante “LOS BIENES”, para el referido Centro Asistencial, cuyas características y requisitos técnicos constan en las Bases Administrativas y Técnicas de esta Licitación con sus respectivos anexos.</t>
  </si>
  <si>
    <t>Viviana García</t>
  </si>
  <si>
    <t>garciav@hospitaldipreca.cl</t>
  </si>
  <si>
    <t>1642-30-LE22</t>
  </si>
  <si>
    <t>MANTENCIÓN PREV. Y REPARACIÓN CENTRAL DE OXIGENO</t>
  </si>
  <si>
    <t>El Hospital de Curacaví cuenta con una central de oxígeno que se encuentra ubicada a un costado exterior del Servicio de Medicina Hospitalización, a lo que necesidad de adquirir un convenio para los servicios de “Manutención Preventiva y Reparación de la Central de Oxígeno del Hospital de Curacaví”</t>
  </si>
  <si>
    <t>HOSPITAL DE CURACAVI</t>
  </si>
  <si>
    <t>61.602.125-7</t>
  </si>
  <si>
    <t>CHRISTOPHER SALAS</t>
  </si>
  <si>
    <t>christopher.salas@redsalud.gov.cl</t>
  </si>
  <si>
    <t>5061-119-L122</t>
  </si>
  <si>
    <t>Adquisición e instalación de (25) flexibles de cobre para conexión cilindros de aire y oxigeno medicinal, para establecimientos de Salud Municipal., según especificaciones técnicas adjuntas</t>
  </si>
  <si>
    <t>937232-53-LP22</t>
  </si>
  <si>
    <t>SERVICIO DE PROVISIÓN DE OXÍGENO DOMICILIARIO 24 MESES</t>
  </si>
  <si>
    <t>arantizar la provisión del Servicio de Domiciliario de Oxígeno Clínico con la finalidad de permitir el normal funcionamiento de Hospitalización Domiciliaria entregada por el CRS HPC, dando cumplimiento a la normativa vigente y a las regulaciones locales del establecimiento de salud.</t>
  </si>
  <si>
    <t>CENTRO DE REFERENCIA DE SALUD HOSPITAL PROVINCIA CORDILLERA</t>
  </si>
  <si>
    <t>1973-38-LE22</t>
  </si>
  <si>
    <t>Suministro Gases Medicinales y Nitrogeno Liquido</t>
  </si>
  <si>
    <t>La propuesta comprende la contratación del Suministro de Gases Medicinales y Nitrógeno Líquido, de acuerdo con lo señalado en las Bases Técnicas, por un período de 36 meses. Formarán parte integrante de estas bases sus eventuales aclaraciones, rectificaciones, enmiendas, formularios y sus anexos; todo ello debidamente publicado en el portal Mercado Público. Se entenderá que todo proveedor conoce y acepta irrevocablemente el contenido de estas Bases, por el solo hecho de presentar ofertas en este proceso de compra.</t>
  </si>
  <si>
    <t>CRS DE PENALOLEN CORDILLERA ORIENTE</t>
  </si>
  <si>
    <t>61.953.200-7</t>
  </si>
  <si>
    <t>Francisco Carcamo</t>
  </si>
  <si>
    <t>fcarcamo@crsoriente.cl</t>
  </si>
  <si>
    <t>1554-33-LP22</t>
  </si>
  <si>
    <t>Mant. Prev. de Centrales de Gases Clinicos</t>
  </si>
  <si>
    <t>El objeto de la licitación es efectuar el llamado a Licitación pública, y regular la presentación de ofertas a fin de satisfacer las demandas del Servicio, los cuales deberán tener la suficiencia técnica y especializada para prestar colaboración con el Hospital Regional. Dichos requerimientos y servicios deberán enfocar su trabajo en la atención de calidad, con responsabilidad y pertinencia, encontrándose disponibles para el equipo de salud cuando este lo requiera, subordinándose a las normas del establecimiento hospitalario. Los cuáles serán coordinados y supervisados por la contraparte Técnica.</t>
  </si>
  <si>
    <t>5461-23-LE22</t>
  </si>
  <si>
    <t>COMPRA INSUMOS MEDICOS AGOSTO 2022</t>
  </si>
  <si>
    <t>ESTA LICITACION TIENE POR OBJETO LA COMPRA DE INSUMOS MEDICOS PARA EL HOSPITAL DE PEÑAFLOR, PERIODO AGOSTO 2022</t>
  </si>
  <si>
    <t>VIVIANA ARAYA MIRA</t>
  </si>
  <si>
    <t>VIVIANA.ARAYA@REDSALUD.GOV.CL</t>
  </si>
  <si>
    <t>4030-32-L122</t>
  </si>
  <si>
    <t>ADQUISICION DE MATERIALES TECNOLOGICOS</t>
  </si>
  <si>
    <t>ADQUISICION DE MATERIALES TECNOLOGICOS DEL CONVENIO PMI AÑO 2022</t>
  </si>
  <si>
    <t>3245-15-LE22</t>
  </si>
  <si>
    <t>Adquisición equipamiento y mobiliario para estable</t>
  </si>
  <si>
    <t>mejorar o renovar equipamiento existente en las dependencias de los establecimientos de salud dependientes de la dirección de salud de la I.Municipalidad de Santo Domingo, para así brindar una atención de calidad a los usuarios inscritos en estos</t>
  </si>
  <si>
    <t>I MUNICIPALIDAD DE SANTO DOMINGO</t>
  </si>
  <si>
    <t>69.073.500-8</t>
  </si>
  <si>
    <t>sebastian abarca</t>
  </si>
  <si>
    <t>sabarca@santodomingo.cl</t>
  </si>
  <si>
    <t>1395-72-LQ22</t>
  </si>
  <si>
    <t>Convenio Fármacos Otros Programas Ministeriales</t>
  </si>
  <si>
    <t>El Servicio de Salud Coquimbo llama a Licitación Pública, a través del Portal Mercado Público, para Convenio de Suministro de Fármacos utilizados en los Programas Ministeriales de los Establecimientos de Atención Primaria de la Región de Coquimbo, por un periodo de 12 meses o hasta la completa utilización de los recursos que financian en convenio.</t>
  </si>
  <si>
    <t>Emilia Lopez</t>
  </si>
  <si>
    <t>emilia.lopez@redsalud.gov.cl</t>
  </si>
  <si>
    <t>2678-30-L122</t>
  </si>
  <si>
    <t>Equipamiento Sala Primeros Auxilios Esc. El Rincon</t>
  </si>
  <si>
    <t>El Departamento de educación, requiere la compra de equipamiento para sala de primeros auxilios y contención de la escuela El Rincón</t>
  </si>
  <si>
    <t>Gonzalo Chandia Gonzalez</t>
  </si>
  <si>
    <t>finanza@educacionmostazal.cl</t>
  </si>
  <si>
    <t>1464-79-LE22</t>
  </si>
  <si>
    <t>Insumos Médicos 2022</t>
  </si>
  <si>
    <t>Cotizar insumos médicos para los servicios clínicos del Hospital de Parral.</t>
  </si>
  <si>
    <t>Carmen Gloria Alfaro F.</t>
  </si>
  <si>
    <t>2410-152-LP22</t>
  </si>
  <si>
    <t>SUMINISTRO DE OXIGENO MEDICINAL Y AIRE COMPRIMIDO MEDICINAL</t>
  </si>
  <si>
    <t>Considera el suministro, traslado y arriendo de cilindros oxígeno medicinal y aire comprimido medicinal para los establecimientos de atención primaria, ambulancias y puntos de vacunación de la comuna de Los Ángeles, de acuerdo a Bases técnicas adjuntas.</t>
  </si>
  <si>
    <t>MUNICIPALIDAD DE LOS ANGELES</t>
  </si>
  <si>
    <t>Oscar Oliva San Martín</t>
  </si>
  <si>
    <t>1979-190-LP22</t>
  </si>
  <si>
    <t>210.22 DISPOSITIVOS MÉDICOS PARA MANEJO VENTILATORIO DE PACIENTES PARA NODO COSTERO: HOSPITAL NVA IMPERIAL</t>
  </si>
  <si>
    <t>Se requiere contrato de suministro por el periodo de 18 meses para las adquisiciones de “DISPOSITIVOS MÉDICOS PARA MANEJO VENTILATORIO DE PACIENTES PARA NODO COSTERO: HOSPITAL NVA IMPERIAL.” de acuerdo a necesidades del Hospital Nueva Imperial.</t>
  </si>
  <si>
    <t>1979-191-LQ22</t>
  </si>
  <si>
    <t>211.22 DISPOSITIVOS MÉDICOS UTILIZADOS POR SERVICIOS CLÍNICOS Y UNIDADES DE APOYO CLÍNICO PARA NODO COSTERO: HOSPITAL NVA IMPERIAL</t>
  </si>
  <si>
    <t>Se requiere contrato de suministro por el periodo de 18 meses para las adquisiciones de “DISPOSITIVOS MÉDICOS UTILIZADOS POR SERVICIOS CLÍNICOS Y UNIDADES DE APOYO CLÍNICO PARA NODO COSTERO: HOSPITAL NVA IMPERIAL.” de acuerdo a necesidades del Hospital Nueva Imperial.</t>
  </si>
  <si>
    <t>1057858-3-LQ22</t>
  </si>
  <si>
    <t>REPOSICIÓN DE VENTILADORES NO INVASIVOS</t>
  </si>
  <si>
    <t>El Servicio de Salud Metropolitano Central, en adelante “el Servicio”, llama a Propuesta Pública para la “REPOSICIÓN DE VENTILADORES NO INVASIVOS PARA PROGRAMA DE ATENCIÓN DOMICILIARIA DEL SERVICIO DE SALUD METROPOLITANO CENTRAL”.-</t>
  </si>
  <si>
    <t>SERVICIO DE SALUD METROPOLITANO CENTRAL</t>
  </si>
  <si>
    <t>61.608.600-6</t>
  </si>
  <si>
    <t>Ursula Beecher</t>
  </si>
  <si>
    <t>ursula.beecher@redsalud.gov.cl</t>
  </si>
  <si>
    <t>1549-100-LE22</t>
  </si>
  <si>
    <t>ADQUISICON DE 20 CONCENTRADORES DE OXIGENO POR CONTINGENCIA RESPIRATORIA HOSPITAL SAN JOSE.</t>
  </si>
  <si>
    <t>ADQUISICON DE 20 CONCENTRADORES DE OXIGENO POR CONTINGENCIA RESPIRATORIA HOSPITAL SAN JOSE. RESOLUCION 2379 24.08.2022.-</t>
  </si>
  <si>
    <t>2773-69-LE22</t>
  </si>
  <si>
    <t>Servicio de recarga de oxígeno</t>
  </si>
  <si>
    <t>898-147-LR22</t>
  </si>
  <si>
    <t>Suministro de Oxígeno Criogénico con estanque para el Nuevo Hospital Claudio Vicuña</t>
  </si>
  <si>
    <t>La necesidad del Hospital Claudio Vicuña, establecimiento dependiente del Servicio de Salud Valparaíso San Antonio, de contar con un convenio de “Suministro de Oxígeno Criogénico con estanque para el Nuevo Hospital Claudio Vicuña”, que permitirá abastecer de este vital gas clínico las nuevas dependencias del establecimiento.</t>
  </si>
  <si>
    <t>Daniel Olivares Acuña</t>
  </si>
  <si>
    <t>daniel.olivaresac@redsalud.gov.cl</t>
  </si>
  <si>
    <t>744835-175-L122</t>
  </si>
  <si>
    <t>Recargas de Cilíndros Oxígeno Medicinal</t>
  </si>
  <si>
    <t>Solicitud de Materiales N° 419/2022 Departamento de Salud</t>
  </si>
  <si>
    <t>I MUNICIPALIDAD DE LO ESPEJO</t>
  </si>
  <si>
    <t>69.255.100-1</t>
  </si>
  <si>
    <t>Ricardo Morales Choupay</t>
  </si>
  <si>
    <t>TESORERIA@LOESPEJO.CL</t>
  </si>
  <si>
    <t>1718-25-L122</t>
  </si>
  <si>
    <t>SUMINISTRO OXIGENO MEDICINAL Y ARRIENDO CILINDRO</t>
  </si>
  <si>
    <t>SIC 9540 DEPTO DE SALUD SAR Y CENTROS DE SALUD DE LA COMUNA. COMPRA DE SUMINISTRO DE OXIGENO MEDICINAL Y ARRIENDO DE CILINDRO POR 3 MESES DESDE OCTUBRE A DICIEMBRE 2022.</t>
  </si>
  <si>
    <t>1057543-80-LQ22</t>
  </si>
  <si>
    <t>SUMINISTRO GASES CLÍNICOS</t>
  </si>
  <si>
    <t>SE REQUIERE SUMINISTRAR SERVICIOS DE GASES CLÍNICOS PARA EL HOSPITAL DE TOMÉ, SEGÚN BASES ADMINISTRATIVAS Y POR UN PERIODO DE 48 MESES.</t>
  </si>
  <si>
    <t>SERVICIO DE SALUD TALCAHUANO HOSPITAL DE TOMÉ</t>
  </si>
  <si>
    <t>2332-144-L122</t>
  </si>
  <si>
    <t>SERVICIO DE MANTENIMIENTO PREVENTIVO EQUIPOS DE OXIGENO DESAM</t>
  </si>
  <si>
    <t>1952-79-LQ22</t>
  </si>
  <si>
    <t>SUMINISTRO OXIGENO LIQUIDO MEDICO H. VILLARRICA</t>
  </si>
  <si>
    <t>Se requiere contar con suministro de oxígeno el cual debe ser de calidad de uso humano, para ser usado en ambiente hospitalario que incluya el oxígeno gaseoso para el respaldo de la red.</t>
  </si>
  <si>
    <t>Hospital Villarrica</t>
  </si>
  <si>
    <t>61.602.248-2</t>
  </si>
  <si>
    <t>Gloria Oñate Salcedo</t>
  </si>
  <si>
    <t>gloria.onate@redsalud.gov.cl</t>
  </si>
  <si>
    <t>4555-17-LE22</t>
  </si>
  <si>
    <t>ASES ESPECIALES DE LICITACIÓN PÚBLICA PARA LA ADQUISICIÓN DEL SERVICIO SUMINISTRO DE OXÍGENO MEDICINAL PARA LOS CESFAM DE LA COMUNA DE ZAPALLAR.</t>
  </si>
  <si>
    <t>Emerson Vergara</t>
  </si>
  <si>
    <t>emerson.vergara@saludzapallar.xl</t>
  </si>
  <si>
    <t>2258-237-LR22</t>
  </si>
  <si>
    <t>objetivo primordial es contar con los servicios apropiados considerando optimizar el uso de los recursos disponibles y realizar un contrato con una empresa responsable de realizar el servicio de prestaciones entregadas a domicilio, transfiriendo al lugar de convalecencia del paciente la tecnología necesaria en equipos e insumos para entregar soporte ventilatorio, a través de la entrega de un equipo concentrador y cilindro tipo E de apoyo ambulatorio junto a servicios de refuerzo.</t>
  </si>
  <si>
    <t>JEFE.FINANZAS.HRA@REDSALUD.GOV.CL</t>
  </si>
  <si>
    <t>1057931-29-LQ22</t>
  </si>
  <si>
    <t>AD. VENTILADORES MECANICOS NO INV. DOMICILIARIOS</t>
  </si>
  <si>
    <t>ADQUIRIR VENTILADORES MECANICOS NO INVASIVOS DOMICILIARIOS</t>
  </si>
  <si>
    <t>Adrián Mautz Villanueva</t>
  </si>
  <si>
    <t>adrian.mautz@redsalud.gov.cl</t>
  </si>
  <si>
    <t>1057499-42-LR22</t>
  </si>
  <si>
    <t>ADQUISICIÓN DE VENTILADORES MECÁNICOS NO INVASIVOS DSSMS</t>
  </si>
  <si>
    <t>El objetivo de la presente licitación es adquirir equipamiento y/o equipo nuevo y sin uso, el que deberá contar con la respectiva garantía postventa y capacitación en el uso y funcionamiento del mismo.</t>
  </si>
  <si>
    <t>SERVICIO DE SALUD METROPOLITANO SUR</t>
  </si>
  <si>
    <t>rodrigo gonzalez</t>
  </si>
  <si>
    <t>1057535-6-LE22</t>
  </si>
  <si>
    <t>SERVICIO DE MANTENCIÓN GASES CLÍNICOS 2022</t>
  </si>
  <si>
    <t>El Hospital De Misión San Juan de la Costa, dentro de su estrategia de compra, llama a participar en licitación pública de “SERVICIO DE MANTENCIÓN GASES CLÍNICOS 2022”, PARA EL HOSPITAL FÜTA SRÜKA LAWENCHE KÜNKO MAPU MO. Por lo anterior se han definido los presentes Términos Técnicos de referencia, que regulan la prestación o externalización de este servicio y/o Productos.</t>
  </si>
  <si>
    <t>HOSPITAL FUTA SRÜKA LAWENCHE KUNKO MAPU MO</t>
  </si>
  <si>
    <t>61.980.070-2</t>
  </si>
  <si>
    <t>Evelyn Labado Cardenas</t>
  </si>
  <si>
    <t>evelyn.labado@redsalud.gob.cl</t>
  </si>
  <si>
    <t>1057402-247-LP22</t>
  </si>
  <si>
    <t>Adquisición de Equipos Secundarios de Gases Clínicos para el Hospital Clínico de Magallanes</t>
  </si>
  <si>
    <t>El propósito de la licitación es generar un contrato para el “Suministro de Equipos Secundarios de Gases Clínicos para el Hospital Clínico de Magallanes”, de acuerdo con lo establecido en las presentes Bases Administrativas y Técnicas, en las circunstancias que estos productos no son provistos en el catálogo electrónico del Convenio Marco.</t>
  </si>
  <si>
    <t>tesoreria.hcm@redsalud.gov.cl</t>
  </si>
  <si>
    <t>5349-43-LE22</t>
  </si>
  <si>
    <t>SERVICIO DE MANTENCIÓN PREVENTIVA DE GASES MEDICINALES QUE INCLUYE REPUESTOS DEL HOSPITAL PROVINCIAL DEL HUASCO MONSEÑOR FERNANDO ARIZTÍA RUIZ</t>
  </si>
  <si>
    <t>El Hospital Provincial del Huasco, establecimiento de salud dependiente del Servicio de Salud Atacama, ubicado en Avenida Huasco Nº 392, Sector Media Luna, Acceso Sur, de la ciudad y comuna de Vallenar, en adelante indistintamente el Hospital o HPH, requiere contratar el SERVICIO DE MANTENCIÓN PREVENTIVA DE GASES MEDICINALES QUE INCLUYE REPUESTOS, del Hospital, detallados en el ANEXO Nº1. Las características y especificaciones del servicio requerido se describen en las bases técnicas de la presente licitación. Las condiciones administrativas que regirán la prestación de servicios quedarán definidas en las presentes bases administrativas.</t>
  </si>
  <si>
    <t>608-202-LQ22</t>
  </si>
  <si>
    <t>KCD_MANTENIMIENTO DE CENTRALES DE GASES Y SISTEMAS MEDICINALES</t>
  </si>
  <si>
    <t>MANTENIMIENTO DE CENTRALES DE GASES Y SISTEMAS MEDICINALES</t>
  </si>
  <si>
    <t>2026-154-LE22</t>
  </si>
  <si>
    <t>SERVICIO DE RECARGA DE OXIGENO MEDICINAL SAMU</t>
  </si>
  <si>
    <t>Servicio de recarga de oxigeno medicinal para las bases SAMU del Servicio de salud Viña del Mar Quillota para 24 meses.</t>
  </si>
  <si>
    <t>MANUEL MARIN</t>
  </si>
  <si>
    <t>956-130-LQ22</t>
  </si>
  <si>
    <t>Adquisición de Ventiladores Mecánicos no Invasivos del Programa de Ventilación Domiciliaria</t>
  </si>
  <si>
    <t>La necesidad de realizar un proceso de licitación para la Adquisición de Ventiladores Mecánicos no Invasivos del Programa de Ventilación Domiciliaria, requeridos por la Subdirección de Desarrollo Institucional de la Dirección del Servicio de Salud Valparaíso – San Antonio.</t>
  </si>
  <si>
    <t>Manuel López Rojas</t>
  </si>
  <si>
    <t>1057545-83-LQ22</t>
  </si>
  <si>
    <t>Conv. de Sum. de Gases Clínicos Hospital La Unión</t>
  </si>
  <si>
    <t>El SSV necesita adquirir a través de un convenio de suministro la provisión de gases clínicos para el Hospital de La Unión, Según Artículo cuarto de las Bases Administrativas.</t>
  </si>
  <si>
    <t>2189-46-LQ22</t>
  </si>
  <si>
    <t>REPOSICIÓN VENTILADORES MECANICOS NO INVASIVOS DOMICILIARIOS</t>
  </si>
  <si>
    <t>REPOSICIÓN VENTILADORES MECANICOS NO INVASIVOS (DOMICILIARIOS)</t>
  </si>
  <si>
    <t>Unidad de Tesorería</t>
  </si>
  <si>
    <t>1057890-8-LR22</t>
  </si>
  <si>
    <t>ADQ. EQ VENTILADORES NO INVASIVOS AVNI - AVNIA</t>
  </si>
  <si>
    <t>El Servicio de Salud Metropolitano Sur Oriente requiere adquirir EQUIPOS DE VENTILADORES MECANICOS NO INVASIVOS PARA EL PROGRAMA AVNIAVNIA</t>
  </si>
  <si>
    <t>SERVICIO DE SALUD METROPOLITANO SUR ORIENTE</t>
  </si>
  <si>
    <t>61.608.500-K</t>
  </si>
  <si>
    <t>Jonathan Levican</t>
  </si>
  <si>
    <t>jlevican@ssmso.cl</t>
  </si>
  <si>
    <t>1057486-27-LQ22</t>
  </si>
  <si>
    <t>Adquisición Ventiladores Mecánicos no invasivos</t>
  </si>
  <si>
    <t>Se requiere adquirir una serie de ventiladores mecánicos no invasivos para la atención domiciliara.</t>
  </si>
  <si>
    <t>SERVICIO SALUD METROPOLITANO ORIENTE</t>
  </si>
  <si>
    <t>61.608.400-3</t>
  </si>
  <si>
    <t>Ricardo Gonzalez</t>
  </si>
  <si>
    <t>ricardo.gonzalez@saludoriente.cl</t>
  </si>
  <si>
    <t>2258-239-LE22</t>
  </si>
  <si>
    <t>COMPRA DE REGULADORES DE OXIGENO PARA EL HOSPITAL</t>
  </si>
  <si>
    <t>El objetivo primordial es contar con los insumos apropiados para cilindros de transporte del Hospital Regional de Antofagasta</t>
  </si>
  <si>
    <t>1063538-226-LE22</t>
  </si>
  <si>
    <t>PROV. E INST. RED OXIGENO Y RED DE AIRE</t>
  </si>
  <si>
    <t>El Hospital Base San José de Osorno, en adelante también el “Hospital”, requiere la provisión e instalación de red de oxígeno servicio urgencia pediátrica y red de aire dental servicio DAN del Hospital, de acuerdo a las condiciones establecidas en las presentes bases administrativas, económicas, técnicas y sus anexos. La forma de la presente licitación pública corresponde a aquellas adquisiciones entre 100 y 1000 UTM.</t>
  </si>
  <si>
    <t>407-68-LP22</t>
  </si>
  <si>
    <t>SERVICIO DE MANTENIMIENTO PREVENTIVO Y CORRECTIVO DE CENTRAL DE AIRE CENTRAL DE VACÍO Y TOMAS DE GASES MEDICINALES TPC</t>
  </si>
  <si>
    <t>EL HGGB necesita contar con el servicio de mantenimiento preventivo y correctivo de bombas de vacío-compresores de aire – tomas de gases medicinales de la torre del paciente crítico. Por un periodo de 24 meses. Solicitado por Profesional Departamento Desarrollo Industrial, en requerimiento S-COM 28027 de fecha 06.09.2022</t>
  </si>
  <si>
    <t>LRODRIGUEZN@SSCONCEPCION.CL</t>
  </si>
  <si>
    <t>2598-33-LE22</t>
  </si>
  <si>
    <t>SUMINISTRO DE OXIGENO MEDICINAL Y OTROS</t>
  </si>
  <si>
    <t>El Departamento de Salud Municipal Concón, en consideración a la necesidad del Servicio de Atención Primaria de Urgencia de Alta Resolución (SAR), requiere de la contratación del servicio de aprovisionamiento de oxígeno y aire comprimido medicinal, arriendo de cilindros, arriendo de equipo de oxigenoterapia y suministro de repuestos y accesorios, además de eventuales reparaciones, que permitan satisfacer la demanda de aquellos pacientes que requieren de este servicio.</t>
  </si>
  <si>
    <t>1057804-12-LP22</t>
  </si>
  <si>
    <t>Adquisición Ventiladores Mecánicos No Invasivos pa</t>
  </si>
  <si>
    <t>Adquisición Ventiladores Mecánicos no Invasivos para Programa de Atención Domiciliaria del Servicio de Salud Biobío</t>
  </si>
  <si>
    <t>SERVICIO DE SALUD BIO BIO</t>
  </si>
  <si>
    <t>61.607.300-1</t>
  </si>
  <si>
    <t>Teresa Espinoza</t>
  </si>
  <si>
    <t>teresa.espinoza@ssbiobio.cl</t>
  </si>
  <si>
    <t>3651-44-L122</t>
  </si>
  <si>
    <t>SUMINISTRO OXIGENO Y AIRE COMPRIMIDO 2022-2023</t>
  </si>
  <si>
    <t>PRESUPUESTO MUNICIPAL</t>
  </si>
  <si>
    <t>Yocelyn Cerda Garrido</t>
  </si>
  <si>
    <t>yocelyn.cerga@gmail.com</t>
  </si>
  <si>
    <t>Elizabeth Contreras Contreras</t>
  </si>
  <si>
    <t>elyfinanzas@gmail.com</t>
  </si>
  <si>
    <t>3246-97-LE22</t>
  </si>
  <si>
    <t>GA 34 GM ADQ. DE OXIG. PLANTA CRIOGENICA BACM FACH</t>
  </si>
  <si>
    <t>GA 34 GM ADQUISICIÓN DE OXIGENO LIQUIDO PLANTA CRIOGENICA DE LA BASE AÉREA CERRO MORENO FACH ANTOFAGASTA.</t>
  </si>
  <si>
    <t>BASE AÉREA CERRO MORENO FACH ANTOFAGASTA.</t>
  </si>
  <si>
    <t>61.103.019-3</t>
  </si>
  <si>
    <t>Jorge Ledezma</t>
  </si>
  <si>
    <t>jledezma@fach.mil.cl</t>
  </si>
  <si>
    <t>1641-259-LR22</t>
  </si>
  <si>
    <t>CFC SERVICIO DE OXIGENOTERAPIA PARA PACIENTES</t>
  </si>
  <si>
    <t>El objeto de la presente licitación es la contratación de “SERVICIO DE OXIGENO TERAPIA PARA PACIENTES ADULTOS Y PEDIATRICOS DEL SERVICIO DE HOSPITALIZACIÓN DOMICILIARIA”</t>
  </si>
  <si>
    <t>Rodrigo Bravo</t>
  </si>
  <si>
    <t>1057918-4-LQ22</t>
  </si>
  <si>
    <t>ADQUISICIÓN VENTILADORES MECÁNICOS</t>
  </si>
  <si>
    <t>SE REQUIERE ADQUIRIR (55) VENTILADORES PARA LA RED. SE ADJUNTAN ANTECEDENTES TÉCNICOS Y ADMINISTRATIVOS.</t>
  </si>
  <si>
    <t>SERVICIO DE SALUD OHIGGINS</t>
  </si>
  <si>
    <t>proveedores@saludohiggins.cl</t>
  </si>
  <si>
    <t>1057495-25-LP22</t>
  </si>
  <si>
    <t>ARRIENDO ESTACIÓN CRIOGENICA Y OXIGENO MEDICINAL</t>
  </si>
  <si>
    <t>El Hospital Dr. Lucio Córdova llama a licitación pública Contratación de ARRIENDO de Estación Criogénica y suministro de oxígeno medicinal, siendo el objetivo principal de poder contar con los respaldos técnicos correspondiente para darle continuidad al suministro de oxígeno medicinal al establecimiento, siendo la medida de contingencia para un sobre consumo en las áreas clínicas, insumo vital para enfrentar la pandemia SARS-CoV-2.</t>
  </si>
  <si>
    <t>HOSPITAL LUCIO CORDOVA</t>
  </si>
  <si>
    <t>61.608.104-7</t>
  </si>
  <si>
    <t>Elena Olguin</t>
  </si>
  <si>
    <t>elena.olguin@redsalud.gov.cl</t>
  </si>
  <si>
    <t>1057780-45-LE22</t>
  </si>
  <si>
    <t>Compra ventilador no invasivo DSSAN</t>
  </si>
  <si>
    <t>La presente licitación tiene como objetivo la adquisición de un ventilador no invasivo para el establecimiento DSSAN, detallado en las especificaciones técnicas (Formulario Nº 6 “Oferta Técnica” y Formulario N° 7 Oferta Económica”) y en las presentes bases. Sólo se aceptarán ofertas por equipos nuevos.</t>
  </si>
  <si>
    <t>Jaime Jiménez Ortiz</t>
  </si>
  <si>
    <t>4375-261-LE22</t>
  </si>
  <si>
    <t>ACCESORIOS CLINICOS</t>
  </si>
  <si>
    <t>El HGGB necesita contar con la adquisición de flujometros y humidificador para la unidad de emergencia adulto.</t>
  </si>
  <si>
    <t>1057510-45-LP22</t>
  </si>
  <si>
    <t>CONVENIO DE MANTENCIÓN SUMINISTRO REPARACIÓN E INSTALACIÓN DE REDES DE GASES CLINICOS Y SISTEMAS RELACIONADOS HOSPITAL DE SAN CARLOS DR. BENICIO ARZOLA MEDINA</t>
  </si>
  <si>
    <t>El Hospital de San Carlos Dr. Benicio Arzola Medina requiere suscribir convenio de mantenimiento, suministro, reparación e instalación de redes de gases clínicos y sistemas relacionados, de acuerdo a las presentes bases administrativas y técnicas.</t>
  </si>
  <si>
    <t>HOSPITAL DE SAN CARLOS DR BENICIO ARZOLA MEDINA</t>
  </si>
  <si>
    <t>61.607.002-9</t>
  </si>
  <si>
    <t>CRISTIAN SILVA RIVERA</t>
  </si>
  <si>
    <t>cristianma.silva@redsalud.gov.cl</t>
  </si>
  <si>
    <t>4013-31-LE22</t>
  </si>
  <si>
    <t>Compra de servicio de entrega y recarga de oxígeno medicinal</t>
  </si>
  <si>
    <t>Contrato de suministro de entrega y Recarga de Oxígeno Medicinal”, con la finalidad de otorgar a los usuarios de los Centros de Salud de la Comuna una atención oportuna y de calidad, cuyas características y especificaciones técnicas constan en estas Bases.</t>
  </si>
  <si>
    <t>I MUNICIPALIDAD DE PUCHUNCAVI</t>
  </si>
  <si>
    <t>69.060.800-6</t>
  </si>
  <si>
    <t>Bárbara Bernal Arancibia</t>
  </si>
  <si>
    <t>bbernal@munipuchuncavi.cl</t>
  </si>
  <si>
    <t>5053-117-LP22</t>
  </si>
  <si>
    <t>El objetivo de la presente licitación es la compra de Suministro de Oxígeno Medicinal y otros gases clínicos para el Hospital Regional de Talca, con el fin de asegurar el abastecimiento en calidad y oportunidad, para satisfacer la demanda de los usuarios.</t>
  </si>
  <si>
    <t>dipresrecepcion@custodio.cl</t>
  </si>
  <si>
    <t>2921-11-L122</t>
  </si>
  <si>
    <t>Adquisicion de oxigeno y arriendo de cilindros</t>
  </si>
  <si>
    <t>Adquirir suministro de oxigeno medico para el CGR de la comuna.</t>
  </si>
  <si>
    <t>I MUNICIPALIDAD DE JUAN FERNANDEZ</t>
  </si>
  <si>
    <t>69.252.300-8</t>
  </si>
  <si>
    <t>Pamela Olivares</t>
  </si>
  <si>
    <t>dsm@comunajuanfernandez.cl</t>
  </si>
  <si>
    <t>2311-137-L122</t>
  </si>
  <si>
    <t>CONVENIO DE SUMINISTRO OXIGENO MEDICO PARA CESFAM LONTUE Y MOLINA</t>
  </si>
  <si>
    <t>IMunicipalidad de Molina</t>
  </si>
  <si>
    <t>3213-5-LE22</t>
  </si>
  <si>
    <t>Contrato de Suministro Oxigeno Medicinal</t>
  </si>
  <si>
    <t>LLama a Licitación Pública para el Contrato de Suministro por el servicio de abastecimiento de Oxigeno de Uso Medicinal para los establecimientos y ambulancias del Departamento de Salud Municipal y para el Complejo Educacional del Departamento de Administración de Educación Municipal por el periodo de 24 meses.</t>
  </si>
  <si>
    <t>I MUNICIPALIDAD DE COLLIPULLI</t>
  </si>
  <si>
    <t>69.180.500-k</t>
  </si>
  <si>
    <t>Cristian Fuentes Hernández</t>
  </si>
  <si>
    <t>dsmfinanzas@municollipulli.cl</t>
  </si>
  <si>
    <t>1057544-318-LQ22</t>
  </si>
  <si>
    <t>CONTRATACIÓN DE SUMINISTRO DE OXÍGENO CRIOGÉNICO PARA EL HOSPITAL LAS HIGUERAS TALCAHUANO</t>
  </si>
  <si>
    <t>Las presentes especificaciones técnicas, tienen por objetivo la contratación de suministro de oxígeno criogénico líquido en el Hospital, incluyendo el suministro de oxígeno gaseoso en cilindros para uso exclusivo de respaldo para la red, el transporte, el mantenimiento, monitoreo continuo y remoto de los estanques, del consumo y el abastecimiento oportuno sin quiebre de stock para el uso medicinal del oxígeno, de acuerdo a las especificaciones técnicas adjuntas.</t>
  </si>
  <si>
    <t>3630-19-L122</t>
  </si>
  <si>
    <t>SUMINISTRO OXIGENO MEDICINAL</t>
  </si>
  <si>
    <t>El departamento de salud de la municipalidad de Máfil requiere adquirir suministro de oxígeno medicinal, para abastecer los centros de atención de salud de la comuna, el oferente deberá asegurar la entrega en la comuna de los servicios indicados en los plazos propuestos.</t>
  </si>
  <si>
    <t>I MUNICIPALIDAD DE MAFIL</t>
  </si>
  <si>
    <t>69.200.500-7</t>
  </si>
  <si>
    <t>PATRICIO SUBIABRE</t>
  </si>
  <si>
    <t>csubiabre@saludmafil.cl</t>
  </si>
  <si>
    <t>1057417-222-LQ22</t>
  </si>
  <si>
    <t>CONVENIO SUMINISTRO DE OXIGENO LIQUIDO MEDICINAL PARA EL COMPLEJO ASISTENCIALmss</t>
  </si>
  <si>
    <t>CONVENIO SUMINISTRO DE OXIGENO LIQUIDO MEDICINAL PARA EL COMPLEJO ASISTENCIAL</t>
  </si>
  <si>
    <t>1057417-245-LP22</t>
  </si>
  <si>
    <t>CONVENIO DE ADQUISICIÓN DE ACCESORIOS MÉDICOS DE OXIGENOTERAPIA</t>
  </si>
  <si>
    <t>Con la finalidad de poder realizar recambio en equipos e instalaciones de apoyo, para mantener la continuidad de servicio. Los accesorios médicos en óptimas condiciones son fundamental para una atención segura y de calidad para el paciente.</t>
  </si>
  <si>
    <t>RODOLFO GONZALES ARANEDA</t>
  </si>
  <si>
    <t>rodolfo.gonzales@ssbiobio.cl</t>
  </si>
  <si>
    <t>5053-83-LE22</t>
  </si>
  <si>
    <t>MANTENCION PREVENTIVA TOMAS DE GASES CLINICOS</t>
  </si>
  <si>
    <t>El objetivo de la presente licitación, es la adquisición del servicio de Mantención Preventiva de puestos de tomas gases medicinales del Hospital Regional de Talca, con el fin de asegurar el abastecimiento en calidad y oportunidad, para satisfacer la demanda de los usuarios.</t>
  </si>
  <si>
    <t>1057539-142-LP22</t>
  </si>
  <si>
    <t>ARRIENDO VENTILADORES MECANICOS SOLIC 09</t>
  </si>
  <si>
    <t>Arriendo de 2 Ventiladores Mecánicos invasivo / no invasivo para servicio de UPC Pediátrica del Hospital Puerto Montt, Solicitud N° 09.</t>
  </si>
  <si>
    <t>Anelia soto</t>
  </si>
  <si>
    <t>1499-143-LQ22</t>
  </si>
  <si>
    <t>Gases medicinales de distintos tipos y formatos</t>
  </si>
  <si>
    <t>1057935-5-LE22</t>
  </si>
  <si>
    <t>Adquisición de 07 ventiladores mecánicos no invasivos para programa ventilados</t>
  </si>
  <si>
    <t>De acuerdo a lo estipulado en la Resolución Exenta N° 3549 de fecha 12.10.2022</t>
  </si>
  <si>
    <t>5221-44-LE22</t>
  </si>
  <si>
    <t>REPOSICION VENTILADORES RED ASISTENCIAL MAGALLANES</t>
  </si>
  <si>
    <t>REPOSICIÓN DE VENTILADORES MECANICOS NO INVASIVOS, PROGRAMAS VENTILATORIOS DE LA RED ASISTENCIAL MAGALLANES LUGAR DE ENTREGA DE BS: Servicio de Salud Magallanes, Lautaro Navarro 829, Punta Arenas. PLAZO DE ENTREGA 30/11/2022</t>
  </si>
  <si>
    <t>1057864-3-LR22</t>
  </si>
  <si>
    <t>REPOSICIÓN DE 100 VENTILADORES DE USO DOMICILIARIO</t>
  </si>
  <si>
    <t>Reposicionar los ventiladores domiciliarios utilizados por el Servicio dentro de la Red de Atención Domiciliaria</t>
  </si>
  <si>
    <t>SERVICIO DE SALUD METROPOLITANO NORTE</t>
  </si>
  <si>
    <t>61.608.000-8</t>
  </si>
  <si>
    <t>Manuel González</t>
  </si>
  <si>
    <t>consultaprov.ssmn@redsalud.gov.cl</t>
  </si>
  <si>
    <t>705290-36-LE22</t>
  </si>
  <si>
    <t>SUMINISTRO DE OXIGENO DOMICILIARIO</t>
  </si>
  <si>
    <t>Las presentes Bases constituyen el instrumento guía destinado a la CONTRATACIÓN DE SUMINISTRO DE OXIGENO DOMICILIARIO PARA LA UNIDAD DE HOSPITALIZACION DOMICILIARIA DEL HOSPITAL DR. FELIX BULNES CERDA, en adelante Hospital, éstas, establecen los fines, condiciones y requisitos que deberán ser cumplidos por los oferentes, en todas y cada una de las partes que conformen su oferta, además de regular el todo el proceso licitatorio hasta la suscripción del correspondiente contrato.</t>
  </si>
  <si>
    <t>SERVICIO SALUD OCCIDENTE HOSPITAL DR FELIX BULNES CERDA</t>
  </si>
  <si>
    <t>61.608.205-1</t>
  </si>
  <si>
    <t>RODRIGO QUIDEL</t>
  </si>
  <si>
    <t>rodrigo.quidel@redsalud.gov.cl</t>
  </si>
  <si>
    <t>1499-152-LQ22</t>
  </si>
  <si>
    <t>Máscaras con Cpap y equipo en comodato</t>
  </si>
  <si>
    <t>El Instituto Nacional del Tórax necesita contar para su gestión Máscaras de diferentes medidas y diseños con Cpap y equipos comodato para la Unidad de medicina del Sueño en forma permanente, con el objeto de poder cumplir y satisfacer debidamente la demanda asistencial que legalmente le ha sido encomendada.</t>
  </si>
  <si>
    <t>Rocío Madrid A.</t>
  </si>
  <si>
    <t>rmadrid@torax.cl</t>
  </si>
  <si>
    <t>3710-286-L122</t>
  </si>
  <si>
    <t>REGULADORES DE OXIGENO PARA CURACIONES CESFAM VICTORIA</t>
  </si>
  <si>
    <t>REGULADORES DE OXIGENO PARA CURACIONES CESFAM VICTORIA SM-6849</t>
  </si>
  <si>
    <t>Sofia Rutsche Cerva</t>
  </si>
  <si>
    <t>finanzascefamvictoria@gmail.com</t>
  </si>
  <si>
    <t>2921-13-L122</t>
  </si>
  <si>
    <t>Abastecimiento Oxigeno Medico</t>
  </si>
  <si>
    <t>Adquisición Abastecimiento Oxigeno Medico</t>
  </si>
  <si>
    <t>744835-200-L122</t>
  </si>
  <si>
    <t>CARGAS DE CILINDRO DE OXIGENO</t>
  </si>
  <si>
    <t>LA I. MUNICIPALIDAD DE LO ESPEJO, REQUIERE CARGAS DE CILINDROS DE OXIGENO PARA DISTRIBUIR EN DIFERENTES CESFAM DE LA COMUNA.</t>
  </si>
  <si>
    <t>RICARDO MORALES CHOUPAY</t>
  </si>
  <si>
    <t>2102-76-LE22</t>
  </si>
  <si>
    <t>CONVENIO SUMINISTRO DE OXIGENO GASEOSO MEDICINAL</t>
  </si>
  <si>
    <t>SOLICITUD DE COMPRA 195 DPTO. OPERACIONES.</t>
  </si>
  <si>
    <t>CARLOS MONSALVEZ RAMIREZ</t>
  </si>
  <si>
    <t>jefeoperacion@hospitalsantaisabel.cl</t>
  </si>
  <si>
    <t>CLAUDIA AVELLO CARRASCO</t>
  </si>
  <si>
    <t>jefeabastecimiento@hospitalsantaisabel.cl</t>
  </si>
  <si>
    <t>1627-115-LQ22</t>
  </si>
  <si>
    <t>SUM OXÍGENO MEDICINAL Y ARRIENDO DE CILINDROS</t>
  </si>
  <si>
    <t>LLAMA A LICITACIÓN PÚBLICA Y APRUEBA BASES TÉCNICAS Y ADMINISTRATIVAS PARA EL SUMINISTRO DE OXÍGENO MEDICINAL Y ARRIENDO DE CILINDROS PARA EL HOSPITAL DE SAN FERNANDO.</t>
  </si>
  <si>
    <t>NIcolás Valdebenito</t>
  </si>
  <si>
    <t>4968-65-LP22</t>
  </si>
  <si>
    <t>Qué, el Hospital de Quilpué requiere contratar los servicios de “OXIGENOTERAPIA DOMICILIARIA”, de manera de satisfacer adecuada y oportunamente la demanda asistencial a la población asignada, que legalmente le ha sido encomendada, de conformidad a correo electrónico de 30 de agosto de Jefe de Unidad de Abastecimiento y Solicitud de compra Nº 144 de Unidad Laboratorio CAE de 2022.</t>
  </si>
  <si>
    <t>HECTOR BASTIAS</t>
  </si>
  <si>
    <t>HECTOR.BASTIAS@REDSALUD.GOV.CL</t>
  </si>
  <si>
    <t>2703-265-L122</t>
  </si>
  <si>
    <t>SC 9128 Servicio de reparación y normalización de manifold de oxigeno</t>
  </si>
  <si>
    <t>Servicio de reparación y normalización de manifold de oxigeno</t>
  </si>
  <si>
    <t>Sindy Ahumada</t>
  </si>
  <si>
    <t>sahumada@talasalud.cl</t>
  </si>
  <si>
    <t>1398-137-L122</t>
  </si>
  <si>
    <t>Oxímetro de Pulso para Adulto</t>
  </si>
  <si>
    <t>1395-95-LP22</t>
  </si>
  <si>
    <t>Reposición Ventiladores Mecánicos No Invasivos Del Programa De Ventilación Domiciliaria Región de Coquimbo</t>
  </si>
  <si>
    <t>Reposición Ventiladores Mecánicos No Invasivos Del Programa De Ventilación Domiciliaria, Región de Coquimbo</t>
  </si>
  <si>
    <t>Tesorería General de la Republica</t>
  </si>
  <si>
    <t>5061-163-L122</t>
  </si>
  <si>
    <t>S377 Servicio de suministro oxigeno medico, aire medicinal y arriendo de cilindros, para establecimientos de salud municipal.</t>
  </si>
  <si>
    <t>1057501-462-LR22</t>
  </si>
  <si>
    <t>CONTRATACIÓN DE “SUMINISTRO DE TERAPIA DE ÓXIDO NÍTRICO POR INHALACIÓN”</t>
  </si>
  <si>
    <t>El Complejo Asistencial Dr. Sótero del Río, en adelante El Complejo Asistencial, domiciliado en Avda. Melchor Concha y Toro Nº 3459, Comuna de Puente Alto, necesita contratar los servicios de suministros de terapia de oxido nítrico por inhalación, para pacientes beneficiarios del Hospital.</t>
  </si>
  <si>
    <t>1057539-170-LP22</t>
  </si>
  <si>
    <t>Convenio Suministro CPAP y Mascarillas HPM</t>
  </si>
  <si>
    <t>Contar con el debido y necesario abastecimiento de Cpap y Mascarillas para la correcta ejecución del tratamiento de apnea del sueño en la Unidad del sueño y Neurofisiología, y que la licitación 1057539-94-LR22 quedo desierta, se convoca a la presente licitación pública.</t>
  </si>
  <si>
    <t>HOSPITAL PUERTO MONTT SERVICIO DE SALUD DEL RELONCAVI</t>
  </si>
  <si>
    <t>1057532-102-LQ22</t>
  </si>
  <si>
    <t>Convenio de Oxigeno Medicinal</t>
  </si>
  <si>
    <t>CONVENIO DE SUMINISTRO DE OXIGENO PARA LA RED DE HOSPITALES DE BAJA Y MEDIANA COMPLEJIDAD, ASÍ COMO SAMU DEPENDIENTES DEL SERVICIO DE SALUD OSORNO de acuerdo a las condiciones establecidas en las presentes bases administrativas, técnicas y anexos, autoridad competente del Servicio de Salud, y de acuerdo a lo solicitado en los Formularios B.03 Nº 31 del Departamento de Articulación de la Red.</t>
  </si>
  <si>
    <t>SERVICIO DE SALUD OSORNO</t>
  </si>
  <si>
    <t>61.607.600-0</t>
  </si>
  <si>
    <t>Mario Aburto Foitzich</t>
  </si>
  <si>
    <t>mario.aburto@redsalud.gov.cl</t>
  </si>
  <si>
    <t>Rodrigo Martinez</t>
  </si>
  <si>
    <t>rodrigo.martineza@redsalud.gob.cl</t>
  </si>
  <si>
    <t>407-80-LE22</t>
  </si>
  <si>
    <t>SERVICIO DE MANTENIMIENTO PREVENTIVO Y CORRECTIVO DE COLUMNAS DE GASES</t>
  </si>
  <si>
    <t>El HGGB necesita contar con el servicio de mantenimiento preventivo y correctivo de columna de gases del pabellón CMA. Solicitado por Profesional Departamento Equipos Médicos, en requerimiento S-COM 26870</t>
  </si>
  <si>
    <t>2189-59-LQ22</t>
  </si>
  <si>
    <t>REP VENTILADORES MECANICOS NO INVASIVOS DOMICILIARIOS 2do LLAMADO</t>
  </si>
  <si>
    <t>769-95-LE22</t>
  </si>
  <si>
    <t>VENTILADORES RED ASISTENCIAL SSA PP 106-2022</t>
  </si>
  <si>
    <t>La presente propuesta tiene por objetivo la adquisición de 12 Ventiladores Mecánicos No Invasivos para la Red Asistencial Región de Antofagasta.</t>
  </si>
  <si>
    <t>61.606.200-K</t>
  </si>
  <si>
    <t>JUANA OPAZO</t>
  </si>
  <si>
    <t>355-19-LQ22</t>
  </si>
  <si>
    <t>MANTENCIÓN REDES DE GASES CLÍNICOS Y VACÍO</t>
  </si>
  <si>
    <t>El Hospital Hanga Roa de Isla de Pascua llama a Licitación Pública para contratar un convenio de reparación y mantención de los sistemas de generación y redes de gases clínicos y vacío, por un periodo de 24 meses.</t>
  </si>
  <si>
    <t>Servicio de Salud Metropolitano Oriente</t>
  </si>
  <si>
    <t>61.979.270-k</t>
  </si>
  <si>
    <t>Antonio Espinoza C.</t>
  </si>
  <si>
    <t>antonio.espinoza@hospitalhangaroa.cl</t>
  </si>
  <si>
    <t>1057547-417-LE22</t>
  </si>
  <si>
    <t>MEJORAMIENTO RED DE GASES CLINICOS SALA 513 GINE</t>
  </si>
  <si>
    <t>MEJORAMIENTO RED DE GASES CLINICOS SALA 513 DE GINECOLOGIA DEL HOSPITAL BASE VALDIVIA</t>
  </si>
  <si>
    <t>652-59-LE22</t>
  </si>
  <si>
    <t>ADQ. VENTILADORES MECANICOS NO INVASIVOS</t>
  </si>
  <si>
    <t>El servicio de Salud requiere la compra de 08 ventiladores mecánicos no invasivos según bases de licitación adjuntas.</t>
  </si>
  <si>
    <t>SERVICIO DE SALUD ARAUCO</t>
  </si>
  <si>
    <t>61.954.500-1</t>
  </si>
  <si>
    <t>Paola Ávila Licancura</t>
  </si>
  <si>
    <t>paola.avila@ssarauco.cl</t>
  </si>
  <si>
    <t>1057489-471-LE22</t>
  </si>
  <si>
    <t>Convenio de Suministro de Mascarillas para Ventilación Mecánica por 24 meses en el Hospital del Salvador</t>
  </si>
  <si>
    <t>Que, el Hospital del Salvador necesita contar con un Convenio de Suministro de Mascarillas para Ventilación Mecánica por 24 meses en el Hospital del Salvador con la finalidad de satisfacer de manera adecuada y eficiente la labor asistencial; Que, por la cuantía determinada, la presente licitación se ubica en el tramo para aquellas contrataciones iguales o superiores a 100 UTM e inferiores a 1.000 UTM, en conformidad al Artículo 19º bis del Reglamento de la Ley Nº19.886;</t>
  </si>
  <si>
    <t>1641-285-LR22</t>
  </si>
  <si>
    <t>SERV. SUM. GASES EN CILINDROS Y EQ. SECUNDARIOS</t>
  </si>
  <si>
    <t>La presente licitación para la adquisición de “SERVICIO DE SUMINISTRO DE GASES MEDICINALES EN CILINDROS Y EQUIPOS SECUNDARIOS” según lo indicado en las Bases de Licitación.</t>
  </si>
  <si>
    <t>SERVICIO DE SALUD OCCIDENTE HOSPITAL SAN JUAN DE DIOS</t>
  </si>
  <si>
    <t>Juan Carlos Piñeiro</t>
  </si>
  <si>
    <t>juancarlos.pineiro@redsalud.gov.cl</t>
  </si>
  <si>
    <t>1175-232-LP22</t>
  </si>
  <si>
    <t>LIC 221.22 Adq. ventiladores mecánicos no invasivo</t>
  </si>
  <si>
    <t>Se requiere la ADQUISICIÓN DE VENTILADORES MECÁNICOS NO INVASIVOS”., nuevos y sin uso. Las características técnicas, se detallan en el ANEXO Nº 4 de las presentes Bases. Debe cumplir con todas las características marcadas como obligatorias para que la oferta sea admisible.</t>
  </si>
  <si>
    <t>SERVICIO DE SALUD ARAUCANIA SUR</t>
  </si>
  <si>
    <t>61.607.400-8</t>
  </si>
  <si>
    <t>MARIELA ÑANCULEF</t>
  </si>
  <si>
    <t>mariela.nanculef@redsalud.gov.cl</t>
  </si>
  <si>
    <t>3881-44-LE22</t>
  </si>
  <si>
    <t>AYUDAS TECNICAS QUE REQUIERE LA I.MUNICIPALIDAD DE</t>
  </si>
  <si>
    <t>ADQUISICION DE AYUDAS TÉCNICAS QUE REQUIERE LA I.MUNICIPALIDAD DE PINTO</t>
  </si>
  <si>
    <t>I MUNICIPALIDAD DE PINTO</t>
  </si>
  <si>
    <t>69.141.000-5</t>
  </si>
  <si>
    <t>MARGARITA TOBAR AQUEVEQUE</t>
  </si>
  <si>
    <t>dafpinto@munipinto.cl</t>
  </si>
  <si>
    <t>1080093-14-L122</t>
  </si>
  <si>
    <t>PRODUCTOS MÉDICOS PARA ATENCIÓN DOMICILIARIA APS 2022</t>
  </si>
  <si>
    <t>1057418-34-LE22</t>
  </si>
  <si>
    <t>ADQUISICIÓN DE INSUMOS CLINICOS PARA DIVERSOS SERVICIOS DEL HFC MULCHÉN</t>
  </si>
  <si>
    <t>el Hospital cuenta según requerimiento imperioso de realizar Adquisición de Insumos Clínicos para diversos servicios del HFC Mulchén, según solicitudes de adquisición HFCM 17172 y 16527, emitida por Carolina Andias Químico Farmacéutico, HFCM 16429 emitida por Kendy Reyes Tapia Jefe CCR, HFCM 17074 emitida por Sara Ulloa Carrasco Matrona Jefe, HFCM 17145 emitida por Flor Contreras Placencia Enfermera Coordinadora del Hospital Mulchén, y HFCM 16378 Elizabeth Rozas Ramirez Enfermera Coordinadora CECOSF Villa la Granja.</t>
  </si>
  <si>
    <t>HOSPITAL DE MULCHEN</t>
  </si>
  <si>
    <t>Readjudicada</t>
  </si>
  <si>
    <t>VANESSA MEDINA</t>
  </si>
  <si>
    <t>vanessa.medina@ssbiobio.cl</t>
  </si>
  <si>
    <t>1155-72-LQ22</t>
  </si>
  <si>
    <t>INSUMOS PARA USO EN PACIENTES Y ANESTESIA</t>
  </si>
  <si>
    <t>Que, el Hospital Dr. Eduardo Pereira Ramírez, requiere, Adquisición de Insumos para uso en pacientes y anestesia Respiratorios, solicitados por el centro de Costo Unidad de Tratamiento Intensivo, para la realización de procedimientos en nuestro establecimiento.</t>
  </si>
  <si>
    <t>HOSPITAL DR. EDUARDO PEREIRA RAMIREZ</t>
  </si>
  <si>
    <t>61.602.057-9</t>
  </si>
  <si>
    <t>Elizabeth Altamirano Tobar</t>
  </si>
  <si>
    <t>hep.jefeconta@redsalud.gov.cl</t>
  </si>
  <si>
    <t>1057501-465-LQ22</t>
  </si>
  <si>
    <t>CONVENIO RESPIRATORIO</t>
  </si>
  <si>
    <t>POR CONTAR CON LOS INSUMOS NECESARIOS PARA LA ATENCIÓN DE PACIENTES</t>
  </si>
  <si>
    <t>ramón varas</t>
  </si>
  <si>
    <t>2381-82-LE22</t>
  </si>
  <si>
    <t>ADQUISICIÓN DE ACCESORIOS INSUMOS Y MEDICAMENTOS S</t>
  </si>
  <si>
    <t>ADQUISICIÓN DE ACCESORIOS INSUMOS Y MEDICAMENTOS SAPU, SAR Y CARROS DE PARO NOVIEMBRE-DICIEMBRE 2022</t>
  </si>
  <si>
    <t>I MUNICIPALIDAD DE COPIAPO</t>
  </si>
  <si>
    <t>69.030.200-4</t>
  </si>
  <si>
    <t>Jorge Rojas</t>
  </si>
  <si>
    <t>jorge.rojas@dasmcopiapo.cl</t>
  </si>
  <si>
    <t>1080093-17-LE22</t>
  </si>
  <si>
    <t>INSUMOS ATENCIÓN DE PACIENTES EN LAS SALAS IRA</t>
  </si>
  <si>
    <t>INSUMOS OPERACIONALES PARA DESARROLLO DE LA ATENCIÓN DE PACIENTES EN LAS SALAS IRA</t>
  </si>
  <si>
    <t>1057536-182-LE22</t>
  </si>
  <si>
    <t>COMPRA DE EQUIPO VENTILADOR MECANICO NO INVASIVO</t>
  </si>
  <si>
    <t>SE SOLICITA LA ADQUICISION DE 10 VENTILADORES MECANICOS NO INVASIVOS PARA PROGRAMA DE ATENCION DOMICILIARIA, POR ACCIONES DE LOS EQUIPOS CLINICOS DE LA RED DEL SERVICIO DE SALUD DEL RELONCAVI EN LA ZONA.</t>
  </si>
  <si>
    <t>PATRICIA MAYORGA</t>
  </si>
  <si>
    <t>PMAYORGA@SSDR.GOB.CL</t>
  </si>
  <si>
    <t>3824-39-LE22</t>
  </si>
  <si>
    <t>Servicio de Suministro de Oxigeno Medicinal</t>
  </si>
  <si>
    <t>El objetivo es disponer del suministro equipos, oxígeno y recargas de oxígeno en las dependencias del CESFAM Juan Pablo II, SAPU y entrega en domicilio a la red de pacientes oxígeno dependientes de la comuna de Padre Hurtado, facilitando el acceso de los usuarios que requieran de los tratamientos que utilizan este elemento, indicado por personal médico autorizado para dichos fines, por 24 meses.</t>
  </si>
  <si>
    <t>I MUNICIPALIDAD DE PADRE HURTADO</t>
  </si>
  <si>
    <t>69.261.400-3</t>
  </si>
  <si>
    <t>Valeria Valderrama Droguett</t>
  </si>
  <si>
    <t>vvalderrama@mph.cl</t>
  </si>
  <si>
    <t>1057544-358-LP22</t>
  </si>
  <si>
    <t>Contratación de servicios de mantenimiento preventivo y correctivo de ventiladores mecánicos</t>
  </si>
  <si>
    <t>La presente licitación contempla la mantención preventiva y correctiva de diversos equipos médicos del Hospital Las Higueras de Talcahuano, de acuerdo con las especificaciones técnicas adjuntas.</t>
  </si>
  <si>
    <t>1057922-32-L122</t>
  </si>
  <si>
    <t>Adquisición Equipo Ventilación Mecánica no Invasiva</t>
  </si>
  <si>
    <t>898-197-LQ22</t>
  </si>
  <si>
    <t>Convenio de Suministro de Oxigeno y Gases Clinicos</t>
  </si>
  <si>
    <t>Convenio de Suministro de Oxigeno y Gases Clínicos</t>
  </si>
  <si>
    <t>2664-39-LE22</t>
  </si>
  <si>
    <t>OXIGENO Y AIRE MEDICINAL</t>
  </si>
  <si>
    <t>PROVEER DE OXIGENO Y AIRE MEDICINAL A LOS CENTROS DE SALUD Y AMBULANCIAS.</t>
  </si>
  <si>
    <t>I. MUNICIPALIDAD DE TOME</t>
  </si>
  <si>
    <t>69.150.102-7</t>
  </si>
  <si>
    <t>José Fierro Segundo</t>
  </si>
  <si>
    <t>jose.fierro@disamtome.cl</t>
  </si>
  <si>
    <t>CLAUDIA CANALES VERGARA</t>
  </si>
  <si>
    <t>claudia.canales@disamtome.cl</t>
  </si>
  <si>
    <t>1398-153-LE22</t>
  </si>
  <si>
    <t>INSUMOS DE VENTILACIÓN MECÁNICA</t>
  </si>
  <si>
    <t>Con la finalidad de adquirir insumos para ser distribuidos en la Dirección de Servicio de Salud, es que mediante este acto e instrumento se viene en llamar a Licitación Pública a través del portal www.mercadopublico.cl, conforme a procedimiento que regula la Ley Nº 19.886, de Bases Sobre Contratos Administrativos de Suministro y Prestación de Servicios y su Reglamento.</t>
  </si>
  <si>
    <t>Bastián Uribe</t>
  </si>
  <si>
    <t>1057448-133-LE22</t>
  </si>
  <si>
    <t>ADQUISICIÓN DE VENTILADORES MECÁNICOS NO INVASIVOS PARA PACIENTES DEL PROGRAMA DE VENTILACIÓN DOMICILIARIA</t>
  </si>
  <si>
    <t>YESELIN VIOLETA CASTILLO JARA</t>
  </si>
  <si>
    <t>yeselin.castillo@redsalud.gob.cl</t>
  </si>
  <si>
    <t>1057448-135-LR22</t>
  </si>
  <si>
    <t>"CONVENIO SUMINISTRO DE OXÍGENO CRIOGÉNICO CON ESTANQUE EN COMODATO PARA EL HOSPITAL DE ALTO HOSPICIO POR 60 MESES”</t>
  </si>
  <si>
    <t>“CONVENIO SUMINISTRO DE OXÍGENO CRIOGÉNICO CON ESTANQUE EN COMODATO PARA EL HOSPITAL DE ALTO HOSPICIO POR 60 MESES” FR 1062</t>
  </si>
  <si>
    <t>JAIME ABARZUA</t>
  </si>
  <si>
    <t>JAIME.ABARZUA@REDSALUD.GOB.CL</t>
  </si>
  <si>
    <t>5061-198-L122</t>
  </si>
  <si>
    <t>S460 Servicio de suministro oxigeno medico, aire medicinal y arriendo de cilindros, para establecimientos de salud municipal.</t>
  </si>
  <si>
    <t>507428-115-LQ22</t>
  </si>
  <si>
    <t>SUMINIS. OXIGENO LIQUIDO Y GASES CLINICOS QUELLON</t>
  </si>
  <si>
    <t>Que, existe la necesidad de suministrar gases clínicos para apoyo de soporte vital de pacientes Nuevo Hospital de Quellón.</t>
  </si>
  <si>
    <t>SERVICIO DE SALUD CHILOE</t>
  </si>
  <si>
    <t>Matias Carrasco</t>
  </si>
  <si>
    <t>61.979.210-6</t>
  </si>
  <si>
    <t>Marcelo Momberg Suarez</t>
  </si>
  <si>
    <t>marcelo.momberg@redsalud.gov.cl</t>
  </si>
  <si>
    <t>3944-26-L122</t>
  </si>
  <si>
    <t>1057495-36-LP22</t>
  </si>
  <si>
    <t>ARRIENDO ESTACION CRIOGENICA PARA EL HDLC</t>
  </si>
  <si>
    <t>1075963-573-LE22</t>
  </si>
  <si>
    <t>CONVENIO SUMINISTRO DE OXIGENO LIQUIDO POR 3 MESES</t>
  </si>
  <si>
    <t>CONVENIO SUMINISTRO DE OXIGENO LIQUIDO, POR 3 MESES.</t>
  </si>
  <si>
    <t>HOSPITAL DR JUAN NOE CREVANI</t>
  </si>
  <si>
    <t>Renata Baltolu Zenteno</t>
  </si>
  <si>
    <t>2710-161-LE22</t>
  </si>
  <si>
    <t>SE REQUIERE EL SERVICIO DE OXIGENO MEDICINAL PARA LOS CENTROS APS DE LA COMUNA DE OVALLE, DEBE INCLUIR RECARGA, PRUEBAS HIDRAULICAS YO CAMBIOS DE VALVULAS. SEGÚN SOLICITUD N 19-2022 DE UNIDAD DE ADQUISICIONES.</t>
  </si>
  <si>
    <t>Violeta Zumaran Naranjo</t>
  </si>
  <si>
    <t>violetazumaran@departamentodesaludovalle.cl</t>
  </si>
  <si>
    <t>1499-172-LQ22</t>
  </si>
  <si>
    <t>Máscaras de diferentes medidas y diseños con Cpap y equipos comodato para la Unidad de medicina del Sueño</t>
  </si>
  <si>
    <t>Contar con los Insumos de consumo necesarios para la gestión del Instituto Nacional del Tórax para dar un servicio con la efectividad, seguridad y condiciones de calidad que cada paciente requiere.</t>
  </si>
  <si>
    <t>61.608.402-K</t>
  </si>
  <si>
    <t>2207-67-LP22</t>
  </si>
  <si>
    <t>CONVENIO DE SUMINSTRO DE OXIGENO</t>
  </si>
  <si>
    <t>ADQUIRIR CONVENIO DE SUMINISTRO DE OXIGENO</t>
  </si>
  <si>
    <t>HOSPITAL DE PICHILEMU</t>
  </si>
  <si>
    <t>61.602.153-2</t>
  </si>
  <si>
    <t>Teresa Pávez</t>
  </si>
  <si>
    <t>teresa.pavez@saludohiggins.cl</t>
  </si>
  <si>
    <t>1382-38-LE22</t>
  </si>
  <si>
    <t>Adquisición insumos Sala ERA</t>
  </si>
  <si>
    <t>Se requiere la ADQUISICIÓN INSUMOS PROGRAMAS DE SALUD RESPIRATORIOS IRA - ERA PARA EL CONSULTORIO MIRAFLORES, nuevos y sin uso, que cumplan con los requisitos técnicos y características obligatorias establecidas en las presentes bases, para que su oferta sea admisible de evaluación</t>
  </si>
  <si>
    <t>CONSULTORIO MIRAFLORES (TEMUCO)</t>
  </si>
  <si>
    <t>70.744.700-1</t>
  </si>
  <si>
    <t>EDUARDO ROCHA FUENTEALBA</t>
  </si>
  <si>
    <t>eduardo.rocha@redsalud.gov.cl</t>
  </si>
  <si>
    <t>4707-70-L122</t>
  </si>
  <si>
    <t>SUMINISTRO ANUAL DE OXIGENO</t>
  </si>
  <si>
    <t>I. MUNICIPALIDAD DE SAN NICOLAS</t>
  </si>
  <si>
    <t>69.140.802-7</t>
  </si>
  <si>
    <t>NERIS LAGOS RUIZ</t>
  </si>
  <si>
    <t>finanzassaludsannicolas@gmail.com</t>
  </si>
  <si>
    <t>1057496-70-LE22</t>
  </si>
  <si>
    <t>Mantenimiento Preventivo Tomas de Gases Clínicos</t>
  </si>
  <si>
    <t>“MANTENIMIENTO PREVENTIVO Y CORRECTIVO DE COMPRESOR, TOMAS DE GASES CLÍNICOS DIAMOND-AGA, CENTRAL DE AIRE, CENTRAL DE VACÍO, CAJA DE VÁLVULAS Y ALARMAS PARA HOSPITAL SAN LUIS DE BUIN-PAINE”</t>
  </si>
  <si>
    <t>948355-82-LQ22</t>
  </si>
  <si>
    <t>Adquisición de Insumos Médicos por Sistema de Suministro para el Hospital de la Dirección de Previsión de Carabineros de Chile.</t>
  </si>
  <si>
    <t>El Hospital de la Dirección de Previsión de Carabineros de Chile, ubicado en Av. Vital Apoquindo N° 1.200, Comuna de Las Condes, Región Metropolitana, en adelante “EL HOSPITAL”, llama a Licitación Pública para la Adquisición de Insumos Médicos por Sistema de Suministro, en adelante “LOS INSUMOS”, para un período de 24 meses o hasta que se consuma la totalidad del monto contratado, según lo que primero ocurra, para el referido Centro Asistencial, cuyas características y requisitos técnicos constan en las Bases Administrativas y Técnicas de esta Licitación con sus respectivos Anexos.</t>
  </si>
  <si>
    <t>HOSPITAL DE  CARABINEROS DE CHILE</t>
  </si>
  <si>
    <t>viviana garcia</t>
  </si>
  <si>
    <t>1057490-75-LP22</t>
  </si>
  <si>
    <t>SUMINISTRO DE GASES CLÍNICOS</t>
  </si>
  <si>
    <t>SUMINISTRO DE GASES CLÍNICOS EN CILINDROS</t>
  </si>
  <si>
    <t>Instituto Nacional de Neurocirugía</t>
  </si>
  <si>
    <t>61.608.407-0</t>
  </si>
  <si>
    <t>Daniel Cabañas Perez</t>
  </si>
  <si>
    <t>daniel.cabana@redsalud.gob.cl</t>
  </si>
  <si>
    <t>2153-92-LE22</t>
  </si>
  <si>
    <t>SUMINISTRO OXIGENO CLINICO</t>
  </si>
  <si>
    <t>el CHSJM tiene la necesidad de levantar proceso de compra de servicio de suministro Oxigeno Clínico, servicio utilizado en Hospitalización, Servicio de Urgencia y ambulancias de traslado de Urgencia</t>
  </si>
  <si>
    <t>Hospital Sanatorio San José de Maipo</t>
  </si>
  <si>
    <t>61.608.503-4</t>
  </si>
  <si>
    <t>CARLOS VILLALOBOS</t>
  </si>
  <si>
    <t>CVILLALOBOST@SSMSO.CL</t>
  </si>
  <si>
    <t>514862-48-LE22</t>
  </si>
  <si>
    <t>ADQ. DE CONCENTR.DE OXIGENO Y FILTROS 10028877</t>
  </si>
  <si>
    <t>ADQ. DE CONCENTR.DE OXIGENO Y FILTROS SOLPED 10028877</t>
  </si>
  <si>
    <t>CORPORACION MUNICIPAL DE PEÑALOLEN</t>
  </si>
  <si>
    <t>71.234.100-9</t>
  </si>
  <si>
    <t>Sthefany Trujillo</t>
  </si>
  <si>
    <t>strujillo.sobarzo@cormup.cl</t>
  </si>
  <si>
    <t>1057421-36-LE22</t>
  </si>
  <si>
    <t>Conv. Mat. prev. y correc. de sist. gases clinicos</t>
  </si>
  <si>
    <t>Las presentes bases tienen por objeto la contratación de un Servicio de Mantención Preventiva y Correctiva para sistema de Gases para el Hospital Familiar y Comunitario de Laja, que permitan mantenerlos en óptimas condiciones de operación, seguridad y dentro de los parámetros de funcionamiento definidos por el fabricante, ubicado en Avda. Los Ríos N°840, Laja.</t>
  </si>
  <si>
    <t>HOSPITAL DE LAJA</t>
  </si>
  <si>
    <t>61.607.306-0</t>
  </si>
  <si>
    <t>Gladys Fernandez Castro</t>
  </si>
  <si>
    <t>yesenia.fernandez@ssbiobio.cl</t>
  </si>
  <si>
    <t>407-103-LQ22</t>
  </si>
  <si>
    <t>2137-35-LE22</t>
  </si>
  <si>
    <t>LICITACION GASES CLINICOS REP. E INSUMOS ASOCIADOS</t>
  </si>
  <si>
    <t>LA NECESIDAD DEL HOSPITAL DE ACHAO DE ADQUIRIR GASES CLÍNICOS,REPUESTOS E INSUMOS ASOCIADOS</t>
  </si>
  <si>
    <t>HOSPITAL DE ACHAO</t>
  </si>
  <si>
    <t>61.602.278-4</t>
  </si>
  <si>
    <t>MARCO GALLARDO CARDENAS</t>
  </si>
  <si>
    <t>mar.gallardo@redsalud.gov.cl</t>
  </si>
  <si>
    <t>1395-129-LP22</t>
  </si>
  <si>
    <t>635-189-L122</t>
  </si>
  <si>
    <t>Adquisición de ventilador no invasivo, OT 1494</t>
  </si>
  <si>
    <t>1175-248-LP22</t>
  </si>
  <si>
    <t>LIC 249.22 Adq. ventiladores mecánicos no invasivo</t>
  </si>
  <si>
    <t>1057937-65-LE22</t>
  </si>
  <si>
    <t>Compra de 01 Ventilador Mecánico</t>
  </si>
  <si>
    <t>Compra de 01 Ventilador Mecánico para la Unidad de Hematooncología</t>
  </si>
  <si>
    <t>Marianela Beltrán</t>
  </si>
  <si>
    <t>marianela.beltran@redsalud.gov.cl</t>
  </si>
  <si>
    <t>4776-45-LE22</t>
  </si>
  <si>
    <t>SERVICIO DE MANTENCIÓN DEL SISTEMA DE CENTRAL DE GASES CLÍNICAS Y RED DE OXÍGENO PARA ELCENTRO DE REHABILITACIÓN CAPREDENA LA FLORIDA</t>
  </si>
  <si>
    <t>El objeto de la presente licitación es la contratación del SERVICIO DE MANTENCIÓN DEL SISTEMA CENTRAL DE GASES CLÍNICOS Y RED DE OXÍGENO, PARA EL CENTRO DE REHABILITACIÓN CAPREDENA LA FLORIDA, por el período de 24 meses.</t>
  </si>
  <si>
    <t>CAJA DE PREVISION DE LA DEFENSA NACIONAL</t>
  </si>
  <si>
    <t>HERNÁN HERNÁNDEZ LINCUÑIR</t>
  </si>
  <si>
    <t>HERNAN.HERNANDEZ@CAPREDENA.GOB.CL</t>
  </si>
  <si>
    <t>1057935-9-LE22</t>
  </si>
  <si>
    <t>Adquisición de ventiladores mecánicos no invasivos y vitrinas refrigeradas para establecimientos dependientes del Servicio de Salud Valdivia</t>
  </si>
  <si>
    <t>De acuerdo a lo estipulado en la Resolución Exenta N° 4438 de fecha 09.12.2022.</t>
  </si>
  <si>
    <t>1057434-65-LE22</t>
  </si>
  <si>
    <t>CONVENIO SUMINISTRO DE OXIGENO GASEOSO MEDICINAL Y DOMICILIARIO PARA EL CESFAM DR. V.M. FERNANDEZ</t>
  </si>
  <si>
    <t>LA NECESIDAD DE CONTRATAR SERVICIOS PARA EL SUMINISTRO DE GASES MEDICINALES, CILINDROS, ENVASES, VÁLVULAS, ADAPTADORES, CONECTORES Y OTROS, TANTO PARA EL CESFAM DR. VÍCTOR M. FERNÁNDEZ COMO PARA PACIENTES BENEFICIARIOS DE ESTE CENTRO DE SALUD, QUE REQUIERAN TRATAMIENTOS DE OXIGENOTERAPIA EN SUS RESPECTIVOS DOMICILIOS.</t>
  </si>
  <si>
    <t xml:space="preserve">	SERVICIO DE SALUD CONCEPCION </t>
  </si>
  <si>
    <t>61.607.104-1</t>
  </si>
  <si>
    <t>Dra. Viviana Fuentealba Figueroa</t>
  </si>
  <si>
    <t>jefemedicinacvmf@ssconcepcion.cl</t>
  </si>
  <si>
    <t>Luis Carrasco Pizarro</t>
  </si>
  <si>
    <t>jefefinanzascvmf@ssconcepcion.cl</t>
  </si>
  <si>
    <t>812261-98-LE22</t>
  </si>
  <si>
    <t>SERVICIO DE OXIGENOTERAPIA PEDIATRICA A DOMICILIO</t>
  </si>
  <si>
    <t>Las presentes bases de licitación son formuladas para establecer la regulación del proceso de adquisición del SERVICIO DE OXIGENOTERAPIA PEDIATRICA A DOMICILIO y reglamentan entre otros aspectos las condiciones que deben cumplir las ofertas, las etapas del proceso licitatorio, su forma de evaluación y adjudicación, las condiciones del contrato y todos los aspectos necesarios para el correcto proceso de adquisición.</t>
  </si>
  <si>
    <t>18.763.248</t>
  </si>
  <si>
    <t>1747-43-LE22</t>
  </si>
  <si>
    <t>Suministro de Oxigeno Medicinal Metros Cubicos</t>
  </si>
  <si>
    <t>Las siguientes bases constituyen las especificaciones administrativas por las que deberán regirse las empresas, personas naturales o personas jurídicas interesadas en participar en el llamado a propuesta pública para licitar en “Suministro de oxígeno medicinal metros cúbicos” del Hospital Comunitario de Mejillones, que requiere contratar con Empresas especializadas en venta y recarga de oxígeno medicinal. Esto con el fin de ayudar de la mejor forma a los pacientes que se encuentren hospitalizados, acudan a urgencias o dispongan de oxígeno domiciliario</t>
  </si>
  <si>
    <t>Sebastian Carvajal Ardiles</t>
  </si>
  <si>
    <t>sebastian.carvajal@hospitalmejillones.cl</t>
  </si>
  <si>
    <t>Constanza Marambio</t>
  </si>
  <si>
    <t>constanza.marambio.e@redsalud.gov.cl</t>
  </si>
  <si>
    <t>1655-71-LE22</t>
  </si>
  <si>
    <t>“CONVENIO DE SUMINISTRO DEL SERVICIO DE ARRIENDO Y</t>
  </si>
  <si>
    <t>“CONVENIO DE SUMINISTRO DEL SERVICIO DE ARRIENDO Y RECARGA DE GASES CLINICOS, OXIGENO MEDICINAL Y AIRE COMPRIMIDO, PARA CENTROS DE SALUD DEPENDIENTES DE LA DIRECCIÓN DE ATENCIÓN PRIMARIA SSMC</t>
  </si>
  <si>
    <t>francisco Roa</t>
  </si>
  <si>
    <t>Francisco.roab@redsalud.gov.cl</t>
  </si>
  <si>
    <t>1057448-139-LR22</t>
  </si>
  <si>
    <t>CONVENIO DE SUMINISTRO DE GASES MEDICINALES ARRIENDO DE CILINDROS TRANSPORTE MANTENCIONES PREVENTIVA Y CORRECTIVAS DE BANCOS DE GASES MEDICINALES HOSPITAL DE ALTO HOSPICIO POR 36 MESES”</t>
  </si>
  <si>
    <t>ADQUISICION “CONVENIO DE SUMINISTRO DE GASES MEDICINALES, ARRIENDO DE CILINDROS, TRANSPORTE, MANTENCIONES PREVENTIVA Y CORRECTIVAS DE BANCOS DE GASES MEDICINALES, HOSPITAL DE ALTO HOSPICIO, POR 36 MESES”</t>
  </si>
  <si>
    <t>Suministro de Oxígeno Medicinal en m3 (6 ~ 10)</t>
  </si>
  <si>
    <t>898-220-LQ22</t>
  </si>
  <si>
    <t>OXIGENOTERAPIA DOMICILIARIA PARA PACIENTES DEL HOSPITAL CLAUDIO VICUÑA DE SAN ANTONIO</t>
  </si>
  <si>
    <t xml:space="preserve">HOSPITAL CLAUDIO VICUÑA </t>
  </si>
  <si>
    <t>sara.iturra@redsalud.gov.cl</t>
  </si>
  <si>
    <t>1549-150-LP22</t>
  </si>
  <si>
    <t>ARRIENDO DE 05 VENTILADORES MECANICOS NO INVASIVOS</t>
  </si>
  <si>
    <t>ARRIENDO DE 05 VENTILADORES MECANICOS NO INVASIVOS UNIDAD DE KINESIOLOGIA POR 03 MESES</t>
  </si>
  <si>
    <t>1380-280-LQ22</t>
  </si>
  <si>
    <t>PPTA 332-22 CONT. SERVICIO TERAPIA OXIDO NITRICO</t>
  </si>
  <si>
    <t>Revisar punto N° 3 del Ítem I "Del objeto de la contratación".</t>
  </si>
  <si>
    <t>4429-105-LE22</t>
  </si>
  <si>
    <t>EQUIPAMIENTO CLINICO MENOR INSUMOS Y OTROS</t>
  </si>
  <si>
    <t>EQUIPMAIENTO CLINICO MENOR, INSUOS Y OTROS PARA CENTROS DE SALUD DE LA COMUNA</t>
  </si>
  <si>
    <t>OXIMETROS O SATUROMETROS ADULTO</t>
  </si>
  <si>
    <t>Carlos Cares Morales</t>
  </si>
  <si>
    <t>2710-227-LE22</t>
  </si>
  <si>
    <t>1057501-516-LQ22</t>
  </si>
  <si>
    <t>Contratación Servicio de Suministro de Oxigeno Medicinal Liquido</t>
  </si>
  <si>
    <t>La propuesta comprende la contratación de suministro de oxígeno líquido para dos tanques criogénicos</t>
  </si>
  <si>
    <t>50-310-000-001-00 OXIGENO LIQUIDO MEDICINAL M3</t>
  </si>
  <si>
    <t>Gabriela Reyes</t>
  </si>
  <si>
    <t>greyes@ssmso.cl</t>
  </si>
  <si>
    <t>2258-319-LR22</t>
  </si>
  <si>
    <t>oxigeno domiciliario para pacientes del HRA, se evaluara en anexo nº 6 economicamente</t>
  </si>
  <si>
    <t>335.000.000</t>
  </si>
  <si>
    <t>YESICA QUIZPE VIZA</t>
  </si>
  <si>
    <t>3705-118-LE22</t>
  </si>
  <si>
    <t>CONVENIO DE SUMINISTRO DE OXIGENO 2023</t>
  </si>
  <si>
    <t>MERY HERNANDEZ ZUÑIGA</t>
  </si>
  <si>
    <t>1242121-17-LP22</t>
  </si>
  <si>
    <t>CONVENIO DE SUMINISTRO DE INSUMOS PARA GASES CLÍNICOS</t>
  </si>
  <si>
    <t>Conforme a la Ley de Compras Públicas, su Reglamento y modificaciones, el Hospital Provincial de Ovalle llama a licitación pública a empresas o proveedores del rubro, personas naturales o jurídicas, chilenas o extranjeras, así como a Uniones Temporales de Proveedores, para celebrar un CONVENIO DE SUMINISTRO DE INSUMOS PARA GASES CLÍNICOS, por un periodo de 36 (treinta y seis) meses o hasta agotar el presupuesto máximo referencial, para un oportuno y adecuado suministro de estos productos y así garantizar el correcto funcionamiento del Establecimiento.</t>
  </si>
  <si>
    <t>Hospital de Ovalle</t>
  </si>
  <si>
    <t>Flujómetro oxígeno 0-3 lpm (pediátrico)</t>
  </si>
  <si>
    <t>Rocio Avalos Laflor</t>
  </si>
  <si>
    <t>1057489-627-LQ22</t>
  </si>
  <si>
    <t>Convenio de Suministro de Mascarillas Facial Total y Accesorios por 24 meses para Hospital del Salvador</t>
  </si>
  <si>
    <t>Que, el Hospital del Salvador necesita contar con un Convenio de Suministro de Mascarillas Facial Total y Accesorios por 24 meses para Hospital del Salvador con la finalidad de satisfacer de manera adecuada y eficiente la labor asistencial; Que, por la cuantía determinada, la presente licitación se ubica en el tramo para contrataciones iguales o superiores a 1.000 UTM e inferiores a 5.000 UTM, de conformidad al Artículo 19º bis del Reglamento de la Ley Nº19.886; en conformidad al Artículo 19º bis del Reglamento de la Ley Nº19.886;</t>
  </si>
  <si>
    <t>2107-200-LP22</t>
  </si>
  <si>
    <t>SUM. DE RECARGA Y ARRIENDO DE CILINDROS DE GASES</t>
  </si>
  <si>
    <t>El Hospital Santa Cruz, como establecimiento de salud, requiere suscribir un convenio de suministro para el arriendo y recarga de diversos gases de uso hospitalario incluyendo el mantenimiento de cilindros propios, en sentido de resguardar la disponibilidad de este elemento en unidades sin acceso a la red.</t>
  </si>
  <si>
    <t>HOSPITAL DE SANTA CRUZ</t>
  </si>
  <si>
    <t>61.602.148-6</t>
  </si>
  <si>
    <t>Leonor bozo Pavez</t>
  </si>
  <si>
    <t>leonor.bozo@saludohiggins.cl</t>
  </si>
  <si>
    <t>2069-123-LQ22</t>
  </si>
  <si>
    <t>CGM MANT PREV Y CORR VENTILADORES PHILIPS Y MAQUET</t>
  </si>
  <si>
    <t>El Hospital Barros Luco Trudeau, Establecimiento Autogestionado en Red, desarrolla labores asistenciales de carácter ambulatorio, hospitalizados y de urgencia utilizando una serie de equipos los que requieren estar en óptimas condiciones para el desarrollo de las funciones asistenciales del hospital. Que, además para los fines precedentes, el proveedor que se adjudique, será responsables de cumplir estricta y cabalmente con los requerimientos y especificaciones consagrados en los documentos de la presente licitación. Por lo antes expuesto, se requiere contratar el Servicio de Mantenimiento preventivo y correctivo de sus ventiladores mecánicos marca Philips-Respironics y Maquet, en las condiciones establecidas en las bases de licitación y a las recomendaciones del fabricante, y de esta manera garantizar el funcionamiento continuo, aportando mayor seguridad, tanto para el paciente como el usuario y prolongar la vida útil de los equipos y la reparación de estos, los cuales se señalan en el numeral 1.1 de las bases administrativas adjuntas. En el aspecto técnico se evaluará la oferta que cumpla con los requisitos señalados en las bases y la idoneidad y calidad técnica del oferente, con el objeto de asegurar que el adjudicatario se ajuste a los requisitos que el Hospital Barros Luco Trudeau ha especificado para la ejecución del contrato licitado. En el aspecto económico se espera recibir ofertas ventajosas dentro de los precios de mercado, factor que también será evaluado. Asimismo, se hace presente que este proceso de licitación se hará mediante modalidad de adjudicación múltiple, por lo cual cada oferente podrá ofertar por ítems independientes, sin embargo, la oferta deberá incluir la totalidad de los equipos mencionados en cada uno de los subítem, de no ser así la oferta se declara inadmisible.</t>
  </si>
  <si>
    <t>francisco.epul@redsalud.gob.cl</t>
  </si>
  <si>
    <t>2694-3-LE23</t>
  </si>
  <si>
    <t>SERV.CARGA ARRIENDO MANTENCIÓN Y FLET OXIGENO</t>
  </si>
  <si>
    <t>SERVICIO DE CARGA DE OXIGENO MEDICINAL, ARRIENDO DE CILINDROS, MANTENCIÓN DE CILINDROS Y FLETE ENTREGA Y RETIRO DE CILINDROS</t>
  </si>
  <si>
    <t>I MUNICIPALIDAD DE CARTAGENA</t>
  </si>
  <si>
    <t>loretosg@live.com</t>
  </si>
  <si>
    <t>4594-1-LE23</t>
  </si>
  <si>
    <t>SUMINISTRO DE OXIGENOOTROS SERVICIOS Y MATERIALES</t>
  </si>
  <si>
    <t>Necesidad de contar con suministro de oxígeno y otros servicios y materiales utilizados en distintas áreas de los Centros de Salud del DESAMU de Coihueco.</t>
  </si>
  <si>
    <t>I MUNICIPALIDAD DE COIHUECO</t>
  </si>
  <si>
    <t>69.141.102-8</t>
  </si>
  <si>
    <t>RICHARD MUÑOZ CATALAN</t>
  </si>
  <si>
    <t>rmunoz@desamucoihueco.cl</t>
  </si>
  <si>
    <t>1057495-1-LE23</t>
  </si>
  <si>
    <t>MANTENIMIENTO PREVENT Y CORRECT GASES MEDICINALES</t>
  </si>
  <si>
    <t>El objetivo de la presente licitación es generar un convenio por el servicio de mantenimiento preventivo y reparativo de gases medicinales y mantención y adquisición de accesorios medicinales.</t>
  </si>
  <si>
    <t>Elena Olguín Vilches</t>
  </si>
  <si>
    <t>3260-2-L123</t>
  </si>
  <si>
    <t>Abastecimiento de Oxigeno medico</t>
  </si>
  <si>
    <t>Abastecimiento de Oxigeno medico y Mantención técnica de cilindros”, lo anterior con el objetivo de abastecer a los establecimientos de salud de la comuna y contar con los cilindro en optimas condiciones para el traslado del producto. El departamento de salud cuenta con tubos y/o cilindros que son de su propiedad.</t>
  </si>
  <si>
    <t>1067355-1-LE23</t>
  </si>
  <si>
    <t>Convenio Suministro Oxigeno</t>
  </si>
  <si>
    <t>Suministrar oxigeno clinico al Hospital</t>
  </si>
  <si>
    <t>HOSPITAL SANTA ELISA DE SAN JOSE DE LA MARIQUINA</t>
  </si>
  <si>
    <t>61.980.670-0</t>
  </si>
  <si>
    <t>Michael Zieballe</t>
  </si>
  <si>
    <t>michael.zieballe@redsalud.gov.cl</t>
  </si>
  <si>
    <t>2296-4-LE23</t>
  </si>
  <si>
    <t>ADQUISICIÓN DE IMPLEMENTOS PARA PROCEDIMIENTOS VETERINARIOS</t>
  </si>
  <si>
    <t>ADQUISICIÓN DE IMPLEMENTOS PARA PROCEDIMIENTOS VETERINARIOS, SEGÚN BASES</t>
  </si>
  <si>
    <t>I MUNICIPALIDAD DE CONCHALI</t>
  </si>
  <si>
    <t>CONCENTRADOR DE OXIGENO DE 5 LITROS COMPATIBLE CON MAQUINA PORTÁTIL DE ANESTESIA</t>
  </si>
  <si>
    <t>69.070.200-2</t>
  </si>
  <si>
    <t>CLAUDIA GUERRERO</t>
  </si>
  <si>
    <t>pagoproveedores@conchali.cl</t>
  </si>
  <si>
    <t>3019-1-LE23</t>
  </si>
  <si>
    <t>RECARGA DE OXIGENO</t>
  </si>
  <si>
    <t>SE REQUIERE DISPONER DE OXIGENO PERMANENTE EN DEPENDENCIAS DE CESFAM-SAR DR. JUAN CARTES Y AMBULANCIAS, PARA PODER ACTUAR OPORTUNAMENTE Y PROPORCIONAR OXIGENO A AQUELLOS USUARIOS QUE DESARROLLAN UN CUADRO RESPIRATORIO OBSTRUCTIVO AGUDO DENTRO DEL ESTBLECIMIENTO DE SALUD O MIENTRAS ES TRASLADADO A OTRO ESTABLECIMIENTO HOSPITALARIO Y QUE REQUIEREN DE OXIGENO DE APOYO HASTA LOGRAR SU MEJOR CLINICA.</t>
  </si>
  <si>
    <t xml:space="preserve">I.MUNICIPALIDAD DE LOTA </t>
  </si>
  <si>
    <t>69.259.900-4</t>
  </si>
  <si>
    <t>YENNY SANCHEZ SALINAS</t>
  </si>
  <si>
    <t>YENNY.SANCHEZ@DASLOTA.CL</t>
  </si>
  <si>
    <t>1952-10-L123</t>
  </si>
  <si>
    <t>MANTENCION PREVENTIVA Y CORRECTIVA CONCENTRADORES DE OXIGENO, DEL HOSPITAL DE VILLARRICA</t>
  </si>
  <si>
    <t>1057439-119-LE22</t>
  </si>
  <si>
    <t>Adquisición de flujómetros y tomas murales HLS</t>
  </si>
  <si>
    <t>Se solicita adquisición de tomas de aire medicinal, vacío y oxigeno de conexión Diamond y flujometros de aire medicinal y oxigeno de 15 LPM conexión Diamond para contar con stock y poder realizar reposición de elementos para el Hospital de La Serena.</t>
  </si>
  <si>
    <t>HOSPITAL LA SERENA</t>
  </si>
  <si>
    <t>61.606.402-9</t>
  </si>
  <si>
    <t>Alejandra Ramirez Flores</t>
  </si>
  <si>
    <t>Alejandral.ramirez@redsalud.gov.cl</t>
  </si>
  <si>
    <t>4324-3-L123</t>
  </si>
  <si>
    <t>SUMINISTRO DE RECARGA ARRIENDO Y TRASLADO DE OXIGENO MEDICINAL</t>
  </si>
  <si>
    <t>SUMINISTRO DE RECARGA, ARRIENDO Y TRASLADO DE OXIGENO MEDICINAL</t>
  </si>
  <si>
    <t>I MUNICIPALIDAD DE PERQUENCO</t>
  </si>
  <si>
    <t>69.190.300-1</t>
  </si>
  <si>
    <t>CAROLINA ALARCON</t>
  </si>
  <si>
    <t>calarcon@dsmperquenco.cl</t>
  </si>
  <si>
    <t>2320-2-LE23</t>
  </si>
  <si>
    <t>CONTRATACIÓN CONVENIO SUMINISTRO SERVICIO DE OXIGE</t>
  </si>
  <si>
    <t>CONTRATACIÓN CONVENIO SUMINISTRO SERVICIO DE OXIGENO MEDICINAL, CON ARRIENDO DE CILINDRO Y SOLO LLENADO, PARA TODOS LOS CENTROS DE SALUD DE LA DIRECCIÓN COMUNAL DE SALUD DE SAN JAVIER.</t>
  </si>
  <si>
    <t>I MUNICIPALIDAD DE SAN JAVIER</t>
  </si>
  <si>
    <t>69.130.100-1</t>
  </si>
  <si>
    <t>CECILIA RAMIREZ HERNANDEZ</t>
  </si>
  <si>
    <t>CECILIA.RAMIREZ@SALUDSANJAVIER.CL</t>
  </si>
  <si>
    <t>1464-1-LE23</t>
  </si>
  <si>
    <t>Gases Medicinales 2023</t>
  </si>
  <si>
    <t>Contrato suministro Gases Medicinales con Cilindros en diferentes medidas con entrega dos veces por semana y pedidos extras si fuera necesario para el Hospital de Parral.</t>
  </si>
  <si>
    <t>mbenavides@hospitaldeparral.cl</t>
  </si>
  <si>
    <t>2189-2-LE23</t>
  </si>
  <si>
    <t>Adq. EquipoEquipamiento Rehabilitación Cesfam Sagrada Familia</t>
  </si>
  <si>
    <t>Adq. Equipo/Equipamiento Rehabilitación Cesfam Sagrada Familia</t>
  </si>
  <si>
    <t>1242134-1-LQ23</t>
  </si>
  <si>
    <t>1260057-2-LE23</t>
  </si>
  <si>
    <t>COMPRA INSUMOS MEDICOS FEBRERO 2023</t>
  </si>
  <si>
    <t>ESTA LICITACION TIENE POR OBJETO LA COMPRA DE INSUMOS MEDICOS PARA EL HOSPITAL DE PEÑAFLOR, PERIODO FEBRERO 2023</t>
  </si>
  <si>
    <t>Hospital de Peñaflor</t>
  </si>
  <si>
    <t>1624-1-L123</t>
  </si>
  <si>
    <t>CONVENIO SUMINISTRO OXIGENO MÉDICO</t>
  </si>
  <si>
    <t>1057554-175-LR22</t>
  </si>
  <si>
    <t>CONTRATO DE SUMINISTRO DE OXÍGENO CRIOGÉNICO Y EL ARRENDAMIENTO DE ESTANQUE PARA EL HOSPITAL CARLOS VAN BUREN</t>
  </si>
  <si>
    <t>La necesidad del Hospital Carlos Van Buren de llamar a Licitación Pública a través del portal Mercado Público, para contratar el convenio de suministro de oxígeno criogénico y el arrendamiento de estanque para el Hospital Carlos Van Buren, por un período de 36 meses corridos.</t>
  </si>
  <si>
    <t xml:space="preserve">	1000000</t>
  </si>
  <si>
    <t>4401-10-LE23</t>
  </si>
  <si>
    <t xml:space="preserve">SC 7 Suministro de oxigeno </t>
  </si>
  <si>
    <t>Contar con convenio de suministro de oxigeno para los distintos centros dependientes del departamento de salud de la Municipalidad de San Clemente.</t>
  </si>
  <si>
    <t>2098-7-LE23</t>
  </si>
  <si>
    <t>ADQUISICIÓN DE INSUMOS CLINICOS PARA SERVICIO DE URGENCIA</t>
  </si>
  <si>
    <t>HOSPITAL CURANILAHUE REQUIERE AL COMPRA DE INSUMOS CLINICOS PARA SERVICIO DE PEDIATRIA Y URGENCIA DE NUESTRO ESTABLECIMIENTO.</t>
  </si>
  <si>
    <t>1979-10-LP23</t>
  </si>
  <si>
    <t>12.23 “SUMINISTRO DE OXIGENO LIQUIDO MEDICINAL PARA NODO COSTERO HOSPITAL NUEVA IMPERIAL”.</t>
  </si>
  <si>
    <t>Se requiere contar con suministro de oxígeno líquido que incluya el oxígeno gaseoso para el respaldo de la red.   En este caso, los cilindros no tendrán costo de arrendamiento.</t>
  </si>
  <si>
    <t>SI</t>
  </si>
  <si>
    <t>1077195-1-L123</t>
  </si>
  <si>
    <t>Suministro helio estación CLX 19 Rapa Nui</t>
  </si>
  <si>
    <t>Suministro de gas helio para la estación CLX19 ubicada en Rapa Nui, Isla de Pascua. Esta estación utiliza el aire atmosférico para realizar mediciones de radionucleidos atrapados en los filtros y realizan una lectura de ellos. El equipo (SAUNA) que realiza esta función posee una tecnología que funciona en base al gas helio.</t>
  </si>
  <si>
    <t>Comisión Chilena de Energía Nuclear</t>
  </si>
  <si>
    <t>1075963-317-LQ22</t>
  </si>
  <si>
    <t>SUMINISTRO DE GASES CLÍNICOS MEDICINALES PARA HOSPITAL DE ARICA</t>
  </si>
  <si>
    <t>SUMINISTRO DE GASES CLÍNICOS MEDICINALES PARA HOSPITAL DE ARICA, POR 36 MESES</t>
  </si>
  <si>
    <t xml:space="preserve">	27-04-2026</t>
  </si>
  <si>
    <t>CRISTIAN QUISPE ARREDONDO</t>
  </si>
  <si>
    <t>cristian.quispe@hjnc.cl</t>
  </si>
  <si>
    <t>1057496-5-LE23</t>
  </si>
  <si>
    <t>Adquisición insumos médicos para el Hospital San L</t>
  </si>
  <si>
    <t>SERVICIO DE SALUD SUR HOSPITAL SAN LUIS</t>
  </si>
  <si>
    <t>4089-1-LE23</t>
  </si>
  <si>
    <t>SUMINISTRO OXÍGENO MÉDICO 2023-2024 LONGAVI</t>
  </si>
  <si>
    <t>El Departamento de Salud de Longaví, con el fin de contar con suministro servicio de recarga y arriendo de tubos de oxígeno médico, efectúa el presente llamado a licitación a través del portal www.mercadopublico.cl.</t>
  </si>
  <si>
    <t>I MUNICIPALIDAD DE LONGAVI</t>
  </si>
  <si>
    <t>4999-2-LE23</t>
  </si>
  <si>
    <t>OXIGENO GASEOSO MEDICINAL</t>
  </si>
  <si>
    <t>El Departamento de Salud de la Municipalidad de San Pedro de Atacama, hace un llamado a propuesta pública para la gestionar la adquisición de oxígeno gaseoso medicinal para los usuarios de los servicios médicos de los establecimientos de salud de la comuna de San Pedro de Atacama.  De tal manera, las presentes bases de licitación regularan este proceso, cuyos oferentes deben cumplir los requisitos de estas Bases.</t>
  </si>
  <si>
    <t>1175-3-LR23</t>
  </si>
  <si>
    <t>06.23 VENTILADORES MECÁNICOS HOSPITAL VILLARRICA</t>
  </si>
  <si>
    <t>Se requiere la ADQUISICIÓN VENTILADORES MECÁNICOS NORMALIZACIÓN HOSPITAL DE VILLARRICA, nueva y sin uso. Las características técnicas, se detallan en el ANEXO N.º 4 de las presentes Bases. Debe cumplir con todas las características marcadas como obligatorias para que la oferta sea admisible.</t>
  </si>
  <si>
    <t>1499-11-LE23</t>
  </si>
  <si>
    <t>Máscaras y circuitos para ventilación no invasiva</t>
  </si>
  <si>
    <t>El Instituto Nacional del Tórax necesita contar para su gestión de máscaras y circuitos para ventilación no invasiva en forma permanente, con el objeto de poder cumplir y satisfacer debidamente la demanda asistencial que legalmente le ha sido encomendada.</t>
  </si>
  <si>
    <t>2115-2-LP23</t>
  </si>
  <si>
    <t xml:space="preserve">SUMINISTRO DE GASES MEDICINALES </t>
  </si>
  <si>
    <t>El suministro, abastecimiento, distribución, control de calidad, procedencia, diseño, fabricación, instalación, manufactura de estanque criogénico, cilindros, vaporizador ambiental y sus accesorios utilizados para abastecer de gases medicinales al CRS Maipú, así como el cumplimiento de los requerimientos descritos en las presentes especificaciones técnicas, será, a todo evento, de responsabilidad del oferente adjudicado y deberá regirse, desde el inicio y para todo el proceso de abastecimiento y suministro, por los siguientes estándares, códigos, reglamentaciones y certificaciones.</t>
  </si>
  <si>
    <t>CENTRO DE REFERENCIA DE SALUD DE MAIPU</t>
  </si>
  <si>
    <t>5184-16-LQ23</t>
  </si>
  <si>
    <t>SERVICIO DE SALUD DEL MAULE HOSPITAL DE LINARES</t>
  </si>
  <si>
    <t>2825-6-L123</t>
  </si>
  <si>
    <t>ADQUISICION SERVICIO DE OXIGENO MEDICINAL</t>
  </si>
  <si>
    <t>COMPRA DE  SERVICIO DE OXIGENO MEDICINAL PARA CILINDROS VACIOS DE TODO TAMAÑO, JUNTO CON SU TRANSPORTE Y PRUEBAS HIDROSTATICAS SEGUN CORRESPONDA</t>
  </si>
  <si>
    <t>1057547-35-LE23</t>
  </si>
  <si>
    <t>COMPRA DE SERVICIOS PARA  DE RED DE GASES CLINICOS</t>
  </si>
  <si>
    <t>COMPRA DE SERVICIOS PARA NORMALIZACION DE RED DE GASES CLINICOS EN UNIDAD DE PEDIATRIA DEL HOSPITAL BASE VALDIVIA</t>
  </si>
  <si>
    <t>SERVICIO DE SALUD VALDIVIA HOSPITAL BASE</t>
  </si>
  <si>
    <t>3563-6-L123</t>
  </si>
  <si>
    <t>EQUIPAMIENTO E INSUMOS SALA IRA-ERA DSM</t>
  </si>
  <si>
    <t>ADQUISICION DE EQUIPAMIENTO DE SALAS IRA- ERA DE CESFAM HUALPIN Y CESFAM T. SCHMIDT.</t>
  </si>
  <si>
    <t>ILUSTRE MUNICIPALIDAD TEODORO SCHMIDT</t>
  </si>
  <si>
    <t>3977-3-L123</t>
  </si>
  <si>
    <t>Insumos de kinesiología para rehabilitación pulmonar. OP Nº15</t>
  </si>
  <si>
    <t>Insumos de kinesiología para rehabilitación pulmonar en CECOSF y Postas de Salud Rural, Programa ERA/IRA. OP Nº15</t>
  </si>
  <si>
    <t>I MUNICIPALIDAD DE SANTA BARBARA</t>
  </si>
  <si>
    <t>3944-1-LE23</t>
  </si>
  <si>
    <t>CONTRATO SUMINISTRO OXIGENO MEDICINAL Y ARRIENDO</t>
  </si>
  <si>
    <t>Que, el Departamento de Salud de Peralillo busca proporcionar al CESFAM Peralillo, Contrato de Suministro, Recarga de Cilindros Oxigeno Medicinal por 24 meses con posibilidad de renovación por 12 Meses por una sola vez Siendo el objetivo general de este convenio disponer de manera expedita de oxigeno medicinal evitando desabastecimiento e inconvenientes logísticos.</t>
  </si>
  <si>
    <t>1057390-5-LR23</t>
  </si>
  <si>
    <t>CONVENIO SUMINISTRO GASES CLÍNICOS RED SSAN 2023</t>
  </si>
  <si>
    <t xml:space="preserve">Se requiere suscribir convenio de suministro de gases clínicos e industriales en cilindros por un periodo de 12 meses con posibilidad de renovación por 12 mese más, necesarios para la gestión clínica de la red asistencial del Servicio de Salud Araucanía Norte, con el objeto de poder cumplir con la demanda asistencial de la Provincia de Malleco, específicamente respecto de los Hospitales de Victoria, Collipulli, Purén, Curacautín, Traiguén, Lonquimay y bases SAMU de la provincia,  </t>
  </si>
  <si>
    <t>1663-18-LE23</t>
  </si>
  <si>
    <t>SEGUNDO LLAMADO SUMINISTRO DE GASES CLINICOS 2023</t>
  </si>
  <si>
    <t>SE REQUIERE EL SUMINISTRO DE GASES CLINICOS E INSUMOS RELACIONADOS PARA EL HOSPITAL Y TODAS SUS DEPENDENCIAS, PARA EL AÑO 2023.</t>
  </si>
  <si>
    <t>45.000.000</t>
  </si>
  <si>
    <t>3789-2-L123</t>
  </si>
  <si>
    <t>ADQUISICION EQUIPAMIENTO PROG.ESTRATEGIAS REFUERZO</t>
  </si>
  <si>
    <t>La I. Municipalidad de Paillaco, a través del Departamento de Salud llama a Propuesta Publica para la “Adquisición de Equipamiento, Programa Estrategias Refuerzo en APS.</t>
  </si>
  <si>
    <t>899-6-LE23</t>
  </si>
  <si>
    <t>SERVICIO MANTENCION EQUIPOS INDUSTRIAL HOSPITAL</t>
  </si>
  <si>
    <t>Las presentes Bases Administrativas y Bases Técnicas tienen por objeto la contratación del servicio requerido corresponde al mantenimiento preventivo y correctivo de Red de oxígenoaire, con 2 manifold para 10 cilindros</t>
  </si>
  <si>
    <t>5.042.920</t>
  </si>
  <si>
    <t>3692-6-L123</t>
  </si>
  <si>
    <t>2107-17-LE23</t>
  </si>
  <si>
    <t>INSUMOS DE USO EN TERAPIA RESPIRATORIA PARA REPOSICIÓN DE STOCK UNIDAD LOGÍSTICA</t>
  </si>
  <si>
    <t xml:space="preserve">el Hospital Santa Cruz, como establecimiento de salud requiere adquirir diversos dispositivos médicos para reposición de stock de acuerdo a planificación anual de compras para reposición de stock de bodegas de unidad logística, a fin de establecer las unidades necesarias para mantener un suministro constante de insumos utilizados en las atenciones de carácter medico a diversos pacientes que asisten a este centro asistencial. </t>
  </si>
  <si>
    <t>SERVICIO DE SALUD HOSPITAL DE SANTA CRUZ</t>
  </si>
  <si>
    <t>5061-5-L123</t>
  </si>
  <si>
    <t>S6 Servicio de suministro oxigeno medico, aire medicinal y arriendo de cilindros, para establecimientos de salud municipal.</t>
  </si>
  <si>
    <t>Servicio de suministro oxigeno medico, aire medicinal y arriendo de cilindros, para establecimientos de salud municipal.</t>
  </si>
  <si>
    <t> 5.042.017</t>
  </si>
  <si>
    <t>1979-18-LP23</t>
  </si>
  <si>
    <t>21.23 “CONVENIO DE DISPOSITIVOS MEDICOS PARA USO EN UNIDAD DE PACIENTE CRITICO PARA NODO COSTERO: HOSPITAL NVA IMPERIAL.”</t>
  </si>
  <si>
    <t>Se requiere contrato de suministro por el periodo de 18 meses para las adquisiciones de “CONVENIO DE DISPOSITIVOS MEDICOS PARA USO EN UNIDAD DE PACIENTE CRITICO PARA NODO COSTERO: HOSPITAL NVA IMPERIAL.” de acuerdo a necesidades del Hospital Nueva Imperial.</t>
  </si>
  <si>
    <t>1057510-7-LP23</t>
  </si>
  <si>
    <t>CONVENIO MANTENIMIENTO DE REDES DE GASES MEDICINALES HOSPITAL DE SAN CARLOS DR. BENICIO ARZOLA MEDINA</t>
  </si>
  <si>
    <t>SERVICIO DE SALUD NUBLE HOSPITAL DE SAN CARLOS DR BENICIO ARZOLA MEDIN</t>
  </si>
  <si>
    <t>1057492-6-LQ23</t>
  </si>
  <si>
    <t>SERV. MANT DE INSTALACIONES DE GASES CLINICOS</t>
  </si>
  <si>
    <t>SERVICIOS DE OPERACIÓN Y MANTENCIÓN DE LAS INSTALACIONES DE GASES CLINICOS</t>
  </si>
  <si>
    <t>1211839-3-LR23</t>
  </si>
  <si>
    <t>ADQUISICION DE INSUMOS MÉDICOS 2023 - 2024</t>
  </si>
  <si>
    <t>Las presentes bases de licitación tienen por objeto reglamentar las exigencias mínimas requeridas para la adquisición de insumos médicos por la Corporación Municipal de Educación, Salud y Atención de Menores de Puente Alto en adelante “la Corporación” o “la mandante”, por el período de mayo 2023 a abril 2024.</t>
  </si>
  <si>
    <t>CORP MUNIC EDUC SALUD Y ATENCION</t>
  </si>
  <si>
    <t>5349-4-LR23</t>
  </si>
  <si>
    <t>CONTRATO DE SUMINISTRO DE GASES CLINICOS CON ARRIENDO DE CILINDROS PARA EL HOSPITAL PROVINCIAL DEL HUASCO MONSEÑOR FERNANDO ARIZTÍA RUIZ</t>
  </si>
  <si>
    <t>1.1 ÁMBITO DE APLICACIÓN DE LAS BASES</t>
  </si>
  <si>
    <t>HOSPITAL PROVINCIAL   DEL HUASCO MSR FERNANDO ARIZTIA RUIZ</t>
  </si>
  <si>
    <t>3736-6-LE23</t>
  </si>
  <si>
    <t>SUMINISTRO MAT. DE CONST. Y FERRET. DAEM 2023</t>
  </si>
  <si>
    <t>“Suministro de Materiales de Construcción y Artículos de Ferretería, para el Departamento de Educación de la Comuna de Laja, año 2023”.</t>
  </si>
  <si>
    <t>I MUNICIPALIDAD DE LAJA</t>
  </si>
  <si>
    <t>COMPRESOR DE AIRE PORTATIL 2 HP 50 L EQUIVALENTE A INDURA</t>
  </si>
  <si>
    <t>1180817-3-L123</t>
  </si>
  <si>
    <t>ADQUISICIÓN DE EQUIPOS DE ESTERILIZACIÓN Y OXIGENOTERAPIA PARA EL SSA</t>
  </si>
  <si>
    <t>SERVICIO DE SALUD AYSEN CARLOS IBANEZ DEL CAMPO</t>
  </si>
  <si>
    <t>VASOS HUMIDIFICADORES</t>
  </si>
  <si>
    <t>1057494-6-LP23</t>
  </si>
  <si>
    <t>Gases medicinales con cilindros en comodato</t>
  </si>
  <si>
    <t>Suministro de gases medicinales con cilindros en comodato.</t>
  </si>
  <si>
    <t>Suministro de gases medicinales con cilindros en comodato (según bases técnicas y sus especificaciones).</t>
  </si>
  <si>
    <t>4594-9-LE23</t>
  </si>
  <si>
    <t>SUMINISTRO OXÍGENO Y OTROS PARA DESAMU COIHUECO</t>
  </si>
  <si>
    <t>SUMINISTRO DE OXÍGENO, OTROS SERVICIOS GENERALES Y OTROS MATERIALES, PARA EL DEPARTAMENTO DE SALUD DE COIHUECO</t>
  </si>
  <si>
    <t>SUMINISTRO DE OXÍGENO, OTROS SERVICIOS GENERALES Y OTROS MATERIALES, PARA EL DEPARTAMENTO DE SALUD DE COIHUECO. PRESUPUESTO DISPONIBLE $36.000.000.-, IMPUESTO INCLUIDO.</t>
  </si>
  <si>
    <t>4172-1-LE23</t>
  </si>
  <si>
    <t>RECARGA OXIGENO MEDICINAL Y ARRIENDO CILINDROS</t>
  </si>
  <si>
    <t>SE SOLICITA CONVENIO SERVICIO DE RECARGA OXIGENO MEDICINAL Y ARRIENDO DE CILINDROS, SOLICITADOS PARA LOS SERVICIOS DE URGENCIA DE LA COMUNA</t>
  </si>
  <si>
    <t>ILUSTRE MUNICIPALIDAD DE COLBUN</t>
  </si>
  <si>
    <t>CONVENIO SERVICIO DE RECARGAS OXOGENO MEDICINAL Y ARRIENDO DE CILINDROS</t>
  </si>
  <si>
    <t>4197-10-L123</t>
  </si>
  <si>
    <t>SUMINISTRO CARGA OXIGENO MEDICO Y ARRIENDO DE CILI</t>
  </si>
  <si>
    <t>Contar con contrato suministro para la carga de oxigeno médico y arriendo de cilindros necesarios para el funcionamiento de la Red de Salud y Establecimientos de Salud de la comuna de Quemchi.</t>
  </si>
  <si>
    <t>Recarga de cilindros o Balones Fiscales de almacenamiento oxigeno médico, que incluya prueba hidráulica de cilindros, cambio de válvula, en los casos que correspondan.</t>
  </si>
  <si>
    <t>1057509-1-LQ23</t>
  </si>
  <si>
    <t>CONVENIO DE SUMINISTRO DE OXIGENO LIQUIDO lbl</t>
  </si>
  <si>
    <t>El Hospital Clínico Herminda Martín de Chillán llama a Licitación Pública a través del Portal Mercado Público, para suscribir convenio de suministro de oxígeno líquido calidad medicinal  con el fin de proveer y mantener la cantidad necesaria de oxígeno en el estanque de tal manera de asegurar un suministro adecuado y seguro a los pacientes del hospital con un mínimo del 40 % de su capacidad.</t>
  </si>
  <si>
    <t>Suministro de Oxigeno liquido. Ofertar de acuerdo a bases técnicas y administrativas. Valor unitario Bruto referencial $406.</t>
  </si>
  <si>
    <t>1499-31-LE23</t>
  </si>
  <si>
    <t xml:space="preserve">Recolector de orina y frasco humificador </t>
  </si>
  <si>
    <t>El Instituto Nacional del Tórax necesita contar para su gestión de recolector de orina y frasco humificador en forma permanente, con el objeto de poder cumplir y satisfacer debidamente la demanda asistencial que legalmente le ha sido encomendada.</t>
  </si>
  <si>
    <t xml:space="preserve">FRASCO HUMIDIFICADOR AIRLIFE O EQUIVALENTE 500ML DESECHABLE </t>
  </si>
  <si>
    <t>1213002-3-LE23</t>
  </si>
  <si>
    <t>HABILITACIÓN RED GASES CLÍNICOS SALA IRA-ERA y PRO</t>
  </si>
  <si>
    <t>SE REQUIERE CONTRATAR OBRAS PARA LA HABILITACIÓN RED DE GASES CLÍNICOS PARA SALA IRA-ERA Y SALA DE PROCEDIMIENTOS CSR EL PRINCIPAL</t>
  </si>
  <si>
    <t>CORP MUNICIPAL DE EDUCACION Y SAL</t>
  </si>
  <si>
    <t>Habilitación Red de Gases Clínicos</t>
  </si>
  <si>
    <t>1709-5-L123</t>
  </si>
  <si>
    <t>“SUMINISTRO DE OXÍGENO MEDICINAL, CON PAGO MENSUAL, PARA TODOS LOS CENTROS DE SALUD DEPENDIENTES DEL DEPARTAMENTO DE SALUD COMUNAL CAUQUENES”.</t>
  </si>
  <si>
    <t>1057049-26-LE23</t>
  </si>
  <si>
    <t>SMG. ADQUISICION DE CANULAS TUBOS Y OTROS INSUMOS PARA LOS SERVICIOS CLINICOS DEL HCSBA</t>
  </si>
  <si>
    <t>El objetivo de la Propuesta es la adquisición de Cánulas, Tubos Y Otros Insumos  para los Servicios Clínicos del Hospital Clínico San Borja Arriarán, solicitados en las especificaciones técnicas, en concordancia con las Bases Administrativas, Técnicas, Formularios, aclaraciones y otros documentos que pudieran formularse en el transcurso de la licitación.</t>
  </si>
  <si>
    <t>877-1106 HUMIDIFICADOR DESCARTABLE</t>
  </si>
  <si>
    <t>1057540-5-LE23</t>
  </si>
  <si>
    <t>SUMINISTRO DE GASES MEDICINALES Y MANTENIMIENTO PREVENTIVO DE CENTRAL DE CENTRALES</t>
  </si>
  <si>
    <t>SUMINISTRO DE GASES MEDICINALES Y MANTENIMIENTO PREVENTIVO DE CENTRAL DE CENTRALES.</t>
  </si>
  <si>
    <t>SERVICIO SALUD TALCAHUANO HOSPITAL PENCO-LIRQUEN</t>
  </si>
  <si>
    <t xml:space="preserve">OXIDO NITROSO MEDICINAL
</t>
  </si>
  <si>
    <t xml:space="preserve"> 07-02-2023</t>
  </si>
  <si>
    <t xml:space="preserve"> 08-02-2023</t>
  </si>
  <si>
    <t>50.000.000</t>
  </si>
  <si>
    <t>61.602.198-2</t>
  </si>
  <si>
    <t>JULIO FUENTES CIFUENTES</t>
  </si>
  <si>
    <t>juliocesar.fuentes@redsalud.gov.cl</t>
  </si>
  <si>
    <t>IRENE CABEZAS</t>
  </si>
  <si>
    <t>irene.cabezas@redsalud.gov.cl</t>
  </si>
  <si>
    <t>1057049-36-LE23</t>
  </si>
  <si>
    <t>SMG. ADQUISICION DE CATETER FOGARTY CODOS VENTILACION Y OTROS INSUMOS PARA LOS SERVICIOS CLINICOS DEL HCSBA</t>
  </si>
  <si>
    <t>El objetivo de la Propuesta es la adquisición de Catéter Fogarty, Codos Ventilación y Otros Insumos para los Servicios Clínicos del Hospital Clínico San Borja Arriarán, solicitados en las especificaciones técnicas, en concordancia con las Bases Administrativas, Técnicas, Formularios, aclaraciones y otros documentos que pudieran formularse en el transcurso de la licitación.</t>
  </si>
  <si>
    <t>877-3733 SET RESPIRADOR BIPAP RESPIRONICS ARMONY A30</t>
  </si>
  <si>
    <t>3692-7-L123</t>
  </si>
  <si>
    <t>CONTRATACIÓN DEL SERVICIO DE RECARGA DE OXIGENO MEDICINAL Y ARRIENDO DE TUBOS DE OXÍGENO</t>
  </si>
  <si>
    <t>Contrato de suministros y tiene como objeto la contratación del servicio de recarga de oxigeno medicinal y arriendo de tubos de oxígeno para los Establecimientos de Salud de la Municipalidad del Quisco.</t>
  </si>
  <si>
    <t>2703-44-L123</t>
  </si>
  <si>
    <t>SC 9997 Monitor y Oxímetros. CESFAM</t>
  </si>
  <si>
    <t>SC 9997, Monitor y Oxímetros. CESFAM</t>
  </si>
  <si>
    <t>Oxímetro adulto mide barra de pulso y curva pletismográfica y PI y PRbpm y SpO2, pantalla OLED, fácil lectura,precisión de saturación de oxigeno en sangre de 2%,apagado automático,alarma,indicador de batería,correa de mano,Tipo Choice MMed MD 300CN330</t>
  </si>
  <si>
    <t xml:space="preserve">22-02-2023	</t>
  </si>
  <si>
    <t>1260057-6-LE23</t>
  </si>
  <si>
    <t>COMPRA INSUMOS MEDICOS MARZO 2023</t>
  </si>
  <si>
    <t>ESTA LICITACION TIENE POR OBJETO LA COMPRA DE INSUMOS MEDICOS PARA EL HOSPITAL DE PEÑAFLOR, PERIODO MARZO 2023</t>
  </si>
  <si>
    <t>SERVICIO NACIONAL DE SALUD HOSPITAL DE P</t>
  </si>
  <si>
    <t>ARNES DE MASCARILLA VMNI</t>
  </si>
  <si>
    <t>2296-24-LE23</t>
  </si>
  <si>
    <t>1 MAQUINA PORTÁTIL DE ANESTESIA, 1 CONCENTRADOR DE OXIGENO, 1 KIT DE MASCARILLAS.</t>
  </si>
  <si>
    <t>2381-10-LE23</t>
  </si>
  <si>
    <t>ADQUISICIÓN DE UN MANIFOLD PARA LA RED DE OXIGENO</t>
  </si>
  <si>
    <t>ADQUISICIÓN DE UN MANIFOLD PARA LA RED DE OXIGENO MEDICO DEL SAR PAIPOTE</t>
  </si>
  <si>
    <t>Manifold Automático de Gas medico Hibrido automático, según bases adjuntas</t>
  </si>
  <si>
    <t>1057501-40-LR23</t>
  </si>
  <si>
    <t>La necesidad de contratar los servicios de suministros de terapia de oxido nítrico por inhalación, para dar continuidad a los tratamientos y procedimientos de pacientes beneficiarios del CASR.</t>
  </si>
  <si>
    <t>77-002-001-120-00 Terapia con Inomax (debe incluir todos los servicios indicados en las bases de licitación)</t>
  </si>
  <si>
    <t>SANDRA PÉREZ</t>
  </si>
  <si>
    <t>sperez@ssmso.cl</t>
  </si>
  <si>
    <t>RAVARAS@SSMSO.CL</t>
  </si>
  <si>
    <t>4193-3-LE23</t>
  </si>
  <si>
    <t>Suministro Oxígeno Médico y otros año 2023</t>
  </si>
  <si>
    <t>Las presentes bases tienen por objetivo determinar y definir las condiciones generales que se deberán aplicar para la licitación pública de “SUMINISTRO DE OXIGENO MEDICO Y OTROS, AÑO 2023”</t>
  </si>
  <si>
    <t>Contrato de Suministro de Oxígeno médico y otros Año 2023</t>
  </si>
  <si>
    <t>2069-8-LQ23</t>
  </si>
  <si>
    <t>CGM MANT PREV Y CORR RESONADOR MAGNETICO GE</t>
  </si>
  <si>
    <t>MANTENCIÓN PREVENTIVA Y CORRECTIVA RESONADOR MAGNÉTICO MARCA GENERAL ELECTRIC MODELO 1-5TLX TO 16 CHANNEL HDX UPG</t>
  </si>
  <si>
    <t>242.280.000</t>
  </si>
  <si>
    <t>1641-7-LR23</t>
  </si>
  <si>
    <t>GGV MANTENCION P Y C VENTILADORES MECANICOS</t>
  </si>
  <si>
    <t>mantencion preventiva y correctiva de ventiladores mecánicos invasivos y no invasivos por 24 meses para HSJD-CDT</t>
  </si>
  <si>
    <t>"MANTENCION CORRECTIVA  DE VENTILADORES MECANICOS INVASIVOS Y NO INVASIVOS"</t>
  </si>
  <si>
    <t>2448-5-LE23</t>
  </si>
  <si>
    <t>SUMINISTRO DE OXIGENO PERIODO 2023 APS</t>
  </si>
  <si>
    <t>Se requiere licitar Suministro de Oxígeno Periodo 2023.</t>
  </si>
  <si>
    <t>I MUNICIPALIDAD DE COQUIMBO</t>
  </si>
  <si>
    <t>SUMINISTRO DE OXIGENO PERIODO 2023 PARA LA APS COQUIMBO</t>
  </si>
  <si>
    <t>1057049-41-LE23</t>
  </si>
  <si>
    <t xml:space="preserve">SMG. ADQUISICION DE AEROCAMARAS PEDIATRICAS BASE CALEFACTORA Y OTROS </t>
  </si>
  <si>
    <t>El objetivo de la Propuesta es la adquisición de Aerocámaras Pediátricas, Base Calefactora Y Otros Insumos Los Servicios Clínicos del Hospital Clínico San Borja Arriarán, solicitados en las especificaciones técnicas, en concordancia con las Bases Administrativas, Técnicas, Formularios, aclaraciones y otros documentos que pudieran formularse en el transcurso de la licitación.</t>
  </si>
  <si>
    <t>877-0115 ARNES REUTILIZABLE P/ BIPAP HARMONY</t>
  </si>
  <si>
    <t>2101-17-LE23</t>
  </si>
  <si>
    <t>CONVENIO DE MANTENCIÓN GASES CLÍNICOS</t>
  </si>
  <si>
    <t>Mediante la presente propuesta pública el Hospital Intercultural Kallvu Llanka invita a oferentes, personas naturales o jurídicas a participar de una licitación pública correspondiente a la adquisición de servicios para la “SUSCRIPCIÓN DE CONVENIO DE MANTENCIÓN PREVENTIVA, CORRECTIVA, REPARATIVA Y ADQUISICIÓN DE REPUESTOS Y ACCESORIOS PARA SISTEMA DE DISTRIBUCIÓN DE GASES CLÍNICOS”, destinados a usuarios del Hospital.</t>
  </si>
  <si>
    <t>HOSPITAL INTERCULTURAL KALLVU LLANKA.-</t>
  </si>
  <si>
    <t>SUSCRIPCIÓN DE CONVENIO DE MANTENCIÓN PREVENTIVA, CORRECTIVA, REPARATIVA Y ADQUISICIÓN DE REPUESTOS Y ACCESORIOS PARA SISTEMA DE DISTRIBUCIÓN DE GASES CLÍNICOS</t>
  </si>
  <si>
    <t>2307-12-L123</t>
  </si>
  <si>
    <t xml:space="preserve">Adquisición Bomba de Vacio para Autoclave CESFAM Ovejeria </t>
  </si>
  <si>
    <t>La I. Municipalidad de Osorno, a través del Departamento de Salud requiere adquirir una bomba de vacío para Autoclave del CESFAM Ovejería, según las especificaciones  indicadas en el punto N°13 y lo solicitado a través de requerimiento N°101 .-</t>
  </si>
  <si>
    <t>I MUNICIPALIDAD DE OSORNO</t>
  </si>
  <si>
    <t>Se requiere la adquisición de 1 Bomba de vacío, con reparación, instalación y puesta en marcha. Ver Bases Punto 13</t>
  </si>
  <si>
    <t>1627-10-LE23</t>
  </si>
  <si>
    <t>INSUMOS EQUIPOS MEDICOS PLAN DE COMPRA 2023</t>
  </si>
  <si>
    <t>SE REQUIERE COMPRA DE INSUMOS PARA EQUIPOS MEDICOS</t>
  </si>
  <si>
    <t>SERVICIO DE SALUD HOSPITAL DE SAN FERNANDO</t>
  </si>
  <si>
    <t>"FLUJOMETRO DE OXIGENO DE CAUDAL 0-15 LPM PARA CILINDRO VALVULA PIN (YUGO)</t>
  </si>
  <si>
    <t>4162-3-LE23</t>
  </si>
  <si>
    <t>COMPRA DE INSUMOS CLINICOS PARA AMBOS CESFAM DE LA</t>
  </si>
  <si>
    <t>CONTAR CON LOS INSUMOS CLINICOS NECESARIO PARA EL NORMAL FUNCIONAMIENTO DE AMBOS CESFAM DE LA COMUNA DE DOÑIHUE</t>
  </si>
  <si>
    <t>I MUNICIPALIDAD DE DONIHUE</t>
  </si>
  <si>
    <t>OXIMETRO ADULTO SIMILAR A MARCA CHOICE MMED</t>
  </si>
  <si>
    <t>744835-40-L123</t>
  </si>
  <si>
    <t>SERVICIOS DE MANTENCIÓN RED DE GAS</t>
  </si>
  <si>
    <t>SEGÚN SOLICITUD DE MATERIALES N ° 31-2023, DE DEPTO. DE SALUD, CON REQUERIMIENTO DETALLADO.</t>
  </si>
  <si>
    <t>Servicio de Mantención Preventiva Red de Gases Medicinales, según de talle en requerimiento adjunto.</t>
  </si>
  <si>
    <t>2126-20-LE23</t>
  </si>
  <si>
    <t>ADQUISICION INSUMOS MEDICINA FISICA Y REHABILITA</t>
  </si>
  <si>
    <t>Abastecer al Hospital San Pablo de Coquimbo de los Insumos necesarios, para continuar con su normal funcionamiento.</t>
  </si>
  <si>
    <t>HOSPITAL DE COQUIMBO</t>
  </si>
  <si>
    <t>Valvulas threshold pep</t>
  </si>
  <si>
    <t>2157-8-LE23</t>
  </si>
  <si>
    <t>SERVICIO DE SUMINISTRO DE GASES CLÍNICOS PARA EL HOSPITAL TRAUMATOLÓGICO DE CONCEPCIÓN</t>
  </si>
  <si>
    <t>Se requiere servicio de suministro de gases clínicos, para abastecimiento de áreas clínicas.</t>
  </si>
  <si>
    <t>SERVICIO NAC DE SALUD HOSPITAL TRAUMATOLOGICO</t>
  </si>
  <si>
    <t>Servicio de suministro de gases clínicos para el Hospital Traumatológico de Concepción, según letra B Bases Técnicas.</t>
  </si>
  <si>
    <t>61.602.295-4</t>
  </si>
  <si>
    <t>Roberto Rios Pacheco</t>
  </si>
  <si>
    <t>rrios@ssconcepcion.cl</t>
  </si>
  <si>
    <t>Sandra Vidal Flores</t>
  </si>
  <si>
    <t>svidal@ssconcepcion.cl</t>
  </si>
  <si>
    <t>1075963-85-LE23</t>
  </si>
  <si>
    <t>ADQUISICION DE BRONCO CATH SQ EQUIPO ASPIRACION CONTINUO MALLA PREFORMADA AGUJA BIOPSIA CIRCUITO RESPIRATORIO CATETER LINEA INFUSION CONTINUA CANULA  TUBO ENDOTRAQUEAL MASCARILLA OXIGENO ADULTO Y OTROS INSUMOS CLINICOS</t>
  </si>
  <si>
    <t>ADQUISICION DE BRONCO CATH, SQ, EQUIPO ASPIRACION CONTINUO, MALLA PREFORMADA, AGUJA BIOPSIA, CIRCUITO RESPIRATORIO, CATETER, LINEA INFUSION CONTINUA, CANULA , TUBO ENDOTRAQUEAL, MASCARILLA OXIGENO ADULTO Y OTROS INSUMOS CLINICOS</t>
  </si>
  <si>
    <t>2227820 - AEROCAMARA  ADULTO  P/INHALACION - (UM: UNIDAD)</t>
  </si>
  <si>
    <t>3944-2-LE23</t>
  </si>
  <si>
    <t xml:space="preserve">1. Que, el Departamento de Salud de Peralillo busca proporcionar al CESFAM Peralillo, Contrato de Suministro, Recarga de Cilindros Oxigeno Medicinal por 24 meses con posibilidad de renovación por 12 Meses por una sola vez "Siendo el objetivo general de este convenio disponer de manera expedita de oxigeno medicinal evitando desabastecimiento e inconvenientes logísticos. </t>
  </si>
  <si>
    <t>ARRIENDO DIARIO POR CILINDRO DE GAS MEDICO</t>
  </si>
  <si>
    <t>1067355-5-LE23</t>
  </si>
  <si>
    <t>Contar con suministro permanente de oxigeno clinico para el Hospital Santa Elisa</t>
  </si>
  <si>
    <t>Suministro oxigeno clinico para cilindros de 10 metros cubicos</t>
  </si>
  <si>
    <t>2421-10-LE23</t>
  </si>
  <si>
    <t xml:space="preserve">SUMINISTRO DE OXIGENO DOMICILIARIO </t>
  </si>
  <si>
    <t>SE SOLICITA LA CONTRATACIÓN DEL SERVICIO DE OXÍGENO DOMICILIARIO DESTINADO A LOS USUARIOS DE LOS CENTROS DE SALUD DEPENDIENTES DE LA ILUSTRE MUNICIPALIDAD DE CONCEPCIÒN.</t>
  </si>
  <si>
    <t>Arriendo pack concentrador de oxigeno con flujo de hasta 5 litros por minuto y cilindro de respaldo SOS de 1 m3 o similar, incluye capacitación al familiar, traslado e instalación de los cilindros de oxigeno medicinal.</t>
  </si>
  <si>
    <t>1021609-2-LE23</t>
  </si>
  <si>
    <t>CONVENIO DE SUMINISTRO OXIGENO CRIOGENICO HOSPITAL RICARDO VALENZUELA SAEZ DE RENGO</t>
  </si>
  <si>
    <t>Se hace necesario contar con un Suministro constante de oxígeno líquido criogénico en atención de los pacientes del Hospital Dr. Ricardo Valenzuela Sáez de Rengo. Suministrar en forma oportuna y continua Oxígeno Líquido Criogénico al Hospital para la distribución en los distintos servicios clínicos del establecimiento Hospitalario. Contar con un Convenio de Suministro de Oxígeno Líquido Criogénico para 24 meses. Contar con un Sistema preventivo y de alertas para el correcto funcionamiento del suministro de oxígeno líquido criogénico</t>
  </si>
  <si>
    <t>SERVICIO DE SALUD HOSPITAL DE RENGO</t>
  </si>
  <si>
    <t>Oxigeno Liquido Criogenico</t>
  </si>
  <si>
    <t>1242031-4-L123</t>
  </si>
  <si>
    <t>ADQUISICION DE MATERIALES KINESIOLOGICO</t>
  </si>
  <si>
    <t>La Corporación de Deporte Municipal de Arauco, llama a licitación pública Adquisición de Materiales uso trabajos kinésico, para centro de rehabilitación de alto rendimiento</t>
  </si>
  <si>
    <t>CORPORACION MUNICIPAL DE DEPORTES DE LA COMUNA DE ARAUCO</t>
  </si>
  <si>
    <t>OXIMETRO DE PULSO</t>
  </si>
  <si>
    <t>2126-23-LR23</t>
  </si>
  <si>
    <t>CS.DM. DE CANULAS Y OTROS POR 24 MESES</t>
  </si>
  <si>
    <t>SERVICIO DE SALUD COQUIMBO HOSPITAL DE COQUIMBO</t>
  </si>
  <si>
    <t>222-0940 MASCARA ORONASAL PARA VMNI SIN VALVULA EXHALACION L , COMPATIBLE CON VENTILADOR (CARINA)</t>
  </si>
  <si>
    <t>2710-17-L123</t>
  </si>
  <si>
    <t>ADQUISICIÓN DE CILINDROS MEDICINALES PARA DESAM</t>
  </si>
  <si>
    <t>ADQUISICIÓN DE CILINDROS MEDICINALES PARA DESAM PARA COBERTURA A LAS NECESIDADES DE OXIGENO MEDICINAL EN LOS DISTINTOS DISPOSITIVOS DE LA COMUNA.</t>
  </si>
  <si>
    <t xml:space="preserve">Cilindros medicinal 0.6 mt3 - recargado </t>
  </si>
  <si>
    <t>4170-21-L123</t>
  </si>
  <si>
    <t>ADQUISICION  DE HERRAMIENTAS  PARA  TALLER  MUNICIPAL</t>
  </si>
  <si>
    <t>Ilustre Municipalidad de Galvarino</t>
  </si>
  <si>
    <t xml:space="preserve">CILINDRO DE  OXIGENO  6 M3 FIERRO  PART.VACIO,SEGUN TERMINOS DE REFERENCIA ADJUNTOS </t>
  </si>
  <si>
    <t>1057547-75-LP23</t>
  </si>
  <si>
    <t xml:space="preserve"> CONV SUMIN MATER PARA TALLER DE GASES CLÍNICOS</t>
  </si>
  <si>
    <t>CONVENIO SUMINISTRO DE MATERIALES PARA TALLER DE GASES CLÍNICOS DEL HOSPITAL BASE VALDIVIA</t>
  </si>
  <si>
    <t>6571202 Toma de aire embutida AGA (cuerpo)</t>
  </si>
  <si>
    <t>6672176 Concentrador de oxígeno Ref. Newlife Elite 5 LPM</t>
  </si>
  <si>
    <t>2284-60-L123</t>
  </si>
  <si>
    <t>OXIMETRO DE PULSO DESTINADO AL AREA DE SALUD MUNICIPAL. SOLICITUD Nº 46375</t>
  </si>
  <si>
    <t>OXIMETRO DE PULSO, SEGUN ESPECIFICACIONES TECNICAS Y FORMULARIO OFERTA ECONOMICA, ADJUNTO.</t>
  </si>
  <si>
    <t>3260-5-L123</t>
  </si>
  <si>
    <t>Abastecimiento de Oxigeno medico y Mantención técnica de cilindros”</t>
  </si>
  <si>
    <t>Con el objeto de abastecer de oxigeno a los establecimientos de salud de la comuna, este departamento cuenta con tubos y/o cilindros propios.</t>
  </si>
  <si>
    <t>Convenio de Suministro y Servicios para el ABASTECIMIENTO DE OXIGENO MEDICO Y MANTENCION TÉCNICA DE CILINDROS”.</t>
  </si>
  <si>
    <t>2989-2-LE23</t>
  </si>
  <si>
    <t>ABASTECIMIENTO OXIGENO MEDICINAL CESFAM</t>
  </si>
  <si>
    <t>CONVENIO DE SUMINISTRO ABASTECIMIENTO OXIGENO MEDICINAL PARA EL CESFAM DE LOS MUERMOS, DEPENDIENTE DEL DEPARTAMENTO DE SALUD DE LOS MUERMOS
Asegurar la entrega oportuna y eficiente del insumo oxigeno medicinal a Cesfam Los Muermos mediante un contrato de suministro, insumo es requerido en atenciones de los pacientes que asisten de forma regular a nuestro establecimiento de Salud</t>
  </si>
  <si>
    <t>I MUNICIPALIDAD DE LOS MUERMOS</t>
  </si>
  <si>
    <t>ABASTECIMIENTO OXIGENO MEDICINAL, EL INGRESO DE VALORES DEBE SER EN ANEXO N°8</t>
  </si>
  <si>
    <t>4484-6-LE23</t>
  </si>
  <si>
    <t>CONVENIO DE SUMINISTRO OXÍGENO AÑO 2023</t>
  </si>
  <si>
    <t>SE REQUIERE CONTRATAR UN CONVENIO DE SUMINISTRO DE ARRIENDO Y CARGA DE CILINDROS DE OXÍGENO, DE 6M3 Y DE 10M3, PARA EL CESFAM DR. SALVADOR ALLENDE GOSSENS Y POSTA RURAL DE LOS LOROS.</t>
  </si>
  <si>
    <t>ARRIENDO DE CILINDRO DE OXÍGENO 10M3</t>
  </si>
  <si>
    <t>4375-18-LE23</t>
  </si>
  <si>
    <t>“MENAJE DE BODEGA 2023”</t>
  </si>
  <si>
    <t>HGGB  requiere efectuar licitación pública “MENAJE DE BODEGA 2023”, para abastecer a las diversas unidades y servicios de menaje clínico, casino de acuerdo con lo solicitado y programado, para el año 2023.</t>
  </si>
  <si>
    <t>OXIMETRO DE PULSO PORTATIL. SE REQUIERE FICHA TÉCNICA Y FOTOGRAFÍA DE LO OFERTADO. COD. 040-315. SERV. MEDICINA, CARDIOLOGIA, SALUD MENTAL, URGENCIA ADULTO, CIRUGÍA, HOSP. DOMICILIARIA, SAMU.</t>
  </si>
  <si>
    <t>FRASCO HUMIDIFICADOR DE OXIGENO PARA RED AGA. SE REQUIERE FICHA TÉCNICA Y FOTOGRAFÍA DE LO OFERTADO. COD. 040-158. PROGRAMACIÓN SERV. PSIQUIATRÍA, ONCOLOGIA, URGENCIA ADULTO, UTI INDIFERENCIADO, UCI QUIRÚRGICA, PABELLÓN CMA, P. COLOPROCTOLOGIA, P. BRONCOP</t>
  </si>
  <si>
    <t>1057547-68-LE23</t>
  </si>
  <si>
    <t>CONV SUMIN OXIGENOTERAPIA DOMICILIARIA</t>
  </si>
  <si>
    <t>1 Recarga de cilindros de oxígeno gaseoso medicinal 0.7 m3</t>
  </si>
  <si>
    <t> Aurora Leiva Castillo</t>
  </si>
  <si>
    <t>aurora.leiva@redsalud.gob.cl</t>
  </si>
  <si>
    <t>marianela.beltran@redsalud.gob.cl</t>
  </si>
  <si>
    <t>2284-57-L123</t>
  </si>
  <si>
    <t>VALVULAS ENTRENADORAS DE MUSCULATURA RESPIRATORIA INSPIRATORIA DESTINADAS AL AREA DE SALUD MUNICIPAL. SOLICITUD Nº 46387</t>
  </si>
  <si>
    <t>VALVULAS ENTRENADORAS DE MUSCULATURA RESPIRATORIA INSPIRATORIA, SEGUN ESPECIFICACIONES TECNICAS Y FORMULARIO PRESENTACIÓN OFERTA ECONOMICA, ADJUNTO.</t>
  </si>
  <si>
    <t>2832-10-LE23</t>
  </si>
  <si>
    <t>LICITACION PUBLICA CONTRATO DE SUMINISTRO SERVICIO OXIGENO MEDICINAL</t>
  </si>
  <si>
    <t>LICITACIÓN PUBLICA CONTRATO DE SUMINISTRO SERVICIO OXIGENO MEDICINAL.</t>
  </si>
  <si>
    <t>“LICITACIÓN PÚBLICA CONTRATO
DE SUMINISTRO SERVICIO OXÍGENO MEDICINAL, I. MUNICIPALIDAD DE
QUILLOTA</t>
  </si>
  <si>
    <t xml:space="preserve">	24-07-2023</t>
  </si>
  <si>
    <t>2335-14-LE23</t>
  </si>
  <si>
    <t>INSUMOS CLINICOS OP 2881</t>
  </si>
  <si>
    <t>LAS NECESIDADES DEL DEPTO DE SALUD EN LA COMPRA DE INSUMOS CLINICOS PARA BODEGA FARMACIA Y SU POSTERIOR DISTRIBUCION A SUS DIFERENTES ESTABLECIMIENTOS DE SALUD, SEGUN LO SOLICITADO EN ORDENES DE PEDIDO Nª 28 Y 81.</t>
  </si>
  <si>
    <t>I MUNICIPALIDAD DE LINARES</t>
  </si>
  <si>
    <t>NIPLE CONEXIÓN DE OXIGENO X 50 UNIDAD…IGUAL O SIMILAR A GLOBAL HELTHCARE CONEXIÓN DE OXIGENO X 50 UNDS...</t>
  </si>
  <si>
    <t>617807-11-LP23</t>
  </si>
  <si>
    <t>CONVENIO DE SUMINISTRO DE GASES MEDICINALES Y ARRIENDO DE CILINDROS</t>
  </si>
  <si>
    <t xml:space="preserve"> Seleccionar un Proveedor reconocido, experto, cualificado y con experiencia en el mercado de suministro de gases medicinales y arriendo de cilindros, que posea un personal capacitado y comprometido con el servicio que se entregará.
 Desarrollar un Servicio de suministro de gases medicinales y arriendo de cilindro, enfocado en la buena calidad, buenas prácticas y atención al cliente.
</t>
  </si>
  <si>
    <t>CONVENIO DE SUMINISTRO DE GASES MEDICINALES  Y ARRIENDO DE CILINDROS, DE ACUERDO AL ANEXO N° 5</t>
  </si>
  <si>
    <t>1642-19-LQ23</t>
  </si>
  <si>
    <t>SERVI. SUMINISTRO DE OXÍGENO MEDICINAL E INSUMO HC</t>
  </si>
  <si>
    <t>SERVICIO DE SUMINISTRO DE OXÍGENO MEDICINAL E INSUMOS PARA EL HOSPITAL DE CURACAVÍ, OBJETIVOS: Contratar los servicios de una empresa externa que cumpla con todas las normas legales respectivas para realizar el suministro de carga de oxígeno medicinal con comodato de cilindros, dependiendo de la necesidad que surja semanalmente, por un periodo de 36 meses. 
Suministrar oxígeno a todas las unidades requirentes del Hospital de Curacaví, brindando así prestaciones de calidad a todos los usuarios de nuestra comuna.</t>
  </si>
  <si>
    <t>SERVICIO DE SALUD METROPOLITANO OCCIDENTE HOSPITAL DE CURACAVI</t>
  </si>
  <si>
    <t>Recarga Cilindros de 10 m3.</t>
  </si>
  <si>
    <t>3996-10-L123</t>
  </si>
  <si>
    <t>Servicio de oxigeno Medicinal 2023</t>
  </si>
  <si>
    <t>La necesidad de contar con Servicios de oxigeno Medicinal año 2023, para los usuarios de CESFAM Coltauco y sus establecimientos dependientes.</t>
  </si>
  <si>
    <t xml:space="preserve">Días de arriendo estimados (se cancelará de acuerdo a los días efectivamente utilizados) de cilindros de oxígeno, formato de 10 Metros Cúbicos, según Bases Administrativas adjuntas. </t>
  </si>
  <si>
    <t>1057421-8-LE23</t>
  </si>
  <si>
    <t>SERVICIO DE SALUD BIO BIO HOSPITAL DE LAJA</t>
  </si>
  <si>
    <t>mantención preventiva de gases clinicos</t>
  </si>
  <si>
    <t>5061-22-L123</t>
  </si>
  <si>
    <t>Servicio de suministro oxigeno medico, aire medicinal y arriendo de cilindros, para establecimientos de salud municipal. Según especificaciones técnicas adjuntas.</t>
  </si>
  <si>
    <t>Servicio de suministro oxigeno medico, aire medicinal y arriendo de cilindros, para establecimientos de salud municipal.
Según especificaciones técnicas adjuntas.</t>
  </si>
  <si>
    <t>812261-11-LR23</t>
  </si>
  <si>
    <t>SERVICIO DE OXIGENOTERAPIA ADULTO A DOMICILIO</t>
  </si>
  <si>
    <t>Las presentes bases de licitación son formuladas para establecer la regulación del proceso de adquisición del SERVICIO DE OXIGENOTERAPIA ADULTO DOMICILIARIO y reglamentan entre otros aspectos las condiciones que deben cumplir las ofertas, las etapas del proceso licitatorio, su forma de evaluación y adjudicación, las condiciones del contrato y todos los aspectos necesarios para el correcto proceso de adquisición.</t>
  </si>
  <si>
    <t xml:space="preserve">03-05-2023 17:00:58	</t>
  </si>
  <si>
    <t>5053-32-LQ23</t>
  </si>
  <si>
    <t>SUMINISTRO DE OXIGENO LIQUIDO MEDICINAL CRIOGÉNICO CON MANTENCIÓN PREVENTIVA A LOS MANIFOLD DE RESPALDO MÁS SUMINISTRO Y ARRIENDO DE ESTANQUE DE EMERGENCIA</t>
  </si>
  <si>
    <t xml:space="preserve">El objetivo de la presente licitación es la contratación de servicios del suministro de oxígeno líquido medicinal criogénico con mantención preventiva a los manifold de respaldo más suministro y arriendo de estanque de emergencia, a precios y calidad convenientes, con el fin de poder dar continuidad en los servicios que presta la institución, además del suministro </t>
  </si>
  <si>
    <t>SERVICIO DE SALUD DEL MAULE HOSPITAL DE TALCA</t>
  </si>
  <si>
    <t>SUMINISTRO DE OXIGENO LIQUIDO MEDICINAL CRIOGENICO. (Indicar valor de recarga del metro cúbico (m³))</t>
  </si>
  <si>
    <t>1272565-13-LQ23</t>
  </si>
  <si>
    <t>2DO LLAMADO CONVENIO DE SUMINISTRO DE GASES MEDICINALES ARRIENDO DE CILINDROSTRANSPORTE MANTENCIONES PREVENTIVA Y CORRECTIVAS DE BANCOS DE GASES MEDICINALES HOSPITAL DE ALTO HOSPICIO POR 18 MESES</t>
  </si>
  <si>
    <t>CONVENIO DE SUMINISTRO DE GASES MEDICINALES, ARRIENDO DE CILINDROS,TRANSPORTE, MANTENCIONES PREVENTIVA Y CORRECTIVAS DE BANCOS DE GASES MEDICINALES, HOSPITAL DE ALTO HOSPICIO, POR 18 MESES</t>
  </si>
  <si>
    <t>Suministro de Dióxido de Carbono Medicinal en Kg manifold (25 ~ 36)</t>
  </si>
  <si>
    <t>2196-2-LE23</t>
  </si>
  <si>
    <t xml:space="preserve">ADQUISICION SUMINISTRO DE GASES MEDICINALES </t>
  </si>
  <si>
    <t>CUBRIR NECESIDADES</t>
  </si>
  <si>
    <t>Hospital Psiquiátrico El Peral</t>
  </si>
  <si>
    <t>ARRIENDO DIARIO DE CILINDROS  6 METROS CUBICOS</t>
  </si>
  <si>
    <t>407-8-LQ23</t>
  </si>
  <si>
    <t>SUMINISTRO DE GASES MEDICINALES Y OTROS</t>
  </si>
  <si>
    <t>l Hospital Regional de Concepción, convoca a una licitación pública para contratar EL SERVICIO DE SUMINISTRO DE GASES MEDICINALES de tipo gaseoso, en forma oportuna y permanente, que abastecerá a todo el complejo Hospitalario. El contrato tendrá una vigencia de 36 meses.</t>
  </si>
  <si>
    <t>SUMINISTRO DE GASES MEDICINALES GASEOSO Y OTROS, según eett adjuntas. vigencia 36 meses</t>
  </si>
  <si>
    <t>KAREN FUENTES BECAR</t>
  </si>
  <si>
    <t>KAREN.FUENTES@SSCONCEPCION.CL</t>
  </si>
  <si>
    <t>1057536-6-LE23</t>
  </si>
  <si>
    <t>EQUIPOS Y EQUIPAMIENTOS PROYECTO PALENA II</t>
  </si>
  <si>
    <t>Adquisicion de equipos y equipamientos para  proyecto Palena  II</t>
  </si>
  <si>
    <t>FLUJÓMETRO,SEGUN ESPECIFICACIONES TECNICAS FORMULARIO  T-1.</t>
  </si>
  <si>
    <t>2201-5-LE23</t>
  </si>
  <si>
    <t>SERVICIO DE MANTENCIÓN DE GASES CLINICOS</t>
  </si>
  <si>
    <t>SERVICIO DE MANTENCIÓN PREVENTIVA Y CORRECTIVA DE CENTRAL Y RED MURAL DE GASES CLINICOS DEL INSTITUTO NACIONAL DE REHABILITACIÓN PEDRO AGUIRRE CERDA.</t>
  </si>
  <si>
    <t>INSTITUTO NACIONAL DE REHABILITACION PEDRO AGUIRRE CERDA</t>
  </si>
  <si>
    <t>SERVICIO DE MANTENCIÓN PREVENTIVA Y CORRECTIVA DE CENTRAL Y RED MURAL DE GASES CLINICOS</t>
  </si>
  <si>
    <t>750998-139-LP22</t>
  </si>
  <si>
    <t>Suministro de Oxígeno Medicinal 2</t>
  </si>
  <si>
    <t>La I. Municipalidad de Lo Espejo requiere la adquisición de suministro de oxígeno medicinal y aire medicinal, para abastecer a los distintos centros de salud y ambulancias de la comuna. Segundo llamado.</t>
  </si>
  <si>
    <t>Arriendo de cilindros de 10m3, 4m3, 1m3.</t>
  </si>
  <si>
    <t>1057439-117-LQ22</t>
  </si>
  <si>
    <t>C.S. Insumos para Kinesioterapia y Fonoaudiología</t>
  </si>
  <si>
    <t>Las presentes bases enmarcan los requerimientos de la Unidad de medicina Fisica y Rehabilitación del Hospital La Serena bajo la licitación “C.S. Insumos para Kinesioterapia y Fonoaudiología”,  con el fin de obtener el suministro de los insumos para la adecuada y oportuna atención de todos los pacientes del Hospital de La Serena, tanto en Atención Abierta como en la Atención Cerrada.</t>
  </si>
  <si>
    <t>SERVICIO DE SALUD COQUIMBO HOSPITAL LA SERENA</t>
  </si>
  <si>
    <t xml:space="preserve">Boquilla desechable para flujómetro </t>
  </si>
  <si>
    <t>2773-8-L123</t>
  </si>
  <si>
    <t>Mantención preventiva y correctiva sistema de gas</t>
  </si>
  <si>
    <t>La Municipalidad de Chiguayante a través de la dirección de administración de salud, requiere la mantención preventiva y correctiva de equipos y sistema de seguridad emplazadas dentro de las instalaciones del CESFAM Valle La Piedra, según lo contemplado en el convenio de apoyo a la gestión local enmarcado en el componente N°1 que se establece en su cláusula primera en las condiciones y modalidades que más adelante se expresan.</t>
  </si>
  <si>
    <t>Mantención preventiva y correctiva de equipos y sistema de gases clínicos</t>
  </si>
  <si>
    <t>2727-12-LE23</t>
  </si>
  <si>
    <t>INSUMOS E INSTRUMENTAL DE ENFERMERÍA CONVENIO GORE</t>
  </si>
  <si>
    <t>El Departamento de Salud de la Municipalidad de San Carlos, tiene la necesidad de llamar a licitación Pública, por la adquisición de insumos e instrumental de enfermería, necesarios para buen funcionamiento del servicio, de acuerdo a lo estipulado en Convenio GORE, Programa Fondo Social para el Desarrollo de Ñuble,</t>
  </si>
  <si>
    <t>ILUSTRE MUNICIPALIDAD DE SAN CARLOS</t>
  </si>
  <si>
    <t>SATUROMETROS U OXIMETROS DE PULSO, SEGUN ESPECIFICACIONES TECNICAS SEÑALADAS EN ANEXO 4</t>
  </si>
  <si>
    <t>2658-18-L123</t>
  </si>
  <si>
    <t>CILINDRO PARA QUIMICOS</t>
  </si>
  <si>
    <t>PARA LA DIRECCION DE OPERACIONES PARA TALLER DE SOLDADURA Y FORJA</t>
  </si>
  <si>
    <t>I MUNICIPALIDAD DE ANCUD</t>
  </si>
  <si>
    <t>CILINDRO DE ACETLINEO 5,5 KILOS CUBICOS APROXIMADOS CON CARGA SEGUN BASES</t>
  </si>
  <si>
    <t>1556-9-LE23</t>
  </si>
  <si>
    <t>Adquisición de Oxigeno y Gases Clínicos</t>
  </si>
  <si>
    <t>SERVICIO DE SALUD ATACAMA HOSPITAL DE CHANARAL</t>
  </si>
  <si>
    <t>Flete por cilindro (valor aproximado)</t>
  </si>
  <si>
    <t>1057420-12-L123</t>
  </si>
  <si>
    <t>ADQUISICIÓN DE INSUMOS PARA MATERNIDAD DEL HOSPITAL DE HUÉPIL</t>
  </si>
  <si>
    <t>Las presentes Bases, tienen por objeto establecer las disposiciones que regirán la Propuesta Pública para la ADQUISICIÓN DE INSUMOS PARA MATERNIDAD DEL HOSPITAL DE HUÉPIL.</t>
  </si>
  <si>
    <t>SERVICIO DE SALUD BIO BIO HOSPITAL DE HU</t>
  </si>
  <si>
    <t>SATUROMETRO ADULTO PORTATIL</t>
  </si>
  <si>
    <t>2348-54-LE22</t>
  </si>
  <si>
    <t>SERVICIO DE ARRIENDO Y CARGA DE OXIGENO 9 M3</t>
  </si>
  <si>
    <t>La Municipalidad de Punta Arenas, requiere prestación de servicio de arriendo y carga de oxigeno 9m3 para labores de la Dirección de Operaciones.</t>
  </si>
  <si>
    <t>I MUNICIPALIDAD DE PUNTA ARENAS</t>
  </si>
  <si>
    <t>Servicio arriendo cilindro de oxígeno de 9M3</t>
  </si>
  <si>
    <t>1070620-23-LQ23</t>
  </si>
  <si>
    <t>PVE SUMINISTRO DE OXIGENO MEDICINAL DOMICILIARIO</t>
  </si>
  <si>
    <t>PVE SUMINISTRO DE OXIGENO MEDICINAL DOMICILIARIO PARA EL HETG</t>
  </si>
  <si>
    <t>SUMINISTRO DE OXIGENO DOMICILIARIO, SEGUN ESPECIFICACIONES TECNICAS</t>
  </si>
  <si>
    <t xml:space="preserve">	05-06-2023</t>
  </si>
  <si>
    <t>2561-16-LE23</t>
  </si>
  <si>
    <t>OXIGENO MEDICINAL E INSUMOS</t>
  </si>
  <si>
    <t>ADQUISICION DE OXIGENO MEDICINAL E INSUMOS, SEGUN FICHA TECNICA, EN ADJUNTO EN LAS BASES.</t>
  </si>
  <si>
    <t>DIRECCION GENERAL DE GENDARMERIA DE CHILE</t>
  </si>
  <si>
    <t>1057417-30-LQ23</t>
  </si>
  <si>
    <t>CONVENIO DE MANTENCIÓN PREVENTIVA Y CORRECTIVA DE EQUIPOS MÉDICOS VENTILADORES MECÁNICOS  DEL COMPLEJO ASISTENCIAL “DR. VÍCTOR RÍOS RUIZ” LOS ÁNGELES</t>
  </si>
  <si>
    <t>CONVENIO DE MANTENCIÓN PREVENTIVA Y CORRECTIVA DE EQUIPOS MÉDICOS VENTILADORES MECÁNICOS DEL COMPLEJO ASISTENCIAL “DR. VÍCTOR RÍOS RUIZ” LOS ÁNGELES.</t>
  </si>
  <si>
    <t>LÍNEA N°1 CONVENIO DE MANTENCIÓN PREVENTIVA Y CORRECTIVA DE LOS EQUIPOS MÉDICOS INDICADOS EN EL FORMULARIO N°5.</t>
  </si>
  <si>
    <t>1950-16-LE23</t>
  </si>
  <si>
    <t>LIC. N 12-23 MANTENCIÓN VENTILADORES MECÁNICOS</t>
  </si>
  <si>
    <t>El Hospital Pitrufquén, requiere contratar el servicio de mantenimiento preventivo y correctivo por un periodo de 12 meses, con posibilidad de prórroga de 12 meses considerando Mantenciones Preventivas las que deberán tener una frecuencia de visitas, para asegurar la funcionalidad de los ventiladores mecánicos permitiendo una utilización segura y eficaz, tanto a los usuarios del Hospital Pitrufquén como a los funcionarios que manipulan estos equipos, las Mantenciones Correctivas se deberá realizar toda vez que el los equipo s quede n fuera de servicio, sin poder prestar la utilidad para lo cual fueron adquiridos. Esta situación falla inesperada en el equipo será informará de inmediato al adjudicatario, mediante una llamada telefónica y a través de un e-mail; a esta comunicación se le denominará llamada de emergencia.</t>
  </si>
  <si>
    <t>SERVICIO SALUD ARAUCANIA SUR HOSPITAL PITRUFQUEN</t>
  </si>
  <si>
    <t xml:space="preserve">LINEA N°2 DE LAS BASES MANTENCION PREVENTIVA Ventilador Mecánico no invasivo Y Ventilador Mecánico MARCA Phillips.2 MANTENCIONES ANUALES CADA EQUIPO (4 EN TOTAL)
</t>
  </si>
  <si>
    <t>1272565-15-LR23</t>
  </si>
  <si>
    <t>“2DO LLAMADO: CONVENIO SUMINISTRO DE OXIGENO CRIOGENICO CON ESTANQUE EN COMODATO PARA EL HOSPITAL DE ALTO HOSPICIO POR 60 MESES”</t>
  </si>
  <si>
    <t>“2DO LLAMADO: CONVENIO SUMINISTRO DE OXIGENO CRIOGENICO CON ESTANQUE EN COMODATO PARA EL HOSPITAL DE ALTO HOSPICIO POR 60 MESES”.
[Cantidad referencial se identifica en anexo económico]
La adjudicación será global al oferente que presente la mejor ofert</t>
  </si>
  <si>
    <t>1549-7-LR23</t>
  </si>
  <si>
    <t>SERVICIO DE SUMINISTRO DE OXIGENO DOMICILIARIO HSJ</t>
  </si>
  <si>
    <t>Este servicio corresponde a la entrega de oxigeno domiciliario de carácter transitorio, para pacientes adultos que se atiendan en el Hospital San José, ya sea con domicilio en el sector norte de la capital o fuera de este pero que pertenezca al convenio Arte Salud, el cual tendrá una duración de 60 meses, para satisfacer de manera adecuada y eficiente la labor asistencial del Hospital San José.</t>
  </si>
  <si>
    <t>SERVICIO DE SALUD METROPOLITANA NORTE HOSPITAL SAN JOSE</t>
  </si>
  <si>
    <t>SUMINISTRO DE OXIGENO DOMICILIARIO PARA PACIENTES DEL HOSPITAL SAN JOSÉ</t>
  </si>
  <si>
    <t>2448-23-LE23</t>
  </si>
  <si>
    <t>SUMINISTRO REDES DE GASES CLINICO 2023-2024</t>
  </si>
  <si>
    <t>Se requiere licitar el suministro de mantenimiento de redes de gases clínicos y sistemas relacionados, periodo 2023 y 2024, para la dar continuidad a la mantención, reparación e instalación en los distintos CESFAM de la APS Coquimbo.</t>
  </si>
  <si>
    <t>SUMINISTRO MANTENCION, REPARACION E INSTALACION DE REDES DE GASES CLINICOS Y SISTEMAS RELACIONADOS PERIODO 2023-2024</t>
  </si>
  <si>
    <t>1057503-32-LE23</t>
  </si>
  <si>
    <t>SUMINISTRO CONTINUO INSUMOS CLINICOS 20</t>
  </si>
  <si>
    <t>adquisición de insumos para el Hospital Padre Alberto Hurtado, solicitados en las especificaciones técnicas, en concordancia con las Bases Administrativas, Técnicas, Formularios, aclaraciones y otros documentos que pudieran formularse en el transcurso de la licitación</t>
  </si>
  <si>
    <t>HOSPITAL PADRE ALBERTO HURTADO</t>
  </si>
  <si>
    <t>04104100
NIPLE Y TUERCA, PARA OXIGENO</t>
  </si>
  <si>
    <t>1511-9-LE23</t>
  </si>
  <si>
    <t>SUMINISTRO DE GASES MEDICINALES</t>
  </si>
  <si>
    <t>DADA LA NECESIDAD DE REALIZAR SUMINISTRO DE OXIGENO MEDICINAL PARA HOSPITAL DE CONSTITUCION.</t>
  </si>
  <si>
    <t>Hospital de Constitución</t>
  </si>
  <si>
    <t xml:space="preserve">1 SUMINISTRO GASES MEDICINALES  </t>
  </si>
  <si>
    <t>1063538-49-LP23</t>
  </si>
  <si>
    <t>CONVENIO DE SUMINISTRO OXIGENO LIQUIDO MEDICINAL</t>
  </si>
  <si>
    <t>El Hospital Base San José Osorno, en adelante también el “Hospital”, requiere el Convenio De Suministro Oxigeno Liquido medicinal para el Hospital, de acuerdo a las condiciones establecidas en las presentes bases administrativas, económicas, técnicas y sus anexos. La forma de la presente licitación pública corresponde a aquellas adquisiciones entre 1000 y 2000 UTM</t>
  </si>
  <si>
    <t>211-0202 | OXIGENO LIQUIDO MEDICINAL</t>
  </si>
  <si>
    <t>4433-1-L123</t>
  </si>
  <si>
    <t>ARRIENDO Y CARGAS DE TUBOS DE OXIGENO MEDICINAL, PARA USO DE PACIENTES DEL CESFAM PAIHUANO Y POSTAS. CONTRATO POR 24 MESES.</t>
  </si>
  <si>
    <t>I MUNICIPALIDAD PAIHUANO</t>
  </si>
  <si>
    <t>8 cilindros 10m3
6 cilindros 6m3</t>
  </si>
  <si>
    <t>1947-29-LE23</t>
  </si>
  <si>
    <t xml:space="preserve">ADQUISICIÓN DE FILTROS BOQUILLAS PINZAS VALVULAS  PARA LA UNIDAD BRONCOPULMONAR </t>
  </si>
  <si>
    <t xml:space="preserve">Hospital Roberto Del Río, requiere la adquisición de filtros, boquillas, pinzas, válvulas y conectores para la unidad Broncopulmonar, por el periodo de 24 meses, y busca por medio del presente llamado satisfacer la demanda de los insumos </t>
  </si>
  <si>
    <t>SERVICIO DE SALUD NORTE HOSPITAL ROBERTO DEL RIO</t>
  </si>
  <si>
    <t>BOQUILLA PLÁSTICA P/ESPIROMETRÍA</t>
  </si>
  <si>
    <t>4170-32-L123</t>
  </si>
  <si>
    <t>ADQUISICION DE  HERRAMIENTAS   MECANICAS   PARA TALLER  DE  LA MUNICIPALIDAD</t>
  </si>
  <si>
    <t>ADQUISICION DE  HERRAMIENTAS   MECANICAS   PARA TALLER  DE  LA MUNICIPALIDAD DE  GALVARINO</t>
  </si>
  <si>
    <t>1642-20-LE23</t>
  </si>
  <si>
    <t>INSUMOS CLÍNICOS Y EQUIPOS MENORES</t>
  </si>
  <si>
    <t>INSUMOS CLÍNICOS Y EQUIPOS MENORES, AÑO 2023, DEL HOSPITAL DE CURACAVÍ.</t>
  </si>
  <si>
    <t>Rosio Martínez Farias</t>
  </si>
  <si>
    <t>rosio.martinez@redsalud.gov.cl</t>
  </si>
  <si>
    <t>Claudia Zavala</t>
  </si>
  <si>
    <t>claudia.zavala@redsalud.gov.cl</t>
  </si>
  <si>
    <t>3944-4-LE23</t>
  </si>
  <si>
    <t>Que, el Departamento de Salud de Peralillo busca proporcionar al CESFAM Peralillo, Contrato de Suministro, Recarga de Cilindros Oxigeno Medicinal por 24 meses con posibilidad de renovación por 12 Meses por una sola vez "Siendo el objetivo general de este convenio disponer de manera expedita de oxigeno medicinal evitando desabastecimiento e inconvenientes logísticos.</t>
  </si>
  <si>
    <t>956-35-LP23</t>
  </si>
  <si>
    <t>Adquisición de Equipos de Monitoreo II NHCV</t>
  </si>
  <si>
    <t>El Servicio de Salud Valparaíso - San Antonio, en adelante el SSVSA, ha confeccionado las siguientes Bases Administrativas, las que establecen las disposiciones administrativas que regirá la Licitación Pública a través del portal www.mercadopublico.cl y posterior Contrato que celebre el SSVSA para la Adquisición de Equipos de Monitoreo II para el nuevo Hospital Claudio Vicuña de San Antonio.
Cada una de las cláusulas contenidas en las presentes Bases Administrativas de esta Licitación, se considerarán incorporadas en el respectivo Contrato, haciéndose el o los proveedores adjudicados, responsable del cumplimiento que de tales documentos se deriven. 
La descripción de los Bienes requeridos corresponde a los siguientes equipos: 
- 05 Capnógrafo.
- 17 Detector de latidos cardiofetales.
- 08 Electrocardiógrafo.
- 01 Electrocardiógrafo 12 derivaciones.
- 03 Monitor cardiofetal.
- 05 Monitor de apnea.
- 12 Oxímetro de pulso.
 Cabe mencionar que las especificaciones técnicas de los bienes a adquirir se encuentran detalladas en el Formulario Nº 2.</t>
  </si>
  <si>
    <t>Oxímetro de pulso, los detalles del producto se encuentran en el formulario N°2</t>
  </si>
  <si>
    <t>1075337-25-LR23</t>
  </si>
  <si>
    <t>Sum. Catéteres e Insumos Generales para Ss. H- A</t>
  </si>
  <si>
    <t>La presente licitación tiene como objetivo la compra de catéteres endovascular e insumos quirúrgicos generales para Unidad de Cirugía Vascular y otros servicios del Hospital de Angol del Hospital Dr. Mauricio Heyermann Torres de Angol.</t>
  </si>
  <si>
    <t>SERVICIO DE SALUD ARAUCANIA NORTE HOSPITAL DE ANGOL</t>
  </si>
  <si>
    <t>KIN010003 FLUJOMETRO RANGO COMPLETO PERSONAL BEST</t>
  </si>
  <si>
    <t>886954-95-LE23</t>
  </si>
  <si>
    <t>CONVENIO DE SUMINISTROS AEROCAMARA VALVULA DE FONACION Y ENTRENAMIENTO PARA EL HGGB 2023</t>
  </si>
  <si>
    <t>PARA ATENCION PRONTA Y OPORTUNA DE LOS PACIENTES DEL HGGB</t>
  </si>
  <si>
    <t>VALVULA DE ENTRENAMIENTO MUSCULAR RESPIRATORIO TRESHOLD LT // 222-957</t>
  </si>
  <si>
    <t>948355-14-LE23</t>
  </si>
  <si>
    <t>HOSDIP CL1603. MASCARILLA FACIAL TOTAL TALLA ‘’L’’ DE 14 CM. (LARGO) X 12 CM. (ALTURA) APROX. CON ARNÉS DE SORPORTE. PARA CUBRIR BOCA, NARIZ Y OJOS. ESTRUCTURA TRANSPARENTE, COJIN DE SILICONA SUAVE INTEGRADO A LA ESTRUCTURA DE LA MASCARILLA.</t>
  </si>
  <si>
    <t>4476-5-LE23</t>
  </si>
  <si>
    <t>CONTRATO DE SUMINISTRO RECARGAS Y ARRIENDOS DE CILINDROS DE OXIGENO</t>
  </si>
  <si>
    <t>Adquisición de Servicios por suministro de recargas y arriendos de cilindros de Oxígeno para establecimientos de Salud de la Comuna.</t>
  </si>
  <si>
    <t>Servicio de suministro y arriendos de cilindros de Oxígeno establecimientos de salud dependientes del Depto. de Salud de Romeral conforme a bases adjuntas en anexo.</t>
  </si>
  <si>
    <t>564162-18-L123</t>
  </si>
  <si>
    <t>Solicitud N° 63767 - cc 117 - Mantención en red de gases</t>
  </si>
  <si>
    <t>La Universidad de Santiago de Chile requiere la contratación del servicio de mantención en red de gases que se indica. 
Lugar: Edificio de alimentos. Laboratorio de envases. Obispo Manuel Umaña
050 Estación Central</t>
  </si>
  <si>
    <t>UNIVERSIDAD DE SANTIAGO DE CHILE</t>
  </si>
  <si>
    <t>Mantención de redes de gases especiales para equipos de permeabilidad y análisis térmico</t>
  </si>
  <si>
    <t>3740-5-LE23</t>
  </si>
  <si>
    <t>INSUMOS GENERALES CES Y PSR SEMESTRAL</t>
  </si>
  <si>
    <t>ADQUIRIR INSUMOS GRALES. PARA ASEGURAR UN SERVICIO DE ATENCION DE CALIDAD Y SEGURO HACIA NUESTROS USUARIOS DE APS.</t>
  </si>
  <si>
    <t>REGULADOR DE O2 CON ADAPTADOR TIPO YUGO.
Regulador de oxígeno con adaptador tipo yugo para entrada CGA 870.
Cantidad: 1.
Especificaciones: 
Conexión CGA 870
Manómetro de entrada de 0-280 kg/cm2
Flujómetro de 0-15 lts/min. con válvula para control de</t>
  </si>
  <si>
    <t>SATUROMETROS PEDIATRICOS/NIÑO</t>
  </si>
  <si>
    <t>1488-9-LP23</t>
  </si>
  <si>
    <t>PPTA 54-23 “CONTRATACIÓN DE SERVICIOS DE MANTENCIÓN PREVENTIVA Y REPARATIVA DE EQUIPO RESONADOR MAGNÉTICO MAGNETOM SYMPHONY DEL SERVICIO DE IMAGENOLOGÍA DEL HOSPITAL”</t>
  </si>
  <si>
    <t>Se requiere la “CONTRATACIÓN DE SERVICIOS DE MANTENCIÓN PREVENTIVA Y REPARATIVA DE EQUIPO RESONADOR MAGNÉTICO MAGNETOM SYMPHONY DEL SERVICIO DE IMAGENOLOGÍA DEL HOSPITAL”, en adelante; “el servicio”, con una vigencia de 12 meses, acorde a las condiciones definidas en estas bases. La contratación del servicio se realizará en concordancia con la legislación vigente y las Bases Administrativas, Especificaciones Técnicas y Anexos que constituyen el referido llamado a Licitación, con equipamiento y personal necesario para realizar los trabajos.</t>
  </si>
  <si>
    <t>SERVICIOS DE MANTENCIÓN PREVENTIVA Y REPARATIVA DE EQUIPO RESONADOR MAGNÉTICO MAGNETOM SYMPHONY (Periodicidad bimestral + mantención tipo full todo incluido + carga de Helio (1.500 L) + reparativas necesarias)</t>
  </si>
  <si>
    <t>1271359-28-L123</t>
  </si>
  <si>
    <t>REGULADORES DE OXÍGENO MEDICINAL CON FLUJÓMETRO</t>
  </si>
  <si>
    <t>SE SOLICITAN CINCUENTA (50) UNIDADES DE REGULADORES DE OXÍGENO MEDICINAL.
INCLUIR:
- FLUJÓMETRO
- HUMIFICADOR
- CANULA DE PRESIÓN DE TRABAJO 0-15 LPM, CONEXIÓN CGA-540</t>
  </si>
  <si>
    <t>CORP MUNICIPAL DE DESARROLLO SOCIAL DE LAMPA</t>
  </si>
  <si>
    <t>REGULADOR DE OXÍGENO MEDICINAL.</t>
  </si>
  <si>
    <t>1057390-27-LE23</t>
  </si>
  <si>
    <t>COMPRA DE INSUMOS CLÍNICOS E INSUMOS DE ASEO SAMU</t>
  </si>
  <si>
    <t>La presente licitación tiene como objetivo, la necesidad de adquirir insumos clínicos para las ambulancias de las Bases SAMU dependientes del Servicio de Salud Araucanía Norte, con la necesidad de tener equipos completamente operativos, garantizando una mayor fiabilidad, confiabilidad y seguridad al momento de utilizar estos móviles en pacientes graves y adquirir insumos de aseo para garantizar la seguridad sanitaria del personal y de los pacientes que hacen uso de las ambulancias.</t>
  </si>
  <si>
    <t>FLUJÓMETRO 0-15 lpmP/ OXÍGENO CONEXIÓN DISS</t>
  </si>
  <si>
    <t>1057544-82-LQ23</t>
  </si>
  <si>
    <t>CONTRATACIÓN DE SUMINISTRO DE OXÍGENO LIQUIDO MEDICINAL A GRANEL PARA ESTANQUES DEL HOSPITAL LAS HIGUERAS TALCAHUANO</t>
  </si>
  <si>
    <t>Las presentes especificaciones técnicas, tienen por objetivo la contratación de suministro de oxígeno líquido medicinal a granel, incluyendo cilindros de oxígeno en sala de respaldo para toda la red, el transporte, el mantenimiento, monitoreo continuo y remoto de los estanques, del consumo y el abastecimiento oportuno sin quiebre de stock para el uso medicinal del oxígeno, de acuerdo a las especificaciones técnicas adjuntas.</t>
  </si>
  <si>
    <t>Contratación de servicios de suministro de oxígeno medicinal a granel, de acuerdo a Formulario N°6, valor m3.</t>
  </si>
  <si>
    <t>1057049-91-LE23</t>
  </si>
  <si>
    <t>CSP -ADQUISICIÓN DE CILINDROS Y EQUIPOS PARA REDES</t>
  </si>
  <si>
    <t>El objetivo de la Propuesta, es Adquisición de Cilindros y Equipos para Redes de Unidad de Gases Clínicos para Hospital Clínico San Borja Arriarán, solicitada en las especificaciones técnicas, en concordancia con las Bases Administrativas, técnicas, formularios, aclaraciones y otros documentos que pudieran formularse en el transcurso de la licitación.
Se entenderá que todo proveedor conoce y acepta irrevocablemente el contenido de estas Bases, por el solo hecho de presentar ofertas en este proceso de licitación.</t>
  </si>
  <si>
    <t>ADQUISICIÓN DE CILINDROS Y EQUIPOS PARA REDES DE UNIDAD DE GASES CLÍNICOS PARA HOSPITAL CLÍNICO SAN BORJA ARRIARÁN</t>
  </si>
  <si>
    <t>1057049-90-LE23</t>
  </si>
  <si>
    <t>CSP -  REPUESTOS PARA EQUIPOS DE REDES GASES CLINI</t>
  </si>
  <si>
    <t>El objetivo de la Propuesta, es Adquisición de Repuestos para Equipos de Redes Unidad de Gases Clínicos del Hospital Clínico San Borja Arriarán, solicitada en las especificaciones técnicas, en concordancia con las Bases Administrativas, técnicas, formularios, aclaraciones y otros documentos que pudieran formularse en el transcurso de la licitación.
Se entenderá que todo proveedor conoce y acepta irrevocablemente el contenido de estas Bases, por el solo hecho de presentar ofertas en este proceso de licitación.</t>
  </si>
  <si>
    <t>ADQUISICIÓN DE REPUESTOS PARA EQUIPOS DE REDES UNIDAD DE GASES CLÍNICOS</t>
  </si>
  <si>
    <t>418-24-LQ23</t>
  </si>
  <si>
    <t>INSTALACIÓN Y SUMINISTRO DE ESTANQUE CRIOGÉNICO</t>
  </si>
  <si>
    <t>“INSTALACIÓN Y SUMINISTRO DE ESTANQUE DE OXÍGENO CRIOGÉNICO Y OBRAS ANEXAS”, con la finalidad proveer de equipamiento necesario para suministrar de oxígeno criogénico al Hospital de Puerto Aysén, considerando toda obra e instalación que requiera anexarse para el cumplimiento de dicha necesidad.</t>
  </si>
  <si>
    <t>SERVICIO NACIONAL DE SALUD HOSPITAL DE PUERTO AYSEN</t>
  </si>
  <si>
    <t>INSTALACIÓN Y SUMINISTRO DE ESTANQUE DE OXÍGENO CRIOGÉNICO Y OBRAS ANEXAS</t>
  </si>
  <si>
    <t>2186-7-LE23</t>
  </si>
  <si>
    <t>CONVENIO DE SUMINISTRO DE INSUMOS MEDICOS</t>
  </si>
  <si>
    <t>HOSPITAL GERIATRICO LA PAZ DE LA TARDE</t>
  </si>
  <si>
    <t>OXIMETRO PULSO</t>
  </si>
  <si>
    <t>2986-37-LE23</t>
  </si>
  <si>
    <t>ADQUISICION IMPLEMENTOS CLINICOS</t>
  </si>
  <si>
    <t>ADQUISICION IMPLEMENTOS CLINICOS PARA CESFAM TOMAS ROJAS VERGARA DE LA COMUNA DE LOS LAGOS</t>
  </si>
  <si>
    <t>OXIMETRO DE PULSO ADULTO TIPO CHOICEMMED INCLUYE 2 PILAS AAA ALCALINAS, CORREA Y FUNDA.</t>
  </si>
  <si>
    <t>2942-5-LE23</t>
  </si>
  <si>
    <t>CONVENIO DE SUMINISTRO DE OXIGENO MEDICINAL</t>
  </si>
  <si>
    <t>ADQUIRIR CONVENIO DE SUMINISTRO DE ABASTECIMIENTO DE OXIGENO MEDICINAL PARA EL CESFAM SAN PABLO.</t>
  </si>
  <si>
    <t>I MUNICIPALIDAD DE SAN PABLO</t>
  </si>
  <si>
    <t>CONVENIO DE SUMINISTRO DE ABASTECIMIENTO DE OXIGENO MEDICINAL</t>
  </si>
  <si>
    <t>69.210.202-9</t>
  </si>
  <si>
    <t>PAULA VARGAS H</t>
  </si>
  <si>
    <t>FINANZAS@SALUDSANPABLO.CL</t>
  </si>
  <si>
    <t>3874-6-L123</t>
  </si>
  <si>
    <t>CONVENIO DE SUMINISTRO PARA SERVICIO DE OXIGENO MÉ</t>
  </si>
  <si>
    <t>La necesidad de contar con suministro de oxigeno medico para el departamento de salud Rauco. Se solicita cargas de oxígeno médico de las siguientes capacidades: 0.4 M3, 0.7M3, 1M3, 6M3, 10M3, de acuerdo a lo indicado en las bases de licitación en adjunto.</t>
  </si>
  <si>
    <t>I MUNICIPALIDAD DE RAUCO</t>
  </si>
  <si>
    <t>Se solicita cargas de oxígeno médico de las siguientes capacidades: 0.4 M3, 0.7M3, 1M3, 6M3, 10M3, más el servicio de flete, arriendos mensuales, las pruebas hidrostáticas que se requieran, cambio válvula de cilindros particulares, para el buen funcio</t>
  </si>
  <si>
    <t>4030-4-L123</t>
  </si>
  <si>
    <t>ADQUISICION DE OXIGENO</t>
  </si>
  <si>
    <t>ADQUISICION DE RECARGA DE OXIGENO</t>
  </si>
  <si>
    <t>recarga cilindro de oxigeno 0.7</t>
  </si>
  <si>
    <t>1523-31-LP23</t>
  </si>
  <si>
    <t>Bases Administrativas y Técnicas Propuesta Pública N.º 0523 “SUMINISTRO DE OXIGENO LIQUIDO HOSPITAL DE LAUTARO”</t>
  </si>
  <si>
    <t>Bases Administrativas y Técnicas Propuesta Pública N.º 05/23 “SUMINISTRO DE OXIGENO LIQUIDO, HOSPITAL DE LAUTARO”</t>
  </si>
  <si>
    <t>SERVICIO NACIONAL ARAUCANIA SUR HOSPITAL DR ABRAHAM GODOY PENA LAUTARO</t>
  </si>
  <si>
    <t>El contrato considerará, además, y sin costo para el hospital, lo siguiente: • Provisión e instalación de estanque de oxígeno de 1500 galones aprox. • Estación criogénica, instalaciones complementarias y telemetría • Construcción de cierre perimetral y</t>
  </si>
  <si>
    <t>514847-3-L123</t>
  </si>
  <si>
    <t>Recarga Oxigeno Medicinal y Arriendo de Cilindros</t>
  </si>
  <si>
    <t>Existe la necesidad de tener Contrato de Suministro para la Recarga de Oxígeno Medicinal y Arriendo de Cilindros y de esa manera mantener permanentemente operativas las distintas unidades kinésicas del DSM</t>
  </si>
  <si>
    <t>I MUNICIPALIDAD DE LAUTARO</t>
  </si>
  <si>
    <t>Contrato de Suministro Recargo de Oxígeno Medicinal y Arriendo de Cilindros de Oxígeno,según Especificaciones en Bases Administrativas.</t>
  </si>
  <si>
    <t>5350-9-LE23</t>
  </si>
  <si>
    <t>CONVENIO GASES CLÍNICOS Y MEDICINALES</t>
  </si>
  <si>
    <t>CONVENIO PARA GASES CLÍNICOS Y MEDICINALES</t>
  </si>
  <si>
    <t>GASES CLÍNICOS Y MEDICINALES</t>
  </si>
  <si>
    <t> 24-03-2023 12:42:00</t>
  </si>
  <si>
    <t>1075963-156-L123</t>
  </si>
  <si>
    <t>MANTENCION CORRECTIVA DE ESTANQUE CRIOGENICO.</t>
  </si>
  <si>
    <t xml:space="preserve">MANTENCION CORRECTIVA DE ESTANQUE CRIOGENICO.
</t>
  </si>
  <si>
    <t>2153-25-LE23</t>
  </si>
  <si>
    <t>INSUMOS MEDICOS RES 730</t>
  </si>
  <si>
    <t>4-234 FLUJOMETRO CILINDRO CONEXION TUERCA</t>
  </si>
  <si>
    <t>2701-16-L123</t>
  </si>
  <si>
    <t>ARTICULOS MEDICOS SOLICITADOS PARA TALAVECINOS</t>
  </si>
  <si>
    <t>NECESIDAD PARA IMPLEMENTACION AMBULANCIAS MUNICIPALES</t>
  </si>
  <si>
    <t xml:space="preserve">OXIMETRO DE PULSO 
</t>
  </si>
  <si>
    <t>2115-9-LR23</t>
  </si>
  <si>
    <t>CONTRATACION DE SUMINISTRO DE INSUMOS CLINICOS</t>
  </si>
  <si>
    <t>CONTRATACIÓN DE SUMINISTRO DE INSUMOS CLÍNICOS PARA EL CENTRO DE REFERENCIA DE SALUD DE MAIPÚ</t>
  </si>
  <si>
    <t xml:space="preserve">OXIMETRO DE PULSO (SATUROMETRO) (ver Ficha adjunta)
</t>
  </si>
  <si>
    <t xml:space="preserve">VALVULA THRESHOLD IMT, (ver Ficha adjunta)
</t>
  </si>
  <si>
    <t>1417-8-L123</t>
  </si>
  <si>
    <t>Servicio mantenimiento equipos de respiración autónoma (SCBA) y analizador de gases</t>
  </si>
  <si>
    <t>DIRECCION GENERAL DE AERONAUTICA CIVIL</t>
  </si>
  <si>
    <t xml:space="preserve">Mantenimiento manómetro cilindro  por filtración, marca ISI </t>
  </si>
  <si>
    <t>1620-16-LE23</t>
  </si>
  <si>
    <t>Insumos Clínicos</t>
  </si>
  <si>
    <t>Adquisición de Insumos Clínicos para Abastecer Bodegas</t>
  </si>
  <si>
    <t>SERVICIO DE SALUD HOSPITAL DE CHIMBARONGO</t>
  </si>
  <si>
    <t>Niple Universal, INDICAR FECHA DE VENCIMIENTO, MARCA Y PLAZO DE ENTREGA.</t>
  </si>
  <si>
    <t>1623-4-LE23</t>
  </si>
  <si>
    <t>SUMINISTRO DE OXIGENO MEDICO HOSPITAL PEUMO</t>
  </si>
  <si>
    <t>Convenio de suministro de oxigeno medico para abastecer la demanda de pacientes del Hospital de Peumo. Debe ser realizado en los formatos indicados en las bases de la licitación.</t>
  </si>
  <si>
    <t>SERVICIO DE SALUD HOSPITAL DE PEUMO</t>
  </si>
  <si>
    <t>RECARGA DE OXIGENO GRADO MEDICO CILINDRO 0,4M3</t>
  </si>
  <si>
    <t>1947-12-LQ23</t>
  </si>
  <si>
    <t>CONTRATACIÓN DEL SERVICIO DE TERAPIA DE ÓXIDO NÍTRICO ARRIENDO DE EQUIPO Y TEST DE REACTIVIDAD VASCULAR PARA EL HOSPITAL DE NIÑOS DR. ROBERTO DEL RÍO [NDJ]</t>
  </si>
  <si>
    <t>El Hospital de niños Dr. Roberto del Rio para dar cumplimiento a las funciones, requiere la contratación del servicio de terapia de óxido nítrico, arriendo de equipo y test de reactividad por un periodo de 16 meses.</t>
  </si>
  <si>
    <t>20-0018 Servicio de hora terapia óxido nítrico</t>
  </si>
  <si>
    <t>Rubén Espinoza Maldonado</t>
  </si>
  <si>
    <t>ruben.espinozam@redsalud.gov.cl</t>
  </si>
  <si>
    <t>1067355-8-LE23</t>
  </si>
  <si>
    <t>Convenio suministro de mantenimiento preventivo y correctivo para central y redes de gases clinicos Hospital Santa Elisa</t>
  </si>
  <si>
    <t>De acuerdo a lo estipulado en la Resolución Exenta N° 927 de fecha 17.03.2023.</t>
  </si>
  <si>
    <t>4457-26-LE23</t>
  </si>
  <si>
    <t>CONTRATO SERVICIO  OXIGENO GASEOSO MEDICINAL  DOMI</t>
  </si>
  <si>
    <t>CONTRATO SERVICIO OXIGENO GASEOSO MEDICINAL - DOMICILIARIO Y OTROS ACCESORIOS  PARA  DIRECCION SALUD MUNICIPAL.
SOLICITUD DE ADQUISICIONES N 81 ID DOC 697854 DE FECHA 08.03.2023</t>
  </si>
  <si>
    <t>CONTRATO  DE SERVICIO  OXIGENO GASEOSO MEDICINAL-OXIGENO DOMICILIARIO Y OTROS ACCESORIOS PARA LA DIRECCION DE SALUD.</t>
  </si>
  <si>
    <t>ALEJANDRO ROMERO BASCUR</t>
  </si>
  <si>
    <t>aleromerob33@gmail.com</t>
  </si>
  <si>
    <t>Angelica Herrera Gacitua</t>
  </si>
  <si>
    <t>dashualqui.jefafinanzas@gmail.com</t>
  </si>
  <si>
    <t>2274-26-LP23</t>
  </si>
  <si>
    <t>ADQUISICION INSUMOS PARA MEDICION PULMONAR DEC.1706</t>
  </si>
  <si>
    <t>CESFAM COMUNA DE LA PINTANA</t>
  </si>
  <si>
    <t>FLUJOMETRO MINI-WEIGHT PEDIATRICO (NUEVA REF PF 440)</t>
  </si>
  <si>
    <t>FLUJOMETRO MINI-WRIGHT USA</t>
  </si>
  <si>
    <t>2153-26-LP23</t>
  </si>
  <si>
    <t>Suministro de Oxígeno Criogénico Medicinal</t>
  </si>
  <si>
    <t>La presente licitación tiene por objetivo contar con el Suministro de Oxígeno Criogénico Medicinal y su Servicios Conexos necesarios para la gestión asistencial del Complejo, en forma permanente para dar un buen servicio con efectividad, seguridad y condiciones de calidad.</t>
  </si>
  <si>
    <t>La presente licitación tiene por objetivo contar con el Suministro de Oxígeno Criogénico Medicinal.</t>
  </si>
  <si>
    <t>1274285-12-L123</t>
  </si>
  <si>
    <t>Adquisicion de Oximetros</t>
  </si>
  <si>
    <t>Abastecer de las unidades de oxímetros requeridas por la dirección de Salud.</t>
  </si>
  <si>
    <t>CORPORACION MUNICIPAL DE EDUCACION Y SALUD DE SAN BERNARDO</t>
  </si>
  <si>
    <t>Se solicita la compra de 6 oximetros de
pulso dactilar, portátil, para adulto, para
uso en pulgares y dedos de los pies, con
precisión máximo de /-2% y tecnología
Pure SAT SpO2, tipo Nonin 9590 Dactilar
Vantage Onyx - Negro, similar o superior.</t>
  </si>
  <si>
    <t>5061-40-L123</t>
  </si>
  <si>
    <t xml:space="preserve">S73 Adquisición de (30) reguladores de oxigeno + flujometros (9) reguladores de oxigeno + flujometro cúpula para conexión tuerca 3/4, para Establecimientos de Salud Municipal </t>
  </si>
  <si>
    <t>Adquisición de (30) reguladores de oxigeno  flujometros (9) reguladores de oxigeno  flujometro cúpula para conexión tuerca 3/4, para Establecimientos de Salud Municipal, Según especificaciones técnicas adjuntas.</t>
  </si>
  <si>
    <t>1075963-603-LR22</t>
  </si>
  <si>
    <t>CONVENIO DE SUMINISTROS DE HOJAS DE SIERRA PUNTAS RADIOFRECUENCIA CIRCUITOS DE VENTILACIÓN Y ANESTESIA ASAS POLIPECTOMIA PAPELES ECG Y OTROS</t>
  </si>
  <si>
    <t xml:space="preserve">SE DEBEN ADJUNTAR TODOS LOS ANEXOS CON SUS RESPECTIVAS FIRMAS DEL REPRESENTANTE LEGAL. SEGÚN LO INDICADO EN BASES ADMINISTRATIVA ART N°13: DE LA PRESENTACIÓN DE LA PROPUESTA. ADEMAS, ADJUNTAR COPIA DE LA BOLETA DE SERIEDAD DE LA OFERTA EN LOS ARCHIVO ADJUNTOS Y LA ESCRITURA DE CONSTITUCIÓN DE LA SOCIEDAD ACTUALIZADA EN LA CUAL ESTÉN LOS REPRESENTANTE LEGALES. EN EL CASO DE QUE LA BOLETA DE GARANTÍA DE SERIEDAD DE LA OFERTA SEA EMITIDA EN FORMA ELECTRÓNICA, ESTA DEBERÁ SER ENVIADA A LOS SIGUIENTES CORREOS: teresa.romero@hjnc.cl, rodrigo.soriano@hjnc.cl, roberto.gutierrez@hjnc.cl, daniel.sepulveda@hjnc.cl, pamela.donoso@hjnc.cl.
</t>
  </si>
  <si>
    <t>OXIMETRO DIGITAL DE PULSO (3470813)</t>
  </si>
  <si>
    <t>2803-6-L123</t>
  </si>
  <si>
    <t>OXIGENO MEDICINAL PARA EL DEPARTAMENTO DE SALUD</t>
  </si>
  <si>
    <t>Se requiere contratar un servicio por el arriendo yo compra de cilindros de oxigeno, recarga de oxigeno medicinal, insumos y mantenciones preventivas de las instalaciones y equipamiento existentes que en el Centro de Salud Familiar Centenario, a todo evento.</t>
  </si>
  <si>
    <t xml:space="preserve">Arriendo diario de Cilindros 
</t>
  </si>
  <si>
    <t>4029-13-LE23</t>
  </si>
  <si>
    <t>ADQUISICIÓN MAT. PARA ESPECIALIDAD DE ENFERMERIA</t>
  </si>
  <si>
    <t>Se requiere la compra de materiale para la especialidad de enfermería par el liceo de Camiña</t>
  </si>
  <si>
    <t>Kit de oxigeno portatil (vaso humidificador,cilindro de oxigeno, carro porta cilindro,manómetro, regulador)</t>
  </si>
  <si>
    <t>2107-53-LE23</t>
  </si>
  <si>
    <t xml:space="preserve">MANTENIMIENTO A SISTEMA DE GASES </t>
  </si>
  <si>
    <t>Hospital Santa Cruz, como establecimiento de salud requiere Contar con el Servicio de Mantenimiento Preventivo y correctivo de sistemas de gases clínicos para el Hospital de Santa Cruz, evitando de forma preventiva posibles eventos adversos que puedan causar riesgo a la seguridad de los funcionarios y pacientes, generando que los equipos estén en óptimas condiciones para su operación, manteniendo la confiabilidad de los mismos, a través de la optimización eficiente del activo</t>
  </si>
  <si>
    <t>CONVENIO DE MANTENIMIENTO A SISTEMA DE GASES CLÍNICOS DEL HOSPITAL DE SANTA CRUZ (segun bases adjuntas)</t>
  </si>
  <si>
    <t>3736-17-L123</t>
  </si>
  <si>
    <t>Suministro de gases para Liceo Bicentenario Politécnico Héroes de la Concepción Área Técnico Profesional, Taller Construcciones Metálicas,  Año 2023</t>
  </si>
  <si>
    <t xml:space="preserve">Suministro de gases para Liceo Bicentenario Politécnico Héroes de la Concepción Área Técnico Profesional, Taller Construcciones Metálicas, Año 2023
</t>
  </si>
  <si>
    <t xml:space="preserve"> VALOR ARRIENDO MENSUAL</t>
  </si>
  <si>
    <t>1057532-29-LE23</t>
  </si>
  <si>
    <t>ADQUISICION DE MEDICAMENTOS E INSUMOS PROGRAMAS MINISTERIALES FALTANTES MARZO 2023</t>
  </si>
  <si>
    <t xml:space="preserve">Se requiere medicamentos e insumos programas ministeriales a la red APS, tiene como objetivo la provisión a los establecimientos de la red Asistencia.  </t>
  </si>
  <si>
    <t>AEROCAMARA PED. 1 MES A 5 ANOS P/INHALADOR  QUE CONTENGA: MASCARILLA DE SILICONA LIBRE DE LATEX, FLEXIBLE, ADAPTABLE Y TRANSPARENTE UNIDIRECCIONAL MAS UNA CAMARA CONICA O CILINDRICA DE MATERIAL SEMIRIGIDO ANTIESTATICO Y LAVABLE DE VOLUMENENTRE 140 A 350 M</t>
  </si>
  <si>
    <t>2561-26-LE23</t>
  </si>
  <si>
    <t xml:space="preserve">SEGUNDO LLAMADO ADQUISICION DE OXIGENO MEDICINAL </t>
  </si>
  <si>
    <t>SE REQUIERE LA ADQUISICION DE OXIGENO MEDICINAL E INSUMOS, PARA EL ALUMNADO  DE LA ESCUELA DE GENDARMERIA DE CHILE.</t>
  </si>
  <si>
    <t>DIRECCION GENERAL DE GENDARMERIA DE CHIL</t>
  </si>
  <si>
    <t>SEGUNDO LLAMADO ADQUISICION DE OXIGENO MEDICINAL E INSUMOS</t>
  </si>
  <si>
    <t>1057418-12-LE23</t>
  </si>
  <si>
    <t>ADQUISICION DE INSUMOS CLÍNICOS DE CURACIÓN Y OTROS DEL HFC MULCHÉN</t>
  </si>
  <si>
    <t>ADQUISICION DE INSUMOS CLÍNICOS DE CURACIÓN, CLÍNICOS Y DE REHABILITACIÓN PARA DIVERSOS SERVICIOS DEL HFC MULCHÉN</t>
  </si>
  <si>
    <t>SERVICIO DE SALUD BIO BIO HOSPITAL DE MULCHEN</t>
  </si>
  <si>
    <t>Válvula de entrenamiento respiratorio PEP</t>
  </si>
  <si>
    <t>1057428-15-LE23</t>
  </si>
  <si>
    <t>INSUMOS CLINICOS HOSPITAL FLORIDA POR 24 MESES</t>
  </si>
  <si>
    <t>CONVENIO DE SUMINISTRO PARA EL BUEN FUNCIONAMIENTO DE LAS UNIDADES CLINICAS.</t>
  </si>
  <si>
    <t>SERVICIO NACIONAL DE SALUD HOSPITAL DE FLORIDA</t>
  </si>
  <si>
    <t>SATUROMETRO PEDIATRICO 
Equipo para medir saturación de oxigeno en la sangre y las pulsaciones del corazón a través del dedo. Uso pediatrico</t>
  </si>
  <si>
    <t>867990-17-L123</t>
  </si>
  <si>
    <t>Adquisición de insumos médicos. Sol. 64318 CC102.</t>
  </si>
  <si>
    <t>OXIMETRO DE PULSO DE DEDO PEDIATRICO.
CAJA 5 Unidades</t>
  </si>
  <si>
    <t>1057532-27-LE23</t>
  </si>
  <si>
    <t>CONVENIO DE ACCESORIOS EQUIPOS MEDICOS</t>
  </si>
  <si>
    <t>CONVENIO DE ACCESORIOS PARA VENTILADORES MECANICOS DE TRANSPORTE, MONITORES DE SIGNOS VITALES Y DESFIBRILADORES DE BASE SAMU OSORNO, PERIODO 2023.
El Servicio ha elaborado las presentes Bases Administrativas y Técnicas que contienen todos los requerimientos para materializar el “Convenio de accesorios para ventiladores mecánicos de transporte, monitores de signos vitales y desfibriladores de base SAMU Osorno periodo 2023”.  Proceso de compra más eficiente al consolidar en una sola adquisición el suministro de accesorios para su uso en equipos médicos ventiladores mecánicos de transporte, monitores de signos vitales y desfibriladores de Base SAMU Osorno, la cual en años anteriores han sido adquiridas a través de variados procesos de compra en el año. Las cantidades consideradas corresponden al consumo proyectado por 12 meses según historial y validación del establecimiento respectivo, el que será consumido en más de un pedido durante la vigencia del convenio, esto según  demanda de Base SAMU Osorno, no asegurando el consumo total de los productos aquí requeridos.</t>
  </si>
  <si>
    <t>Manómetros y reguladores de oxígeno</t>
  </si>
  <si>
    <t>2111-79-LE23</t>
  </si>
  <si>
    <t>SUMINISTRO DE INSUMOS PARA SOPORTE VENTILATORIO</t>
  </si>
  <si>
    <t>SE REQUIERE CONTRATAR EL SUMINISTRO DE INSUMOS  PARA LA UNIDAD DE SOPORTE VENTILATORIO,PARA EL HOSPITAL DE URGENCIA DE ASISTENCIA PUBLICA.</t>
  </si>
  <si>
    <t>INTERFASE MASCARA BIPAP  (COMPATIBLES CON EQUIPOS RESPIRONIC)</t>
  </si>
  <si>
    <t>3152-4-L123</t>
  </si>
  <si>
    <t>TUBOS DE OXIGENO MEDICO - SALUD MACHALÍ</t>
  </si>
  <si>
    <t>SE REQUIERE ADQUIRIR TUBOS DE OXIGENO MEDICO PARA ABASTECER LOS ESTABLECIMIENTOS DE SALUD MUNICIPALIZADOS DE LA COMUNA DE MACHALÍ</t>
  </si>
  <si>
    <t>ILUSTRE MUNICIPALIDAD DE MACHALI</t>
  </si>
  <si>
    <t>CILINDRO DE OXIGENO MEDICO 0.73 MTS3 CON CARGA</t>
  </si>
  <si>
    <t>948354-40-LQ23</t>
  </si>
  <si>
    <t>CONTRATACIÓN DEL SUMINISTRO DE GASES CLINICOS</t>
  </si>
  <si>
    <t>El Hospital de la Dirección de Previsión de Carabineros de Chile, ubicado en Vital Apoquindo N°1.200, Comuna de Las Condes, Región Metropolitana, en adelante “EL HOSPITAL”, llama a Licitación Pública para la Contratación del Servicio de Suministro de Gases Clínicos, en adelante “EL SERVICIO”, para un período de 12 meses o hasta que se consuma la totalidad del monto contratado, lo primero que ocurra, para el referido Centro Asistencial, cuyas características y requisitos técnicos constan en las Bases Administrativas y Técnicas de esta Licitación con sus respectivos anexos.</t>
  </si>
  <si>
    <t>CONTRATACION DEL SERVICIO DE SUMINISTRO DEE GASES CLINICOS (SEGUN BASES ADJUNTAS)</t>
  </si>
  <si>
    <t>1057496-15-LE23</t>
  </si>
  <si>
    <t>El objeto de la contratación, corresponde a la adquisición de insumos médicos para cumplir con las necesidades de atención de pacientes en la institución</t>
  </si>
  <si>
    <t>HOSPITAL SAN LUIS DE BUÍN</t>
  </si>
  <si>
    <t>3401015 ARNÉ PARA MASCARA INTERFACE VMNI ORONASAL MODELO CAPSTRAP CLIPS RP KIT MEDIDA STANDAR</t>
  </si>
  <si>
    <t>4025-10-LE23</t>
  </si>
  <si>
    <t>INSUMOS MEDICOS CESFAM ANTUCO I 2023</t>
  </si>
  <si>
    <t>La necesidad de adquirir insumos médicos para el Centro de Salud Familiar de la comuna de Antuco, solicitado por la Srta. Carolina Jiménez Salinas, enfermera del CESFAM Antuco, según solicitud de compra N°24 de fecha 20 de marzo de 2023.</t>
  </si>
  <si>
    <t>I MUNICIPALIDAD DE ANTUCO</t>
  </si>
  <si>
    <t xml:space="preserve">OXIMETRO DE PULSO PARA LACTANTES DE 0 A 6 MESES DE EDAD. GRAN SENSIBILIDAD Y PRECISION. ALIMENTACION CON PILAS. GARANTIA 1 AÑO. </t>
  </si>
  <si>
    <t>1057544-87-LP23</t>
  </si>
  <si>
    <t>CONTRATACIÓN DE SERVICIOS DE MANTENCIÓN PREVENTIVA Y CORRECTIVA DE SISTEMA DE AIRE MEDICINAL VACÍO Y REDES DE GASES CLÍNICOS DEL HOSPITAL LAS HIGUERAS TALCAHUANO</t>
  </si>
  <si>
    <t>Las presentes especificaciones técnicas, tienen por objetivo la contratación de los servicios de mantención preventiva y correctiva de sistema de aire medicinal, vacío y redes de gases clínicos del hospital las higueras de Talcahuano, de acuerdo a las especificaciones técnicas adjuntas.</t>
  </si>
  <si>
    <t>Contratación de servicios de mantención correctiva de sistema de aire medicinal, vacío y redes de gases clínicos del hospital las higueras de Talcahuano, de acuerdo con especificaciones técnicas y Formulario N°7. Ítem N°2</t>
  </si>
  <si>
    <t>1523-34-LP23</t>
  </si>
  <si>
    <t>Bases Administrativas y Técnicas Propuesta Pública N.º 2723 “MANTENIMIENTO PREVENTIVO Y CORRECTIVO APLICADO A LOS SISTEMAS DE AIRES Y GASES MEDICINALES DEL HOSPITAL DR. ABRAHAM GODOY PEÑA DE LAUTARO”</t>
  </si>
  <si>
    <t>Bases Administrativas y Técnicas Propuesta Pública N.º 27/23 “MANTENIMIENTO PREVENTIVO Y CORRECTIVO APLICADO A LOS SISTEMAS DE AIRES Y GASES MEDICINALES, DEL HOSPITAL DR. ABRAHAM GODOY PEÑA DE LAUTARO”</t>
  </si>
  <si>
    <t>MANTENCION PREVENTIVA Y CORRECTIVA APLICADO A LOS SISTEMAS DE AIRES Y GASES MEDICINALES, DEL HOSPITAL DR. ABRAHAM GODOY PEÑA DE LAUTARO</t>
  </si>
  <si>
    <t>2048-11-LQ23</t>
  </si>
  <si>
    <t>CONVENIO DE SUMINISTRO GASES CLINICOS</t>
  </si>
  <si>
    <t xml:space="preserve">El Hospital de Ancud convoca a  Licitación para abastecer de Gases Clínicos para el Hospital de Ancud.
Las especificaciones técnicas que debe cumplir el Oxígeno Líquido y Gaseoso y Otros Gases Clínicos a suministrar por las empresas debe enmarcarse dentro de la Norma NCH 2168; in 10083 y las normas que dicen de la seguridad de transporte y almacenamiento. Según Bases
</t>
  </si>
  <si>
    <t>CONVENIO DE SUMINISTRO GASES CLINICOS, HOSPITAL DE ANCUD</t>
  </si>
  <si>
    <t>1057509-86-LE23</t>
  </si>
  <si>
    <t>CONVENIO SERVICIOS DE TAXI CARGO PARA TRASLADO E INSTALACIÓN DE OXIGENO. mpv</t>
  </si>
  <si>
    <t>El Hospital Clínico Herminda Martín de Chillán llama a Licitación Pública a través del Portal Mercado Público, para “Convenio Servicio de Taxi Cargo Para Traslado e Instalación de Oxígeno”, con el fin de proveer de oxígeno a pacientes dependientes de la Unidad de Hospitalización Domiciliaria, de acuerdo a requerimientos especificados en Bases Administrativas y Técnicas de la presente licitación.  Se pretende obtener la  mejor calidad y oportunidad en el servicio a un precio conveniente</t>
  </si>
  <si>
    <t>Servicio de Taxi Cargo para traslado de cilindro de oxigeno. Ofertar según Anexo Nº3 Oferta Económica. Presupuesto total referencial total por 18 meses $26.011.400.-</t>
  </si>
  <si>
    <t>2710-51-L123</t>
  </si>
  <si>
    <t>ADQUISICIÓN DE REGULADORES DE OXIGENO</t>
  </si>
  <si>
    <t xml:space="preserve">SE REQUIERE ADQUIRIR LO SIGUIENTE:
25 UNIDADES REGULADOR OXIGENO MEDICINAL CON FLUJÓMETRO TIPO H
25 UNIDADES REGULADOR OXIGENO COMPACTO SISTEMA PIN </t>
  </si>
  <si>
    <t>25 UNIDADES REGULADOR OXÍGENO MEDICINAL CON FLUJOMETROS TIPO "H"</t>
  </si>
  <si>
    <t>2710-48-L123</t>
  </si>
  <si>
    <t xml:space="preserve">ADQUISICIÓN DE CILINDROS MEDICINALES BRECHA </t>
  </si>
  <si>
    <t xml:space="preserve">SE REQUIERE CUBRIR BRECHA PARA DAR COBERTURA A LAS NECESIDADES DE OXIGENO MEDICINAL EN LOS DISTINTOS DISPOSITIVOS DE LA COMUNA </t>
  </si>
  <si>
    <t>8 CILINDROS MEDICINAL 0.7 MT3 RECARGADOS (4 PIN Y 4 H)</t>
  </si>
  <si>
    <t>5054-8-LE23</t>
  </si>
  <si>
    <t>Adquisición de equipamiento UPC Neonatal y cardiologia</t>
  </si>
  <si>
    <t>El objetivo de la presente licitación, es la adquisición de equipamiento autorizado por comité de abastecimiento mes Enero 2023 referencia 4263040 para UPC Neonatal y referencia 4301872 para Cardiología del Hospital Regional de Talca, con el fin de cumplir con los requerimientos de la institución.</t>
  </si>
  <si>
    <t>(Código interno 050501070869) OXIMETRO DE PULSO NEONATAL. Ver anexo N°5 Especificaciones técnicas y completar.</t>
  </si>
  <si>
    <t>4967-7-LP23</t>
  </si>
  <si>
    <t>Las presentes Bases de licitación orientan, fijan y determinan las normas y procedimientos por las que deben regirse las personas naturales o jurídicas interesadas en participar en el llamado a licitación para la contratación de un convenio de suministro de OXÍGENO LÍQUIDO, por un periodo de 36 meses, con el fin de proveer y mantener la cantidad necesaria de oxígeno y un suministro adecuado y seguro a los pacientes del establecimiento mediante sistema de telemetría para un seguro aprovisionamiento.</t>
  </si>
  <si>
    <t>Oxígeno Criogénico Líquido, según bases técnicas adjuntas.</t>
  </si>
  <si>
    <t>2914-19-L123</t>
  </si>
  <si>
    <t>INSUMOS ENFERMERA CES EN DDA SOL 83</t>
  </si>
  <si>
    <t>ADQUIRIR INSUMOS PARA ESTABLECIMIENTO DE SALUD MUNICIPAL</t>
  </si>
  <si>
    <t>ILUSTRE MUNICIPALIDAD DE DIEGO DE ALMAGRO</t>
  </si>
  <si>
    <t>OXIMETRO PULSO DIGITAL ADULTO. SE ADJUNTA IMAGEN REFERENCIAL Y FICHA TECNICA. PRESENTAR FOT, GARANTÍA Y ESPECIFICACIONES TECNICAS.</t>
  </si>
  <si>
    <t>1557-7-LE23</t>
  </si>
  <si>
    <t>Convenio de suministro  de Oxigeno  Gaseoso</t>
  </si>
  <si>
    <t>Convenio de oxigeno gaseoso medicinal</t>
  </si>
  <si>
    <t>SERVICIO SALUD ATACAMA HOSPITAL DE HUASCO</t>
  </si>
  <si>
    <t>72 Cilindros de oxigeno de 6 mt3. Cantidad es estimada puede aumentar o disminuir segun demanda.</t>
  </si>
  <si>
    <t>1395-23-LE23</t>
  </si>
  <si>
    <t>Convenio de Suministro de Oxígeno y Servicios Complementarios</t>
  </si>
  <si>
    <t>El Servicio de Salud Coquimbo llama a Licitación Pública, a través del Portal Mercado Público, para la contratación de servicios de recargas de oxígeno y servicios complementarios. Sólo serán evaluadas las ofertas que presenten la totalidad de los servicios requeridos, los cuales serán adjudicados a un solo proveedor a partir del promedio final de la evaluación de todos los ítems.
El servicio que el prestador proveerá, por el precio que se oferte, comprenden esencialmente la obligación de suministrar los siguientes servicios:
ÍTEM REQUERIMIENTO
1.- Recarga de Cilindros de Oxígeno de 0,7 mts3.-
2.- Recarga de Cilindros de Oxígeno de 6 mts3.-
3.- Arriendo de 110 Cilindros de Oxígeno de 0,7 Mts.3 
(cilindros distribuidos en Bases SAMU Región de Coquimbo).
4.- Arriendo de 60 Cilindros de Oxígeno de 6 Mts.3. 
(cilindros distribuidos en Bases SAMU Región de Coquimbo).
5.- Flete de cilindros (Sólo Provincia del Choapa)
El Convenio de Servicios tendrá una vigencia de 12 meses o hasta la completa utilización de los recursos que lo financian, según lo indicado en el Articulo N°7.- y comenzará a regir una vez que se encuentre totalmente tramitado el acto administrativo que lo adjudica.</t>
  </si>
  <si>
    <t>Ítem N°1.- Recarga de Cilindros de Oxígeno de 0,7 mts3.-</t>
  </si>
  <si>
    <t>3651-14-L123</t>
  </si>
  <si>
    <t>INSUMOS SUR CESFAM QUILLECO 2023</t>
  </si>
  <si>
    <t>INSUMOS SUR CESFAM QUILLECO 2023 SOLICITUD REALIZADA POR ENFERMERA URGENCIA E.GESTOR r</t>
  </si>
  <si>
    <t>SATURÓMETRO DE PULSO PEDIATRICO CON MONITOR DE FRECUENCIA CARDIACA Y SATURACIÓN</t>
  </si>
  <si>
    <t xml:space="preserve">NIPLE O PARA OXIGENO MEDICINAL ALTAMENTE RESISTENTE ESPECIFICACIONES TUERCA DE MANGUERA PARA SALIDA DE OXIGENO ALTAMENTE RESISTENTETIPO DIDD CON CONEXIÓN UNIVERSAL TUERCA DE SUJECION TIPO DISS CON ALETAS LATERALES PARA FACILITAR EL AJUSTE DE MATERIAL PVC </t>
  </si>
  <si>
    <t>1075963-186-L123</t>
  </si>
  <si>
    <t>MANTENCION CORRECTIVA DE ESTANQUE CRIOGENICO</t>
  </si>
  <si>
    <t>2335-34-LE23</t>
  </si>
  <si>
    <t>ARTICULOS DE USO CLINICO OP 199.</t>
  </si>
  <si>
    <t>LAS NECESIDADES DEL DEPTO DE SALUD EN LA COMPRA DE ARTICULOS DE USO CLINICO PARA BODEGA ECONOMATO Y SU POSTERIOR DISTRIBUCION A SUS DIFERENTES ESTABLECIMIENTOS DE SALUD, SEGUN LO SOLICITADO EN ORDEN DE PEDIDO N°199.</t>
  </si>
  <si>
    <t>SATUROMETRO INFANTIL...SE ADJUNTAN ESPECIFICACIONES...</t>
  </si>
  <si>
    <t>558257-11-L123</t>
  </si>
  <si>
    <t>GASES CLINICOS</t>
  </si>
  <si>
    <t>GASES CLINICOS: SERVICIO DE RECARGA OXIGENO MEDICINAL Y ARRIENDO DE CILINDROS, ARRENDADO CON DESPACHO INCLUIDO, ARRIENDO DE CILINDRO DE OXIGENO 10M3, MANTENCION VALVULAS, MONOMETRO, PRUEBAS HIDROSTATICAS
8 TUBOS TIPO H</t>
  </si>
  <si>
    <t>CORPORACION MUNICIPAL DE EDUCACION,SALUD,CULTURA Y ATENCION AL MENOR,</t>
  </si>
  <si>
    <t>GASES CLINICOS: SERVICIO DE RECARGA OXIGENO MEDICINAL Y ARRIENDO DE CILINDROS, ARRENDADO CON DESPACHO INCLUIDO, ARRIENDO DE CILINDRO DE OXIGENO 10M3, MANTENCION VALVULAS, MONOMETRO, PRUEBAS HIDROSTATICAS</t>
  </si>
  <si>
    <t>3246-18-L123</t>
  </si>
  <si>
    <t xml:space="preserve"> G51 11 KO SERVICIO PRUEBA HIDRÁULICA CILINDROS NITROGENO. FACH ANTOFAGASTA.</t>
  </si>
  <si>
    <t xml:space="preserve"> G51 11 KO SERVICIO PRUEBA HIDRÁULICA CILINDROS NITROGENO. FACH ANTOFAGASTA.
</t>
  </si>
  <si>
    <t xml:space="preserve">PRUEBA HIDRÁULICA CILINDROS DE NITRÓGENO -ISO9808-2 USA -45 LITROS -3/4 NGI USA -PW 310 PH 465 BAR 68.0 KG </t>
  </si>
  <si>
    <t> 05-04-2023 16:00:00</t>
  </si>
  <si>
    <t>734-26-L123</t>
  </si>
  <si>
    <t>Adquisición de Equipamiento de Esterilización y Oxigenoterapia, para la Habilitación de la PSR Caleta Andrade.</t>
  </si>
  <si>
    <t xml:space="preserve">El objetivo de la presente licitación es adquirir EQUIPAMIENTO DE ESTERILIZACIÓN Y OXIGENOTERAPIA, PARA LA POSTA DE SALUD RURAL CALETA ANDRADE, DEPENDIENTE DEL SERVICIO DE SALUD AYSÉN", con el fin de habilitar la mencionada posta de Salud Rural. </t>
  </si>
  <si>
    <t>Vasos Humificadores</t>
  </si>
  <si>
    <t>3614-7-LE23</t>
  </si>
  <si>
    <t>SUMINISTRO DE ÓXIGENO MEDICINAL POR 24 MESES</t>
  </si>
  <si>
    <t>EL DEPARTAMENTO DE SALUD DE VICUÑA REQUIERE CONTRATO DE SUMINISTRO DE OXIGENO MEDICINAL POR 24 MESES, CONSISTENTES EN: CARGA DE CILINDROS FISCALES, ARRIENDO Y VENTA DE CILINDROS, VENTA DE CARROS DE TRASLADO, REPUESTOS, PINTURAS, ETIQUETADO, ENTRE OTROS</t>
  </si>
  <si>
    <t>I MUNICIPALIDAD DE VICUNA</t>
  </si>
  <si>
    <t>SUMINISTRO DE OXIGENO MEDICINAL POR 24 MESES</t>
  </si>
  <si>
    <t>1063538-63-LE23</t>
  </si>
  <si>
    <t>CONVENIO SUMINISTRO DE OXIGENO MEDICINAL DOMICILIO</t>
  </si>
  <si>
    <t>El Hospital Base San José de Osorno, requiere generar un convenio suministro de oxígeno medicinal domiciliario para pacientes del Hospital Base San José Osorno, de acuerdo a las condiciones establecidas en las presentes bases administrativas, económicas, técnicas y sus anexos.</t>
  </si>
  <si>
    <t>009-2132 | SERVICIO DE OXIGENO DOMICILIARIO</t>
  </si>
  <si>
    <t>2887-7-L123</t>
  </si>
  <si>
    <t>OXIGENO MEDICINAL DEPTO. SALUD PUYEHUE</t>
  </si>
  <si>
    <t>“CONTRATO SUMINISTRO PARA ABASTECER  RED OXIGENO MEDICINAL, DEPTO. DE SALUD PUYEHUE”</t>
  </si>
  <si>
    <t>I MUNICIPALIDAD DE PUYEHUE</t>
  </si>
  <si>
    <t>ARRIENDO DE TUBO DE OXIGENO 0.4 METROS CÚBICOS.</t>
  </si>
  <si>
    <t>4291-10-LE23</t>
  </si>
  <si>
    <t>ADQUISICIÓN DE INSUMOS PARA LA CARRERA TECNICO DE</t>
  </si>
  <si>
    <t>La Universidad de Antofagasta requiere la adquisición de insumos para la carrera de Técnico de nivel Superior del Centro de Carreras Técnicas para desempeñar funciones en los laboratorios de esta carrera.</t>
  </si>
  <si>
    <t>UNIVERSIDAD DE ANTOFAGASTA</t>
  </si>
  <si>
    <t>Niple para Oxígeno - Global Healthcare Presentación de Venta por Unidad</t>
  </si>
  <si>
    <t>2332-21-LP23</t>
  </si>
  <si>
    <t>“CONVENIO DE SUMINISTRO DE OXIGENO MEDICINAL PARA EL DEPARTAMENTO DE SALUD MUNICIPAL DE PUERTO MONTT”</t>
  </si>
  <si>
    <t>La municipalidad de Puerto Montt, dentro de su estrategia de compra, llama a participar en la licitación bajo la modalidad de licitación pública “CONVENIO DE SUMINISTRO DE OXIGENO MEDICINAL PARA EL DEPARTAMENTO DE SALUD MUNICIPAL DE PUERTO MONTT” destinado para sus diferentes establecimientos.</t>
  </si>
  <si>
    <t>Provisión de oxigeno medicinal para la red APS Municipal Puerto Montt</t>
  </si>
  <si>
    <t>1211839-30-LQ23</t>
  </si>
  <si>
    <t>SUMINISTRO DE OXÍGENO MEDICINAL Y ACCESORIOS SALUD</t>
  </si>
  <si>
    <t>Las presentes Bases y documentación anexada tiene por objeto regular los procedimientos de licitación pública, apertura, evaluación, adjudicación, ejecución, recepción y puestas en marcha del contrato respectivo motivo de la presente Licitación que se encuentra referida  La contratación del suministro de oxígeno medicinal y adquisición de accesorios de oxigenoterapia para los recintos de salud y ambulancias dependientes del Área de Salud de la Corporación Municipal de Educación, Salud y Atención de Menores  de Puente Alto, permitiendo brindar prestaciones de salud a la población inscrita y atendida en cada uno de nuestros Centros.</t>
  </si>
  <si>
    <t>referida  La contratación del suministro de oxígeno medicinal y adquisición de accesorios de oxigenoterapia para los recintos de salud y ambulancias CMPUENTEALTO</t>
  </si>
  <si>
    <t>309.938.088</t>
  </si>
  <si>
    <t>2125-23-LE23</t>
  </si>
  <si>
    <t>Servicio de habilitacion de red de gases clinicos</t>
  </si>
  <si>
    <t>Solicitud SSGG-36-23 de fecha 20.03.2023</t>
  </si>
  <si>
    <t>SERVICIO DE SALUD COQUIMBO HOSPITAL DR. HUMBERTO ELORZA CORTES</t>
  </si>
  <si>
    <t>SERVICIO DE HABILITACION DE RED DE GASES MEDICINALES EN DOS SALAS DEL SERVICIO MEDICO QUIRURGICO INFANTIL DEL HOSPITAL. COBERTURA TOTAL DE 5 CAMAS. FAVOR REVISAR BASES ADJUNTAS.</t>
  </si>
  <si>
    <t>1260057-16-LE23</t>
  </si>
  <si>
    <t>COMPRA INSUMOS MEDICOS ABRIL 2023</t>
  </si>
  <si>
    <t>ESTA LICITACION TIENE POR OBJETO LA COMPRA DE INSUMOS MEDICOS PARA EL HOSPITAL DE PEÑAFLOR</t>
  </si>
  <si>
    <t>SERVICIO NACIONAL DE SALUD HOSPITAL DE PEÑAFLOR</t>
  </si>
  <si>
    <t xml:space="preserve">OXIMETRO DE PULSO ADULTO PORTATIL (UD)
</t>
  </si>
  <si>
    <t>2199-7-LE23</t>
  </si>
  <si>
    <t>SERVICIO DE OXIGENOTERAPIA DOMICILIARIA POR 36 MES</t>
  </si>
  <si>
    <t>El Instituto Nacional de Geriatría, en adelante el INGER, requiere la Contratación del Servicio de Oxigenoterapia Domiciliaria, por un periodo de 36 meses de acuerdo a las condiciones establecidas en las presentes bases administrativas, técnicas y sus anexos.</t>
  </si>
  <si>
    <t>INSTITUTO NACIONAL DE GERIATRIA </t>
  </si>
  <si>
    <t>El Instituto Nacional de Geriatría, en adelante el INGER, requiere la Contratación del Servicio de Oxigenoterapia Domiciliaria, por un periodo de 36 meses de acuerdo a las condiciones establecidas en las presentes bases administrativas, técnicas y sus ane</t>
  </si>
  <si>
    <t>1057494-30-LP23</t>
  </si>
  <si>
    <t>ADQUISICIÓN DE ACCESORIOS PARA CAMPAÑA DE INVIERNO</t>
  </si>
  <si>
    <t>ADQUISICIÓN DE ACCESORIOS PARA CAMPAÑA DE INVIERNO PARA EL HOSPITAL DR. EXEQUIEL GONZÁLEZ CORTÉS.</t>
  </si>
  <si>
    <t>OXÍMETRO DE PULSO PORTÁTIL INDIVIDUAL (segun bases tecnicas y sus formularios)</t>
  </si>
  <si>
    <t>Flujómetros y reguladores(segun bases tecnicas y sus formularios)</t>
  </si>
  <si>
    <t>2773-21-LE23</t>
  </si>
  <si>
    <t>Suministro de Oxígeno Domiciliario</t>
  </si>
  <si>
    <t>La Ilustre Municipalidad de Chiguayante, a través de su Departamento de Administración de Salud, requiere la contratación del suministro de oxígeno domiciliario, dirigido a usuarios pertenecientes a programa de cuidados paliativos y alivio del dolor y usuarios en programa de atención domiciliaria con dependencia severa y otros, los cuales presenta patologías respiratorias que no pueden ser resueltas por nivel secundario; dado lo anterior, se convoca a los proveedores del rubro que se encuentren inscritos en el portal Mercado Público para contratar dicho requerimiento según las condiciones que en adelante se expresen.</t>
  </si>
  <si>
    <t>Suministro de oxígeno domiciliario</t>
  </si>
  <si>
    <t>3679-13-LE23</t>
  </si>
  <si>
    <t>POR LA COMPRA DE INSUMOS CLINICOS</t>
  </si>
  <si>
    <t>SE REQUIERE LA COMPRA DE INSUMOS CLINICOS PARA EL CESFAM DE SAN ESTEBAN Y POSTAS DE LA COMUNA</t>
  </si>
  <si>
    <t>I MUNICIPALIDAD DE SAN ESTEBAN</t>
  </si>
  <si>
    <t>OXIMETRO DE PULSO NEONATAL (SE REQUIERE ADJUNTAR ESPECIFICACIONES TECNICA DEL EQUIPO); OXIMETRO DE PULSO ADULTO (SE DEBE ADJUNTAR FICHA TECNICA DEL PRODUCTO); OXIMETRO DE PULSO INFANTIL (SE DEBE ADJUNTAR FICHA TECNICA DEL PRODUCTO), TOTAL: 14 UNIDADES</t>
  </si>
  <si>
    <t>1075963-209-LE23</t>
  </si>
  <si>
    <t>ADQUISICIÓN DE MASCARILLAS PARA PARTÍCULAS N100 PRÓTESIS BILIAR ELECTRODO SENSOR  CLIPERA LIGACLIPS SHAVER HOJA AGUJA KISCHNER HOJA DE SIERRA FUNDA MICROSCOPIO  ASA POLIPECTOMIA APÓSITO CIRCUITO CORRUGADO VENTILACIÓN Y OTROS INSUMOS CLÍNICOS</t>
  </si>
  <si>
    <t>ADQUISICIÓN DE MASCARILLAS PARA PARTÍCULAS N100, PRÓTESIS BILIAR, ELECTRODO SENSOR,  CLIPERA LIGACLIPS, SHAVER HOJA, AGUJA KISCHNER, HOJA DE SIERRA, FUNDA MICROSCOPIO,  ASA POLIPECTOMIA, APÓSITO, CIRCUITO CORRUGADO VENTILACIÓN Y OTROS INSUMOS CLÍNICOS</t>
  </si>
  <si>
    <t>3470877 - OXIMETRO DE PULSO PEDIATRICO - (UM: UNIDAD) 5U; 3470813 - OXIMETRO DIGITAL DE PULSO - (UM: UNIDAD)20U</t>
  </si>
  <si>
    <t>3606-5-LE23</t>
  </si>
  <si>
    <t>INSUMOS MEDICOS MARZO 2023</t>
  </si>
  <si>
    <t>ADQUISICION DE INSUMOS MEDICOS PARA STOCK Y FUNCIONAMIENTO DE DROGUERIA DEL DEPTO DE SALUD</t>
  </si>
  <si>
    <t>I MUNICIPALIDAD DE MULCHEN</t>
  </si>
  <si>
    <t>REGULADOR DE OXIGENO STANDAR CON FLUJOMETRO. (Adjuntar Ficha Técnica); VASO HUMIDIFICADOR DE OXIGENO. (Adjuntar Ficha Técnica)</t>
  </si>
  <si>
    <t>3996-25-LE23</t>
  </si>
  <si>
    <t>Insumos de Enfermería</t>
  </si>
  <si>
    <t>La necesidad de contar con insumos de enfermería, necesarios para los recintos de Atención Primaria de Salud de la Comuna.</t>
  </si>
  <si>
    <t>FLUJOMETROS CON MANOMETRO</t>
  </si>
  <si>
    <t>1650-15-LE23</t>
  </si>
  <si>
    <t>Compra de insumos médicos, mediante solicitud de compra interna N°9 de fecha 13 de abril del 2023.
Se solicita a los proveedores revisar documentos adjuntos para una mejor postulación.</t>
  </si>
  <si>
    <t>SATUROMETRO OXIMETRO DE PULSO ADULTO 10U; SATUROMETRO OXIMETRO DE PULSO DIGITAL PEDIATRICO 10U</t>
  </si>
  <si>
    <t>418-45-LQ23</t>
  </si>
  <si>
    <t>INSTALACIÓN Y SUMINISTRO OXÍGENO CRIOGÉNICO HPA</t>
  </si>
  <si>
    <t>Proveer de equipamiento necesario para suministrar de oxígeno criogénico al Hospital de Puerto Aysén, considerando toda obra e instalación que requiera anexarse para el cumplimiento de dicha necesidad.</t>
  </si>
  <si>
    <t>1057418-19-LQ23</t>
  </si>
  <si>
    <t>CONVENIO DE SUMINISTRO DE OXÍGENO MEDICINAL Y OTROS GASES PARA EL HFC MULCHEN</t>
  </si>
  <si>
    <t>Suministro de Oxígeno y Otros Gases - La cantidad ingresada será $1. El proveedor debe ingresar en Formulario Nº7 de Oferta económica el precio unitario neto, sin IVA, de cada producto o servicio requerido considerando todo lo solicitado en las bases</t>
  </si>
  <si>
    <t>RODRIGO GARAY</t>
  </si>
  <si>
    <t>RODRIGO.GARAY@SSBIOBIO.CL</t>
  </si>
  <si>
    <t>1655-14-LP23</t>
  </si>
  <si>
    <t>INSTRUMENTAL RESPIRATORIO</t>
  </si>
  <si>
    <t>La Dirección de Atención Primaria requiere la adquisición de instrumental respiratorio para la atención de usuarios en sus centros dependientes.</t>
  </si>
  <si>
    <t>SERVICIO DE SALUD METROPOLI CENTRAL DIRECCION DE ATENCION PRIMARIA</t>
  </si>
  <si>
    <t>Válvula umbral unidireccional para entrenamiento inspiratorio (IMT)</t>
  </si>
  <si>
    <t>1214069-15-LE23</t>
  </si>
  <si>
    <t>PROVISIÓN DE OXIGENO Y ARRIENDO DE CILINDROS</t>
  </si>
  <si>
    <t>Se requiere la adjudicación de Servicios de Provisión de Gases Clínicos y Arriendo de Cilindros de Oxigeno Medicinal por un periodo de 12 meses, con el objeto de dar correcto funcionamiento a los centros de salud y servicios de urgencias de la comuna de Conchalí.</t>
  </si>
  <si>
    <t>CORP MUNICIPAL DE CONCHALI DE EDUCACION SALUD Y ATENCION DE MENORES</t>
  </si>
  <si>
    <t>Se requiere la provisión de oxígeno medicinal y arriendo de cilindros de oxígeno medicinal</t>
  </si>
  <si>
    <t>1002772-47-LQ23</t>
  </si>
  <si>
    <t>INSUMOS PARA APOYO VENTILATORIO</t>
  </si>
  <si>
    <t>Las presentes Bases constituyen el instrumento guía destinado a celebrar un CONVENIO DE SUMINISTRO DE INSUMOS PARA APOYO VENTILATORIO DE PACIENTE CRÍTICO PARA EL HOSPITAL DR. FELIX BULNES CERDA, en adelante Hospital, éstas, establecen los fines, condiciones y requisitos que deberán ser cumplidos por los oferentes, en todas y cada una de las partes que conformen su oferta, además de regular el todo el proceso licitatorio hasta la suscripción del correspondiente contrato.</t>
  </si>
  <si>
    <t>140150059 VÁLVULA DE ENTRENAMIENTO MUSCULAR INSPIRATORIO TIPO THRESHOLD IMT O SU EQUIVALENTE TÉCNICO</t>
  </si>
  <si>
    <t>2098-79-LE23</t>
  </si>
  <si>
    <t>INSUMOS PARA APS DEL HOSPITAL PAC N°82</t>
  </si>
  <si>
    <t>SOLICITA INSUMOS PARA APS DEL HOSPITAL DE CURANILAHUE</t>
  </si>
  <si>
    <t xml:space="preserve">Valvula Threshold IMT (SE ADJUNTAN ESPECIFICACIONES TECNICAS)
</t>
  </si>
  <si>
    <t>2258-75-LQ23</t>
  </si>
  <si>
    <t>SERV SUMINISTRO GASES CLINICOS MEDICINALES EN CILINDRO</t>
  </si>
  <si>
    <t>SERVICIO DE SUMINISTRO GASES CLINICOS MEDICINALES EN CILINDROS PARA EL HOSPITAL REGIONAL DE ANTOFAGASTA, donde el objetivo primordial es contar con los servicios apropiados considerando optimizar el uso de los recursos disponibles y realizar un contrato con una empresa responsable de realizar el servicio.</t>
  </si>
  <si>
    <t>SUMINISTRO DE GASES CLÍNICOS MEDICINALES PARA EL HOSPITAL REGIONAL DE ANTOFAGASTA</t>
  </si>
  <si>
    <t>1000000 </t>
  </si>
  <si>
    <t>4125-8-L123</t>
  </si>
  <si>
    <t>CONTRATO SUMINISTRO ABASTECIMIENTO OXIGENO</t>
  </si>
  <si>
    <t>CONTRATO SUMINISTRO ABASTECIMIENTO DE OXIGENO MEDICINAL Y ARRIENDO DE CILINDROS  DE OXIGENO AÑO 2023</t>
  </si>
  <si>
    <t>ILUSTRE MUNICIPALIDAD MELIPEUCO</t>
  </si>
  <si>
    <t>CONTRATO SUMINISTRO POR ABASTECIMIENTO DE OXIGENO MEDICINAL Y ARRIENDO DE CILINDROS AÑO 2023</t>
  </si>
  <si>
    <t>3200-8-L123</t>
  </si>
  <si>
    <t>SUMINISTRO DE GASES MEDICINALES PARA DSM .</t>
  </si>
  <si>
    <t>CONVENIO DE SUMINISTRO DE GASES MEDICINALES PARA DEPARTAMENTO DE SALUD POR 18 MESES, CON ENTREGA MES POR MEDIO.
SOLICITUD DE PEDIDO N 242
DECRETO EXENTO N 83</t>
  </si>
  <si>
    <t>I MUNICIPALIDAD DE LONCOCHE</t>
  </si>
  <si>
    <t xml:space="preserve">suministro de gases medicinales por 18 meses para DSM </t>
  </si>
  <si>
    <t>4464-15-LQ23</t>
  </si>
  <si>
    <t>Conv. Suministro de Oxígeno Domiciliario</t>
  </si>
  <si>
    <t>El Hospital san Juan de Dios de Curicó necesita licitar Convenio Suministro de Oxígeno Domiciliario, para el buen destinado a pacientes particulares del Hospital.</t>
  </si>
  <si>
    <t>SERVICIO DE SALUD DEL MAULE HOSPITAL DE CURICO</t>
  </si>
  <si>
    <t>Contrato Suministro Oxigeno Domiciliario. Valores según formulario n° 4-Económico.</t>
  </si>
  <si>
    <t>1643-46-LP23</t>
  </si>
  <si>
    <t>MANTENCIÓN TOMA DE MURALES Y RED DE GASES CLINICOS</t>
  </si>
  <si>
    <t>SE REQUIERE CONTRATAR EL SERVICIO DE MANTENCIÓN PREVENTIVA Y CORRECTIVA DE TOMA DE MURALES Y RED DE GASES CLÍNICOS PARA EL HOSPITAL DE TALAGANTE.</t>
  </si>
  <si>
    <t>SERVICIO NACIONAL DE SALUD HOSPITAL DE T</t>
  </si>
  <si>
    <t>SERVICIO DE MANTENCIÓN PREVENTIVA Y CORRECTIVA DE TOMA DE MURALES Y RED DE GASES CLÍNICOS PARA EL HOSPITAL DE TALAGANTE.</t>
  </si>
  <si>
    <t>769-43-LE23</t>
  </si>
  <si>
    <t>S. MÉDICOS P. VENTILADOS AVNIA PP.42-23</t>
  </si>
  <si>
    <t>La presente propuesta pública tiene como objetivo adquirir o contratar lo siguiente: Insumos y dispositivos médicos para cubrir necesidades de pacientes atendidos en el programa ventilados AVNIA, los cuales serán solicitados de acuerdo a la demanda asistencial, es decir las cantidades pueden aumentar o disminuir.</t>
  </si>
  <si>
    <t>Máscara nasal - Talla L, de preferencia Modelo Airfit N20 por adaptabilidad en paciente domiciliario.</t>
  </si>
  <si>
    <t>varios</t>
  </si>
  <si>
    <t>5184-43-LE23</t>
  </si>
  <si>
    <t>INSUMOS PARA REHABILITACIÓN Y KINESITERAPIA</t>
  </si>
  <si>
    <t>INSUMOS PARA REHABILITACIÓN Y KINESITERAPIA DEL HOSPITAL DE LINARES</t>
  </si>
  <si>
    <t>Saturómetro adulto, pantalla de 3.5 pulgadas TFT LCD para visualizar SPO2/PR gráfico de barras. Para policlínico de rehabilitación pulmonar.</t>
  </si>
  <si>
    <t>2790-70-LE23</t>
  </si>
  <si>
    <t>SUMINISTRO DE OXIGENO Y AIRE MEDICINAL PARA ESTABLECIMIENTOS DE SALUD Y VEHICULOS DE EMERGENCIA - 2023</t>
  </si>
  <si>
    <t>SERVICIO DE SUMINISTRO DE OXIGENO Y AIRE MEDICINAL PARA ESTABLECIMIENTOS DE SALUD Y VEHICULOS DE EMERGENCIA DE LA COMUNA DE PAINE 2023 (DECRETO N°2522, 25.04.2023 QUE AUTORIZA LLAMADO A LICITACIÓN / SDP 197/2023)</t>
  </si>
  <si>
    <t>CILINDROS DE AIRE MEDICINAL DE 10 M3</t>
  </si>
  <si>
    <t>2483-140-LP23</t>
  </si>
  <si>
    <t>Suministro de Insumos Clínicos para el CESFAM Marta Ugarte Román de la Municipalidad de Quilicura</t>
  </si>
  <si>
    <t xml:space="preserve">Suministro de Insumos Clínicos para el CESFAM Marta Ugarte Román de la Municipalidad de Quilicura.
Decreto Alcaldicio E. N°2101 Aprueba Bases Administrativas. </t>
  </si>
  <si>
    <t>I MUNICIPALIDAD DE QUILICURA</t>
  </si>
  <si>
    <t xml:space="preserve">LINEA 9: OXIGENOTERAPIA/ CONECTOR UNIVERSAL PARA SALIDAS DE OXÍGENO CON CONECTOR TIPO ROSCA PARA FIJAR EN EL FLUJÓMETRO COLOR VERDE </t>
  </si>
  <si>
    <t>483-13-LE23</t>
  </si>
  <si>
    <t>INSUMOS DE ESTERILIZACIÓN Y KINESIOLOGÍA</t>
  </si>
  <si>
    <t>Las presentes Bases se refieren a las condiciones y características técnicas para la adquisición de INSUMOS, para stock de bodega de farmacia del Hospital de Contulmo, para posteriormente abastecer a las unidades de Esterilización y Kinesiología, todo en concordancia a la legislación vigente, definidas en estas bases.</t>
  </si>
  <si>
    <t>SERVICIO DE SALUD CONCEPCION ARAUCO HOSPITAL DE CONTULMO</t>
  </si>
  <si>
    <t>Oxímetro de pulso Adulto. Uso hospitalario, rango de medición SpO2 70-99%, rango medición PR 30-245BPM, Modelo de monitorización: gráfico de barras.</t>
  </si>
  <si>
    <t>3778-10-LE23</t>
  </si>
  <si>
    <t>ADQUISICION DE INSUMOS VARIOS CLINICOS HIJUELAS 23</t>
  </si>
  <si>
    <t>1. -  La Municipalidad de Hijuelas, llama a Propuesta Pública para efectuar la Adquisición de insumos varios destinados al programa BASES ADMINISTRATIVAS PARA LA ADQUISICION DE INSUMOS VARIOS CLINICOS DEL DEPARTAMENTO DE SALUD HIJUELAS 2023, cuya descripción se encuentra detallada en el ANEXO 1 del presente llamado y que forman parte integral de las presentes  bases para todos los efectos.
2. - Los Oferentes participantes en la presente Propuesta estarán obligados a cumplir con los requisitos que se detallan en las presentes Bases Administrativas y Especificaciones Técnicas.
3. - Las disposiciones y documentos que regirán la presente Propuesta son los siguientes:
a Ley N° 19.886 de Bases sobre Contratos Administrativos de Suministro y Prestaciones de
Servicios y su Reglamento.
b Resolución Aprobatoria de Bases Administrativas de la presente Propuesta Pública.
c Bases Administrativas y Especificaciones Técnicas del llamado.</t>
  </si>
  <si>
    <t>I MUNICIPALIDAD DE HIJUELAS</t>
  </si>
  <si>
    <t>OXIMETRO DE PULSO ADULTO SIMILAR A CHOICE MED; FLUJOMETRO ADULTO, SIMILAR A MINIWRIGHT</t>
  </si>
  <si>
    <t>1272565-35-LE23</t>
  </si>
  <si>
    <t>SERVICIO DE OXIMETRÍA CRUCE DE REDES Y BARRIDO CON NITRÓGENO EN REDES DE GASES MEDICINALES PARA HAH</t>
  </si>
  <si>
    <t>Para garantizar la seguridad y calidad en la atención de pacientes se requiere ejecutar los servicios descritos a fin de asegurar la optima calidad de las redes de gases medicinales del Hospital Alto Hospicio. El servicio de debe ejecutar previo al uso de las redes del hospital. Se adjunta informe técnico que justifica la necesidad de ejecutar los servicios.</t>
  </si>
  <si>
    <t>SERVICIO DE OXIMETRÍA, CRUCE DE REDES Y BARRIDO CON NITRÓGENO EN REDES DE GASES MEDICINALES PARA EL HOSPITAL DE ALTO HOSPICIO</t>
  </si>
  <si>
    <t>1643-41-LP23</t>
  </si>
  <si>
    <t>MANTENCIÓN CENTRAL DE VACÍO Y AIRE MEDICINAL</t>
  </si>
  <si>
    <t>SE REQUIERE CONTRATAR LOS SERVICIOS DE MANTENCIÓN PREVENTIVA Y CORRECTIVA DE CENTRAL DE VACÍO Y AIRE MEDICINAL POR 24 MESES PARA EL HOSPITAL DE TALAGANTE</t>
  </si>
  <si>
    <t>SERVICIO DE MANTENCIÓN PREVENTIVA Y CORRECTIVA DE CENTRAL DE VACÍO Y AIRE MEDICINAL POR 24 MESES.</t>
  </si>
  <si>
    <t>mant. Prev. y/o Correctiva</t>
  </si>
  <si>
    <t>2710-67-L123</t>
  </si>
  <si>
    <t>ADQUISICIÓN DE CILINDROS DE OXIGENO MEDICINAL RECARGADOS</t>
  </si>
  <si>
    <t xml:space="preserve">SE REQUIERE LA ADQUISICIÓN DE 8 CILINDROS DE OXIGENO MEDICINAL DE 6 MT3 RECARGADOS Y ENTREGADOS EN OVALLE CON FLETE INCLUIDO. </t>
  </si>
  <si>
    <t>8 CILINDROS DE OXIGENO MEDICINAL RECARGADOS DE 6 MT3 CON ENTREGA EN OVALLE</t>
  </si>
  <si>
    <t>948354-60-LQ23</t>
  </si>
  <si>
    <t>CONTRATACIÓN DEL SERVICIO DE SUMINISTRO DE GASES CLÍNICOS PARA EL HOSPITAL DIPRECA</t>
  </si>
  <si>
    <t>1947-71-LE23</t>
  </si>
  <si>
    <t>CONTRATACIÓN DEL SERVICIO DE ARRIENDO DE VENTILADORES MECÁNICOS NO INVASIVOS PARA UNIDAD DE PACIENTE CRÍTICO DEL HOSPITAL DE NIÑOS DR. ROBERTO DEL RÍO [NDJ]</t>
  </si>
  <si>
    <t>El Hospital de Niños Dr. Roberto del Rio, para dar cumplimiento a las funciones propias de la institución, requiere la contratación del servicio de arriendo de ventiladores mecánicos no invasivos para Unidad de Paciente Crítico del Hospital de Niños Dr. Roberto del Río por un periodo de 4 meses.</t>
  </si>
  <si>
    <t>820-0004 Arriendo de Ventilador Mecánico No Invasivo</t>
  </si>
  <si>
    <t>1057554-34-LR23</t>
  </si>
  <si>
    <t>CONTRATO DE SUMINISTRO DE INSUMOS DE OXIGENOTERAPIA PARA EL HOSPITAL CARLOS VAN BUREN</t>
  </si>
  <si>
    <t>52.-[340P1293]Válvula umbral para entrenamiento umbral espiratorio (PEP)</t>
  </si>
  <si>
    <t>2292-34-LE23</t>
  </si>
  <si>
    <t>SUMINISTRO DE OXIGENO MEDICO PARA ATENCION PRIMARIA DE SALUD TALCA</t>
  </si>
  <si>
    <t>Las presentes Bases Administrativas Especiales regirán la Licitación Pública, adjudicación, contrato de adquisición, garantías, plazo de entrega, multas y sistema de pago de la licitación mencionada precedentemente, financiada con presupuesto de la Direccion Comunal de Salud, Talca y Convenios SAR Américas y SAR Florida, conjuntamente con las Bases Administrativas Generales, las eventuales aclaraciones y demás antecedentes de la Licitación.</t>
  </si>
  <si>
    <t>I MUNICIPALIDAD DE TALCA</t>
  </si>
  <si>
    <t>Servicio de arriendo, recarga y mantención.</t>
  </si>
  <si>
    <t>5276-2-LE23</t>
  </si>
  <si>
    <t>SUMINISTRO DE GASES CLÍNICOS COMPRIMIDOS</t>
  </si>
  <si>
    <t>El objetivo de la contratación es contar con un proveedor que nos permita de manera eficiente, adquirir y mantener el stock de Gases clínicos comprimidos, de modo que se pueda contar permanentemente con estos insumos que las requieren. Con el objetivo de cumplir y satisfacer debidamente la demanda asistencial que legalmente nos ha sido encomendada, con atención de calidad y oportunidad velando siempre por el bienestar y atención de nuestros pacientes.</t>
  </si>
  <si>
    <t>SERVICIO DE SALUD OCCIDENTE INSTITUTO TRAUMATOLOGICO DE SANTIAGO</t>
  </si>
  <si>
    <t>OXIGENO 0.7 M3, VER NUMERAL 3, CARACTERÍSTICAS DE LOS GASES CLÍNICOS COMPRIMIDOS QUE SE REQUIERE CONTRATAR.</t>
  </si>
  <si>
    <t>3246-31-L123</t>
  </si>
  <si>
    <t>G51 11 KO SERV. PRUEBA HIDRAULICA PARA CILINDROS DE NITROGENO FACH ANTOFAGASTA</t>
  </si>
  <si>
    <t>PRUEBA HIDRÁULICA CILINDROS DE NITRÓGENO -ISO9808-2 USA -45 LITROS -3/4 NGI
USA -PW 310 PH 465 BAR 68.0 KG SE ADJUNTAN BASES TÉCNICAS.</t>
  </si>
  <si>
    <t>1057547-215-LP23</t>
  </si>
  <si>
    <t>CONV SUMINISTRO DE INSUMOS DE TERAPIA RESPIRATORIA</t>
  </si>
  <si>
    <t>CONVENIO SUMINISTRO DE INSUMOS DE TERAPIA RESPIRATORIA PARA HOSPITAL BASE VALDIVIA</t>
  </si>
  <si>
    <t>16 3400748 OXIMETRO PULSO DIGITAL DEDO</t>
  </si>
  <si>
    <t>1057049-157-LE23</t>
  </si>
  <si>
    <t>SMG. ADQUISICION DE INMOVILIZADORES VALVULOTOMO  TUBOS Y OTROS</t>
  </si>
  <si>
    <t xml:space="preserve">El objetivo de la Propuesta es la adquisición de Inmovilizadores, Valvulotomo, Tubo Endobronquial  y Otros Insumos para  los Servicios Clínicos s del Hospital Clínico San Borja Arriarán, solicitados en las especificaciones técnicas, en concordancia con las Bases Administrativas, Técnicas, Formularios, aclaraciones y otros documentos que pudieran formularse en el transcurso de la licitación.
Se entenderá que todo proveedor conoce y acepta irrevocablemente el contenido de estas Bases, por el solo hecho de presentar ofertas en este proceso de licitación.
</t>
  </si>
  <si>
    <t>927-4040 VALVULA IMT (ENTRENADOR MUSCULOS RESPIRATORIOS)</t>
  </si>
  <si>
    <t>4967-13-LP23</t>
  </si>
  <si>
    <t>RECARGA DE CILINDROS DE OXÍGENO MEDICINAL GASEOSO</t>
  </si>
  <si>
    <t>Las presentes Bases de licitación orientan, fijan y determinan las normas y procedimientos por las que deben regirse las personas naturales o jurídicas interesadas en participar en el llamado a licitación para la suscripción de un convenio de suministro de OXÍGENO MEDICINAL GASEOSO Y GASES MEDICINALES, por un periodo de 24 meses, con el fin de proveer y mantener la cantidad necesaria de oxígeno y un suministro adecuado y seguro a los pacientes del establecimiento.</t>
  </si>
  <si>
    <t>Anhídrido  Carbónico (CO2) (Cilindro de 35 Kilos)</t>
  </si>
  <si>
    <t>1624-37-L123</t>
  </si>
  <si>
    <t>SE REQUIERE COMPRA DE CONVENIO SUMINISTRO OXIGENO MÉDICO , FLETE Y ARRIENDO, SEGUN ESPECIFICACIONES Y ADJUNTOS,  CON ENTREGA SEMANAL SEGUN NECESIDAD DEL ESTABECIMIENTO.</t>
  </si>
  <si>
    <t>SERVICIO DE SALUD HOSPITAL DE NANCAGUA</t>
  </si>
  <si>
    <t>FLETE; RECARGA OXIGENO MÉDICO 0.7</t>
  </si>
  <si>
    <t>1411-17-LE23</t>
  </si>
  <si>
    <t>Equipamiento Médico y Dental Enfermerías D.R.M.</t>
  </si>
  <si>
    <t>Equipamiento Médico y Dental Enfermerías dependientes de la Coordinación de Salud de la Dirección Regional Metropolitana. Bases de Licitación RES. Ex. N. 1911 del 28.04.2023.</t>
  </si>
  <si>
    <t>Regulador de oxigeno con flujómetro, tipo de conexión tuerca.</t>
  </si>
  <si>
    <t>1057977-12-LP23</t>
  </si>
  <si>
    <t>CONSERVACION RED DE GASES CLINICOS H FRESIA</t>
  </si>
  <si>
    <t>SE REQUIERE LA CONSERVACION DE LA RED DE GASES CLINICOS PARA EL HOSPITALO DE FRESIA</t>
  </si>
  <si>
    <t>Conservación de gases clínicos Hospital de Fresia</t>
  </si>
  <si>
    <t>2677-7-LQ23</t>
  </si>
  <si>
    <t>SUMINISTRO INSUMOS MÉDICOS Y DE SALUD</t>
  </si>
  <si>
    <t>Las presentes Bases de Licitación, reglamentan el proceso de llamado a Licitación Pública para la contratación del suministro, durante el año 2023 y 2024, de insumos, material quirúrgico y dispositivos de salud necesarios para el funcionamiento del CESFAM Mostazal y adecuada atención a los usuarios a quienes entrega prestaciones dicho establecimiento y su Servicio de Urgencia, así como todos los Establecimientos de Salud de la comuna de Mostazal, denominada “Suministro Insumos Médicos y de Salud”; dependiente del Departamento de Salud de la Municipalidad de Mostazal.</t>
  </si>
  <si>
    <t>FRASCO HUMEDIFICADOR PARA OXIGENO</t>
  </si>
  <si>
    <t>3200-12-L123</t>
  </si>
  <si>
    <t>SUMINISTRO DE GASES MEDICINALES PARA DSM.</t>
  </si>
  <si>
    <t>CONVENIO DE SUMINISTRO DE GASES MEDICINALES PARA DEPARTAMENTO DE SALUD POR 18 MESES, CON ENTREGA  MES POR MEDIO. SOLICITUD DE PEDIDO N° 242 DECRETO 83</t>
  </si>
  <si>
    <t> 11-05-2023 15:03:00</t>
  </si>
  <si>
    <t>3868-11-LE23</t>
  </si>
  <si>
    <t>ADQUISICION DE INSUMOS QUIMICOS PARA LABOCAR</t>
  </si>
  <si>
    <t>MATERIALIZAR LA ADQUISICION DE INSUMOS QUIMICOS PARA LOS LABORATORIOS DEL DEPARTAMENTO DE CRIMINALISTICA</t>
  </si>
  <si>
    <t>DIRECCION DE LOGISTICA DE CARABINEROS</t>
  </si>
  <si>
    <t>HELIO ULTRA PURO GRADO 5</t>
  </si>
  <si>
    <t>1070620-41-LE23</t>
  </si>
  <si>
    <t>MRC INSUMOS GENERALES RESPIRATORIOS</t>
  </si>
  <si>
    <t>Contar con los insumos clínicos necesarios para la gestión de la atención clínica y ambulatoria del Hospital Dr. Ernesto Torres Galdames de Iquique, que permita entregar un servicio con la efectividad, seguridad y condiciones de calidad que la atención de los pacientes.</t>
  </si>
  <si>
    <t>Flujómetro 1.5 lts Microflujómetro de 0 - 1,5 lpm conexión central uni. Co, con sistema de regulación, conexión rosca de 15mm para frascos de humidificador y/o niples</t>
  </si>
  <si>
    <t>1057539-65-LQ23</t>
  </si>
  <si>
    <t xml:space="preserve">CONVENIO DE SUMINISTRO OXIGENO LIQUIDO Y ARRIENDO DE ESTANQUE CRIOGÉNICO SOLIC 23. </t>
  </si>
  <si>
    <t>Convenio de suministro de Oxigeno Liquido Medicinal y arriendo de estanque Criogénico c/vaporizador para el Hospital de Puerto Montt, solicitud 23.</t>
  </si>
  <si>
    <t>Arriendo de estanque Criogénico c/vaporizador, generar su oferta conforme formulario N° 10 "OFERTA ECONÓMICA"./Convenio de Suministro de Oxígeno Líquido Medicinal, generar su oferta valor M3 conforme formulario N° 10 "OFERTA ECONÓMICA".</t>
  </si>
  <si>
    <t>1057547-216-LP23</t>
  </si>
  <si>
    <t>CONVENIO SUMINISTRO DE INSUMOS OXIGENOTERAPIA</t>
  </si>
  <si>
    <t>CONVENIO SUMINISTRO DE INSUMOS OXIGENOTERAPIA PARA HOSPITAL BASE VALDIVIA</t>
  </si>
  <si>
    <t>1 3400276 Boquillas reutilizable para espirómetro</t>
  </si>
  <si>
    <t>611669-9-L123</t>
  </si>
  <si>
    <t>Suministro de gas helio para la operación del laboratorio</t>
  </si>
  <si>
    <t>La Superintendencia del Medio Ambiente, en adelante, la "SMA'' o la "Superintendencia", en apoyo a la ejecución de sus funciones, establecidas en el artículo segundo de la Ley N° 20.417/2010, que crea la Ley Orgánica de la Superintendencia del Medio Ambiente, viene en llamar a licitación pública a proponentes personas naturales o jurídicas o unión temporal de proveedores, chilenas o extranjeras, con el objeto de adquirir, por medio de un convenio de suministro, los productos “GAS HELIO”.</t>
  </si>
  <si>
    <t xml:space="preserve">Helio 5.0 según bases técnicas / Helio 6.0 según bases técnicas </t>
  </si>
  <si>
    <t>3663-4-L123</t>
  </si>
  <si>
    <t>INSUMOS QUIRURGICOS</t>
  </si>
  <si>
    <t>Abastecer a las Unidades Clínicas del CESFAM de la Comuna de Requínoa</t>
  </si>
  <si>
    <t>I MUNICIPALIDAD DE REQUINOA</t>
  </si>
  <si>
    <t>NIPLES DE OXIGENO</t>
  </si>
  <si>
    <t>507428-56-LE23</t>
  </si>
  <si>
    <t>Convenio Suministro Equipamiento SAMU Chiloé</t>
  </si>
  <si>
    <t>licitación convenio suministros de equipamiento SAMU Chiloé</t>
  </si>
  <si>
    <t>Regulador de oxígeno 15lpm, cilindro D, DISS / Vaso humidificador, para flujómetro ofertado</t>
  </si>
  <si>
    <t>1003473-25-LE23</t>
  </si>
  <si>
    <t>CONTRATO DE SUMINISTRO DE MASCARAS ORONASAL Y CARA COMPLETA PARA LA UCI</t>
  </si>
  <si>
    <t xml:space="preserve">El Hospital San Juan de Dios de Curicó, requiere suscribir un contrato de suministro de mascaras oronasal y cara completa, a objeto de satisfacer adecuadamente la demanda de estos en la Unidad de Paciente Critico.
</t>
  </si>
  <si>
    <t xml:space="preserve">40500045098 MASCARA ORONASAL TALLA L Y M / INTERFACE PARA VENTILACIÓN MECANICA NO INVASIVO ORONASAL / DEBE TENER VÁLVULA ANTIASFIXIA, ARNES, CODO AZUL Y BLANCO; COMPATIBLE CON CIRCUITO DESECHABLE / COMPATIBLE CON CIRCUITO DE VENTILACIÓN MECANICA NO INVASIVO (60 UNID. C/U)
</t>
  </si>
  <si>
    <t>799512-10-LE23</t>
  </si>
  <si>
    <t>SERVICIO DE OXIGENO MEDICINAL</t>
  </si>
  <si>
    <t>SE NECESITA CONTRATAR SERVICIO DE MANTENCION PREVENTIVA DE TUBOS DE OXIGENO, CARGA DE OXIGENO MEDICINAL, RETIRO Y ENTREGA DE CILINDROS DURANTE UN AÑO.</t>
  </si>
  <si>
    <t>CORP MUNICIPAL DE VALPARAISO PARA EL DESARROLLO SOCIAL</t>
  </si>
  <si>
    <t>SERVICIO DE RECARGA Y MANTENCION DE TUBOS DE OXIGENO PARA ESTABLECIMIENTOS DE SALUD</t>
  </si>
  <si>
    <t>2710-83-L123</t>
  </si>
  <si>
    <t>CILINDROS DE OXÍGENOS PROGRAMA CUIDADOS PALIATIVOS EN APS</t>
  </si>
  <si>
    <t>SE REQUIERE ADQUIRIR CILINDROS DE OXÍGENOS PARA PROGRAMA CUIDADOS PALIATIVOS EN APS</t>
  </si>
  <si>
    <t xml:space="preserve">3 CILINDROS DE OXIGENO MEDICINAL 6 MT3  CARGADOS; 6 CILINDROS DE OXIGENO MEDICINAL 0.7 MT3 RECARGADOS  </t>
  </si>
  <si>
    <t>699866-102-LE23</t>
  </si>
  <si>
    <t>CONVENIO CIRCUITO ALTO FLUJO Y OTROS INSUMOS</t>
  </si>
  <si>
    <t>El objetivo de la presente licitación, es la adquisición de CONVENIO CIRCUITO ALTO FLUJO Y OTROS INSUMOS para el Hospital Regional de Talca, con el fin de asegurar el abastecimiento en calidad y oportunidad, para satisfacer la demanda de los usuarios.</t>
  </si>
  <si>
    <t>HUMIDIFICADOR DESECHABLE P/OXIGENO EQUIVALENTE COD:3230 (COD.INT.040500040312)</t>
  </si>
  <si>
    <t>438-36-LE23</t>
  </si>
  <si>
    <t>COMPRA DE SUMINISTRO DE OXIGENO MEDICINAL AIRE MEDICINAL Y ARRIENDO DE CILINDROS PARA EL CENTRO DE SALUD DE LA COMUNA DE SAN RAMON</t>
  </si>
  <si>
    <t>ESTA PROPUESTA CONSISTE EN LA COMPRA DE SUMINISTRO DE OXIGENO MEDICINAL, AIRE MEDICINAL Y ARRIENDO DE CILINDROS PARA EL CENTRO DE SALUD DE LA COMUNA DE SAN RAMON</t>
  </si>
  <si>
    <t> I MUNICIPALIDAD DE SAN RAMON</t>
  </si>
  <si>
    <t>2980-11-L123</t>
  </si>
  <si>
    <t>S.A. S/N° \ 121 \ FOSSAP 4 \ CONCENTRADOR DE OXIGENO</t>
  </si>
  <si>
    <t>SE REQUIERE ADQUIRIR EN EL MERCADO LOCAL Y DEL RUBRO
LA PROVISIÓN DE UN [01] CONCENTRADOR DE OXIGENO DE ALTO
FLUJO, SEGÚN ESPECIFICACIONES SEÑALADAS EN LAS
PRESENTES BASES. PROVEEDORES INTERESADOS, DEBERÁN ADJUNTAR EN PDF UNA COTIZACIÓN FORMAL, LA FICHA TÉCNICA DEL EQUIPO Y SU OFERTA ECONÓMICA</t>
  </si>
  <si>
    <t>Comando de Personal-CEAFOSS</t>
  </si>
  <si>
    <t>CONCENTRADOR DE OXIGENO DE ALTO FLUJO</t>
  </si>
  <si>
    <t>3606-16-L123</t>
  </si>
  <si>
    <t>ARRIENDO CILINDROS DE OXIGENO CON RECARGAS EN MULC</t>
  </si>
  <si>
    <t>CONTRATO DE ARRIENDO CILINDROS DE OXIGENO DE 0.7 M3 POR UN PERIODO DE 24 MESES, ADEMAS DE RECARGAS CON ENTREGA A DOMICILIO, PEDRO LAGOS N. 200, MULCHEN, DESTINADOS AL BUEN FUNCIONAMIENTO DE LAS POSTAS RURALES ADMINISTRADAS POR EL DEPARTAMENTO DE SALUD MUNICIPAL DE MULCHEN.</t>
  </si>
  <si>
    <t xml:space="preserve">ARRIENDO MENSUAL DE CILINDROS DE OXIGENO DE 0.7 M3 POR UN PERIODO DE 24 MESES, CON ENTREGA A DOMICILIO, PEDRO LAGOS N. 200,  MULCHEN / RECARGAS DE OXIGENO MEDICINAL DE 0.7 M3 A REALIZARSE DURANTE LA VIGENCIA DE LA CONTRATACION (24 MESES) SEGUN REQUERIMIENTO DEL DEPARTAMENTO DE SALUD MUNICIPAL, CON ENTREGA A DOMICILIO, PEDRO LAGOS N. 200, MULCHEN </t>
  </si>
  <si>
    <t>2.576.569</t>
  </si>
  <si>
    <t>1057509-168-LE23</t>
  </si>
  <si>
    <t>CONVENIO MANTENCION REPARACIÓN E INSTALACION DE REDES DE GASES CLINICOS Y SISTEMAS RELACIONADOS fgh</t>
  </si>
  <si>
    <t>La presente Propuesta Pública tiene por finalidad el suscribir un convenio por los servicios de mantención, reparación e instalación de redes de gases clínicos y sistemas relacionados, pertenecientes al Hospital Clínico Herminda Martín. Este se encuentra ubicado en calle Francisco Ramírez Nº 10 de Chillán, establecimiento dependiente del Servicio Salud de Ñuble</t>
  </si>
  <si>
    <t>MANTENCION REPARACIÓN E INSTALACION DE REDES DE GASES CLÍNICOS Y SISTEMAS RELACIONADOS. Ofertar según ANEXO Nº3: oferta económica. Presupuesto estimado total $40.000.000 (24 MESES).- impuesto incluido.-</t>
  </si>
  <si>
    <t>4256-10-LE23</t>
  </si>
  <si>
    <t>CONVENIO DE SUMINSTRO OXIGENO MEDICINAL</t>
  </si>
  <si>
    <t>CONVENIO DE SUMINISTRO CON EMPRESA DEL RUBRO PARA  OXIGENO MEDICINAL SAN FABIAN</t>
  </si>
  <si>
    <t>I MUNICIPALIDAD DE SAN FABIAN</t>
  </si>
  <si>
    <t>CONVENIO DE SUMINISTRO OXIGENO MEDICINAL CESFAM SAN FABIAN</t>
  </si>
  <si>
    <t>2658-44-L123</t>
  </si>
  <si>
    <t>CILINDROS VACIOS (ENVASES)</t>
  </si>
  <si>
    <t>LOS CILINDROS SERÁN UTILIZADOS EN EL TALLER DE SOLDADURA Y FORJA, PARA LA MAQUINARIA PESADA DE LA DIRECCIÓN DE OPERACIONES DE LA ILUSTRE MUNICIPALIDAD DE ANCUD</t>
  </si>
  <si>
    <t xml:space="preserve"> CILINDRO DE OXÍGENO 6,5 MTS. CÚBICOS APROXIMADOS VACIOS (ENVASES); CILINDRO DE ACETILENO 5,5 KILOS. CÚBICOS APROXIMADOS VACIOS (ENVASES); CILINDRO INDURMIG 6,5 MTS. CÚBICOS APROXIMADOS VACIOS (ENVASES)</t>
  </si>
  <si>
    <t>1057417-193-LQ23</t>
  </si>
  <si>
    <t>Servicio de oxigenoterapia domiciliaria. fsq</t>
  </si>
  <si>
    <t>El Complejo Asistencial “Dr. Víctor Ríos Ruiz” Los Ángeles, llama a Licitación Pública a través del Portal Mercado Público, por “Convenio Servicio de oxigenoterapia domiciliaria”.</t>
  </si>
  <si>
    <t>Carga oxígeno gaseoso medicinal; Arriendo de concentradores de oxígeno; Arriendo de cilindros (diferentes medidas).</t>
  </si>
  <si>
    <t>Francisca Salamanca</t>
  </si>
  <si>
    <t>francisca.salamanca@ssbiobio.cl</t>
  </si>
  <si>
    <t>Rodolfo González Araneda</t>
  </si>
  <si>
    <t>1057536-44-LE23</t>
  </si>
  <si>
    <t>ADQUISICIÓN DE CILINDROS DE OXIGENOS SAMU RELONCAV</t>
  </si>
  <si>
    <t>23 CILINDROS TIPO D Y 17 CILINDROS TIPO C</t>
  </si>
  <si>
    <t>1063538-114-LR23</t>
  </si>
  <si>
    <t>CONVENIO SUMINISTRO GASES CLINICOS</t>
  </si>
  <si>
    <t>El Hospital Base San José Osorno, en adelante también el “Hospital”, requiere el Convenio De Suministro Gases Clínicos para el Hospital, de acuerdo a las condiciones establecidas en las presentes bases administrativas, económicas, técnicas y sus anexos. La forma de la presente licitación pública corresponde a aquella adquisición mayor o igual a 5.000 UTM.</t>
  </si>
  <si>
    <t>CONVENIO SUMINISTRO GASES CINICOS</t>
  </si>
  <si>
    <t>Evelyn Flandez</t>
  </si>
  <si>
    <t>evelyn.flandez@redsalud.gob.cl</t>
  </si>
  <si>
    <t>JOSE LUIS CORDOVA</t>
  </si>
  <si>
    <t>4469-27-L123</t>
  </si>
  <si>
    <t>S.C. N°31929, 31993 Y 32002 (U.F.), IMPLEMENTACIÓN E INSUMOS PARA LABORATORIO DE KINESIOLOGÍA Y CENTRO DE SALUD, BIENESTAR UNIVERSITARIO. UPLA.</t>
  </si>
  <si>
    <t>UNIVERSIDAD DE PLAYA ANCHA DE CIENCIAS DE LA EDUCACION</t>
  </si>
  <si>
    <t>OXIMETRO DE PULSO DE DEDO(1 UNIDAD)</t>
  </si>
  <si>
    <t>4464-20-LE23</t>
  </si>
  <si>
    <t>ADQUISICIÓN DE VENTILADORES MECÁNICOS PARA EL SERVICIO DE PEDIATRÍA</t>
  </si>
  <si>
    <t xml:space="preserve">El Hospital San Juan de Dios de Curicó, requiere realizar la adquisición de 2 ventiladores mecánicos para cuidados medios e intensivos de pacientes pediátricos.
</t>
  </si>
  <si>
    <t>VENTILADOR MECÁNICO NO INVASIVO SEGÚN ESPECIFICACIONES TÉCNICAS (ver bases técnicas)</t>
  </si>
  <si>
    <t>1057534-19-L123</t>
  </si>
  <si>
    <t xml:space="preserve">Insumos para Unidad de rehabilitación </t>
  </si>
  <si>
    <t>SERVICIO DE SALUD OSORNO HOSPITAL PURRANQUE</t>
  </si>
  <si>
    <t>VÁLVULA DE ENTRENAMIENTO MUSCULAR INSPIRATORIO SIMILAR A THRESHOLD MODELO IMT ADJUNTAR FICHA TÉCNICA (5U); VÁLVULA UMBRAL PARA ENTRENAMIENTO MUSCULAR INSPIRATORIO PEP THRESHOLD CON BOQUILLA. ADJUNTAR FICHA TÉCNICA (5U); Boquillas de cartón desechables para uso con flujometro mini-wright. ADJUNTAR FICHA TÉCNICA (100U)</t>
  </si>
  <si>
    <t>1979-107-LQ23</t>
  </si>
  <si>
    <t>113.23 SERVICIO MANTENCION PREVENTIVA Y CORRECTIVA PARA CENTRALES DE GASES CLINICOS NODO COSTERO: HOSPITAL NVA IMPERIAL.</t>
  </si>
  <si>
    <t>Se requiere licitar en el marco del mantenimiento de los equipos industriales del Hospital de Nueva Imperial, la realización de la Mantención Preventiva y Correctiva al equipamiento descrito en las presentes bases; donde la mantención preventiva deberá tener una frecuencia según tabla y la mantención correctiva se deberá realizar toda vez que el equipo quede fuera de servicio, sin poder prestar la utilidad para lo cual fue adquirido; situación que el mandante informará de inmediato al adjudicatario, mediante una llamada telefónica y a través de un e-mail; a este tipo de comunicaciones se le denominarán "llamados de emergencia".</t>
  </si>
  <si>
    <t>SERVICIO MANTENCION PREVENTIVA PARA CENTRALES DE GASES CLÍNICOS, DE ACUERDO AL ANEXO N°3 OFERTA ECONOMICA Y DETALLE DE LO OFERTADO.</t>
  </si>
  <si>
    <t>1151575-10-LE23</t>
  </si>
  <si>
    <t>EQUIPAMIENTO PARA CARRERA TENS EN ENFERMERÍA</t>
  </si>
  <si>
    <t>Proveer a la nueva carrera TENS en Enfermería del Centro de Formación Técnica de la Región de Atacama, de equipamiento e insumos para ayudar al aprendizaje de los estudiantes.
Se solicita fichas  técnicas con imágenes o fotos REALES de los productos a ofertar.</t>
  </si>
  <si>
    <t>CENTRO DE FORMACION TECNICA DE LA REGION DE ATACAMA</t>
  </si>
  <si>
    <t xml:space="preserve">Red de oxigeno con manómetro, frasco de aspiración, flujómetro y el vaso humidificador, con panel y fijadores. </t>
  </si>
  <si>
    <t>2710-96-L123</t>
  </si>
  <si>
    <t xml:space="preserve">ADQUISICIÓN DE CILINDROS MEDICINALES RECARGADOS PROG. CUIDADOS PALIATIVOS </t>
  </si>
  <si>
    <t>Se requieren adquirir 3 Cilindros de Oxigeno Medicinales con su respectiva Carga de 6mt3  y 6 Cilindros de Oxigeno Medicinales con su respectiva Carga de 0.7 mt3 de los cuales se solicitaran 3 con válvula PIN y 3 con válvula H.</t>
  </si>
  <si>
    <t>3 Cilindros de Oxigeno Medicinales con su respectiva Carga de 6mt3; 6 Cilindros de Oxigeno Medicinales con su respectiva Carga de 0.7mt3, los cuales se solicita que 3 tengan válvula PIN y 3 con válvula "H"</t>
  </si>
  <si>
    <t> 1260057-19-LQ23</t>
  </si>
  <si>
    <t>SUMINISTRO DE OXIGENOTERAPIA DOMICILIARIA PARA PACIENTES DEL HOSPITAL DE PEÑAFLOR</t>
  </si>
  <si>
    <t>SUMINISTRO DE OXIGENOTERAPIA DOMICILIARIA PARA PACIENTES DEL HOSPITAL DE PEÑAFLOR POR 24 MESES</t>
  </si>
  <si>
    <t>SERVICIO DE OXIGENOTERAPIA PARA 24 MESES DE CONTRATO, DETALLE SE DEBE INCORPORAR EN FORMULARIO N°3</t>
  </si>
  <si>
    <t>2421-40-LE23</t>
  </si>
  <si>
    <t>SUMINISTRO OXIGENO MEDICINAL DAS CONCEPCIÓN 2023-24</t>
  </si>
  <si>
    <t>SERVICIO SUMINISTRO OXIGENO MEDICINAL PARA CENTROS DE SALUD</t>
  </si>
  <si>
    <t>DIRECCION DE SALUD MUNICIPAL DE CONCEPCION</t>
  </si>
  <si>
    <t>COMPLETAR ANEXO ECONOMICO Nº6 E INGRESAR VALOR UNITARIO TOTAL</t>
  </si>
  <si>
    <t> 22-05-2023 16:32:00</t>
  </si>
  <si>
    <t>Mario Mora M</t>
  </si>
  <si>
    <t>mmora@dasconcepcion.cl</t>
  </si>
  <si>
    <t>483-18-LE23</t>
  </si>
  <si>
    <t>CONVENIO GASES CLÍNICOS HOSPITAL DE CONTULMO</t>
  </si>
  <si>
    <t>El Hospital de Contulmo, a través de su Dirección, invita a oferentes, personas naturales o jurídicas, así como las Uniones Temporales de proveedores UTP, sean chilenas o extranjeras, que acrediten su idoneidad técnica según la normativa vigente y que cumplan con los requisitos establecidos en las bases administrativas a participar en la licitación pública correspondiente a “CONVENIO DE GASES CLÍNICOS HOSPITAL DE CONTULMO”.</t>
  </si>
  <si>
    <t>CONVENIO DE GASES CLÍNICOS PARA EL HOSPITAL DE CONTULMO</t>
  </si>
  <si>
    <t>25.069.018</t>
  </si>
  <si>
    <t>2111-150-LQ23</t>
  </si>
  <si>
    <t>ADQUIS. DE ACCESORIOS PARA GASES CLINICOS DEL HUAP</t>
  </si>
  <si>
    <t>SE REQUIERE LA ADQUISICIÓN DE ACCESORIOS PARA GASES CLÍNICOS DEL HUAP.</t>
  </si>
  <si>
    <t>REGULADOR DE O2 C/VALVULA PIN 30</t>
  </si>
  <si>
    <t>Reiner Ávila</t>
  </si>
  <si>
    <t>reiner.avila@hospitalcontulmo.cl</t>
  </si>
  <si>
    <t>Damián Ibañez Arriagada</t>
  </si>
  <si>
    <t>damian.ibanez@hospitalcontulmo.cl</t>
  </si>
  <si>
    <t>2125-46-LE23</t>
  </si>
  <si>
    <t>HOSPITAL DR. HUMBERTO ELORZA CORTES</t>
  </si>
  <si>
    <t>2311-82-L123</t>
  </si>
  <si>
    <t>ADQUISICIÓN DE EQUIPAMIENTO PARA BOX MEDICO ( CESFAM LONTUÉ)</t>
  </si>
  <si>
    <t>Se requiere solicitar equipamiento de box médico para cesfam lontué,lo anterior para su oferta economico  ,se solicita informar plazo de entregas y adjuntar ficha técnica de los productos ofertados .se reciben solo pedidos completos no fraccionados .adjunto detalle técnico en su oferta .licitación adjudicada por linea a más de un oferente , si fuese el caso de los insumos solicitado por los cada línea.</t>
  </si>
  <si>
    <t xml:space="preserve">ILUSTRE MUNICIPALIDAD DE MOLINA </t>
  </si>
  <si>
    <t>SE REQUIERE OXIMETRO SATUROMETRO PRDISTRICO .pantalla digital , parámetros de medición : sp02 ,frecuencia de pulso , indice de perfusión. visualización de onda de pletismografía,función de alarma . audio y alarma visual.energía batería de 2AAA (11 Unidades); se requiere oximetros saturometros adultos, pantalla digital , parametros de medicion sp02, frecuencia de pulso , indice de perfusión, visualización de alarmas , audio  y alarma  visual , energía batería de 2 x AAA (11 Unidades)</t>
  </si>
  <si>
    <t>2102-21-LE23</t>
  </si>
  <si>
    <t xml:space="preserve">CONVENIO ARRIENDO MOVILIZACION DE PACIENTES FUNCIONARIOS MERCADERÍAS </t>
  </si>
  <si>
    <t>SC N° 24 OPERACIONES
El Hospital Santa Isabel de Lebu, invita a los oferentes, personas naturales o jurídicas, a participar en la licitación pública para contar con un oferente externo, que provea CONVENIO ARRIENDO MOVILIZACION DE PACIENTES, FUNCIONARIOS, MERCADERÍAS, OXIGENO DOMICILIO, HSIL.</t>
  </si>
  <si>
    <t>CONVENIO ARRIENDO DE MOVILIZACIÓN DE PACIENTES, FUNCIONARIOS, MERCADERIAS, OXIGENO DOMICILIO HSIL, POR UN PERIODO DE 24 MESES SEGUN BASES ADJUNTAS</t>
  </si>
  <si>
    <t> 23-05-2023 17:30:00</t>
  </si>
  <si>
    <t>1175-105-L123</t>
  </si>
  <si>
    <t>117-23: “ADQUISICIÓN DE EQUIPAMIENTOS PARA PROYECTO NORMALIZACIÓN URGENCIA HOSPITAL HERNÁN HENRÍQUEZ ARAVENA, TEMUCO”</t>
  </si>
  <si>
    <t>Saturómetro Portátil Pediátrico</t>
  </si>
  <si>
    <t>2914-32-L123</t>
  </si>
  <si>
    <t>INSUMOS FONOAUDIOLOGA CES ENDDA SOL 126</t>
  </si>
  <si>
    <t>OXIMETRO DE PULSO ADULTO TIPO CHOICEMMED. SE ADJUNTA IMAGEN REFERENCIAL. PRESENTAR FOTO, ESPECIFICACIONES TECNICAS Y GARANTIA.</t>
  </si>
  <si>
    <t>1070620-45-LP23</t>
  </si>
  <si>
    <t>jvt Mat ins y rep area mecanica medica</t>
  </si>
  <si>
    <t>jvt Materiales, insumos y repuestos utilizados en el mantenimiento hospitalario del área mecánica medica, alto consumo.
Resolución N 1116   19 de mayo de 2023</t>
  </si>
  <si>
    <t>REGULADOR DE PRESION DE AIRE o equivalente</t>
  </si>
  <si>
    <t>100000 </t>
  </si>
  <si>
    <t>2200-35-LE23</t>
  </si>
  <si>
    <t>SERVICIO DE SUMINISTRO DE OXIGENO MEDICINAL GASEOSO - SAMU ACONCAGUA</t>
  </si>
  <si>
    <t xml:space="preserve">El Servicio de Salud Aconcagua requiere contratar a través de convenio suministro el Servicio de Suministro de Oxígeno Medicinal Gaseoso, por un periodo de 24 meses, para garantizar la disponibilidad y entregar de manera óptima y oportuna en atención a los pacientes,  solicitado y autorizado según Solicitud de Compra N°40 (Int. N°268) de esa Dependencia.
Que lo requerido no se encuentra en el catálogo electrónico de Convenio Marco y resulta necesario para el cumplimiento de los fines del Servicio.
Que, en cumplimiento a lo dispuesto en la Ley Nº19.886 y su Reglamento, aprobado por Decreto Supremo N° 250, de 2004, del Ministerio de Hacienda, y sus modificaciones posteriores, se confeccionaron las Bases que se aprueban en este acto, que observan los principios de libre concurrencia de los oferentes al llamado administrativo y de igualdad que rigen los procedimientos concursales, y cumplen con los requerimientos técnicos y jurídicos para verificar la realización de la presente licitación pública.
</t>
  </si>
  <si>
    <t>SERVICIO DE SALUD ACONCAGUA</t>
  </si>
  <si>
    <t>Servicio de suministro de Oxígeno Medicinal Gaseoso para SAMU Aconcagua. Se adjuntan Bases Admtvas., EE.TT. y Anexos.</t>
  </si>
  <si>
    <t>2803-2-LP23</t>
  </si>
  <si>
    <t>ADQUISICIÓN POR CONTRATO DE SUMINISTRO DE SERVICIO</t>
  </si>
  <si>
    <t>ADQUISICIÓN POR CONTRATO DE SUMINISTRO DE SERVICIO DE MANTENCIÓN DE EQUIPOS DEL DEPARTAMENTO DE SALUD MUNICIPAL</t>
  </si>
  <si>
    <t>LÍNEA 6: SALA DE GASES</t>
  </si>
  <si>
    <t>1171142-44-LQ23</t>
  </si>
  <si>
    <t>PROVISIÓN Y MANT. ESTANQUE CRIOGÉNICO CAPLC 47-23</t>
  </si>
  <si>
    <t>La Licitación denominada “PROVISIÓN Y MANTENIMIENTO DE ESTANQUE CRIOGÉNICO Y SUMINISTRO DE OXÍGENO LÍQUIDO PARA EL COMPLEJO ASISTENCIAL PADRE LAS CASAS”; Se requiere contar con el suministro de oxígeno de calidad de uso humano, para ser usado en ambiente hospitalario. El proveedor se obliga a suministrar al Hospital Complejo Asistencial Padre Las Casas oxígeno líquido medicinal criogénico y a la mantención de la estación criogénica incluyendo los cilindros de oxígeno de respaldo, los cuales no tendrán costos de arriendo y mantención.</t>
  </si>
  <si>
    <t>HOSPITAL COMPLEJO ASISTENCIAL PADRE LAS CASAS</t>
  </si>
  <si>
    <t>Suministro de oxígeno líquido criogénico estanque 5.000 litros (5 m3) o superior. 99.5% pureza.</t>
  </si>
  <si>
    <t>898-90-LP23</t>
  </si>
  <si>
    <t>OXIDO NITROSO</t>
  </si>
  <si>
    <t>OXIDO NITROSO mezcla de 50 % de Oxigeno 50 % Oxido Nitroso, Analgesia del parto; OXIDO NITROSO 100% Pabellon
formulario N°1 Oferta economica</t>
  </si>
  <si>
    <t>1221016-38-L123</t>
  </si>
  <si>
    <t xml:space="preserve">Compra de equipo medico CESFAM  Ossandón Req- 050/S </t>
  </si>
  <si>
    <t>Se requiere comprar equipo medico para nuestro CESFAM Ossandón</t>
  </si>
  <si>
    <t>Corporación de Desarrollo de La Reina</t>
  </si>
  <si>
    <t>Oxímetro de pulso pediátrico para medir la saturación del oxigeno en la sangre y las pulsaciones del corazon a través del dedo. Display de SpO2, PR, barra de pulso y onda de pletismógrafia. 6 modos de pantalla. Pantalla OLED de 1.17. apagado automati</t>
  </si>
  <si>
    <t>1628-12-LE23</t>
  </si>
  <si>
    <t>COMPRA SUMINISTRO OXIGENO MEDICO MEDICINAL</t>
  </si>
  <si>
    <t>COMPRA SUMINISTRO OXIGENO MEDICO MEDICINAL, BASES TÉCNICAS Y ADMINISTRATIVAS EN ARCHIVO ADJUNTO</t>
  </si>
  <si>
    <t>SERVICIO DE SALUD HOSPITAL DE GRANEROS</t>
  </si>
  <si>
    <t xml:space="preserve">ARRIENDO CILINDROS; CAMBIO VALVULA; FLETE CILINDRO 0.4 M3; FLETE CILINDRO 0.7 M3; FLETE CILINDRO 1.0 M3; FLETE CILINDRO 1.5 M3; FLETE CILINDRO 10 M3; FLETE CILINDRO 6 M3; FLETE CILINDRO 9 M3; PRUEBA HIDROSTATICA; RECARGA OXIGENO MEDICO 0.4 M3 PORTÁTIL; RECARGA OXIGENO MEDICO 0.7 M3 PORTÁTIL; RECARGA OXIGENO MEDICO 1.0 M3 PORTÁTIL; RECARGA OXIGENO MEDICO 1.5 M3 PORTÁTIL; RECARGA OXIGENO MEDICO 10 M3; RECARGA OXIGENO MEDICO 6 M3; RECARGA OXIGENO MEDICO 9; RECARGA OXIGENO MEDICO 9 M3 </t>
  </si>
  <si>
    <t>4464-16-LE23</t>
  </si>
  <si>
    <t>Adquisición de carros porta cilindros de gases medicinales</t>
  </si>
  <si>
    <t>El hospital San Juan de Dios, necesita la adquisición de carros porta cilindros de gases medicinales, para facilitar el traslado de estos cilindros a las distintas dependencias que posee este recinto hospitalario.</t>
  </si>
  <si>
    <t xml:space="preserve">CARROS PORTA CILINDRO DE 1 UNIDAD; CARROS DE TRANSPORTE DE CILINDROS TIPO E O D </t>
  </si>
  <si>
    <t>2311-84-L123</t>
  </si>
  <si>
    <t xml:space="preserve">ADQUISICIÓN DE INSUMOS PROGRAMA MAS AMA </t>
  </si>
  <si>
    <t xml:space="preserve">Se requiere la adquisición de insumos para el programa mas ama , Cesfam Lontué lo anterior para su oferta económica disponible ,se solicita informar plazo de entregas y adjuntar ficha técnica, de los productos ofertados , se reciben solo pedidos completos no fraccionados .se adjunta anexo y especificaciones técnicas .
 </t>
  </si>
  <si>
    <t>SE REQUIERE SATUROMETRO /OXIMETRO ADULTO</t>
  </si>
  <si>
    <t>3378-38-LQ23</t>
  </si>
  <si>
    <t>SUMINISTRO DE INSUMOS CLÍNICOS “PARA EL DEPARTAMENTO DE ENFERMERÍA CRITICA DEL HMS”</t>
  </si>
  <si>
    <t>MASCARILLA ORONASAL VENTIL.NO INVAS.</t>
  </si>
  <si>
    <t>2098-119-LE23</t>
  </si>
  <si>
    <t>ADQUISICIÓN DE INSUMOS PAC N°132-133</t>
  </si>
  <si>
    <t>El hospital Dr. Rafael Avaria Valenzuela de Curanilahue a través del Departamento de Abastecimiento y Logística, invita a los oferentes, personas naturales, jurídicas o unión temporal de proveedores a participar en la licitación pública, para adquirir  insumos médicos para el Hospital de Curanilahue, Conforme a lo dispuesto en Ley de Compras Públicas Nº19.886, de Bases Sobre Contratos Administrativos de Suministro y Prestación de Servicios y su Reglamento aprobado mediante Decreto 250/20047 y las modificaciones vigentes a la fecha de esta publicación, determinando los requisitos administrativos mínimos para participar en la propuesta y garantizar con este mismo instrumento la calidad y entrega del servicio requerido.</t>
  </si>
  <si>
    <t>SERVICIO NACIONAL DE SALUD HOSPITAL DE CURANILAHUE</t>
  </si>
  <si>
    <t xml:space="preserve">Mascarilla Respironics  Oronasal  Talla MEDIANA con codo EE con 1 puerto de fugas y arnés CapStrap; Mascarilla Respironics Oronasal  Talla GRANDE con codo EE con 1 puerto de fugas y arnés CapStrap talla GRANDE 
</t>
  </si>
  <si>
    <t>2101-97-LE23</t>
  </si>
  <si>
    <t>INSUMOS CLÍNICOS</t>
  </si>
  <si>
    <t>Mediante la presente propuesta pública el Hospital Intercultural Kallvu Llanka invita a oferentes, personas naturales que tributen en primera categoría o jurídicas a participar de una licitación pública correspondiente a la adquisición de “INSUMOS CLÍNICOS”, con el objetivo de abastecer stock de bodega de insumos.</t>
  </si>
  <si>
    <t>FRASCO HUMIDIFICAR VASO DE POLICARBONATO DE ALTO IMPACTO DE 3MM DE ESPESOR, TAPA DE NYLON, AUTOCLAVABLE. JUNTA DE SILICONA, CONEXIÓN DE MANGUERA DE BRONCE CROMADO; NIPLE PARA OXÍGENO Adaptador tipo rosca, de plástico, para conectar al flujómetro en oxigenoterapia; BOQUILLAS DE CARTON DESECHABLE P/ESPIROMETRO Y O FLUJOMETRO 65x30 MM</t>
  </si>
  <si>
    <t>643553-22-LE23</t>
  </si>
  <si>
    <t>OXIGENOTERAPIA</t>
  </si>
  <si>
    <t>SE REALIZA LA SIGUIENTE LICITACIÓN PUBLICA PARA CONTRATA EL SUMINISTRO DE OXIGENO, INSUMOS ASOCIADOS A OXIGENOTERAPIA Y MANTENCIONES PREVENTIVAS Y CORRECTIVAS A LOS EQUIPOS DE OXIGENO EN LOS CENTROS DE SALUD DE LA COMUNA DE SAN JOAQUÍN.</t>
  </si>
  <si>
    <t>CORP MUNICIPAL DE DESARROLLO SOCIAL DE SN JOAQUIN</t>
  </si>
  <si>
    <t>SE REQUIERE SUMINISTRO DE MANTENCIÓN PREVENTIVA Y CORRECTIVA A BALONES DE OXIGENO E INSUMOS ASOCIADOS A OXIGENOTERAPIA.</t>
  </si>
  <si>
    <t>4375-120-LP23</t>
  </si>
  <si>
    <t>Artículos para campaña de invierno 2023</t>
  </si>
  <si>
    <t xml:space="preserve">EL HGGB requiere artículos para campaña de invierno 2023, solicitado por Subdirección Gestión del Cuidado, en requerimientos S-COM N° 34942 y 34945 de fecha 11.04.2023. </t>
  </si>
  <si>
    <t xml:space="preserve"> FLUJOMETRO AIRE COMPRIMIDO CONEXIÓN AGA/ FLUJOMETRO OXIGENO CONEXIÓN AGA/NIPPLE DE BRONCE PARA OXIGENO PORTATIL (COMPATIBLE CON HUMIDIFADOR)/NIPPLE (PARA FLUJOMETRO MURAL)/ TUBO CORRUGADO LARGO 2 METROS Y 2 CM DE DIÁMETRO PARA CONEXIÓN DE VENTILADOR MECÁNICO NO INVASIVO, ESTERILIZABLE.
</t>
  </si>
  <si>
    <t>898-100-LE23</t>
  </si>
  <si>
    <t>Insumos para C.C. Otorrinolaringología</t>
  </si>
  <si>
    <t>1. La necesidad del Hospital Claudio Vicuña, establecimiento dependiente del Servicio de Salud Valparaíso San Antonio, de contar con Insumos para C.C. Otorrinolaringología que tienen por objeto que los Usuarios, tengan una eficiente atención en cuanto a calidad y oportunidad; en referencia al soporte que dan los recursos físicos disponibles</t>
  </si>
  <si>
    <t xml:space="preserve">FLUJÓMETRO MINI-WRIGHT® / Adulto (800 l/m) (3Unidades)/ FLUJÓMETRO MINI-WRIGHT® / Pediátrico (400 l/m) (3Unidades)/ Válvula Entrenamiento Muscular Inspiratorio (Threshold IMT) (50Unidades)/ Boquillas para flujómetro: • Boquillas desechables compatibles con flujómetros Mini Wrigth modelo adulto e infantil (500 Unidades)
</t>
  </si>
  <si>
    <t>1057547-281-LP23</t>
  </si>
  <si>
    <t>Habilitacion de red de gases clinicos en Urgencia</t>
  </si>
  <si>
    <t>Habilitacion de red de gases Clinicos en Urgencia Pediatrica del Hospital Base Valdivia.</t>
  </si>
  <si>
    <t>HABILITACIÓN DE RED DE GASES CLÍNICOS EN URGENCIA PEDIÁTRICA</t>
  </si>
  <si>
    <t>2778-79-LE23</t>
  </si>
  <si>
    <t>GASES E INSUMOS PARA EL LICEO INDUSTRIAL DE LA COMUNA DE RENGO</t>
  </si>
  <si>
    <t>ADQUISICION DE GASES E INSUMOS PARA EL LICEO INDUSTRIAL DE LA COMUNA DE RENGO</t>
  </si>
  <si>
    <t>I MUNICIPALIDAD DE RENGO</t>
  </si>
  <si>
    <t>RECARGA DE GASES DE ACUERDO A LO INDICADO EN ARCHIVOS ANEXOS DE LA LICITACION N° 2778-79-LE23</t>
  </si>
  <si>
    <t>1057544-180-LE23</t>
  </si>
  <si>
    <t>Suministro de insumos para Medicina física y rehabilitación</t>
  </si>
  <si>
    <t>Que el establecimiento requiere en forma permanente, comprar insumos para Medicina física y rehabilitación, con el objeto de cumplir y satisfacer debidamente la demanda asistencial que legalmente le ha sido encomendada; Que estos productos no se encuentran disponibles en Convenio Marco; Que se ha estimado que el contrato no excederá de las 10.000 UTM, por lo cual no requiere de toma de razón; Que existen en el Mercado Proveedores que ofrecen los productos requeridos y a los que se desea acceder</t>
  </si>
  <si>
    <t>054-1019 BOQUILLA P/FLUJOMETRO</t>
  </si>
  <si>
    <t>3654-27-LE23</t>
  </si>
  <si>
    <t>ADQUISICIÓN DE CILINDROS CON GASES FLETES DE CILINDROS Y ARRIENDO DE CILINDROS</t>
  </si>
  <si>
    <t>ADQUISICIÓN DE CILINDROS CON GASES, FLETES DE CILINDROS Y ARRIENDO DE CILINDROS, PARA LOS DISTINTOS LABORATORIOS DEL INSTITUTO DE INVESTIGACIONES Y CONTROL (IDIC), POR 12 (DOCE) MESES CON POSIBILIDAD DE RENOVACIÓN POR ÚNICA VEZ POR EL MISMO PLAZO</t>
  </si>
  <si>
    <t>• 2 (DOS) CILINDROS DE GAS HELIO DE 99,99 DE PUREZA CON CAPACIDAD DE 8 A 10 M3 APROXIMADAMENTE. CONFORME A ESPECIFICACIONES TÉCNICAS ADJUNTA EN PDF.</t>
  </si>
  <si>
    <t>2790-102-L123</t>
  </si>
  <si>
    <t>EQUIPOS TENSIOMETROS Y OXÍMETROS</t>
  </si>
  <si>
    <t>ADQUISICIÓN DE EQUIPOS TENSIOMETROS Y OXÍMETROS PARA EL CESFAM MIGUEL SOLAR (SC N°285 24.05.23-DESAM).</t>
  </si>
  <si>
    <t>SATUROMETRO ADULTO Y PEDIÁTRICO</t>
  </si>
  <si>
    <t>1057937-30-LE23</t>
  </si>
  <si>
    <t>COMPRA DE OXIMETROS DE PULSO DE SOBREMESA</t>
  </si>
  <si>
    <t>“COMPRA DE OXIMETROS DE PULSO DE SOBREMESA–HOSPITAL BASE VALDIVIA”</t>
  </si>
  <si>
    <t>OXIMETRO DE PULSO (COTIZAR X 1)</t>
  </si>
  <si>
    <t>4375-125-LE23</t>
  </si>
  <si>
    <t>Accesorios para  unidades de hospitalizados de Monoblock</t>
  </si>
  <si>
    <t>El HGGB requiere la compra de accesorios para  unidades de hospitalizados de Monoblock, por campaña de invierno 2023; solicitado por Subdirección Gestión del Cuidado, en requerimiento S-COM N° 36088 de fecha 12.05.2023.</t>
  </si>
  <si>
    <t xml:space="preserve">Flujómetro de aire, conexión Diamond, 15 LPM. adjuntar ficha e imagen de lo cotizado. </t>
  </si>
  <si>
    <t>2744-48-LE23</t>
  </si>
  <si>
    <t>Arriendo de Cilindros Suministro y Recarga de Oxigeno Gaseoso Medicinal</t>
  </si>
  <si>
    <t>SUMINISTRO DE OXIGENO PARA DISPOSITIVOS DE ATENCION PRIMARIA DE ANGOL. QUE CONTEMPLE BALONES, TRASLADO, RECARGA MANTENCIONES, DEBE CONTAR CON LAS MEDIDAS DE SEGURIDAD DISPUESTA EN LA LEGISLACION NACIONAL. REQ. DE COMPRA N°61.</t>
  </si>
  <si>
    <t>(1 M3) Suministro de Oxigeno Gaseoso Medicinal para dispositivos de Atención Primaria de Angol, que contemple balones, traslado, recarga, mantenciones. Debe contar con las medidas de seguridad dispuesta en la legislación Nacional. Según Bases Administrati</t>
  </si>
  <si>
    <t>2483-211-LR23</t>
  </si>
  <si>
    <t>SUMINISTRO DE OXÍGENO MEDICINAL Y AIRE COMPRIMIDO PARA CENTROS DE ATENCIÓN PRIMARIA SAPU Y AMBULANCIAS PERTENECIENTES A LA MUNICIPALIDAD DE QUILICURA</t>
  </si>
  <si>
    <t>SUMINISTRO DE OXÍGENO MEDICINAL Y AIRE COMPRIMIDO PARA CENTROS DE ATENCIÓN PRIMARIA, SAPU Y AMBULANCIAS PERTENECIENTES A LA MUNICIPALIDAD DE QUILICURA, Decreto Alcaldicio E N°3315/23</t>
  </si>
  <si>
    <t>SUMINISTRO DE OXÍGENO MEDICINAL Y AIRE COMPRIMIDO PARA CENTROS DE ATENCIÓN PRIMARIA, SAPU Y AMBULANCIAS PERTENECIENTES A LA MUNICIPALIDAD DE QUILICURA</t>
  </si>
  <si>
    <t>1624-50-L123</t>
  </si>
  <si>
    <t>INSUMOS URGENCIAS Y HOSPITALIZADOS</t>
  </si>
  <si>
    <t>HOSPITAL NANCAGUA RUT 61.602.147-8, REQUIERE COMPRA DE   INSUMOS DE URGENCIAS Y HOSPITALIZADOS, SEGUN ESPECIFICACIONES Y ADJUNTOS, PUESTO EN BODEGA DE ESTABLECIMIENTO, FLETE INCLUIDO. INDICAR MONTO MINIMO DE DESPACHO</t>
  </si>
  <si>
    <t>OXIMETRO DE PULSO ADULTO</t>
  </si>
  <si>
    <t>948354-89-LE23</t>
  </si>
  <si>
    <t>SERVICIO DE SUMINISTRO DE GASES DE MEZCLA</t>
  </si>
  <si>
    <t>El Hospital de la Dirección de Previsión de Carabineros de Chile, ubicado en Vital Apoquindo N°1.200, Comuna de Las Condes, Región Metropolitana, en adelante “EL HOSPITAL”, llama a Licitación Pública para la Contratación del Servicio de Suministro de Gases de Mezcla, en adelante “EL SERVICIO”, para un período de 24 meses o hasta que se consuma la totalidad del monto contratado, lo primero que ocurra, para el referido Centro Asistencial, cuyas características y requisitos técnicos constan en las Bases Administrativas y Técnicas de esta Licitación con sus respectivos anexos.</t>
  </si>
  <si>
    <t>Servicio de Suministro de Gases de Mezcla (Segun bases de licitacion).</t>
  </si>
  <si>
    <t>3135-20-LE23</t>
  </si>
  <si>
    <t>IMPLEMENTACION EQUIPOS MEDICOS POSTA QUILLAGUA</t>
  </si>
  <si>
    <t>Se requiere la adquisición de equipos médicos de primera linea para la Posta de Quillagua, que se encuentra en su fase de implementación para realizar una atención primaria a sus residentes.</t>
  </si>
  <si>
    <t>I MUNICIPALIDAD DE MARIA ELENA</t>
  </si>
  <si>
    <t>KIT EQUIPO OXIGENO TIPO E</t>
  </si>
  <si>
    <t>2790-107-L123</t>
  </si>
  <si>
    <t>EQUIPOS MEDICOS</t>
  </si>
  <si>
    <t>ADQUISICION DE EQUIPOS MEDICOS PARA EL CESFAM DR. RAUL MOYA (SC. N° 283 24.05.2023)</t>
  </si>
  <si>
    <t>OXIMETROS DE PULSO DIGITAL ADULTO.</t>
  </si>
  <si>
    <t>3710-127-L123</t>
  </si>
  <si>
    <t>REGULADORES DE OXIGENO conv. E.R. en APS para enfrentar pandemia COVID-19</t>
  </si>
  <si>
    <t>REGULADORES DE OXIGENO conv. E.R. en APS para enfrentar pandemia COVID-19 SEGUN SM-11555</t>
  </si>
  <si>
    <t>REGULADOR DE OXIGENO CON FLUJOMETRO DE 0 A 15 LPM (PARA CILINDRO VÁLVULA H)</t>
  </si>
  <si>
    <t>4735-23-L123</t>
  </si>
  <si>
    <t>Adquisición de insumos médicos y Berger para el área de kinesiología del Cesfam CholChol</t>
  </si>
  <si>
    <t>Adquirir filtros bacterioviral, boquillas desechables de cartón para espirometría, un berger y bolsas para transporte de baciloscopia para ser utilizados en sala IRA/ERA del Centro de Salud Familiar de CholChol</t>
  </si>
  <si>
    <t>Boquillas desechables de cartón para espirometría y/o flujómetros</t>
  </si>
  <si>
    <t>1070620-56-LE23</t>
  </si>
  <si>
    <t>jvt Adq Mat insumos y rep area mecanica industrial</t>
  </si>
  <si>
    <t>jvt Adquisición de Materiales, insumos y repuestos utilizados en el mantenimiento hospitalario del área mecánica industrial
Resolución Exenta N 1209  adjunta</t>
  </si>
  <si>
    <t>FLUJOMETRO DE OXIGENO 0-15 LITROS CONEXION CENTRAL UNI.CO  o equivalente</t>
  </si>
  <si>
    <t>1058042-1-LE23</t>
  </si>
  <si>
    <t xml:space="preserve">Insumos y medicamentos farmacia </t>
  </si>
  <si>
    <t>Abastecer bodega de farmacia con medicamentos e insumos.</t>
  </si>
  <si>
    <t>SERVICIO DE SALUD COQUIMBO HOSPITAL VICUNA</t>
  </si>
  <si>
    <t xml:space="preserve">"Oximetro de Pulso Marca CHOICEMMED
Características: 
·         Rango de aplicación: Adultos
·         SpO2 Rango de medición 70 ~ 100%
·         Precisión: +/- 2%
·         Resolución: 1%
·         Frecuencia de pulso Rango de medida: 30 </t>
  </si>
  <si>
    <t>3824-32-LE23</t>
  </si>
  <si>
    <t>Servicio de Suministro de Oxigeno Medicinal 2023</t>
  </si>
  <si>
    <t>Concentrador de Oxigeno (arriendo), consumo estimado en 2 años(ver especificaciones tecnicas).</t>
  </si>
  <si>
    <t>1057543-53-L123</t>
  </si>
  <si>
    <t>ACCESORIOS PARA TOMAS MURALES DE GASES CLÍNICOS</t>
  </si>
  <si>
    <t>SE REQUIERE LA ADQUISICIÓN DE ACCESORIOS PARA TOMAS MURALES DE GASES CLÍNICOS DEL HOSPITAL DE TOMÉ.</t>
  </si>
  <si>
    <t>812261-48-LQ23</t>
  </si>
  <si>
    <t>SERVICIO OXÍGENO LÍQUIDO</t>
  </si>
  <si>
    <t>Las presentes bases de licitación son formuladas para establecer la regulación del proceso de Licitación Pública “SERVICIO DE OXÍGENO LÍQUIDO PARA EL HOSPITAL DE LA FLORIDA” y reglamentan entre otros aspectos las condiciones que deben cumplir las ofertas, las etapas del proceso licitatorio, su forma de evaluación y adjudicación, las condiciones del contrato y todos los aspectos necesarios para el correcto proceso de adquisición.</t>
  </si>
  <si>
    <t>EL HOSPITAL LA FLORIDA REQUIERE LICITAR EL SERVICIO DE OXÍGENO LÍQUIDO, SEGÚN LO INDICADO EN LAS BASES DE LICITACIÓN.</t>
  </si>
  <si>
    <t>2332-101-L123</t>
  </si>
  <si>
    <t xml:space="preserve">MANTENCION CENTRO DE ESPECIALIDADES DEPENDIENTE DEL DEPARTAMENTO DE SALUD MUNICIPAL” </t>
  </si>
  <si>
    <t xml:space="preserve">El Departamento de Salud Municipal de Puerto Montt, dentro de su estrategia de compra, llama a participar en la Licitación Pública para la  “MANTENCION CENTRO DE ESPECIALIDADES DEPENDIENTE DEL DEPARTAMENTO DE SALUD MUNICIPAL” lo anterior con el objetivo de mantener en correcto funcionamiento los diferentes sevicios prestados en el centro de especialidades.   </t>
  </si>
  <si>
    <t>INSTALACIÓN RED DE AIRE COMPRIMIDO, SEGÚN BASES TÉCNICAS ADJUNTAS.</t>
  </si>
  <si>
    <t> 08-06-2023 15:29:00</t>
  </si>
  <si>
    <t>3663-8-LE23</t>
  </si>
  <si>
    <t xml:space="preserve">Insumos quirúrgicos </t>
  </si>
  <si>
    <t>Abastecer a las Unidades clínicas del CESFAM de la Comuna de Requínoa.</t>
  </si>
  <si>
    <t xml:space="preserve">MANOMETRO DE TUBO DE OXIGENO SIN FLUJOMETRO PARA USO CLINICO </t>
  </si>
  <si>
    <t>3651-31-L123</t>
  </si>
  <si>
    <t>INSUMOS DE URGENCIA CESFAM CANTERAS - V.M</t>
  </si>
  <si>
    <t>INSUMOS DE URGENCIA CESFAM CANTERAS - VILLA MERCEDES REFERENTE TÉCNICO ENFERMERA SRTA ANDREA VEGA</t>
  </si>
  <si>
    <t>SATUROMETRO ADULTO PANTALLA LCD/TFT. SATURACIÓN DE 0 A 100% FRECUENCIA CARDIACA DE 30 A 250 bpm A PILAS</t>
  </si>
  <si>
    <t>2274-47-LE23</t>
  </si>
  <si>
    <t>ADQUISICIÓN DE RECARGAS DE OXIGENO MEDICINAL Y AIRE COMPRIMIDO MEDICINAL PARA CESFAM DE LA COMUNA DE LA PINTANA. DEC 765.</t>
  </si>
  <si>
    <t xml:space="preserve">ARRIENDO DE TUBO + RECARGA AIRE COMPRIMIDO TUBO 10MTS3; RECARGA OXIGENO MEDICINAL  TUBOS 0,7MTS3; RECARGA OXIGENO MEDICINAL TUBOS 10 MTS3; </t>
  </si>
  <si>
    <t>1057385-17-LE23</t>
  </si>
  <si>
    <t>MANTENCIONPREVENTIVA Y CORRECTIVA DE GASES CLINICO</t>
  </si>
  <si>
    <t xml:space="preserve">MANTENCION PREVENTIVA Y CORRECTIVA DE GASES CLINICOS
SOLICITUD COMPRA N° 213 DE RAUL ACUÑA LEIVA
SE ADJUNTAN ESPECIFICACIONES ADM. Y  TECNICAS </t>
  </si>
  <si>
    <t>SERVICIO DE SALUD ANTOFAGASTA HOSPITAL 21 DE MAYO TALTAL</t>
  </si>
  <si>
    <t>MANTENCION PREVENTIVA Y CORRECTIVA DE GASES CLINICOS</t>
  </si>
  <si>
    <t>1523-80-LP23</t>
  </si>
  <si>
    <t>Propuesta Pública N.º 9323 “SUMINISTRO DE INSUMOS VARIOS PARA EL HOSPITAL DR. ABRAHAM GODOY PEÑA DE LAUTARO”</t>
  </si>
  <si>
    <t>Propuesta Pública N.º 93/23 “SUMINISTRO DE INSUMOS VARIOS, PARA EL HOSPITAL DR. ABRAHAM GODOY PEÑA DE LAUTARO”</t>
  </si>
  <si>
    <t>CONCENTRADOR DE OXIGENO CON NEBULIZADOR PORTATIL, CON SISTEMA DE RUEDAS Y 4 FRENOS, CANULA NASAL, VASO HUMIDIFICADOR, CABLE ADAPTADOR DE CORRIENTE UNIVERSAL Y MANUAL DE USO.</t>
  </si>
  <si>
    <t>1709-44-L123</t>
  </si>
  <si>
    <t>MANTENCIÓN PREVENTIVA PARA RED DE GASES CLÍNICOS</t>
  </si>
  <si>
    <t>SERVICIO DE MANTENCIÓN PREVENTIVA PARA LA RED DE GASES CLÍNICOS DEL CESFAM DR. RICARDO VALDES, CESFAM ARMANDO WILLIAMS Y SAR JUAN SAAVEDRA MACAYA</t>
  </si>
  <si>
    <t>634-73-LE23</t>
  </si>
  <si>
    <t>Suministro de Gases Medicinales Exp.749</t>
  </si>
  <si>
    <t>Gendarmería de Chile requiere la contratación del suministro de gases medicinales para el hospital penitenciario, según términos de referencia definidos en las bases de licitación.</t>
  </si>
  <si>
    <t>Suministro de gases medicinales para Hospital Penitenciario por un periodo de 12 meses, según E.E.T.T.</t>
  </si>
  <si>
    <t>4464-28-LR23</t>
  </si>
  <si>
    <t>CONVENIO SUMINISTRO DE GASES MEDICINALES PARA EL NUEVO HOSPITAL</t>
  </si>
  <si>
    <t>El Hospital San Juan de Dios de Curicó necesita licitar un CONVENIO SUMINISTRO DE GASES MEDICINALES PARA EL NUEVO HOSPITAL, para el buen funcionamiento del recinto.</t>
  </si>
  <si>
    <t>Suministro de Gases Medicinales Con cilindros en Arriendo. Valores según sumatoria del formulario n°4 Económico (adjunto).</t>
  </si>
  <si>
    <t>2703-167-L123</t>
  </si>
  <si>
    <t xml:space="preserve">SC 9130 Serv. de Suministro cilindros de oxigeno. Dirección de Salud </t>
  </si>
  <si>
    <t xml:space="preserve">Para evaluar debe enviar cotización con imagen (de ser necesario) y detalle del producto, valor unitario. Productos deben ser enviados al centro de salud solicitado, (no se realizan retiros). Postular solo si se tiene stock disponible. De no cumplir con plazo estipulado de envío se cancela OC. El proveedor debe postular con precios reales, no se evaluarán los que ponen un monto diferente al de la cotización que adjuntan. Llenar formularios que se adjuntan o en defecto enviar datos solicitados en criterios de evaluación.
</t>
  </si>
  <si>
    <t>1 Servicio de suministro, arriendo y traslado de cilindros de oxigeno para cesfam de Talagante segun especificaciones que se adjuntan periodo 2023-2025</t>
  </si>
  <si>
    <t>1057492-87-LE23</t>
  </si>
  <si>
    <t>SUM.RESUCITADORES MANUALES Y OTROS INSUMOS CLINICOS</t>
  </si>
  <si>
    <t>SUMINISTRO DE RESUCITADORES MANUALES Y OTROS INSUMOS CLINICOS</t>
  </si>
  <si>
    <t xml:space="preserve">A01S0306 HUMIDIFICADOR DE OXIGENO REUSABLE DE POLICARBONATO, de acuerdo a Formulario N°5 </t>
  </si>
  <si>
    <t>1057549-9-L123</t>
  </si>
  <si>
    <t>ADQUISICION DE INSUMOS. BASE SAMU PANGUIPULLI</t>
  </si>
  <si>
    <t>Se necesito requerimiento de los insumos descritos para base SAMU Panguipulli para mantener un perfecto funcionamiento para el año 2023</t>
  </si>
  <si>
    <t>SERVICIO DE SALUD VALDIVIA HOSPITAL LANC</t>
  </si>
  <si>
    <t>REGULADOR DE OXIGENO 15 LPM CON BARBA Y 2 DISS PARA CILINDRO CON VALVULA PIN. UNIDAD</t>
  </si>
  <si>
    <t>2101-108-L123</t>
  </si>
  <si>
    <t>INSTRUMENTOS CAMPAÑA DE INVIERNO</t>
  </si>
  <si>
    <t xml:space="preserve">HOSPITAL INTERCULTURAL REQUIERE ADQUIRIR OXIMETROS PEDIATRICOS Y FONENDOSCOPIO CLASICO, PARA CAMPAÑA DE INVIERNO  EN ATENCIÓN CERRADA. </t>
  </si>
  <si>
    <t>OXIMETRO PEDIATRICO/ADULTO</t>
  </si>
  <si>
    <t>5053-97-LE23</t>
  </si>
  <si>
    <t xml:space="preserve">Adquisición carga de helio </t>
  </si>
  <si>
    <t>El objetivo de la presente licitación, es la adquisición carga de helio del Hospital Regional de Talca, con el fin de asegurar el abastecimiento en calidad y oportunidad, para satisfacer la demanda de los usuarios.</t>
  </si>
  <si>
    <t>Servicio de transferencia de helio líquido a resonador
Dstream 1,5. Servicio incluye: Helio Liquido 500 litros cilindro de helio gas para transferencia, flete, viáticos y servicio de transferencia.</t>
  </si>
  <si>
    <t>Unidad de Convenios</t>
  </si>
  <si>
    <t>1013609-23-LE23</t>
  </si>
  <si>
    <t>Adquisición de insumos médicos</t>
  </si>
  <si>
    <t>Adquisición de insumos de insumos médicos para la  I División de Ejército, ubicación Avenida Ejército 01530 Antofagasta</t>
  </si>
  <si>
    <t>Cilindro de oxigeno portátil (modelo m6 (68 lts) con bolso de transporte); Kit para oxigeno portátil ( regulador de oxigeno y cánula de oxigeno adultos nasal)</t>
  </si>
  <si>
    <t>2125-49-L123</t>
  </si>
  <si>
    <t xml:space="preserve">Mantención preventiva de red de gases clinicos </t>
  </si>
  <si>
    <t xml:space="preserve">Solicitud SSGG-75-23 </t>
  </si>
  <si>
    <t xml:space="preserve">MANTENIMIENTO PREVENTIVO DE RED DE GASES MEDICINALES DEL  HOSPITAL DR. HUMBERTO ELORZA CORTES DE ILLAPEL. </t>
  </si>
  <si>
    <t>2703-172-L123</t>
  </si>
  <si>
    <t>SC 9304 Suministro gases clínicos SAR</t>
  </si>
  <si>
    <t>SC 9304, Suministro gases clínicos (Oxígeno y aire medicinal) SAR</t>
  </si>
  <si>
    <t>Servicio de Suministro de gases clínicos (Oxígeno y aire medicinal) arriendo de cilindros, recarga y flete. Según especificaciones técnicas adjuntas</t>
  </si>
  <si>
    <t>813-56-LQ23</t>
  </si>
  <si>
    <t>Mantenimiento Preventivo y Correctivo</t>
  </si>
  <si>
    <t>El Instituto de Salud Pública de Chile, en adelante e indistintamente el “ISP” o el “Instituto”, llama a Licitación Pública, para la adquisición de servicios de mantenimiento preventivo y correctivo de redes y casetas de gases especiales, del Instituto de Salud Pública de Chile, la cual se regulará por las presentes Bases.</t>
  </si>
  <si>
    <t>INSTITUTO DE SALUD PUBLICA DE CHILE</t>
  </si>
  <si>
    <t>SERVICIOS DE MANTENIMIENTO PREVENTIVO Y CORRECTIVO DE REDES Y CASETAS DE GASES ESPECIALES, DEL INSTITUTO DE SALUD PÚBLICA DE CHILE.</t>
  </si>
  <si>
    <t>2996-59-L123</t>
  </si>
  <si>
    <t>Insumos Programa de rehabilitación pulmonar</t>
  </si>
  <si>
    <t>Compra de insumos de Programa de rehabilitación pulmonar para atención en centros de salud de la comuna de Monte Patria</t>
  </si>
  <si>
    <t>I MUNICIPALIDAD DE MONTEPATRIA</t>
  </si>
  <si>
    <t xml:space="preserve">OXIMETRO DE PULSO SIMILAR MARCA CHOICEMED /MD300K2- PESO141G - CON ALARMA </t>
  </si>
  <si>
    <t>1260057-20-LE23</t>
  </si>
  <si>
    <t>COMPRA INSUMOS MEDICOS JUNIO 2023</t>
  </si>
  <si>
    <t>ESTA LICITACION TIENE POR OBJETO LA COMPRA DE INSUMOS MEDICOS PARA EL HOSPITAL DE PEÑAFLOR, PERIODO JUNIO 2023</t>
  </si>
  <si>
    <t xml:space="preserve">FRASCO HUMIDIFICADOR DESECHABLE CON CONCENTRADOR DE OXIGENO SIN ROSCA
</t>
  </si>
  <si>
    <t>2157-88-LQ23</t>
  </si>
  <si>
    <t>CONVENIO SUMINISTRO INSUMOS SUBDIRECCIÓN GESTIÓN DEL CUIDADO</t>
  </si>
  <si>
    <t>Se requiere efectuar CONVENIO SUMINISTRO INSUMOS SUBDIRECCIÓN GESTIÓN DEL CUIDADO a fin de entregar atención clínica oportuna y eficiente a todos los pacientes tratados en el HTC.</t>
  </si>
  <si>
    <t>FRASCO HUMIDIFICADOR 500 ML</t>
  </si>
  <si>
    <t>1057049-212-LE23</t>
  </si>
  <si>
    <t>CSC - Mantencion correctiva planta aire medicinal</t>
  </si>
  <si>
    <t>El objetivo de la Propuesta, es la contratación del Servicio de Mantención correctiva de Planta de Aire Medicinal del Hospital Clínico San Borja Arriarán solicitada en las especificaciones técnicas, en concordancia con las Bases Administrativas, técnicas, formularios, aclaraciones y otros documentos que pudieran formularse en el transcurso de la licitación.
Se entenderá que todo proveedor conoce y acepta irrevocablemente el contenido de estas Bases, por el solo hecho de presentar ofertas en este proceso de licitación.</t>
  </si>
  <si>
    <t>Mantencion correctiva planta aire medicinal</t>
  </si>
  <si>
    <t>2196-8-LE23</t>
  </si>
  <si>
    <t xml:space="preserve">ADQUISICION SUMINSTRO DE GASES MEDICINALES </t>
  </si>
  <si>
    <t>Cubrir los requerimientos de gases clínicos, necesarios para la atención de los pacientes.</t>
  </si>
  <si>
    <t>ARRIENDO CILINDROS 10 METROS CÚBICOS</t>
  </si>
  <si>
    <t> 16-06-2023 16:30:00</t>
  </si>
  <si>
    <t>2912-10-L123</t>
  </si>
  <si>
    <t>ARRIENDO Y RECARGA DE OXIGENOS MEDICINAL PARA ESTA</t>
  </si>
  <si>
    <t>ARRIENDO Y RECARGA DE OXIGENOS MEDICINAL PARA ESTABLECIMIENTOS DE SALUD MUNICIPAL DE FRUTILLAR</t>
  </si>
  <si>
    <t>I MUNICIPALIDAD DE FRUTILLAR</t>
  </si>
  <si>
    <t>ARRIENDO DE TUBOS DE OXIGENO</t>
  </si>
  <si>
    <t>4642-56-LE23</t>
  </si>
  <si>
    <t>SERVICIO DE MANTENCION A CALDERAS Y EQUIPOS CLIMA</t>
  </si>
  <si>
    <t>CONTRATACIÓN DEL SERVICIO DE MANTENCIÓN PREVENTIVA Y CORRECTIVA DE 2 DOS CALDERAS DE LA CENTRAL TÉRMICA DEL HOSPITAL DE CARABINEROS, POR UN PERIODO DE 12 MESES; Y, EL SERVICIO DE MANTENCIÓN PREVENTIVA Y CORRECTIVA DE 24 VEINTICUATRO EQUIPOS DE CLIMATIZACIÓN, DE CARGO DEL CENTRO DE SALUD FAMILIAR SANTIAGO OCCIDENTE, POR UN PERIODO DE 36 MESES.
RES. Y BASES 631 DE FECHA 22.05.2023.</t>
  </si>
  <si>
    <t>MANTENCIÓN PREVENTIVA Y CORRECTIVA DE EQUIPOS DE AIRE DEL CESFAM SANTIAGO OCCIDENTE. POR UN PERIODO DE 36 MESES. CONFORME A DETALLE DE EQUIPOS Y REQUERIMIENTOS EN BASES Y ANEXOS ADJUNTOS</t>
  </si>
  <si>
    <t>4642-55-LQ23</t>
  </si>
  <si>
    <t xml:space="preserve">Provisión e instalación de equipamiento médico para la UCI Pediátrica del Hospital de Carabineros. </t>
  </si>
  <si>
    <t>Rex N°584,19.05.2023 Aprueba bases Por la Provisión e instalación de equipamiento médico para la UCI Pediátrica del Hospital de Carabineros, Ubicado en Avenida Antonio Varas N°2500 Ñuñoa. Sol 2300684 CR 152-23</t>
  </si>
  <si>
    <t xml:space="preserve">VENTILADOR MECANICO NO INVASIVO  (Según detalle del Requerimiento en bases adjuntas) 
</t>
  </si>
  <si>
    <t>1523-85-LE23</t>
  </si>
  <si>
    <t>Propuesta Pública N.º 10223 “SUMINISTRO DE INSUMOS VARIOS PARA EL HOSPITAL DR. ABRAHAM GODOY PEÑA DE LAUTARO”</t>
  </si>
  <si>
    <t>Propuesta Pública N.º 102/23 “SUMINISTRO DE INSUMOS VARIOS, PARA EL HOSPITAL DR. ABRAHAM GODOY PEÑA DE LAUTARO”</t>
  </si>
  <si>
    <t>REGULADOR PORTATIL PARA CILINDRO DE OXIGENO MEDICINAL</t>
  </si>
  <si>
    <t>4967-20-LP23</t>
  </si>
  <si>
    <t>RECARGA DE CILINDROS OXÍGENO Y GASES MEDICINALES</t>
  </si>
  <si>
    <t>Anhídrido  Carbónico (CO2): Cilindro de 35 Kilos.</t>
  </si>
  <si>
    <t>4642-52-LE23</t>
  </si>
  <si>
    <t>REMODELACIÓN DE LA RED DE GASES CLINICOS- HOSPITAL</t>
  </si>
  <si>
    <t>REMODELACIÓN DE LA RED DE GASES CLINICOS EN LA SECCIÓN DE EQUIPOS MÉDICOS, UNIDAD DE RECUPERACIÓN Y SERVICIO DE IMAGENOLOGÍA DEL HOSPITAL DE CARABINEROS.
RES. Y BASES 595 DE FECHA 19-05-2023.
SOLICITUD 2300760-2023.</t>
  </si>
  <si>
    <t>REMODELACIÓN DE LA RED DE GASES CLINICOS PARA LA SECCIÓN DE EQUIPOS MÉDICOS, UNIDAD DE RECUPERACIÓN Y SERVICIO DE IMAGENOLOGÍA DEL HOSPITAL DE CARABINEROS. DE ACUERDO A ESPECIFICACIONES EN  ANEXOS Y BASES ADJUNTAS</t>
  </si>
  <si>
    <t>1464-55-LE23</t>
  </si>
  <si>
    <t>Insumos Médicos  2023</t>
  </si>
  <si>
    <t>SERVICIO DE SALUD DEL MAULE HOSPITAL DE PARRAL</t>
  </si>
  <si>
    <t>Regulador de oxigeno de  doble manometro, con conexión tuerca para cilindro tipo H, similar cod. RL855 o Harrison, cotizar x unidad(adjuntar diseño de producto a cotizar.</t>
  </si>
  <si>
    <t>3827-38-L123</t>
  </si>
  <si>
    <t>Equipamiento kinesiológicos s.c. 2284-2286</t>
  </si>
  <si>
    <t>Se necesita adquirir equipamiento kinesiológicos para uso de la Sala IRA-ER del CESFAM Juan P ablo II de la comuna de Padre Hurtado. Se trata de una licitación pública, con oferta bajo la forma de “Precio Unitario”, sin reajustes ni intereses, incluyendo todos los impuestos, gastos y pagos legales, expresada en moneda nacional (pesos). El proponente podrá ofertar por uno o por la totalidad de los ítems indicados.</t>
  </si>
  <si>
    <t>Flujómetro de oxígeno para control de asma, similar a Phillips Mini-Wright</t>
  </si>
  <si>
    <t>2126-92-LE23</t>
  </si>
  <si>
    <t>MASCARILLAS PARA VMNI Y MICROTIJERA PARA HSP</t>
  </si>
  <si>
    <t>Adquirir MASCARILLAS PARA VENTILADOR MECÁNICO NO INVASIVO PARA PACIENTES DE PROGRAMA VENTILADOS Y MICROTIJERA PARA NEUROCIRUGÍA para el Hospital San Pablo de coquimbo, a fin que el Hospital pueda satisfacer su demanda de una manera eficiente y eficaz.</t>
  </si>
  <si>
    <t>222-1112 MASCARILLA NASAL PARA VMNI TALLA S</t>
  </si>
  <si>
    <t>250000 </t>
  </si>
  <si>
    <t>1057494-62-LP23</t>
  </si>
  <si>
    <t>SUMINISTRO DE TERAPIA OXIDO NITRICO PARA EL HOSPIT</t>
  </si>
  <si>
    <t>CONTRATACIÓN DE SERVICIO DE SUMINISTRO DE TERAPIA OXIDO NITRICO PARA EL HOSPITAL DR. EXEQUIEL GONZÁLEZ CORTÉS.</t>
  </si>
  <si>
    <t xml:space="preserve">CONTRATACIÓN DE SERVICIO DE SUMINISTRO DE TERAPIA OXIDO NITRICO PARA EL HOSPITAL DR. EXEQUIEL GONZÁLEZ CORTÉS. </t>
  </si>
  <si>
    <t>damaris medinelli tapia</t>
  </si>
  <si>
    <t>damaris.medinelli@hegc.gob.cl</t>
  </si>
  <si>
    <t>ignacio.diaz@hegc.gob.cl</t>
  </si>
  <si>
    <t>4346-5-LE23</t>
  </si>
  <si>
    <t>Servicios de Mantenimiento Preventivo y Correctivo a Central de Gases Clínicos</t>
  </si>
  <si>
    <t>Establecer convenio de servicios de mantenimiento preventivo y correctivo a la Central de Gases Clínicos de Hospital San Javier, por el período de 24 meses, cumpliendo además con la normativa vigente respecto de las Compras Públicas y el uso del portal Mercadopublico. Por un monto referencial período anterior de $ 18.000.000.(Millones) Corresponde a 24 meses.</t>
  </si>
  <si>
    <t>SERVICIO DE SALUD DEL MAULE HOSPITAL SAN JAVIER</t>
  </si>
  <si>
    <t xml:space="preserve">Mantención Preventiva a Central de Aire Comprimido Mantención  a estanque acumulador
Cambio de filtros de aire
Cambio de correas
Chequeo de hermeticidad
Chequeo de funcionamiento
Revisión y reapriete de sistema eléctrico
Limpieza general
</t>
  </si>
  <si>
    <t>1057489-251-LQ23</t>
  </si>
  <si>
    <t>SERVICIO DE MANTENCION DE GASES CENTRAL DE GASES</t>
  </si>
  <si>
    <t>Servicio de Mantención para Central de Gases Anestésicos, Central de Aire Medicinal y Central de Vacío de Pabellones Quirúrgicos, para Compresores con Sistemas de Secado de Unidad de Esterilización y para Central de Vacío de Servicio de Urgencia, del Hospital del Salvador.</t>
  </si>
  <si>
    <t>Servicio de Mantención para Central de Gases Anestésicos, Central de Aire Medicinal y Central de Vacío de Pabellones Quirúrgicos, para Compresores con Sistemas de Secado de Unidad de Esterilización y para Central de Vacío de Servicio de Urgencia, del Hosp</t>
  </si>
  <si>
    <t>2669-179-L123</t>
  </si>
  <si>
    <t>PTR S - 95 MED. PROGRAMA CARDIOVASCULAR</t>
  </si>
  <si>
    <t xml:space="preserve">COMPRA DE MEDICAMENTOS PROGRAMA CARDIOVASCULAR DEL CESFAM VITACURA </t>
  </si>
  <si>
    <t>I MUNICIPALIDAD DE VITACURA</t>
  </si>
  <si>
    <t xml:space="preserve">SATUROMETRO, UNIDAD </t>
  </si>
  <si>
    <t>1057532-48-L123</t>
  </si>
  <si>
    <t>Manómetros y reguladores de oxígeno para Base SAMU</t>
  </si>
  <si>
    <t xml:space="preserve">Accesorios para Monitores Base SAMU año 2023.
</t>
  </si>
  <si>
    <t>a.Regulador de oxígeno con doble manómetro (alta y salida) para uso en cilindros 6 m3 (conexión CGA540). Compatible con equipo: Weinmann Medumat Transport/ Oxilog 3000Plus (12 unidades)/ Regulador de oxígeno tipo Yugo conexión CGA 870. Salida DISS para uso en cilindros 0,4 m3. Código de referencia: RL-243. Compatible con equipo: Weinmann Medumat Transport/ Oxilog 3000Plus (16 unidades)</t>
  </si>
  <si>
    <t>1511-25-LP23</t>
  </si>
  <si>
    <t>CARGA Y MANTENIMIENTO DE TUBOS DE OXIGENO</t>
  </si>
  <si>
    <t>DADA LA NECESIDAD DE REQUERIR CARGA Y MANTENIMIENTO DE TUBOS DE OXIGENO</t>
  </si>
  <si>
    <t>1 SUMINISTRO CARGA Y MANTENIMIENTO TUBOS DE OXIGENO</t>
  </si>
  <si>
    <t>1057499-24-LE23</t>
  </si>
  <si>
    <t>ADQUISICIÓN DE MÁSCARAS PARA USUARIOS PROGRAMA AVNIA</t>
  </si>
  <si>
    <t>El objetivo de la presente licitación es definir las condiciones técnicas y contractuales para la adquisición de máscaras y mascarillas para el programa de asistencia ventilatoria no invasiva del adulto.</t>
  </si>
  <si>
    <t>Mascarilla Naso Bucal Para Ventilación No Invasiva Siliconada TALLA L; Mascarilla Naso Bucal Para Ventilación No Invasiva Siliconada TALLA S; Máscara naso bucal para uso con generador de flujo con presión binivelada TALLA S; Mascarilla Naso Bucal Para Ventilación No Invasiva Siliconada TALLA M; Máscara naso bucal para uso con generador de flujo con presión binivelada TALLA L; Máscara naso bucal para uso con generador de flujo con presión binivelada TALLA M</t>
  </si>
  <si>
    <t>4498-17-LE23</t>
  </si>
  <si>
    <t>DIVERSOS ARTICULOS PARA ACTIVIDADES DEPORTIVAS</t>
  </si>
  <si>
    <t>Se requieren Diversos artículos para actividades deportivas para cumplir con diversas actividades de los colegios y que van en directo beneficio de los estudiantes de la comuna.</t>
  </si>
  <si>
    <t>I MUNICIPALIDAD DE SAN PEDRO</t>
  </si>
  <si>
    <t>OXIMETRO</t>
  </si>
  <si>
    <t>2710-112-L123</t>
  </si>
  <si>
    <t>MANTENCIÓN DE RED DE OXIGENO DE SAR MARCOS MACUADA OVALLE</t>
  </si>
  <si>
    <t>REPARACIÓN CORRECTIVA DE MANIFOLD OXIGENO Y CAMBIO DE REPUESTOS</t>
  </si>
  <si>
    <t>MANTENCIÓN CORRECTIVA DE RED DE OXIGENO DEL CENTRO DE SALUD  SAR MMO</t>
  </si>
  <si>
    <t>1057501-210-LR23</t>
  </si>
  <si>
    <t>Se solicita contar con Suministro de Oxigeno Liquido para el Complejo Asistencial Sotero del Río.</t>
  </si>
  <si>
    <t>3000000 </t>
  </si>
  <si>
    <t>2153-42-LE23</t>
  </si>
  <si>
    <t>INSUMOS MEDICOS RES 1522</t>
  </si>
  <si>
    <t>4-234 FLUJOMETRO CILINDRO CONEXION TUERCA (20 unidades); 4-236 FLUJOMETRO PARED CONEXION DIAMOND (20 unidades)</t>
  </si>
  <si>
    <t>1057543-63-LE23</t>
  </si>
  <si>
    <t>MANTENCIONES VARIAS</t>
  </si>
  <si>
    <t>SE NECESITAN REALIZAR MANTENCIONES A DIVERSOS EQUIPOS</t>
  </si>
  <si>
    <t>MANTECIÓN A RED DE GASES MEDICINALES,VER ESPECIFICAIONES TECNICAS</t>
  </si>
  <si>
    <t>1077195-6-L123</t>
  </si>
  <si>
    <t>Suministro Gas Helio Isla de Pascua</t>
  </si>
  <si>
    <t>La Comisión Chilena de Energía Nuclear requiere adquirir el servicio de suministro de gas helio para la estación CLX19 ubicada en Rapa Nui, Isla de Pascua. Esta estación utiliza el aire atmosférico para realizar mediciones de radionucleidos atrapados en los filtros y realizan una lectura de ellos. El equipo (SAUNA) que realiza esta función posee una tecnología que funciona en base al gas helio.</t>
  </si>
  <si>
    <t>1272565-61-LP23</t>
  </si>
  <si>
    <t>CONVENIO DE SUMINISTRO POR SERVICIO DE INSPECCIÓN Y MANTENIMIENTO PREVENTIVO DE SISTEMAS DE GASES CLINICOS PARA EL HOSPITAL ALTO HOSPICIO POR 24 MESES</t>
  </si>
  <si>
    <t>CONVENIO DE SUMINISTRO POR SERVICIO DE INSPECCIÓN Y MANTENIMIENTO PREVENTIVO DE SISTEMAS DE GASES CLÍNICOS PARA EL HOSPITAL ALTO HOSPICIO, POR 24 MESES</t>
  </si>
  <si>
    <t>2710-121-L123</t>
  </si>
  <si>
    <t>Se requiere la compra de: 3 und de cilindros de 6 mt3 -3 und de cilindros de 0.7 mt3 con válvula "H" y3 und de cilindros de 0.7 mt3 con válvula "PIN", todos los cilindros deben ser nuevos para Oxigeno Medicinal  año 2023, con su respectiva recarga. LA EMPRESA POSTULANTE DEBE ESTAR CERTIFICADA POR EL ISP,  FABRICACIÓN AÑO 2023, SIN EMBARGO, SE EVALUARÁ AÑO 2022. Debe incluir flete., de no cumplir quedará excluido del proceso licitatorio</t>
  </si>
  <si>
    <t xml:space="preserve">Se requiere adquirir 3 cilindros de Oxigeno Medicinal de 0.7 mt3 válvula "H", con su respectiva recarga y  flete incluido despacho en Ovalle,  </t>
  </si>
  <si>
    <t>5061-94-L123</t>
  </si>
  <si>
    <t>S145 Servicio de suministro oxigeno medico, aire medicinal y arriendo de cilindros, para establecimientos de salud municipal.</t>
  </si>
  <si>
    <t>1057501-234-LQ23</t>
  </si>
  <si>
    <t>CONVENIO PARA CUBRIR PROGRAMACION Y PROG. INVIERNO</t>
  </si>
  <si>
    <t>La necesidad de adquirir insumos Clínicos, para dar continuidad a procedimientos de las distintas unidades del Complejo Asistencial.</t>
  </si>
  <si>
    <t>41-222-500-002-00 VÁLVULA IMT UMBRAL PARA ENTRENAMIENTO MUSCULAR INSPIRATORIO 730 - UNITARIO</t>
  </si>
  <si>
    <t>4375-159-LE23</t>
  </si>
  <si>
    <t>ADQUISICIÓN DE OXIMETRO DE PULSO</t>
  </si>
  <si>
    <t>El HGGB necesita adquirir  2 oxímetros de pulso portátil con sensor, para la unidad de emergencia pediátrica. Solicitado por Unidad de Proyectos en requerimiento S-COM 37163</t>
  </si>
  <si>
    <t>OXIMETRO DE PULSO PORTATIL CON SENSOR, SEGUN EETT ADJUNTAS</t>
  </si>
  <si>
    <t>5052-30-LE23</t>
  </si>
  <si>
    <t>Insumos para kinesiologia y otros</t>
  </si>
  <si>
    <t>El objetivo de la presente licitación, es la adquisición de insumos para kinesiología y otras unidades del servicio de Medicina Física y Rehabilitación correspondiente al Hospital Regional de Talca, con el fin de asegurar el abastecimiento en calidad y oportunidad, para satisfacer la demanda de los usuarios.</t>
  </si>
  <si>
    <t>Valvula de entrenamiento muscular inspiratoria threshold PEP</t>
  </si>
  <si>
    <t>1057385-26-LE23</t>
  </si>
  <si>
    <t>SOL.COMPRA Nº289 DE KN. CHRISTIAN MORENO. SE ADJUNTAN BASES Y ESPECIFICACIONES TECNICAS.
SUMINISTRO DE OXIGENO MEDICINAL METROS CUBICOS  Y OXIDO NITROSO</t>
  </si>
  <si>
    <t>OXIDO NITROSO; FLETE POR METRO CUBICO DE OXIGENO; OXIGENO GASEOSO METROS CUBICO; ARRIENDO DE TUBOS; FLETE POR CILINDRO DE OXIDO NITROSO; FLETE POR CILINDRO DE OXIGENO; LLENADO DE CILINDRO DEL HOSPITAL; PRUEBA HIDRAULICA POR CILINDRO DEL HOSPITAL</t>
  </si>
  <si>
    <t>188-50-LE23</t>
  </si>
  <si>
    <t>ARRIENDO CARGA Y RECARGA DE CILINDROS DE OXIGENO M</t>
  </si>
  <si>
    <t>SERVICIO DE ARRIENDO CARGA Y RECARGA DE CILINDROS DE OXIGENO MEDICINAL PARA LOS CENTROS DE SALUD</t>
  </si>
  <si>
    <t>CORP MUNICIPAL DE EDUC SALUD CULTURA Y RECREACION DE LA FLORIDA</t>
  </si>
  <si>
    <t>SERVICIO DE ARRIENDO DE CARGA Y RECARGA DE CILINDROS DE OXIGENO MEDICINAL PARA LOS CENTROS DE SALUD DEPENDIENTES DE LA COMUDEF.</t>
  </si>
  <si>
    <t>3614-17-LE23</t>
  </si>
  <si>
    <t>INSUMOS Y MATERIALES QUIRURGICOS DROGUERIA</t>
  </si>
  <si>
    <t>EL DEPARTAMENTO DE SALUD DE VICUÑA REQUIERE LA ADQUISICIÓN DE INSUMOS Y MATERIALES QUIRÚRGICOS</t>
  </si>
  <si>
    <t xml:space="preserve">FLUJOMETRO ESTANDAR PORTATIL ADULTO 60-800 L/m 
</t>
  </si>
  <si>
    <t>2200-45-LE23</t>
  </si>
  <si>
    <t>ADQUISICIÓN DE INSUMOS PARA LAS SALAS IRA ERA Y MIXTAS DE LA RED - DAP</t>
  </si>
  <si>
    <t xml:space="preserve">La necesidad del Servicio de Salud Aconcagua con la finalidad de adquirir insumos para las salas IRA, ERA y Mixtas de la red, que permiten llevar a cabo importantes procedimiento de evaluación y diagnóstico de los usuarios que se atienden en estas salas, solicitado y autorizado en Solicitud de Compra (Int. N°373), de la Directora de la Dirección de Atención Primaria.
Que, en consecuencia, y considerando los recursos destinados al efecto y las disposiciones vigentes, se hace necesario efectuar una licitación pública con el objeto de adjudicar la referida adquisición.
Que dichos preservativos  no se encuentran en el catálogo electrónico de Convenio Marco y resulta necesario para el cumplimiento de los fines del Servicio.
Que, en cumplimiento a lo dispuesto en la Ley Nº19.886 y su Reglamento, aprobado por Decreto Supremo N° 250, de 2004, del Ministerio de Hacienda, y sus modificaciones posteriores, se confeccionaron las Bases que se aprueban en este acto, que observan los principios de libre concurrencia de los oferentes al llamado administrativo y de igualdad que rigen los procedimientos concursales, y cumplen con los requerimientos técnicos y jurídicos para verificar la realización de la presente licitación pública.
</t>
  </si>
  <si>
    <t>OXÍMETRO DE PULSO, SE ADJUNTAN BASES ADMINISTRATIVAS, TÉCNICAS Y ANEXOS</t>
  </si>
  <si>
    <t>514862-106-LE23</t>
  </si>
  <si>
    <t>Adq. Concentradores de Oxigenos y Filtro 10029653</t>
  </si>
  <si>
    <t>Licitación para Adquisición Concentradores de Oxigeno y Filtros Solped 10029653</t>
  </si>
  <si>
    <t>CORPORACION MUNICIPAL DE PENALOLEN PARA EL DESARROLO SOCIAL CORMUP</t>
  </si>
  <si>
    <t>Concentrador de oxigeno SEGUN BASES ADJUNTAS; Filtro para concentrador 
de oxigeno SEGUN BASES ADJUNTAS (40 unidades)</t>
  </si>
  <si>
    <t>Dayana Gizzi</t>
  </si>
  <si>
    <t>dgizzi.navarrete@cormup.cl</t>
  </si>
  <si>
    <t>Juan Cornejo</t>
  </si>
  <si>
    <t>jcornejo.caceres@cormup.cl</t>
  </si>
  <si>
    <t>3752-34-L123</t>
  </si>
  <si>
    <t>INSUMOS EXAMENES MEDICOS POSTAS RURALES</t>
  </si>
  <si>
    <t>INSUMOS EXAMENES MEDICOS POSTAS RURALES. SAD 2752-23</t>
  </si>
  <si>
    <t>I MUNICIPALIDAD DE PITRUFQUEN</t>
  </si>
  <si>
    <t>SATUROMETROS. SEGUN CARACTERISTICAS SEÑALADAS EN BASES TECNICAS.</t>
  </si>
  <si>
    <t>3752-33-L123</t>
  </si>
  <si>
    <t>KIT DE EMERGENCIA PARA POSTAS RURALES</t>
  </si>
  <si>
    <t>KIT DE EMERGENCIA PARA POSTAS RURALES. SAD 2778-23</t>
  </si>
  <si>
    <t>SATUROMETRO DIGITAL</t>
  </si>
  <si>
    <t>4690-21-LE23</t>
  </si>
  <si>
    <t>LICITACIÓN DE EQUIPAMIENTO Y MOBILIARIO CLÍNICO</t>
  </si>
  <si>
    <t>Licitación de equipamiento y mobiliario clínico, según Solicitud de Compra N 53.617
Cuentas Presupuestarias 29-04 y 29-05-999</t>
  </si>
  <si>
    <t>I MUNICIPALIDAD DE MAULE</t>
  </si>
  <si>
    <t>Oxímetro de pulso adulto, equipo para medir la saturación del oxígeno en la sangre y pulso en adultos, display de SpO2, PR, barra de pulso y onda de Pletismografía, pantalla OLED de 1.17. Ver características en bases adjuntas</t>
  </si>
  <si>
    <t>2111-179-LQ23</t>
  </si>
  <si>
    <t>SERV. PARA ADQUIS. SUMINISTRO DE GASES CLÍNICOS</t>
  </si>
  <si>
    <t>SE REQUIERE LA CONTRATACIÓN DEL SERVICIO DE SUMINISTRO DE OXÍGENO LÍQUIDO A GRANEL Y CILINDROS DE GASES CLÍNICOS COMPRIMIDOS DEL HUAP.</t>
  </si>
  <si>
    <t>SE REQUIERE LA ADQUISICIÓN DEL SERVICIO DE SUMINISTRO DE OXIGENO LÍQUIDO A GRANEL Y CILINDROS DE GASES CLÍNICOS COMPRIMIDOS DEL HUAP.</t>
  </si>
  <si>
    <t>3086-43-L123</t>
  </si>
  <si>
    <t>SERVICIO PRUEBA HIDROSTATICA DE CILINDRO DE GASES FF LATORRE</t>
  </si>
  <si>
    <t>SERVICIO PRUEBA HIDROSTATICA DE CILINDRO DE GASES FF LATORRE., SEGÚN BASES TÉCNICAS ADJUNTAS</t>
  </si>
  <si>
    <t>DIRECCION DE ABASTECIMIENTO DE LA ARMADA</t>
  </si>
  <si>
    <t>PRUEBA HIDROSTÁTICA A CILINDRO</t>
  </si>
  <si>
    <t>619133-68-LE23</t>
  </si>
  <si>
    <t>CONVENIO COMPRA ACCESORIOS PARA EQUIPOS MEDICOS</t>
  </si>
  <si>
    <t>Las presentes Bases Administrativas rigen el llamado a Licitación Pública para la adquisición de “CONVENIO COMPRA ACCESORIOS PARA EQUIPOS MEDICOS”, del Hospital San Camilo, ubicado en Av. Miraflores 2085 San Felipe, Quinta región, aplicando los procedimientos establecidos en la Ley de Compras N° 19.886 de la Administración Pública.</t>
  </si>
  <si>
    <t>SERVICIO SALUD SAN FELIPE LOS ANDES HOSP</t>
  </si>
  <si>
    <t>FLUJOMETRO OXÍGENO MURAL TIPO DIAMOND, Según Bases Administrativas, Especificaciones Técnicas y Anexos adjuntos</t>
  </si>
  <si>
    <t>1057489-278-LE23</t>
  </si>
  <si>
    <t xml:space="preserve">Convenio de Suministro de Válvulas y Adaptadores Respiratorios Grupo 1 con evaluación de muestras por 36 meses en el Hospital del Salvador </t>
  </si>
  <si>
    <t xml:space="preserve">Que, el Hospital del Salvador necesita contar con un Convenio de Suministro de Válvulas y Adaptadores Respiratorios Grupo 1 con evaluación de muestras por 36 meses en el Hospital del Salvador con la finalidad de satisfacer de manera adecuada y eficiente la labor asistencial;
Que, por la cuantía determinada, la presente licitación se ubica en el tramo para aquellas contrataciones iguales o superiores a 100 UTM e inferiores a 1.000 UTM, en conformidad al Artículo 19º bis del Reglamento de la Ley Nº19.886;
</t>
  </si>
  <si>
    <t>2002230043 VALVULA RESPIRATORIA TIPO THRESHOLD PEP</t>
  </si>
  <si>
    <t>2026-87-LR23</t>
  </si>
  <si>
    <t>GASES CLINICOS-LLAMADO DE ENFERMERIA -EQUIPOS AC</t>
  </si>
  <si>
    <t>OBJETIVO
Se aceptarán ofertas solamente por Equipos y Equipamiento, componentes y accesorios nuevos.
Los Oferentes podrán ofrecer alternativamente equipos yo equipamiento de mayor complejidad,
considerando que es de interés del Servicio de Salud que los Oferentes seleccionen como oferta principal dentro
de su línea de productos, aquellos que presentan mayores innovaciones tecnológicas, para satisfacer los
requerimientos del Servicio de Salud.
En la presentación de sus ofertas, los Oferentes deberán seleccionar aquellos equipos y equipamiento
que cumplan fielmente todas las exigencias de funcionalidad y diseño que se solicitan en esta Licitación.
El Servicio de Salud, se reserva el derecho de considerar las características técnicas adicionales
presentadas, aun cuando posean características tecnológicas distintas a las mencionadas en las
Especificaciones Técnicas, en cuanto al rendimiento clínico, confiabilidad, seguridad, facilidad de operación y
mantenimiento, durabilidad y a las demás condiciones de buen funcionamiento y manufactura implícitas en
dichas especificaciones.
El contratista deberá considerar toda solución a eventuales problemáticas de instalación yo
funcionamiento, siendo responsable del correcto funcionamiento una vez instalado los sistemas.
PRODUCTOS REQUERIDOS
• Suministro, instalación y puesta marcha de central de gases clínicos.
• Suministro, instalación y puesta marcha de llamado de enfermería.
• Suministro, instalación y puesta en marcha de equipos de aire acondicionado.</t>
  </si>
  <si>
    <t>ADQUISICIÓN, INSTALACIÓN, PUESTA EN MARCHA DE CENTRAL DE GASES CLÍNICOS,
LLAMADO DE ENFERMERÍA Y EQUIPOS DE AIRE ACONDICIONADO PARA EL HOSPITAL
ADRIANA COUSIÑO DE QUINTERO / REVISAR BASES DE LICITACIÓN</t>
  </si>
  <si>
    <t>2274-55-L123</t>
  </si>
  <si>
    <t>ADQUISIÓN DE DISPOSITIVIOS PARA OXIGENOTERAPIA PARA LA RED DE SALUD COMUNA DE LA PINTANA DC 855</t>
  </si>
  <si>
    <t>ADQUISIÓN DE DISPOSITIVIOS PARA OXIGENOTERAPIA PARA LA RED DE SALUD COMUNA DE LA PINTANA.</t>
  </si>
  <si>
    <t>REGULADOR DE OXIGENO CON FLUJOMETRO CONEXION DE
YUGO• Flujómetro de Oxígeno, rango de flujo de 0 a 15
lts/min.</t>
  </si>
  <si>
    <t>1057472-86-LQ23</t>
  </si>
  <si>
    <t>SUMINISTRO DE FLUJÓMETROS Y CONECTORES</t>
  </si>
  <si>
    <t>Aprueba bases licitación pública y sus anexos para la contratación del SUMINISTRO DE FLUJÓMETROS Y CONECTORES, para el Hospital El Carmen Dr. Luis Valentín Ferrada</t>
  </si>
  <si>
    <t>HOSPITAL CLINICO METROPOLITANO EL CARMEN DOCTOR LUIS VALENTIN FERRADA</t>
  </si>
  <si>
    <t>CONECTOR HEMBRA AIRE DIAMOND</t>
  </si>
  <si>
    <t>2196-11-LE23</t>
  </si>
  <si>
    <t>ADQUISICION DE OXIGENO Y GASES MEDICINALES</t>
  </si>
  <si>
    <t>GASES MEDICINALES 1 METRO CUBICO, INCLUYE ARRIENDO DIARIO DE CILINDROS 1 METRO CUBICO Y FLETE POR CILINDRO 1 METROS CÚBICOS</t>
  </si>
  <si>
    <t>3747-23-L123</t>
  </si>
  <si>
    <t>OXIGENO MEDICINAL RECARGA Y ARRIENDO .</t>
  </si>
  <si>
    <t>OXIGENO MEDICINAL RECARGA Y ARRIENDO DE CILINDROS PARA ESTABLECIMIENTOS DE SALUD.</t>
  </si>
  <si>
    <t>METRO CUBICO DE OXIGENO MEDICINAL (DE ACUERDO A LA NECESIDAD DEL SERVICIO DURANTE EL AÑO) (CILINDROS DE 1 M3, 3.5 M3, 6 M3, 10 M3)</t>
  </si>
  <si>
    <t>ANDREA SOLIS</t>
  </si>
  <si>
    <t>1057534-29-LE23</t>
  </si>
  <si>
    <t>Mantencion Preventiva Red de Gases Clinicos</t>
  </si>
  <si>
    <t>Mantencion Preventiva Red de Gases Clínicos Hospital Purranque.</t>
  </si>
  <si>
    <t>Mantención preventiva red de gases clínicos Hospital Purranque.</t>
  </si>
  <si>
    <t>1979-139-LQ23</t>
  </si>
  <si>
    <t>167.23 SERVICIO MANTENCION PREVENTIVA Y CORRECTIVA PARA CENTRALES DE GASES CLINICOS NODO COSTERO: HOSPITAL NVA IMPERIAL.</t>
  </si>
  <si>
    <t>1271359-83-L123</t>
  </si>
  <si>
    <t>INSUMOS SALA REHABILITACIÓN (SALUD)</t>
  </si>
  <si>
    <t>El objetivo es adquirir insumos para renovar sala de rehabilitación solicitada según memorándum N°336</t>
  </si>
  <si>
    <t>OXÍMETRO DE PULSO</t>
  </si>
  <si>
    <t>1057489-280-LE23</t>
  </si>
  <si>
    <t>Convenio de Suministro de Mascarillas para Bipap con Puerto Exhalatorio con evaluación de muestras por 36 meses en el Hospital del Salvador</t>
  </si>
  <si>
    <t xml:space="preserve">Que, el Hospital del Salvador necesita contar con un Convenio de Suministro de Mascarillas para Bipap con Puerto Exhalatorio con evaluación de muestras por 36 meses en el Hospital del Salvador con la finalidad de satisfacer de manera adecuada y eficiente la labor asistencial;
Que, por la cuantía determinada, la presente licitación se ubica en el tramo para aquellas contrataciones iguales o superiores a 100 UTM e inferiores a 1.000 UTM, en conformidad al Artículo 19º bis del Reglamento de la Ley Nº19.886;
</t>
  </si>
  <si>
    <t>MASCARILLAS P/BIPAP C/PUERTO DESECHABLES DIFERENTES MEDIDAS S, M Y L</t>
  </si>
  <si>
    <t>899-25-LP23</t>
  </si>
  <si>
    <t>CONVENIO DE SUMINISTRO INSUMOS CLINICOS</t>
  </si>
  <si>
    <t xml:space="preserve">Las presentes Bases Administrativas y Bases Técnicas tienen por objeto de la Licitación Pública Convenio de Suministro Insumos Clínicos para el Hospital San Jose de Casablanca para 36 meses”. Para estos efectos y a partir de las presentes Bases de Licitación se establecen las disposiciones que regirán este proceso concursal.
REQUERIMIENTOS CANTIDADES
INSUMOS CLINICOS 
LISTADO DE INSUMOS CLINICOS 41
</t>
  </si>
  <si>
    <t>OXIMETRO DE PULSO  DEDO ADULTO</t>
  </si>
  <si>
    <t>2026-89-LP23</t>
  </si>
  <si>
    <t>EQUIPOS DLCO Y ESTUDIO DEL SUEÑO HBQP</t>
  </si>
  <si>
    <t>Según lo indicado en Resolución Adjunta.</t>
  </si>
  <si>
    <t>EQUIPOS DEL SUEÑO</t>
  </si>
  <si>
    <t> 27-09-2023 20:00:00</t>
  </si>
  <si>
    <t>1641-55-LR23</t>
  </si>
  <si>
    <t>NPB - SERVICIO DE SUMINISTRO DE GASES EN CILINDROS</t>
  </si>
  <si>
    <t>SERVICIO DE SUMINISTRO DE GASES EN CILINDROS PARA HOSPITAL SAN JUAN DE DIOS - CDT</t>
  </si>
  <si>
    <t>SERVICIO DE SUMINISTRO DE GASES MEDICINALES EN
CILINDROS según lo indicado en las Bases de Licitación.</t>
  </si>
  <si>
    <t>3268-50-L123</t>
  </si>
  <si>
    <t xml:space="preserve">400 413 028/2023 GU. SERVICIO DE MANTENIMIENTO PREVENTIVO DE EQUIPOS MEDICOS. </t>
  </si>
  <si>
    <t xml:space="preserve">SERVICIO DE MANTENIMIENTO PREVENTIVO DE EQUIPOS MEDICOS,  INCLUIR SERVICIO POST VENTA DE A LO MENOS 8 MESES. </t>
  </si>
  <si>
    <t>REGULADOR DE OXIGENO MARCA 10YCEN</t>
  </si>
  <si>
    <t>2126-72-LE23</t>
  </si>
  <si>
    <t>MANTENIMIENTO PREVENTIVO Y CORRECTIVO DE  GASES CLINICOS</t>
  </si>
  <si>
    <t>establecer un contrato por, “Servicio De Mantenimiento Preventivo Y Correctivo De Los Sistemas De Gases Clínicos Del Hospital San Pablo De Coquimbo” ID 2126-72-LE23 asegurando la normal continuidad de la prestación del servicio.</t>
  </si>
  <si>
    <t>SERVICIO DE MANTENIMIENTO PREVENTIVO Y CORRECTIVO DE LOS SISTEMAS DE GASES CLINICOS DEL HOSPITAL POR 36 MESES</t>
  </si>
  <si>
    <t>13/7/2023</t>
  </si>
  <si>
    <t>1175-144-LE23</t>
  </si>
  <si>
    <t>156.23 “ADQUISICIÓN DE INSUMOS CLÍNICOS PARA SAMU SERVICIO DE SALUD ARAUCANÍA SUR“</t>
  </si>
  <si>
    <t>156.23 “ADQUISICIÓN DE INSUMOS CLÍNICOS PARA SAMU, SERVICIO DE SALUD ARAUCANÍA SUR“</t>
  </si>
  <si>
    <t>FLUJOMETRO RED CENTRAL UD</t>
  </si>
  <si>
    <t>1549-91-LQ23</t>
  </si>
  <si>
    <t>MANTENCIÓN VENTILADORES MECÁNICOS KINESIOLOGÍA</t>
  </si>
  <si>
    <t>SERVICIO DE MANTENCIÓN PREVENTIVA Y CORRECTIVA DE 22 VENTILADORES MECÁNICOS PARA EL SERVICIO CLÍNICO DE KINESIOLOGÍA DEL HOSPITAL SAN JOSE CON UNA DURACIÓN DE 24 MESES</t>
  </si>
  <si>
    <t>SERVICIO DE MANTENCIÓN PREVENTIVA Y CORRECTIVA DE 22 VENTILADORES MECÁNICOS PARA EL SERVICIO CLÍNICO DE KINESIOLOGÍA DEL HOSPITAL SAN JOSE</t>
  </si>
  <si>
    <t>2258-142-LE23</t>
  </si>
  <si>
    <t>COMPRA DE CILINDROS TERMOS REGULADORES Y ACCESORIOS PARA EL HRA</t>
  </si>
  <si>
    <t>Adquisición de Cilindros, termos, reguladores de oxigeno adulto, pediátrico, neonatal y de ventilación mecánica y sus accesorios para el HRA mediante licitación pública que permita obtener las mejores ofertas en precio y calidad de los productos, donde el objetivo primordial es contar con un suministro permanente de los insumos con la finalidad de satisfacer de manera adecuada y eficiente la labor asistencial del establecimiento.</t>
  </si>
  <si>
    <t>Varios Equipos</t>
  </si>
  <si>
    <t>2292-59-LE23</t>
  </si>
  <si>
    <t>“ADQUISICION EQUIPOS CONCENTRADORES DE OXIGENO PORTATIL PARA PROGRAMA CUIDADOS PALIATIVOS UNIVERSALES”</t>
  </si>
  <si>
    <t>La presente licitación pública tiene por objeto adquirir EQUIPOS CONCENTRADORES DE OXIGENO PORTATIL PARA PROGRAMA CUIDADOS PALIATIVOS UNIVERSALES, equipos destinados para otorgar atenciones a usuarios que asisten a los establecimientos de la Atención Primaria de Salud de Talca.</t>
  </si>
  <si>
    <t>08 concentradores de oxígeno portátil, SEGUN REQUERIMIENTOS TECNICOS</t>
  </si>
  <si>
    <t>2215-35-LQ23</t>
  </si>
  <si>
    <t>MANTENCION INSTALACION INDUSTRIALES</t>
  </si>
  <si>
    <t>CONTRACION DE SERVICIOS DE MANTENCION PREVENTICA Y CORRECTIVA DE EQUIPOS E INSTALACION INDUSTRIALES PARA EL NVO HOSPITAL CARLOS CISTERNAS DE CALAMA</t>
  </si>
  <si>
    <t>SERVICIO DE SALUD ANTOFAGASTA HOSP C CIS</t>
  </si>
  <si>
    <t>MANTENCION PREVENTIVA Y CORRECTIVA PARA GASES CLINICOS Y COMPRESORES</t>
  </si>
  <si>
    <t>1057539-85-LP23</t>
  </si>
  <si>
    <t>MANTENCION SISTEMA DE RED DE GASES CLÍNICOS SOLIC 22</t>
  </si>
  <si>
    <t>Mantenimiento Preventivo de la Red del Sistema de Gases Clínicos, Solicitud 22 de fecha 07/02/2023 de la sección de Mantenimiento e infraestructura pertenecientes al departamento de Operaciones.</t>
  </si>
  <si>
    <t xml:space="preserve">Servicio de Mantenimiento Preventivo de la Red del Sistema de Gases Clínicos, Solicitud 22 de fecha 07/02/2023 de la sección de Mantenimiento e infraestructura pertenecientes al departamento de Operaciones, generar oferta económica según, FORMULARIO N° 7 </t>
  </si>
  <si>
    <t>1658-485-LQ23</t>
  </si>
  <si>
    <t>P.138-2023 CONTRATO DE SUMINISTRO DE OXÍGENO Y AIRE MEDICINAL PARA EL DEPARTAMENTO DE SALUD DE LA MUNICIPALIDAD DE TEMUCO</t>
  </si>
  <si>
    <t>CONTRATO DE SUMINISTRO DE OXÍGENO Y AIRE MEDICINAL PARA EL DEPARTAMENTO DE SALUD DE LA MUNICIPALIDAD DE TEMUCO, DE ACUERDO A EXIGENCIAS EN (B.A) Y (E.T)</t>
  </si>
  <si>
    <t>CONTRATO DE SUMINISTRO DE OXÍGENO Y AIRE MEDICINAL PARA EL DEPARTAMENTO DE SALUD DE LA MUNICIPALIDAD DE TEMUCO,</t>
  </si>
  <si>
    <t>200000 </t>
  </si>
  <si>
    <t>1267885-41-LE23</t>
  </si>
  <si>
    <t>SALUD-INSUMOS CLÍNICOS PARA LOS CESFAM</t>
  </si>
  <si>
    <t>SALUD-ADQUISICIÓN DE INSUMOS CLÍNICOS PARA CESFAM CHOSHUENCO, CESFAM COÑARIPE Y CESFAM PANGUIPULLI.</t>
  </si>
  <si>
    <t>CORP MUNICIPAL DE PANGUIPULLI</t>
  </si>
  <si>
    <t>VASO HUMIDIFICADOR OXIGENO REUTILIZABLE, Vaso humidificador de oxigeno reutilizable, de policarbonato, libre de latex, de alta durabilidad y alto impacto, paredes de 3 mm translucido, de 200 ml con rango minimo y máximo.</t>
  </si>
  <si>
    <t>1057545-89-L123</t>
  </si>
  <si>
    <t>OXIMETROS DE PULSO</t>
  </si>
  <si>
    <t xml:space="preserve">SERVICIO SALUD LOS RÍOS REQUIERE COMPRA DE OXIMETROS DE PULSOS SEGÚN CARACTERÍSTICAS TÉCNICAS OBLIGATORIAS.
LOS PROVEEDORES DEBERÁN ADJUNTAR FICHAS TÉCNICAS DE PRODUCTO OFERTADO,
LA PRESENTACIÓN DE LOS ANEXOS SE CONSIDERA DE CARÁCTER OBLIGATORIO, DE LO CONTRARIO LA OFERTA SERA CONSIDERADA INADMISIBLE. </t>
  </si>
  <si>
    <t>SERVICIO DE SALUD LOS RIOS</t>
  </si>
  <si>
    <t xml:space="preserve">OXIMETRO DE PULSO SEGÚN CARACTERÍSTICAS TÉCNICAS OBLIGATORIAS </t>
  </si>
  <si>
    <t>3996-45-LE23</t>
  </si>
  <si>
    <t>adquisicion Insumos de Enfermeria Julio 2023</t>
  </si>
  <si>
    <t xml:space="preserve">La necesidad de realizar adquisicion de insumos de enfermeria para ser utilizados en los establecimientos  de salud de APS de la comuna.  </t>
  </si>
  <si>
    <t>FLUJOMETRO CON MANOMETRO</t>
  </si>
  <si>
    <t>1171142-62-LQ23</t>
  </si>
  <si>
    <t>MANT. ESTANQUE CRIOGÉNICO Y SUMINISTRO DE OXÍGENO</t>
  </si>
  <si>
    <t>Se requiere contar con el suministro de oxígeno de calidad de uso humano, para ser usado en ambiente hospitalario. El proveedor se obliga a suministrar al Hospital Complejo Asistencial Padre Las Casas oxígeno líquido medicinal criogénico y a la mantención de la estación criogénica incluyendo los cilindros de oxígeno de respaldo, los cuales no tendrán costos de arriendo yo mantenciones, adicionales para el CAPLC.
SERVICIO CONSUMO ESTIMADO ANUAL 
Suministro de oxígeno liquido criogénico, Estanque 5.000 litros 5 m3 o superior. 99.5% pureza. 60.000 m3</t>
  </si>
  <si>
    <t>Suministro de oxigeno liquido criogenico, estanque 5.000 litros (5 m3) o superior, 99.5% pureza</t>
  </si>
  <si>
    <t>1063538-156-LP23</t>
  </si>
  <si>
    <t>SUMINISTRO DE FLUJOMETROS REGULADORES Y EMPAQUETA</t>
  </si>
  <si>
    <t>El Hospital Base San José de Osorno, en adelante también el “Hospital”, requiere suministro de insumos para Unidad de Equipos Médicos del Hospital, de acuerdo a las condiciones establecidas en las presentes bases administrativas, económicas, técnicas y sus anexos. La forma de la presente licitación pública corresponde a aquella adquisición mayor o igual a 1.000 e inferior a 2.000 UTM.</t>
  </si>
  <si>
    <t>035-2071 | Flujómetro de oxígeno neonatal; Flujómetro de oxígeno neonatal-pediátrico; Regulador de oxígeno con flujómetro estándar; Flujómetro de oxígeno adulto; Regulador de oxígeno con flujómetro yugo; Empaquetadura yugo-pin.</t>
  </si>
  <si>
    <t>2727-59-L123</t>
  </si>
  <si>
    <t xml:space="preserve">INSUMOS MÉDICOS PROGRAMA APOYO CUIDADOS PALIATIVOS UNIVERSALES APS 2023 CESFAM DR. JOSÉ DURÁN TRUJILLO </t>
  </si>
  <si>
    <t xml:space="preserve">INSUMOS NECESARIOS PARA LA EJECUCIÓN DEL PROGRAMA DE APOYO A LOS CUIDADOS PALIATIVOS UNIVERSALES EN APS 2023 DEL CESFAM DR. JOSÉ DURÁN TRUJILLO </t>
  </si>
  <si>
    <t xml:space="preserve">CONCENTRADOR DE OXÍGENO </t>
  </si>
  <si>
    <t>1624-60-L123</t>
  </si>
  <si>
    <t>CONVENIO SUMINISTRO OXIGENO ,URGENCIAS Y HOSPITALIZADOS</t>
  </si>
  <si>
    <t>SE REQUIERE COMPRA DE CONVENIO SUMINISTRO OXIGENO
MÉDICO , FLETE Y ARRIENDO, SEGUN ESPECIFICACIONES Y
ADJUNTOS, CON ENTREGA SEMANAL SEGUN NECESIDAD DEL
ESTABECIMIENTO.</t>
  </si>
  <si>
    <t>RECARGA OXIGENO MEDICO 0,7; FLETE; RECARGA OXIGENO MEDICO 10; RECARGA OXIGENO MEDICO 6; TUBOS EN ARRIENDO</t>
  </si>
  <si>
    <t>1057422-19-LP23</t>
  </si>
  <si>
    <t>CONV. DE SUMINISTRO DE GASES CLINICOS Y MANTENCION</t>
  </si>
  <si>
    <t>El Hospital de Yumbel requiere contratar servicio por el suministro de gases medicinales, envases, válvulas, adaptadores, conectores, cilindros, estanques y mantenciones preventivas  correctivas de las instalaciones y equipamientos existentes que permitan el normal funcionamiento del establecimiento.
Mediante la presente, se pretende proveer el servicio, según Solicitud de Adquisicion N°36.546, emitida por la unidad de servicios generales del Hospital de Yumbel, por un periodo de 36 meses.</t>
  </si>
  <si>
    <t>SERVICIO DE SALUD BIO BIO HOSPITAL DE YUMBEL</t>
  </si>
  <si>
    <t>CONVENIO SUMINISTRO DE GASES CLINICOS Y MANTENCIONES PREVENTIVAS DE LAS INSTALACIONES DEL SISTEMA DE GASES CLINICOS DEL HOSPITAL DE YUMBEL</t>
  </si>
  <si>
    <t>61.607.307-9</t>
  </si>
  <si>
    <t>PEDRO CASTILLO</t>
  </si>
  <si>
    <t>pedro.castillo@ssbiobio.cl</t>
  </si>
  <si>
    <t>PATRICIA SANHUEZA</t>
  </si>
  <si>
    <t>PATRICIA.SANHUEZA@SSBIOBIO.CL</t>
  </si>
  <si>
    <t>1003473-45-LE23</t>
  </si>
  <si>
    <t>ADQUISICION DE MASCARAS ORONASAL Y CARA COMPLETA PARA PEDIATRIA</t>
  </si>
  <si>
    <t xml:space="preserve">El Hospital San Juan de Dios de Curicó, requiere realizar la adquisición de mascaras oronasal y cara completa, a objeto de satisfacer adecuadamente la demanda de estos en el servicio de pediatría.
</t>
  </si>
  <si>
    <t xml:space="preserve">MASCARA ORONASAL TALLA S / MASCARA PARA OTORGAR VMNI / DEBE TENER CODO CONECTOR SIN FUGA (CODO AZUL) Y CODO BLANCO / COMPATIBILIDAD CON CIRCUITO VMNI
 </t>
  </si>
  <si>
    <t>2710-137-L123</t>
  </si>
  <si>
    <t xml:space="preserve">INSTRUMENTOS CLINICOS PARA PROGRAMA CUIDADOS PALIATIVOS </t>
  </si>
  <si>
    <t xml:space="preserve">INSTRUMENTOS CLINICOS PARA PROGRAMA CUIDADOS PALIATIVOS, SEGÚN SOLICITUD N°111/2023 DE UNIDAD DE CONVENIOS.   </t>
  </si>
  <si>
    <t>OXÍMETRO DE PULSO ADAPTABLE PEDIATRICO/ ADULTO.</t>
  </si>
  <si>
    <t>2360-68-LE23</t>
  </si>
  <si>
    <t>RECARGA Y ARRIENDO DE CILINDROS DE OXIGENO Y AIRE COMPRIMIDO.</t>
  </si>
  <si>
    <t>LA NECESIDAD DE ABASTECER CON OXIGENO Y AIRE COMPRIMIDO A LOS CESFAM DE LA COMUNA.</t>
  </si>
  <si>
    <t>SERVICIO DE RECARGA Y ARRIENDO DE CILINDROS DE OXIGENO Y AIRE COMPRIMIDO.</t>
  </si>
  <si>
    <t>2348-29-LE23</t>
  </si>
  <si>
    <t>ARRIENDO Y CARGA CILINDROS DE OXIGENO 9 M3</t>
  </si>
  <si>
    <t>SERVICIO DE ARRIENDO Y CARGA DE CILINDROS DE OXIGENO 9 M3, PARA LABORES QUE EJECUTA LA DIRECCIÓN DE OPERACIONES. MODALIDAD CONTRATO DE SUMINISTRO, A UTILIZAR SEGÚN DEMANDA. VIGENCIA: 36 MESES</t>
  </si>
  <si>
    <t>SERVICIO DE ARRIENDO Y CARGA DE CILINDROS DE OXIGENO 9 M3, PARA LABORES QUE EJECUTA LA DIRECCIÓN DE OPERACIONES, MODALIDAD CONTRATO DE SUMINISTRO, A UTILIZAR SEGÚN DEMANDA. Línea 1: Servicio recarga de cilindro oxigeno de 9m3 </t>
  </si>
  <si>
    <t>No suben respuestas</t>
  </si>
  <si>
    <t>788110-61-LE23</t>
  </si>
  <si>
    <t>SUMINISTRO DE GASES CLÍNICOS MEDICINALES PARA CESFAM POSTAS Y SAR</t>
  </si>
  <si>
    <t>ADQUISICION DE SUMINISTRO DE GASES CLÍNICOS MEDICINALES PARA CESFAM, POSTAS Y SAR DEL DEPARTAMENTO DE SALUD DE LA COMUNA SEGUN BASES ADJUNTAS.</t>
  </si>
  <si>
    <t>I MUNICIPALIDAD DE SAN VICENTE</t>
  </si>
  <si>
    <t>Suministro de  oxigeno medico y aire comprimido para CESFAM y postas</t>
  </si>
  <si>
    <t>2727-62-L123</t>
  </si>
  <si>
    <t xml:space="preserve">INSTRUMENTAL MÉDICO PARA ESTABLECIMIENTOS DE SALUD MUNICIPAL </t>
  </si>
  <si>
    <t xml:space="preserve">INSTRUMENTAL MÉDICO NECESARIO PARA EL CONTROL DE PACIENTES DE ESTABLECIMIENTOS DE SALUD MUNICIPAL </t>
  </si>
  <si>
    <t xml:space="preserve">OXÍMETROS DE PULSO ADULTOS </t>
  </si>
  <si>
    <t>1057049-251-LE23</t>
  </si>
  <si>
    <t>SMG. ADQUISICIÓN TUBO PREFORMADO AGUJA BIOPSIA RENAL TROCAR DE BIOPSIA Y OTROS INSUMOS</t>
  </si>
  <si>
    <t xml:space="preserve">El objetivo de la Propuesta es la adquisición de Tubo Preformado, Aguja Biopsia Renal, Trocar De Biopsia y Otros Insumos para los Servicios Clínicos del Hospital Clínico San Borja Arriarán, solicitados en las especificaciones técnicas, en concordancia con las Bases Administrativas, Técnicas, Formularios, aclaraciones y otros documentos que pudieran formularse en el transcurso de la licitación.
Se entenderá que todo proveedor conoce y acepta irrevocablemente el contenido de estas Bases, por el solo hecho de presentar ofertas en este proceso de licitación
</t>
  </si>
  <si>
    <t>4642-68-LQ23</t>
  </si>
  <si>
    <t>Provisión e instalación de equipamiento médico para los Servicios de Pediatría y Urgencia pertenecientes al Hospital de Carabineros</t>
  </si>
  <si>
    <t>Rex N°901,07.07.2023 Aprueba bases Por la provisión e instalación de equipamiento médico para los Servicios de Pediatría y Urgencia, pertenecientes al Hospital de Carabineros, Ubicado en Avenida Antonio Varas N°2500 Ñuñoa. Solicitudes 2301655 CR 328-23 y 2301064 CR 220-23</t>
  </si>
  <si>
    <t>VENTILADOR MECÁNICO  NO INVASIVO, PARA EL SERVICIO DE URGENCIA (Según detalle del Requerimiento en bases adjuntas)</t>
  </si>
  <si>
    <t>1057390-67-L123</t>
  </si>
  <si>
    <t>COMPRA DE INSUMOS CLÍNICOS  SAMU 2 - 2023</t>
  </si>
  <si>
    <t>La presente licitación tiene como objetivo, la necesidad de adquirir insumos clínicos para las ambulancias de las Bases SAMU dependientes del Servicio de Salud Araucanía Norte, buscando tener equipos completamente operativos, garantizando una mayor fiabilidad, confiabilidad y seguridad al momento de utilizar estos móviles en pacientes.</t>
  </si>
  <si>
    <t>REGULADOR PARA RED DE OXIGENO CENTRAL</t>
  </si>
  <si>
    <t>407-89-LE23</t>
  </si>
  <si>
    <t>MANTENIMIENTO PREVENTIVO Y CORRECTIVO DE COLUMNAS DE GASES</t>
  </si>
  <si>
    <t>El HGGB necesita contar con el servicio de mantenimiento preventivo y correctivo de columna de gases ubicadas en pabellón CMA.
Solicitado por Profesional Departamento Equipos Médicos en requerimiento S-COM 37864 de fecha 23.06.2023</t>
  </si>
  <si>
    <t>MANTENIMIENTO PREVENTIVO Y CORRECTIVO DE COLUMNAS DE GASES, SEGÚN EETT ADJUNTAS</t>
  </si>
  <si>
    <t>4238-31-LE23</t>
  </si>
  <si>
    <t>EQUIPAMIENTO CLINICO-PGMA APOYO A  LA GESTION LOCAL EN APS- 2023</t>
  </si>
  <si>
    <t>EQUIPAMIENTO CLINICO-PGMA APOYO A  LA GESTION LOCAL EN APS- 2023, DE ACUERDO A MEMORANDUM  (DAS) N°0014/2023 Y DECRETO ALCALDICIO N°7.579/2023</t>
  </si>
  <si>
    <t>I MUNICIPALIDAD DE CURANILAHUE</t>
  </si>
  <si>
    <t>CARRO DE TRANSPORTE PARA OXIGENO PORTATIL, CON CILINDRO DE OXIGENO, DE ACUERDO A "ESPECIFICACIONES TECNICAS", ADJUNTAS</t>
  </si>
  <si>
    <t>1057549-11-L123</t>
  </si>
  <si>
    <t>INSUMOS BASE SAMU LANCO</t>
  </si>
  <si>
    <t xml:space="preserve">Hospital Familiar y Comunitario de Lanco requiere la compra de insumos que son indispensables para Base SAMU LANCO. </t>
  </si>
  <si>
    <t>Regulador de oxígeno 15 LPM con Barba y 2 Diss para cilindro con válvula pin. Unidad</t>
  </si>
  <si>
    <t>1075963-337-LQ23</t>
  </si>
  <si>
    <t>CONVENIO DE SUMINISTRO DE OXIGENO LIQUIDO MEDICINAL POR 36 MESES HJNC.</t>
  </si>
  <si>
    <t>CONVENIO DE SUMINISTRO DE OXIGENO LIQUIDO MEDICINAL POR 36 MESES, HJNC.</t>
  </si>
  <si>
    <t>OXIGENO LIQUIDO MEDICINAL</t>
  </si>
  <si>
    <t>1554-40-LQ23</t>
  </si>
  <si>
    <t>El objeto de la licitación es efectuar el llamado público, para la presentación de ofertas a fin de satisfacer las demandas del Establecimiento, los cuales deberán tener la suficiencia técnica y especializada para prestar colaboración con el Hospital Regional. Dichos requerimientos y servicios deberán enfocar su trabajo en la atención de calidad, con responsabilidad y pertinencia, encontrándose disponibles para el equipo de salud cuando este lo requiera, subordinándose a las normas del establecimiento hospitalario. Los cuales serán coordinados y supervisados por la contraparte Técnica.</t>
  </si>
  <si>
    <t>SERVICIO DE SALUD ATACAMA HOSPITAL COPIAPO</t>
  </si>
  <si>
    <t>Reposición de cargas cilindro 700 litros.</t>
  </si>
  <si>
    <t>4856-61-L123</t>
  </si>
  <si>
    <t>Mantención Preventiva de Red Equipos toma oxigeno</t>
  </si>
  <si>
    <t>Mantención Preventiva de Red, Equipos y toma oxigeno del Cesfam Isabel Jiménez Riquelme.</t>
  </si>
  <si>
    <t>I MUNICIPALIDAD DE TIRUA</t>
  </si>
  <si>
    <t>Mantención Preventiva de red, Equipos y tomas de Oxigeno del Cesfam Isabel Jiménez Riquelme , Según Bases Administrativas y técnicas adjunta</t>
  </si>
  <si>
    <t>1057509-264-LE23</t>
  </si>
  <si>
    <t>CONVENIO SERVICIOS DE TAXI CARGO PARA TRASLADO E INSTALACIÓN DE OXIGENO ncv</t>
  </si>
  <si>
    <t>El Hospital Clínico Herminda Martín de Chillán llama a Licitación Pública a través del Portal Mercado Público, para “Convenio Servicio de Taxi Cargo Para Traslado e Instalación de Oxígeno”, con el fin de proveer de oxígeno a pacientes dependientes de la Unidad de Hospitalización Domiciliaria, de acuerdo a requerimientos especificados en Bases Administrativas y Técnicas de la presente licitación. Se pretende obtener la mejor calidad y oportunidad en el servicio a un precio conveniente</t>
  </si>
  <si>
    <t>608-153-LE23</t>
  </si>
  <si>
    <t>KCD_SUMINISTRO DE MATERIALES PARA UNIDADES CPI Y ACCESORIOS PARA GASES MEDICINALES</t>
  </si>
  <si>
    <t>SUMINISTRO DE MATERIALES PARA UNIDADES CPI Y ACCESORIOS PARA GASES MEDICINALES</t>
  </si>
  <si>
    <t>HOSPITAL DR GUSTAVO FRICKE DE VINA DEL MAR</t>
  </si>
  <si>
    <t>Latch Valve// Frontis murales: Aire Medicinal (Blanco con Negro), conexión Ohmeda. Indicar valor unitario neto.</t>
  </si>
  <si>
    <t>1075963-423-LE23</t>
  </si>
  <si>
    <t xml:space="preserve"> ADQUISICION DE  SONDAS AGUJAS SQ TROCAR BALON DE EXTRACCION PAPEL ECG KIT DE BANDEJA REGIONAL Y OTROS INSUMOS CLINICOS</t>
  </si>
  <si>
    <t xml:space="preserve"> ADQUISICION DE  SONDAS, AGUJAS, SQ, TROCAR, BALON DE EXTRACCION, PAPEL ECG, KIT DE BANDEJA REGIONAL, Y OTROS INSUMOS CLINICOS</t>
  </si>
  <si>
    <t xml:space="preserve">2250128 / FLUJOMETRO P/OXIGENO (COD. E 06-04-05)
</t>
  </si>
  <si>
    <t>1057432-56-LE23</t>
  </si>
  <si>
    <t>ADQUISICIÓN INSUMOS MÉDICOS PROGRAMA OXIGENO APS</t>
  </si>
  <si>
    <t>ADQUISICIÓN INSUMOS MÉDICOS PARA PROGRAMA DE OXIGENO DOMICILIARIO SOLICITADO POR ATENCIÓN PRIMARIA DE SALUD</t>
  </si>
  <si>
    <t>MASCARILLA ORONASAL PARA VENTILACIÓN NO INVASIVA REFERENCIA MODELO AIRFIT F30, TALLA L</t>
  </si>
  <si>
    <t>2311-138-L123</t>
  </si>
  <si>
    <t xml:space="preserve">ADQUISICIÓN INSUMOS PROGRAMA MAS ADULTO MAYOR </t>
  </si>
  <si>
    <t xml:space="preserve">SE REQUIEREN INSUMOS PARA PROGRAMA MAS ADULTO MAYOR </t>
  </si>
  <si>
    <t xml:space="preserve">SE REQUIEREN SATUROMETRO/OXIMETRO ADULTO </t>
  </si>
  <si>
    <t>2101-135-L123</t>
  </si>
  <si>
    <t>INSTRUMENTOS UNIDAD DE REHABILITACIÓN</t>
  </si>
  <si>
    <t>EL HOSPITAL INTERCULTURAL KALLVU LLANKA REQUIERE ADQUIRIR DISTINTOS  INSTRUMENTOS PARA DAR CUMPLIMIENTO A CARTAS DE COMPROMISO EN ATENCIÓN DE SALUD PARA LA UNIDAD DE REHABILITACIÓN</t>
  </si>
  <si>
    <t>SATUROMETRO DE PULSO</t>
  </si>
  <si>
    <t>1075963-414-LE23</t>
  </si>
  <si>
    <t>“ADQUISICION DE REPUESTOS PARA MANTENCIONES CORRECTIVA GASES CLINICOS PARA HOSPITAL DE ARICA”</t>
  </si>
  <si>
    <t>“ADQUISICION DE REPUESTOS PARA MANTENCIONES CORRECTIVA GASES CLINICOS, PARA HOSPITAL DE ARICA”</t>
  </si>
  <si>
    <t>Adquisición de repuesto para MC gases clínicos</t>
  </si>
  <si>
    <t>898-148-LE23</t>
  </si>
  <si>
    <t>“Equipamiento medico”</t>
  </si>
  <si>
    <t>La necesidad del Hospital Claudio Vicuña, establecimiento dependiente del Servicio de Salud Valparaíso San Antonio, de realizar un proceso de licitación para la adquisición de “Equipamiento medico” requeridos por la Unidad Puesta en Marcha NHCV- Proyecto.</t>
  </si>
  <si>
    <t>FLUJOMETROS. Ficha N°2, bases administrativas y técnicas Res. Ex. N°2808 27.07.2023.</t>
  </si>
  <si>
    <t>2272-20-L123</t>
  </si>
  <si>
    <t>SERVICIO DE RECARGA DE OXIGENO Y NITROGENO</t>
  </si>
  <si>
    <t xml:space="preserve">Se requiere contratar el servicio de recarga de oxigeno y nitrógeno </t>
  </si>
  <si>
    <t>Nitrógeno para aviación , Cilindro de 9 mt.3; Oxígeno para aviación, Tipo Z , Cilindro de 9 mt.3</t>
  </si>
  <si>
    <t>5061-120-L123</t>
  </si>
  <si>
    <t>SCHC207 Adquisición de (4) concentrador de oxigeno con nebulización y (4) cilindro de oxígeno portátil para Programa cuidados paliativos del DSM. Según especificaciones técnicas adjuntas</t>
  </si>
  <si>
    <t>Adquisición de (4) concentrador de oxigeno con nebulización y (4) cilindro de oxígeno portátil para Programa cuidados paliativos del DSM. Según especificaciones técnicas adjuntas</t>
  </si>
  <si>
    <t>635-104-L123</t>
  </si>
  <si>
    <t>ADQUISICION DE VENTILADOR NO INVASIVO, OT 1190</t>
  </si>
  <si>
    <t>Adquisición de ventilador mecánico no invasivo, según especificaciones
técnicas adjuntas.</t>
  </si>
  <si>
    <t>Ventilador no invasivo, según especificaciones técnicas</t>
  </si>
  <si>
    <t>2.350.000</t>
  </si>
  <si>
    <t>2107-121-LE23</t>
  </si>
  <si>
    <t xml:space="preserve">ADQUISICIÓN DE INSUMOS PARA ESTERILIZACIÓN </t>
  </si>
  <si>
    <t>MASCARA FITLIFE TALLA XL ; MASCARA FITLIFE TALLA S; MASCARA FITLIFE TALLA L</t>
  </si>
  <si>
    <t>1075963-440-LE23</t>
  </si>
  <si>
    <t>ADQUISICIÓN DE SONDAS TEJIDO TUBULAR  BOLSAS UROSTOMIA GUIAS HIDROFILICA CANULA TQQ LLAVE DE TRES PASOS PLACA CONVEXA FRESAS SHAVER FUNDA MICROSCOPIO Y OTROS INSUMOS CLÍNICOS</t>
  </si>
  <si>
    <t>ADQUISICIÓN DE SONDAS, TEJIDO TUBULAR,  BOLSAS UROSTOMIA, GUIAS HIDROFILICA, CANULA TQQ, LLAVE DE TRES PASOS, PLACA CONVEXA, FRESAS SHAVER, FUNDA MICROSCOPIO Y OTROS INSUMOS CLÍNICOS</t>
  </si>
  <si>
    <t xml:space="preserve">3470087 - FRASCOS HUMIDIFICADORES   HUDSON  MODELO  : CAT. 3230 - (UM: UNIDAD)
</t>
  </si>
  <si>
    <t>3942-45-L123</t>
  </si>
  <si>
    <t>IMPLEMENTACION CONVENIO SUR</t>
  </si>
  <si>
    <t>SOLICITUD DE COMPRA N° 256</t>
  </si>
  <si>
    <t>I MUNICIPALIDAD DE LEBU</t>
  </si>
  <si>
    <t>OXIMETRO PEDIATRICO DIGITAL, según archivo adjunto</t>
  </si>
  <si>
    <t>948354-118-LE23</t>
  </si>
  <si>
    <t>Contratación del Servicio de Suministro de Gases de Mezcla para el Hospital Dipreca.</t>
  </si>
  <si>
    <t>Suministro de Gases de Mezcla (REVISAR ESPECIFICACIONES TÉCNICAS EN BASES TÉCNICAS)</t>
  </si>
  <si>
    <t>4197-34-L123</t>
  </si>
  <si>
    <t>SUMINISTRO CARGA OXIGENO MEDICO Y ARRIENDO CILINDROS 2</t>
  </si>
  <si>
    <t>Contar con contrato de suministro para la carga de oxigeno médico y arriendo de cilindros necesarios para el funcionamiento de la Red de Salud y Establecimientos de Salud de la comuna de Quemchi, una vez cumplido el actual en ejecución.</t>
  </si>
  <si>
    <t>Recarga de cilindros o balones Fiscales de almacenamiento oxígeno médico, que incluya prueba hidraulica de cilindros, cambio de válvula, en los casos que correspondan.</t>
  </si>
  <si>
    <t>2157-114-LE23</t>
  </si>
  <si>
    <t>SERVICIO DE MANTENIMIENTO PARA CENTRALES DE GASES CLÍNICOS CONEXIONES EN CPI Y OTROS DEL HOSPITAL TRAUMATOLÓGICO DE CONCEPCIÓN</t>
  </si>
  <si>
    <t>Se requiere un servicio de mantenimiento para centrales de gases clínicos, conexiones en CPI y otros, con la finalidad de mantenerlas operativas para la atención de pacientes.</t>
  </si>
  <si>
    <t>HOSPITAL TRAUMATOLOGICO DE CONCEPCIÓN</t>
  </si>
  <si>
    <t>Servicio de mantenimiento para centrales de gases clínicos, conexiones en CPI y otros del Hospital Traumatológico de Concepción, según letra B Bases Técnicas.</t>
  </si>
  <si>
    <t>4429-67-LE23</t>
  </si>
  <si>
    <t>ADQUISICION INSUMOS ATENCION CLINICA</t>
  </si>
  <si>
    <t>ADQUISICION DE INSUMOS DE ATENCION CLINICA PARA DROGUERIA COMUNAL</t>
  </si>
  <si>
    <t>VALVULA DE ENTRENAMIENTO RESPIRATORIO SEGUN BASES TECNICAS ESPECIALES ADJUNTAS (IMT)</t>
  </si>
  <si>
    <t>1057417-238-LE23</t>
  </si>
  <si>
    <t>CONVENIO DE PROVISIÓN Y MONTAJE PIPING PARA GASES CLÍNICOS mss</t>
  </si>
  <si>
    <t>CONVENIO DE PROVISIÓN Y MONTAJE PIPING PARA GASES CLÍNICOS</t>
  </si>
  <si>
    <t>CONVENIO POR PROVISIÓN Y MONTAJE PIPING DE GASES CLINICOS</t>
  </si>
  <si>
    <t>4457-60-LQ23</t>
  </si>
  <si>
    <t xml:space="preserve">CONTRATO DE INSUMOS CLINICOS PARA FARMACIA CESFAM </t>
  </si>
  <si>
    <t xml:space="preserve">CONTRATO DE INSUMOS CLINICOS  PARA FARMACIA CESFAM
SOLICITUD DE ADQUISICIONES N° 180 ID DOC 721361 DE FECHA 08.06.2023 </t>
  </si>
  <si>
    <t>VASO HUMEDIFICADOR PARA OXIGENOTERAPIA, CJ X 12 UND (12 UNIDADES); FLUJOMETROS PARA ADMINISTRACIÓN DE OXIGENO (500 UNIDADES)</t>
  </si>
  <si>
    <t>2694-25-LE23</t>
  </si>
  <si>
    <t>EQUIPAMIENTO  MEDICO Y TECNOLÓGICO  MAIS 2023</t>
  </si>
  <si>
    <t>EQUIPAMIENTO  MEDICO  Y  TECNOLOGICO  MAIS  2023.  PARA   SALUD  CARTAGENA.</t>
  </si>
  <si>
    <t>SATUROMETRO ADULTO.  SEGÚN  DETALLE  TECNICO  EN  BASES  DE  LICITACIÓN.</t>
  </si>
  <si>
    <t>2324-331-L123</t>
  </si>
  <si>
    <t>ARTICULOS CLINICOS PARA ELEAM ALERCE  DIDECO</t>
  </si>
  <si>
    <t>ARTICULOS CLINICOS PARA ELEAM ALERCE / DIDECO</t>
  </si>
  <si>
    <t>SATUROMETRO ADULTO MD300C11, SEGUN ET ADJUNTO</t>
  </si>
  <si>
    <t>898-154-LE23</t>
  </si>
  <si>
    <t>Servicio de Suministro de Gases Clínicos para puesta en marcha del Nuevo Hospital Claudio Vicuña</t>
  </si>
  <si>
    <t>La necesidad del Hospital Claudio Vicuña, establecimiento dependiente del Servicio de Salud Valparaíso San Antonio, de contratar el “Servicio de Suministro de Gases Clínicos para puesta en marcha del Nuevo Hospital Claudio Vicuña”.</t>
  </si>
  <si>
    <t>Servicio de Suministro de Gases Clínicos para puesta en marcha del Nuevo Hospital Claudio Vicuña. Ver bases administrativas y técnicas.</t>
  </si>
  <si>
    <t>2215-47-LQ23</t>
  </si>
  <si>
    <t>CONVENIO DE SUMISNISTRO DE OXIGENO CRIOGENICO</t>
  </si>
  <si>
    <t>CONVENIO DE SUMINISTRO DE OXIGENO CRIOGENICO PARA EL HCC</t>
  </si>
  <si>
    <t>1080094-13-L123</t>
  </si>
  <si>
    <t>COMPRA DE 20 REGULADORES COMPACTO YUGO PARA SAMU</t>
  </si>
  <si>
    <t>El propósito de la licitación es la adquisición de 20 unidades de regulador compacto YUGO, en las circunstancias que estos productos no son provistos en catálogo electrónico del Convenio Marco</t>
  </si>
  <si>
    <t>REGULADOR COMPACTO YUGO</t>
  </si>
  <si>
    <t>3587-39-L123</t>
  </si>
  <si>
    <t>INSUMOS UNIDAD KINESIOLOGÍA DSM CARAHUE</t>
  </si>
  <si>
    <t>LA MUNICIPALIDAD DE CARAHUE LLAMA A LICITACIÓN PUBLICA PARA LA ADQUISICIÓN DE INSUMOS UNIDAD KINESIOLOGÍA DSM CARAHUE</t>
  </si>
  <si>
    <t>I MUNICIPALIDAD DE CARAHUE</t>
  </si>
  <si>
    <t>OXÍMETRO DE PULSO – SATURÓMETRO OP1 PRO</t>
  </si>
  <si>
    <t>2111-223-LQ23</t>
  </si>
  <si>
    <t>SERV. PARA ADQUIS. SUMINISTRO DE GASES CLÍNICOS II</t>
  </si>
  <si>
    <t>SE REQUIERE LA CONTRATACIÓN DE SERVICIO DE SUMINISTRO DE OXÍGENO LÍQUIDO A GRANEL Y CILINDROS DE GASES CLÍNICOS COMPRIMIDOS PARA EL HUAP.</t>
  </si>
  <si>
    <t>OXÍGENO LÍQUIDO A GRANEL</t>
  </si>
  <si>
    <t>HUAP</t>
  </si>
  <si>
    <t>CONTRATOS@REDSALUD.GOB.CL</t>
  </si>
  <si>
    <t>FERNANDA NORAMBUENA</t>
  </si>
  <si>
    <t>FERNANDA.NORAMBUENA@REDSALUD.GOB.CL</t>
  </si>
  <si>
    <t>1057379-18-LE23</t>
  </si>
  <si>
    <t>CONVENIO SUMINISTRO DE GASES CLÍNICOS Y OTROS HSAP</t>
  </si>
  <si>
    <t>SERVICIO DE SALUD ACONCAGUA HOSPITAL DE PUTAENDO</t>
  </si>
  <si>
    <t>Suministro de Oxígeno Gaseoso Medicinal. Servicios Adicionales.
según Especificaciones Técnicas Adjuntas</t>
  </si>
  <si>
    <t>2757-57-LE23</t>
  </si>
  <si>
    <t>SUMINISTRO DE RECARGA Y COMPRA DE OXIGENO MEDICINA</t>
  </si>
  <si>
    <t>La presente licitación tiene por objetivo proveer de un contrato de suministros del servicio de recarga, compra y mantención de tubos de oxígeno médico para la red de salud municipal, de la comuna de San Antonio por el período 2023-2024</t>
  </si>
  <si>
    <t>I MUNICIPALIDAD DE SAN ANTONIO</t>
  </si>
  <si>
    <t>Línea 1: Recarga de oxígeno médico, arriendo de cilindros con recarga y otras mantenciones (VER BASES TÉCNICAS)</t>
  </si>
  <si>
    <t>2069-88-LQ23</t>
  </si>
  <si>
    <t>SGN-SUMNISTRO OXIGENO CRIOGENICO</t>
  </si>
  <si>
    <t>El objeto de esta Licitación y, debido a que el Hospital cuenta con una dotación de 713 camas, actividades quirúrgicas, asistenciales y de cuidados que requieren de suministro de gases clínicos, específicamente oxígeno, en calidad, seguridad y continuidad de suministro que satisfaga esta demanda aleatoria con oportunidad y confiabilidad a todo evento para el correcto funcionamiento de este.</t>
  </si>
  <si>
    <t>Servicio de suministro de oxigeno criogénico</t>
  </si>
  <si>
    <t>1267885-50-L123</t>
  </si>
  <si>
    <t>SALUD-CONCENTRADOR DE OXIGENO PARACESFAM COÑARIPE</t>
  </si>
  <si>
    <t>SALUD-ADQUISICIÓN DE CONCENTRADOR DE OXIGENO PARACESFAM COÑARIPE</t>
  </si>
  <si>
    <t>Concentrador de oxigeno de 10 LPM (SEGUN ESPECIFICACIONES TÉCNICAS)</t>
  </si>
  <si>
    <t>2101-142-L123</t>
  </si>
  <si>
    <t>INSUMOS UNIDAD DE REHABILITACIÓN</t>
  </si>
  <si>
    <t xml:space="preserve">HOSPITAL INTERCULTURAL KALLVU LLANKA REQUIERE ADQUIRIR INSUMOS PARA UNIDAD DE REHABILITACIÓN, CON EL OBJETO DE SUMINISTRAR IMPLEMENTOS PARA LA EJECUCIONES DE TERAPIAS DE REHABILITACIÓN EN PACIENTES DE LA COMUNA DE CAÑETE. </t>
  </si>
  <si>
    <t>REGULADOR DE OXIGENO CON FLUJOMETROMEDIDOR DE FLUJO COMPENSADO, VALVULA TIPO ESTANDAR, DE 0 A 3 L/MIN, PRESION DE ENTRADA DE 300 PSI</t>
  </si>
  <si>
    <t>1079650-67-L123</t>
  </si>
  <si>
    <t>POLIGRAFO RESPIRATORIO Y MONITOR CAPNOGRAFÍA Y OXITOMETRÍA</t>
  </si>
  <si>
    <t>Adquisición de 1 polígrafo respiratorio (Monto disponible para esta línea $1.638.655 neto) y 1 Monitor caponografía y oxitometría (monto disponible para esta línea $3.300.000 neto)
Despacho a BODEGA DE MEGACENTRO, Bodega 4F, Ruta 160 km. 10, N°5580, comuna San Pedro de la Paz.
Pago lo realiza Universidad de Concepción una vez recepcionado conforme equipos.</t>
  </si>
  <si>
    <t>POLÍGRAFO RESPIRATORIO</t>
  </si>
  <si>
    <t>1057420-37-L123</t>
  </si>
  <si>
    <t>ADQUISICIÓN DE INSUMOS CLINICOS CRITICOS Y NO CRITICOS Y OTROS PARA EL HOSPITAL DE FAMILIA Y LA COMUNIDAD DE HUÉPIL</t>
  </si>
  <si>
    <t>Las presentes Bases, tienen por objeto establecer las disposiciones que regirán la Propuesta Pública para la ADQUISICIÓN DE INSUMOS CLINICOS CRITICOS Y NO CRITICOS Y OTROS PARA EL HOSPITAL DE FAMILIA Y LA COMUNIDAD DE HUÉPIL.</t>
  </si>
  <si>
    <t xml:space="preserve">OXIMETRO NEONATAL, PEDIATRICO Y ADULTO </t>
  </si>
  <si>
    <t>2992-112-L123</t>
  </si>
  <si>
    <t>CILINDROS Y CARRO DE CARGA</t>
  </si>
  <si>
    <t>Adquisición de cilindros de gas y carro de carga para Liceo Presidente Eduardo Frei Montalva de Monte Patria</t>
  </si>
  <si>
    <t>cilindro de oxigeno 10m3 mas carga</t>
  </si>
  <si>
    <t>2989-12-LE23</t>
  </si>
  <si>
    <t>ABASTECIMIENTO OXIGENO MEDICINAL PARA EL CESFAM</t>
  </si>
  <si>
    <t xml:space="preserve">CONVENIO DE SUMINISTRO ABASTECIMIENTO OXIGENO MEDICINAL PARA EL CESFAM DE LOS MUERMOS, DEPENDIENTE DEL DEPARTAMENTO DE SALUD DE LOS MUERMOS
Asegurar la entrega oportuna y eficiente del insumo oxigeno medicinal a Cesfam Los Muermos mediante un contrato de suministro, insumo es requerido en atenciones de los pacientes que asisten de forma regular a nuestro establecimiento de Salud.
</t>
  </si>
  <si>
    <t>ABASTECIMIENTO OXIGENO MEDICINAL PARA EL CESFAM DE LOS MUERMOS (completar anexo economico)</t>
  </si>
  <si>
    <t> 16-08-2023 17:00:00</t>
  </si>
  <si>
    <t>3935-60-LE23</t>
  </si>
  <si>
    <t>ADQUISICION DE IMPLENTACION MEDICA Y OTROS PARA USO EN ESTABLECIMIENTOS DE SALUD</t>
  </si>
  <si>
    <t>I MUNICIPALIDAD DE FREIRE</t>
  </si>
  <si>
    <t>LINEA 15; CARRO PORTA CILINDRO GRANDE DE OXIGENO CON CADENA DE SUJECION QUE SEA DE ESTRUCTURA TUBULAR, RUEDAS DE 25 CM DE DIAMETRO (NO MENOS)CADENA DE SUJECION PARA AJUSTAR EL CILINDRO DE 80 CM DE LARGO, DIMENSIONES CARRO: ALTO 131 X BASE 35X 46 CM.</t>
  </si>
  <si>
    <t>4587-22-L123</t>
  </si>
  <si>
    <t>ADQUISICION DE OXIGENOS Y OTROS INSUMOS SALA IRA-ERA</t>
  </si>
  <si>
    <t>Se requiere la adquisición de oxígenos y otros insumos sala IRA ERA</t>
  </si>
  <si>
    <t>I MUNICIPALIDAD DE CABILDO</t>
  </si>
  <si>
    <t>OXIGENO</t>
  </si>
  <si>
    <t>1057374-36-LE23</t>
  </si>
  <si>
    <t xml:space="preserve">CONVENIO DE SUMINISTRO DE GASES CLÍNICOS Y ACCESORIOS PARA HOSPITAL SAN FRANCISCO DE LLAY LLAY </t>
  </si>
  <si>
    <t>El Hospital San Francisco de Llay Llay requiere  adquirir un convenio de suministro por un periodo de 12 meses a través de licitación  Pública denominada  “CONVENIO DE SUMINISTRO DE GASES CLÍNICOS, Y ACCESORIOS PARA HOSPITAL SAN FRANCISCO DE LLAY LLAY”.</t>
  </si>
  <si>
    <t>SERVICIO NACIONAL DE SALUD HOSPITAL DE LLAY LLAY</t>
  </si>
  <si>
    <t>“CONVENIO DE SUMINISTRO DE GASES CLÍNICOS, ARRIENDO  DE CILINDROS Y ACCESORIOS PARA HOSPITAL SAN FRANCISCO DE LLAY LLAY”.</t>
  </si>
  <si>
    <t>1075963-464-LE23</t>
  </si>
  <si>
    <t>ADQUISICION DE BRONCO CATCH SONDAS FLUJOMETRO BRAZALETE PEDIATRICO CANULAS CATETER MASCARILLAS VENDAS AGUJAS ELECTRODOS PROTESIS BILIAR CLORHEXIDINA Y OTROS INSUMOS CLINICOS</t>
  </si>
  <si>
    <t>ADQUISICION DE BRONCO CATCH, SONDAS, FLUJOMETRO, BRAZALETE PEDIATRICO, CANULAS, CATETER, MASCARILLAS, VENDAS, AGUJAS, ELECTRODOS, PROTESIS BILIAR, CLORHEXIDINA Y OTROS INSUMOS CLINICOS</t>
  </si>
  <si>
    <t>3135-32-LP23</t>
  </si>
  <si>
    <t>IMPLEMENTACION EQUIPOS MEDICOS CESFAM MARIA ELENA</t>
  </si>
  <si>
    <t>Se requiere la implementación y renovación de los equipos médicos  CESFAM de María Elena.</t>
  </si>
  <si>
    <t>REGULADOR PARA RED DE OXIGENO medicinal(manómetros)</t>
  </si>
  <si>
    <t>4025-20-L123</t>
  </si>
  <si>
    <t>ARRIENDO Y RECARGA DE OXIGENO MEDICINAL PARA ESTABLECIMIENTOS DE SALUD MUNICIPAL ANTUCO</t>
  </si>
  <si>
    <t>La necesidad del servicio de arriendo y recarga de cilindros de  oxígeno medicinal para establecimiento de salud municipales de la comuna de Antuco, según lo indicado en solicitud de compra N°74 de fecha 07 de agosto 2023..
Mayor información en bases que se adjuntan.</t>
  </si>
  <si>
    <t>ARRIENDO DIARIO DE CILINDRO DE OXIGENO MEDICINAL DE 6M3</t>
  </si>
  <si>
    <t>2215-46-LQ23</t>
  </si>
  <si>
    <t>SUMINISTRO POR ADQUISICION GASES MEDICINALES TUBO</t>
  </si>
  <si>
    <t>CONVENIO DE SUMINISTRO DE GASES MEDICINALES EN TUBOS PARA HOSPITAL DE CALAMA</t>
  </si>
  <si>
    <t>1057495-46-LE23</t>
  </si>
  <si>
    <t>PROVISIÓN DE OXÍGENO Y AIRE MEDICINAL PARA EL HDLC</t>
  </si>
  <si>
    <t>El objetivo de la presente licitación es generar un convenio por la adquisición de oxígeno clínico medicinal, recarga y arriendo de cilindros por un periodo de 24 meses para Unidades Clínicas del Hospital Dr. Lucio Córdova con el fin de contar con un suministro permanente para brindar un óptimo servicio.</t>
  </si>
  <si>
    <t>ÍTEM N°1 Cilindro de Aire Medicinal (10 M3)</t>
  </si>
  <si>
    <t>1065268-7-LE23</t>
  </si>
  <si>
    <t>RECARGA DE OXIGENO PARA SAMU BIOBIO</t>
  </si>
  <si>
    <t>Según Solicitud de adquisición N°. 223, folio SAMU15231, emitida por el Departamento de Atención Prehospitalaria SAMU Biobío del Servicio de Salud Biobío, se requiere un convenio de suministro de recarga de oxígeno para SAMU Biobío por un periodo de 24 meses.</t>
  </si>
  <si>
    <t>CENTRO DE ESPECIALIDAD  DE ATENCION PREHOSPITALARIA SAMU BIO BIO</t>
  </si>
  <si>
    <t>se requiere un convenio de suministro de recarga de oxígeno para SAMU POR 24 MESES</t>
  </si>
  <si>
    <t>1979-191-LP23</t>
  </si>
  <si>
    <t>200.23 “CONVENIO DE SUMINISTRO DE DISPOSITIVOS MEDICOS UTILIZADOS EN UNIDAD DE PACIENTE CRITICO PARA NODO COSTERO: HOSPITAL NVA IMPERIAL.”</t>
  </si>
  <si>
    <t>Se requiere contrato de suministro por el periodo de 18 meses para las adquisiciones de “CONVENIO DE SUMINISTRO DE DISPOSITIVOS MEDICOS UTILIZADOS EN UNIDAD DE PACIENTE CRITICO PARA NODO COSTERO: HOSPITAL NVA IMPERIAL.” de acuerdo a necesidades del Hospital Nueva Imperial.</t>
  </si>
  <si>
    <t>FLUJOMETRO  ADULTO, CON RANGO DE MEDICIÓN DE FLUJO DE 60 A 800 L/MIN, LIGERO , PORTÁTIL Y FÁCIL DE LIMPIAR, CALIBRACIÓN INDIVIDUAL, QUE INCLUYA BOQUILLA DE CARTÓN PARA SU USO</t>
  </si>
  <si>
    <t>1979-189-LQ23</t>
  </si>
  <si>
    <t>198.23 “CONVENIO DE DISPOSITIVOS MEDICOS PARA USO INTRAHOSPITALARIOS PARA NODO COSTERO: HOSPITAL NVA IMPERIAL.”</t>
  </si>
  <si>
    <t xml:space="preserve">Se requiere contrato de suministro por el periodo de 18 meses para las adquisiciones de “CONVENIO DE DISPOSITIVOS MEDICOS PARA USO INTRAHOSPITALARIOS PARA NODO COSTERO: HOSPITAL NVA IMPERIAL.” de acuerdo a necesidades del Hospital Nueva Imperial.
</t>
  </si>
  <si>
    <t>VÁLVULAS DE PRESION THRESHOLD PEP</t>
  </si>
  <si>
    <t>2786-22-LE23</t>
  </si>
  <si>
    <t>OPI 18065 INSUMOS SALA IRAERA SAN PEDRO DE LA POAZ</t>
  </si>
  <si>
    <t>INUSMOS SAN PEDRO DE LA PAZ, SEGUN BASES ADMINISTRATIVAS Y ESPECIFICACIONES TECNICAS ADJUNTAS.</t>
  </si>
  <si>
    <t>I MUNICIPALIDAD DE SAN PEDRO DE LA PAZ</t>
  </si>
  <si>
    <t>SATUROMETRO ADULTO. VER ESPECIFICACIONES TECNICAS ADJUNTAS.</t>
  </si>
  <si>
    <t>1057536-75-LR23</t>
  </si>
  <si>
    <t>CONVENIO DE INSUMOS PARA LA RED DEL SSDR</t>
  </si>
  <si>
    <t>CONVENIO DE SUMINISTRO DE INSUMOS PARA LA RED DEL SERVICIO DE SALUD DEL RELONCAVÍ</t>
  </si>
  <si>
    <t>EQUIPO OXIGENOTERAPIA: MANOMETRO P/OXIGENO RANGO 0-4000 L/PULG 2, CON HUMIDIFICADOR Y FLUJOMETRO DE 0-15 L/MIN COMPENSADO ENVASE I NDIVIDUAL EN CAJA RESISTENTE CON SELLO QUE ASEGURE INVIOLABILIDAD DEL CONTENIDO</t>
  </si>
  <si>
    <t>1398-72-LP23</t>
  </si>
  <si>
    <t>CONVENIO DE MANT. GASES CLÍNICOS</t>
  </si>
  <si>
    <t>SE REQUIERE REALIZAR CONVENIO DE MANTTO. DE GASES CLÍNCICOS PARA HSPITALES DE LA RED. SE ADJUNTAN ANTECEDENTES TÉCNICOS Y ADMINISTRATIVOS.</t>
  </si>
  <si>
    <t>“MANTENCIÓN PREVENTIVA Y CORRECTIVA DE EQUIPOS Y REDES DE GASES CLÍNICOS DE HOSPITALES DEPENDIENTES DEL SERVICIO DE SALUD O’HIGGINS”.</t>
  </si>
  <si>
    <t>1210489-8-LE23</t>
  </si>
  <si>
    <t>MANTENIMIENTO CENTRAL GASES CLINICOS HP 2023-2025</t>
  </si>
  <si>
    <t>El Hospital de Parral requiere adquirir servicio de “CONTRATACION DE SERVICIO DE MANTENIMIENTO PREVENTIVO Y MANTENIMIENTO CORRECTIVO DE CENTRAL DE GASES CLINICOS DEL HOSPITAL DE PARRAL” por un periodo de 24 meses, de acuerdo las presentes bases administrativas y técnicas . La cual contempla mantenimiento para central de gases clínicos, central de oxígeno, vacío, aire medicinal, óxido nitroso con el objetivo de mantener en correcto funcionamiento las centrales a través de la ejecución de las revisiones programadas y estipuladas por protocolos diseñados de fábrica con equipos calibrados y personal debidamente capacitado y avalado por el fabricante.</t>
  </si>
  <si>
    <t>MANTENIMIENTO PREVENTIVO CENTRAL DE AIRE MEDICINAL INDICAR VALOR UNITARIO NETO POR CADA MANTENCION PREVENTIVA</t>
  </si>
  <si>
    <t>3766-21-L123</t>
  </si>
  <si>
    <t>ADQUISICION DE INSUMOS PARA SERVICIO DE URGENCIA RURAL PELARCO</t>
  </si>
  <si>
    <t xml:space="preserve">Las presentes Bases Técnicas y Administrativas norman el proceso de la licitación pública, que efectúa la Ilustre Municipalidad de Pelarco, a través de su Departamento de salud, en su calidad de Mandante, para la adquisición de insumos para unidad del Servicio de Urgencia Rural de acuerdo a lo solicitado por el director Comunal de Salud. La forma de la presente licitación pública corresponde a aquella adquisición inferior a 100 U.T.M. (L1).
El contrato de la presente licitación se formalizará mediante la emisión de órdenes de compra y la posterior aceptación de estas por parte de los proveedores adjudicados.
</t>
  </si>
  <si>
    <t>I MUNICIPALIDAD DE PELARCO</t>
  </si>
  <si>
    <t>1736-307-LE23</t>
  </si>
  <si>
    <t>Serv. mant. correctiva y estandarización de gases</t>
  </si>
  <si>
    <t>Contratar el servicio de mantención correctiva y estandarización normativa de la Red de gases clínicos de los Cesfam de la comuna de El Bosque, bajo la Normativa Chilena 2196-2014. Solicitud de Compra N°836.</t>
  </si>
  <si>
    <t>Servicio de mantención correctiva y estandarización de red de gases clínicos</t>
  </si>
  <si>
    <t>1271178-12-LE23</t>
  </si>
  <si>
    <t>Servicio de suministro de oxígeno medicinal</t>
  </si>
  <si>
    <t>La Corporación Municipal de Desarrollo Social de Macul, en adelante también, la “Corporación”, en cumplimiento con el correcto funcionamiento de sus centros de salud, requiere la contratación del servicio de suministro de oxígeno medicinal. Todo ello en atención al debido abastecimiento para el correcto y continuo funcionamiento de los CESFAM y de la Cámara Hiperbárica de la comuna de Macul.</t>
  </si>
  <si>
    <t>CORPORACION MUNICIPAL DE DESARROLLO SOCIAL DE MACUL</t>
  </si>
  <si>
    <t>Carga de oxígeno medicinal, según se indica en las bases de la presente licitación. 1 Carga de oxígeno medicinal 10 m3 3000 m3 2 Carga de oxígeno medicinal 6 m3 60 m3 3 Carga de oxígeno medicinal 3 m3 30 m3 4 Carga de oxígeno medicinal 1 m3 100 m3</t>
  </si>
  <si>
    <t>2098-168-LE23</t>
  </si>
  <si>
    <t>ADQUISICION DE INSUMOS PARA EL SERVICIO DE PEDIATRIA</t>
  </si>
  <si>
    <t xml:space="preserve">El hospital Dr. Rafael Avaria Valenzuela de Curanilahue a través del Departamento de Abastecimiento y Logística, invita a los oferentes, personas naturales, jurídicas o unión temporal de proveedores a participar en la licitación pública, para la “ADQUISICION DE INSUMOS PARA EL SERVICIO DE PEDIATRIA”, Conforme a lo dispuesto en Ley de Compras Públicas Nº19.886, de Bases Sobre Contratos Administrativos de Suministro y Prestación de Servicios y su Reglamento aprobado mediante Decreto 250/20047 y las modificaciones vigentes a la fecha de esta publicación, determinando los requisitos administrativos mínimos para participar en la propuesta y garantizar con este mismo instrumento la calidad y entrega del servicio requerido.
</t>
  </si>
  <si>
    <t>MASCARILLA ORONASAL PEQUEÑA TALLA S, EQUIVALENTE A RESPIRONICS AF531, UN SOLO USO. EE, 2 PUERTOS FUGA REF:1072627</t>
  </si>
  <si>
    <t>2996-86-L123</t>
  </si>
  <si>
    <t>Saturometros</t>
  </si>
  <si>
    <t>Compra de saturómetros para campaña de invierno año 2023, programa de salud de Cuidados paliativos universales y Servicio de Urgencias de Monte Patria.</t>
  </si>
  <si>
    <t>SATUROMETRO ADULTO (se adjunta imagen de referencia)</t>
  </si>
  <si>
    <t>867990-117-L123</t>
  </si>
  <si>
    <t>ADQUISICIÓN DE INSUMOS DE LABORATORIO - CDP 67428 CC 102</t>
  </si>
  <si>
    <t>Adquirir material pedagógico y académico para Facultad de Química y Biología</t>
  </si>
  <si>
    <t xml:space="preserve">
Flete gases; Gas nitrógeno uhp 5.0 m3; Gas argón uhp 5.0 m3</t>
  </si>
  <si>
    <t>4642-81-LE23</t>
  </si>
  <si>
    <t>ACC. OXIMETRIA SENSORES SAT. BATERIAS Y VENTILAD</t>
  </si>
  <si>
    <t>ADQUISICIÓN DE ACCESORIOS DE OXIMETRÍA, SENSORES DE SATURACIÓN, BATERIAS PARA EQUIPOS DESFIBRILADORES Y 01 VENTILADOR MECÁNICO NO INVASIVO, DESTINADOS A DIFERENTES SERVICIOS CLÍNICOS DEL HOSPITAL DE CARABINEROS.
RES. Y BASES 1112 DE FECHA 10.08.2023
SOLICITUDES 2301722, 2302001, 2301853.</t>
  </si>
  <si>
    <t xml:space="preserve">Ventilador mecánico no invasivo. Especificaciones técnicas en Ítem Nº6 de anexo Nº5. </t>
  </si>
  <si>
    <t>3086-80-L123</t>
  </si>
  <si>
    <t>SERVICIO MANTENCIÓN, CERTIFICACIÓN Y PRUEBAS HIDROSTATICAS CILINDROS DE GASES</t>
  </si>
  <si>
    <t xml:space="preserve">SATISFACER REQUERIMIENTOS DE UNIDADES Y REPARTICIONES
DEPENDIENTES DE LA PRIMERA ZONA NAVAL DE LA ARMADA DE
CHILE.
</t>
  </si>
  <si>
    <t>PRUEBA HISDROSTATICA DE CILINDRO
DE GASES FF LATORRE</t>
  </si>
  <si>
    <t>2307-97-LE23</t>
  </si>
  <si>
    <t>CONVENIO SUMINISTRO DE OXÍGENO MEDICINAL PARA CENTROS DE SALUD Y SERVICIOS ASOCIADOS</t>
  </si>
  <si>
    <t>La I.  Municipalidad de Osorno a través del Departamento de Salud requiere contar con un Convenio Suministro de Oxígeno Medicinal para Centros de Salud y Servicios Asociados, que permita garantizar la disponibilidad continua de este producto médico en sus Centros de Salud, dispositivos asociados, SAPU y ambulancias, por un periodo de 18 meses, según las especificaciones indicadas en el punto N°12 y N°13 y los demás requisitos contemplados en requerimiento 935.-</t>
  </si>
  <si>
    <t xml:space="preserve">Conv.Suministro de Oxígeno Medicinal para Centros de Salud y Servicios Asociados, que permita garantizar la disponibilidad continua de este producto médico en sus Centros de Salud, según las especificaciones indicadas en el punto N°12 y N°13 </t>
  </si>
  <si>
    <t>5349-52-LQ23</t>
  </si>
  <si>
    <t>SERVICIO DE MANTENCIÓN PREVENTIVA DE GASES MEDICINALES QUE INCLUYE REPUESTOS DEL HPH</t>
  </si>
  <si>
    <t>El Hospital Provincial del Huasco, RUT 61.606.303-0, indistintamente el Hospital o HPH, es un establecimiento de salud dependiente del Servicio de Salud Atacama, con domicilio en Avenida Huasco Nº392, acceso sur, de la comuna y ciudad de Vallenar; requiere contratar SERVICIO DE MANTENCIÓN PREVENTIVA DE GASES MEDICINALES QUE INCLUYE REPUESTOS PARA EL HOSPITAL PROVINCIAL DEL HUASCO.
Las características y especificaciones del servicio requerido se describen en las bases técnicas de la presente licitación, mientras que sus las condiciones administrativas quedarán definidas en las presentes bases administrativas.</t>
  </si>
  <si>
    <t xml:space="preserve">Ítem 11 PRESOSTATOS PARA AIRE MEDICINAL
</t>
  </si>
  <si>
    <t>1540-135-LE23</t>
  </si>
  <si>
    <t>SERV MANT EQUIPOS GASES CLINICOS</t>
  </si>
  <si>
    <t>Que, Mediante Solicitud de Compra N.º 229, de Subdirección de Operaciones, Jose Miguel Paredes Arce, quien requiere el Servicio de mantención preventiva de equipos de gases clínicos, del Hospital “Dr. Augusto Essmann Burgos” de Puerto Natales, por un periodo de 24 meses.</t>
  </si>
  <si>
    <t>MANTENCION PREVENTIVA DE EQUIPOS DE GASES CLINICOS</t>
  </si>
  <si>
    <t>3780-44-LE23</t>
  </si>
  <si>
    <t xml:space="preserve">Adquisición de Suministro de Oxígeno y Aire sol. 181 Fernando Cáceres  </t>
  </si>
  <si>
    <t>Adquisición de Suministro de Oxígeno y Aire para el Servicio de Urgencia Rural, Postas de Salud y Centro de Salud de la Comuna de Yerbas Buenas, por un periodo de 3 años.</t>
  </si>
  <si>
    <t>Ilustre Municipalidad de Yerbas Buenas</t>
  </si>
  <si>
    <t>CARGA TUBO AIRE 8.5 MM3 (EN ARRIENDO)</t>
  </si>
  <si>
    <t>VARIOS</t>
  </si>
  <si>
    <t>4281-41-L123</t>
  </si>
  <si>
    <t>INSUMOS ARTICULOS VARIOS E INSTRUMENTAL MEDICO.</t>
  </si>
  <si>
    <t>ADQUISICIÓN DE INSUMOS, ARTICULOS VARIOS E INSTRUMENTAL MEDICO PARA EL DEPARTAMENTO DE SALUD MUNICIPAL DE LA COMUNA DE CUNCO.</t>
  </si>
  <si>
    <t xml:space="preserve">OXIMETROS DE PULSO ADULTO. </t>
  </si>
  <si>
    <t>619133-99-LE23</t>
  </si>
  <si>
    <t>COMPRA ARTÍCULOS PARA SERVICIO DE REHABILITACIÓN</t>
  </si>
  <si>
    <t>Las presentes Bases Administrativas rigen el llamado a licitación pública “COMPRA ARTICULOS PARA SERVICIO DE REHABILITACION”, del Hospital San Camilo, ubicado en Av. Miraflores 2085 San Felipe, Quinta región, aplicando los procedimientos establecidos en la Ley de Compras N° 19.886 de la Administración Pública.</t>
  </si>
  <si>
    <t>VÁLVULA THRESHOLD IMT
Válvula unidireccional de fonación para uso en pacientes con cánulas de traqueostomía.
Según ANEXO N°6</t>
  </si>
  <si>
    <t>1057541-51-LE23</t>
  </si>
  <si>
    <t>ADQUISICION DE INSUMOS PROGRAMA VENTILADOS 2023.</t>
  </si>
  <si>
    <t>Se requiere adquirir distintos insumos del programa ventilados para apoyo de la red del Departamento Gestión de los Programas de Salud del Servicio de Salud Talcahuano.</t>
  </si>
  <si>
    <t>DIRECCION SERVICIO DE SALUD TALCAHUANO</t>
  </si>
  <si>
    <t>Interfases N20 Similar a Modelo y/o Marca Resmed Talla L.</t>
  </si>
  <si>
    <t>898-159-LE23</t>
  </si>
  <si>
    <t>INSTRUMENTOS DE MEDICION PARA EL NHCV</t>
  </si>
  <si>
    <t>El Hospital Claudio Vicuña interesado en la aplicación de estándares de calidad, tanto en la atención oportuna y eficaz de sus pacientes, como en el bienestar de éstos y su seguridad, permanentemente desarrolla actividades tendientes a lograr un mejoramiento continuo de sus procesos. Conforme a lo anterior, requiere realizar la licitación de “ADQUISICION DE INSTRUMENTOS DE MEDICION PARA EL NUEVO HOSPITAL CLAUDIO VICUÑA”</t>
  </si>
  <si>
    <t>Flujómetro de O2 de pared con humidificador</t>
  </si>
  <si>
    <t>2996-77-L123</t>
  </si>
  <si>
    <t>Equipos Concentrador de oxigeno</t>
  </si>
  <si>
    <t>Adquisición de Insumos para Centros de Salud de la Red Comunal de Salud</t>
  </si>
  <si>
    <t>CONCENTRADOR DE OXIGENO ESTACIONARIO</t>
  </si>
  <si>
    <t>1057385-40-LE23</t>
  </si>
  <si>
    <t>COMPRA DE SERVICIO DE MANTENCION EQUIPOS MEDICOS</t>
  </si>
  <si>
    <t>SOL.COMPRA N 446 DE RAUL ACUÑA LEIVA , SE ADJUNTAN BASES ADMINISTRATIVAS Y ESPECIFICACIONES TÉCNICAS PARA COMPRA DE SERVICIO DE MANTENCION PREVENTIVA Y CORRECTIVA PARA EQUIPOS MEDICOS”  DEL HOSPITAL DE TALTAL.</t>
  </si>
  <si>
    <t>MANTENCION PREVENTIVA Y CORRECTIVA VENTILADOR MECÁNICO NO INVASIVO MARCA PHILIPS</t>
  </si>
  <si>
    <t>2284-241-L123</t>
  </si>
  <si>
    <t>MANTENIMIENTO PREVENTIVO Y CORRECTIVO DE RED Y CENTRAL DE GASES CLINICOS SOLICITUD DE PEDIDO Nº 440-2023</t>
  </si>
  <si>
    <t>DE ACUERDO A DOCUMENTOS ADJUNTOS AL PROCESO DE LICITACIÓN.</t>
  </si>
  <si>
    <t>MANTENIMIENTO PREVENTIVO Y CORRECTIVO DE RED Y CENTRAL DE GASES CLINICOS SOLICITUD DE PEDIDO Nº 440-2023 - DE ACUERDO A DOCUMENTOS ADJUNTOS AL PROCESO DE LICITACIÓN.</t>
  </si>
  <si>
    <t>1063538-181-LE23</t>
  </si>
  <si>
    <t>CONVENIO SUMINISTRO DE OXIGENO MEDICINAL DOMICILIA</t>
  </si>
  <si>
    <t>El Hospital Base San José Osorno, en adelante también el “Hospital”, requiere generar un convenio suministro de oxigeno medicinal domiciliario para pacientes, de acuerdo a las condiciones establecidas en las presentes bases administrativas, económicas, técnicas y sus anexos. La forma de la presente licitación pública corresponde a aquella adquisición mayor o igual a 100 e inferior a 1.000 UTM.</t>
  </si>
  <si>
    <t>SERVICIO DE OXIGENO DOMICILIARIO</t>
  </si>
  <si>
    <t>1063538-194-LP23</t>
  </si>
  <si>
    <t>CONVENIO SUMINISTRO DE MATERIALES PARA U. KINESIOLOGIA Y FONOAUDIOLOGIA DE HBSJO</t>
  </si>
  <si>
    <t>El Hospital Base San José Osorno, en adelante también el “Hospital”, requiere el Convenio de Materiales para Unidad de Kinesiología y Fonoaudiología del HBSJO, de Acuerdo a las condiciones establecidas en las presentes bases administrativas, económicas, técnicas y sus anexos. La forma de la presente licitación pública corresponde a aquella adquisición mayor a 1.000 e inferior a 2.000 UTM.</t>
  </si>
  <si>
    <t>2204013 043-0160|OXIMETRO DE PULSO</t>
  </si>
  <si>
    <t>5188-4-LR23</t>
  </si>
  <si>
    <t>SUMINISTRO DE OXIGENO LIQUIDO Y OTROS GASES</t>
  </si>
  <si>
    <t>Las presentes Bases constituyen el instrumento guía destinado a celebrar un CONTRATACIÓN DE SUMINISTRO DE OXIGENO LIQUIDO Y OTROS GASES CLINICOS PARA EL HOSPITAL DR. FELIX BULNES CERDA, en adelante Hospital. Éstas, establecen los fines, condiciones y requisitos que deberán ser cumplidos por los oferentes, en todas y cada una de las partes que conformen su oferta y además de regular el todo el proceso licitatorio hasta la suscripción del correspondiente contrato.</t>
  </si>
  <si>
    <t>OXIGENO Y OTROS GASES (SEGÚN CARACTERISTICAS DE BASES TECNICAS)</t>
  </si>
  <si>
    <t>4895-5-LP23</t>
  </si>
  <si>
    <t>LICITACION CONVENIO SUMINISTRO DE GASES PARA EL CENTRO DE REPRODUCCION HUMANA DE LA FACULTAD DE MEDICINA</t>
  </si>
  <si>
    <t>la necesidad de contar con convenio de suministro para proporcionar cilindros con gases en el Centro de Preproducción Humana de la Facultad de Medicina</t>
  </si>
  <si>
    <t>UNIVERSIDAD DE VALPARAISO</t>
  </si>
  <si>
    <t>PAQUETE 1 SEGUN ESPECIFICACIONES TECNICAS</t>
  </si>
  <si>
    <t>1624-71-L123</t>
  </si>
  <si>
    <t xml:space="preserve">EL HOSPITAL DE NANCAGUA REQUIERE COMPRA DE OXIGENO MEDICO  (ARRIENDO Y FLETE), PUESTO EN EL ESTABLECIMIENTO CON FLETE INCLUIDO,  CON ENTREGAS SEMANAL O SEGUN NECESIDAD, SE ADJUNTAN TERMINOS DE REFERENCIA,  </t>
  </si>
  <si>
    <t>RECARGA OXIGENO MÉDICO  6m3</t>
  </si>
  <si>
    <t>3558-29-LE23</t>
  </si>
  <si>
    <t>Adquisición de Insumos Médicos Depto. Salud</t>
  </si>
  <si>
    <t xml:space="preserve">Se requiere adquirir insumos para atención de usuarios del departamento de salud de Pencahue en el marco de la ejecución de convenio de cuidados paliativos </t>
  </si>
  <si>
    <t xml:space="preserve">Regulador de oxigeno con flujómetro + válvula tuerca y vaso humidificador con rosca de metal. Rango de flujo de: 1;2;3;4;5;6;7;8;9;10;11;12;13;14;15 Lpm. </t>
  </si>
  <si>
    <t>4690-35-LE23</t>
  </si>
  <si>
    <t>COMPRA DE  EQUIPAMIENTO  Y   MOBILIARIO</t>
  </si>
  <si>
    <t>COMPRA DE EQUIPAMNIENTO  Y  MOBILIARIO    DISPOSITIVO   DE SALUD   CARLOS GONZALEZ</t>
  </si>
  <si>
    <t xml:space="preserve">SATUROMETRO  SEGUN BASES ADJUNTAS .- </t>
  </si>
  <si>
    <t>1057509-342-LQ23</t>
  </si>
  <si>
    <t>Convenio Proveeduría de Gases Clínicos cce</t>
  </si>
  <si>
    <t xml:space="preserve">El Hospital Clínico Herminda Martín de Chillán llama a licitación pública a través del Portal Mercado Público, para suscribir convenio para el servicio de suministro de gases medicinales y uso en los servicios clínicos en forma oportuna y permanente, que abastecerá a todo el Hospital Clínico Herminda Martín. 
Que los gases clínicos también se utilizan para el soporte respiratorio, como agentes anestésicos y para diagnosticar y tratar diversas patologías. Además, los gases medicinales se utilizan para el funcionamiento y calibración de los equipos médicos que pueda haber en un hospital o un centro de salud.
Se pretende obtener la mejor calidad y oportunidad en el suministro de los gases a un precio conveniente.
</t>
  </si>
  <si>
    <t>Servicio de Suministro de Gases Clínicos. Ofertar según Anexo N°3: Oferta Económica. Presupuesto Total Referencial por 24 meses $276.377.345 (Impuesto Incluido).</t>
  </si>
  <si>
    <t xml:space="preserve">	100000</t>
  </si>
  <si>
    <t>2996-92-L123</t>
  </si>
  <si>
    <t>Insumos Oxigenoterapia Domiciliaria</t>
  </si>
  <si>
    <t>Compra de insumos para terapias de tipo respiratorias con atención a domicilio.</t>
  </si>
  <si>
    <t>FLUJOMETRO CONEXIÓN OHMEDA DE 0 -15 LPM (10 UNID); FLUJOMETRO Y REGULADOR OXIGENO COMPACTO SISTEMA PIN (10 UNID); VASO HUMIDIFICADOR (30 UNID); FLUJOMETRO MINI WRIGHT ESTÁNDAR ADULTO 60-800 L/M SE ADJUNTA FICHA TÉCNICA</t>
  </si>
  <si>
    <t>1247197-77-LE23</t>
  </si>
  <si>
    <t>Adquisición de materiales e insumos de salud</t>
  </si>
  <si>
    <t>El objetivo de estas bases es establecer las condiciones administrativas y especificaciones técnicas para 
la adquisición de materiales de salud e insumos de equipos médicos, destinados a las actividades de 
la Dirección de Salud de la Corporación Municipal de Conchalí y sus Centros de Salud</t>
  </si>
  <si>
    <t>FLUJOMETRO PARA CILINDROS TIPO PIN, Línea 15, Según Especificaciones técnicas indicadas en las bases</t>
  </si>
  <si>
    <t>1069417-111-LE23</t>
  </si>
  <si>
    <t>ADQUISICION DE EQUIPAMIENTO MEDICO PARA CESFAM DEPENDIENTE DE LA DIRECCION DE SALUD MUNICIPAL DE CHILLAN CON CARGO A CONVENIO CUIDADOS PALIATIVOS UNIVERSALES EN APS</t>
  </si>
  <si>
    <t>ADQUISICION DE EQUIP.MEDICO PARA LOS CESFAM MUNICIPALIZADOS, DEPENDIENTE DE LA DIRECCION DE SALUD MUNICIPAL DE CHILLAN, CON CARGO A CONVENIO CUIDADOS PALIATIVOS. MEMO 163 CTA. 2905999, C.C. 234001, PREOB. 5-2253.- PTO. DISP. $ 20.360.000.-</t>
  </si>
  <si>
    <t>I MUNICIPALIDAD DE CHILLAN</t>
  </si>
  <si>
    <t>OXIMETROS DE PULSO (6 UNIDADES); CONCENTRADOR DE OXIGENO FIJO (9 UNIDADES); CILINDROS DE OXIGENO CON CARRO DE TRANSPORTE (12 UNIDADES)</t>
  </si>
  <si>
    <t>5061-142-L123</t>
  </si>
  <si>
    <t>SCHC245 Adquisición de insumos para oxigenoterapia para estrategia cuidados paliativos del Depto. de Salud Municipal. Según especificaciones técnicas adjuntas</t>
  </si>
  <si>
    <t>Adquisición de (4) concentrador de oxigeno con nebulización, Adquisición de (9) cilindros de oxigeno portáti</t>
  </si>
  <si>
    <t>1075963-498-LE23</t>
  </si>
  <si>
    <t>ADQUISICION DE SONDAS FRASCO VIDRIO GRADUADO PECHERAS DESECHABLES VENDAS APOSITOS BUZO FILTRO RESPIRADOR FLUJOMETRO Y OTROS INSUMOS CLINICOS</t>
  </si>
  <si>
    <t>ADQUISICIÓN DE SONDAS, FRASCO VIDRIO GRADUADO, PECHERAS DESECHABLES, VENDAS, APÓSITOS, BUZO, FILTRO, RESPIRADOR FLUJOMETRO Y OTROS INSUMOS CLÍNICOS</t>
  </si>
  <si>
    <t xml:space="preserve">2250128  FLUJOMETRO P/OXIGENO (COD. E 06-04-05)
</t>
  </si>
  <si>
    <t>1057937-55-LE23</t>
  </si>
  <si>
    <t>COMPRA DE VENTILADOR MECANICO NO INVASIVO</t>
  </si>
  <si>
    <t>COMPRA DE VENTILADOR MECANICO NO INVASIVO – PARA EL HOSPITAL BASE VALDIVIA</t>
  </si>
  <si>
    <t>VENTILADORES MECANICOS NO INVASIVO (COTIZAR X 1)</t>
  </si>
  <si>
    <t>1057937-54-LE23</t>
  </si>
  <si>
    <t>COMPRA DE BIPAP</t>
  </si>
  <si>
    <t>COMPRA DE BIPAP– PARA EL HOSPITAL BASE VALDIVIA”</t>
  </si>
  <si>
    <t>BIPAP (COTIZAR X 1)</t>
  </si>
  <si>
    <t>Sandra Galilea Hermosilla</t>
  </si>
  <si>
    <t>sandra.galilea@redsalud.gov.cl</t>
  </si>
  <si>
    <t>1058078-25-LE23</t>
  </si>
  <si>
    <t>Compra de Insumos Clínicos y Fresas Dentales</t>
  </si>
  <si>
    <t>El Hospital requiere generar un convenio por la adquisición de insumos clínicos y fresas dentales, para el Servicio de Farmacia y Servicio de Odontología del Hospital San José de Melipilla.</t>
  </si>
  <si>
    <t>CONCENTRADOR DE OXIGENO PORTATIL</t>
  </si>
  <si>
    <t>Katherine Vega Pavez</t>
  </si>
  <si>
    <t>catalinavera@redsalud.gob.cl</t>
  </si>
  <si>
    <t>Carlos Quiroga</t>
  </si>
  <si>
    <t>carlos.quiroga@redsalud.gov.cl</t>
  </si>
  <si>
    <t>2307-102-L123</t>
  </si>
  <si>
    <t>INSUMOS Y EQUIPOS PARA PROGRAMA MAIS</t>
  </si>
  <si>
    <t>La Ilustre Municipalidad de Osorno a través del Departamento de Salud requiere adquirir Insumos y Equipos para Programa MAIS, Departamento de Salud, con el objetivo de ser utilizados diariamente en las atenciones de los pacientes que acuden a los establecimientos, según las especificaciones indicadas en el punto N°12, y para dar cumplimiento a los requerimientos N°890-960-966-995</t>
  </si>
  <si>
    <t>REGULADOR DE FLUJO ROSCA. TUERCA DE CONEXIÓN CILINDRO G/8, ESTÁNDAR CGA 540 (FLUJÓMETRO TIPO H) (1 UNIDAD); OXÍMETRO DE PULSO, PANTALLA OLED. ENCENDIDO Y APAGADO AUTOMÁTICO. CHIP DE ALTA PRECISIÓN. MIDE SATURACIÓN DE OXÍGENO Y PULSO. CON CORDÓN PARA FÁCIL TRANSPORTE, 6 MESES DE GARANTÍA. DEBE INCLUIR PILAS. (4 UNIDADES)</t>
  </si>
  <si>
    <t>2548-56-L123</t>
  </si>
  <si>
    <t>SUMINISTRO DE OXIGENO Y AIRE MEDICINAL</t>
  </si>
  <si>
    <t>SUMINISTRO DE OXÍGENO Y AIRE, ARRIENDO DE CILINDROS, MANTENCIÓN DE REDES GASES CLÍNICOS Y ADQUISICIÓN DE INSUMOS PARA LOS ESTABLECIMIENTOS DE SALUD MUNICIPAL DE PADRE LAS CASAS 2023</t>
  </si>
  <si>
    <t xml:space="preserve">VALOR ARRIENDO DIARIO POR CILINDRO </t>
  </si>
  <si>
    <t>557974-98-L123</t>
  </si>
  <si>
    <t>FILTRO ANTIBACTERIAL Y OXIMETROS</t>
  </si>
  <si>
    <t>898-174-LE23</t>
  </si>
  <si>
    <t>MANTENIMIENTO DE CENTRALES DE AIRE MEDICINAL Y CEN</t>
  </si>
  <si>
    <t>El Hospital Claudio Vicuña, ha confeccionado las siguientes Bases Administrativas, las que establecen las disposiciones administrativas que regirá la Licitación Pública a través del portal www.mercadopublico.cl y posterior Contrato de “MANTENIMIENTO DE CENTRALES DE AIRE MEDICINAL Y CENTRAL DE VACÍO CORRESPONDIENTE A LAS REDES DE GASES CLÍNICOS”.</t>
  </si>
  <si>
    <t>MANTENIMIENTO DE CENTRALES DE AIRE MEDICINAL Y CENTRAL DE VACÍO CORRESPONDIENTE A LAS REDES DE GASES CLÍNICOS SEGUN BASES TECNICAS ADJUNTAS</t>
  </si>
  <si>
    <t>500000 </t>
  </si>
  <si>
    <t>2583-441-L123</t>
  </si>
  <si>
    <t>TENSIOMETRO Y OXIMETRO/PROGRAMA CUIDADOS PALIATIVOS UNIVERSALES/DISAM/SP43521/AMS.</t>
  </si>
  <si>
    <t>AL CONSIDERAR ACTIVIDADES CLINICAS EN TERENO, ES NECESARIO CONTAR CON INSUMOS QUE FACILITEN DICHA LABOR, CON EL FIN DE GENERAR ESPACIOS OPTIMOS DE TRABAJO, ES POR ESO QUE SE REQUIERE DE EQUIPOS QUE LOGREN ADAPTAR A LAS NECESIDADES DE LOS PROFESIONALES LO QUE REPERCUTIRA DIRECTAMENTE EN EL BIENESTAR Y SATISFACCCION DEL USUARIO.</t>
  </si>
  <si>
    <t>I MUNICIPALIDAD DE MAIPU</t>
  </si>
  <si>
    <t>SE REQUIERE OXIMETROS DE PULSO.  OFERENTE DEBE ADJUNTAR FICHA TECNICA Y FOTO DEL PRODUCTO OFERTADO.</t>
  </si>
  <si>
    <t>1057918-12-LE23</t>
  </si>
  <si>
    <t>ADQUISICIÓN EQUIPAMIENTO CAMPAÑA INVIERNO 2023</t>
  </si>
  <si>
    <t>S REQUIERE LA ADQUISICIÓN DE EQUIPAMIENTO PARA CAMPAÑA INCIERNO 2023. SE ADJUNTAN ANTECEDENTES TÉCNICOS Y ADMINISTRATIVOS</t>
  </si>
  <si>
    <t>FLUJÓMETRO DE OXÍGENO</t>
  </si>
  <si>
    <t>3934-30-L123</t>
  </si>
  <si>
    <t>OXIGENO ESTACIONARIA PARA USO EN PROGRAMA CUIDADO PALIATIVOS</t>
  </si>
  <si>
    <t>CONCENTRADOR OXIGENO ESTACIONARIO DOMICILIARIO PORTATIL CPU, CON NIVEL DE ALARMA DE INDICADOR DEL PORCENTAJE DE OXIGENO BAJO 82%
CONSUMO DE ENERGIA MENOR O IGUAL A 600 W
DIMENSIONES APROX. 60X40X25
PESO MAXIMO 15 KG
NIVEL DE RUIDO MAXIMO 43dBA
CAUDAL</t>
  </si>
  <si>
    <t>547640-6-L123</t>
  </si>
  <si>
    <t>INSUMOS DENTALES CONVENIO GES ODONTOLÓGICO 2023</t>
  </si>
  <si>
    <t>PROVEER INSUMOS DENTALES CONVENIO GES ODONTOLÓGICO 2023</t>
  </si>
  <si>
    <t>I MUNICIPALIDAD DE VILLA ALEGRE</t>
  </si>
  <si>
    <t xml:space="preserve">SATURÓMETRO DIGITAL DE DEDO. </t>
  </si>
  <si>
    <t>2080-192-LR23</t>
  </si>
  <si>
    <t>SUMINISTRO DE MASCARILLAS DE PRESIÓN POSITIVA</t>
  </si>
  <si>
    <t>El objeto de esta Licitación es contar con un adecuado Suministro de Mascarillas de Presión Positiva para el Hospital Regional Libertador Bernardo O’Higgins, durante la vigencia del proceso.</t>
  </si>
  <si>
    <t>VM-057 MASCARA NASAL CPAP PED S. MASCARA NASAL CPAP PEDIATRICA TALLA SMALL, LIBRE DE LATEX, INCLUYE ARNES. UNIDAD 18</t>
  </si>
  <si>
    <t>3632-28-L123</t>
  </si>
  <si>
    <t>MATERIALES MENORES PARA CENTROS DE SALUD POR  PROGRAMA MAIS</t>
  </si>
  <si>
    <t xml:space="preserve">EQUIPAMIENTO MENOR PARA ATENCIÓN DE PACIENTES PROGRAMA MAIS.
</t>
  </si>
  <si>
    <t>I MUNICIPALIDAD DE NOGALES</t>
  </si>
  <si>
    <t>OXÍMETRO DE PULSO ADULTO</t>
  </si>
  <si>
    <t>2026-141-LR23</t>
  </si>
  <si>
    <t>GASES CLINICOS HOSPITAL PEÑABLANCA</t>
  </si>
  <si>
    <t>El Desarrollo de las presentes Especificaciones Técnicas tiene por objeto establecer criterios para realizar los trabajos de ejecución del proyecto suministro, instalación y puesta en marcha de 1 estanque criogénico, central de vacío y redes de distribución para el hospital Juana Ross de Edwards de Peñablanca”, Comuna de Villa Alemana.</t>
  </si>
  <si>
    <t>“GASES
CLÍNICOS HOSPITAL DE PEÑABLANCA”, el cual forma parte
del proyecto "CONSERVACION DE INFRAESTRUCTURA
HOSPITAL JUANA ROSS DE PEÑABLANCA", Código BIP
40049025-0.</t>
  </si>
  <si>
    <t> 20-09-2023 18:00:00</t>
  </si>
  <si>
    <t>5053-154-LP23</t>
  </si>
  <si>
    <t>Suministro de oxígeno medicinal. Indicar valor recarga por metro cúbico (m³). COMPLETAR Y ADJUNTAR ANEXO N°5 "OFERTA ECONÓMICA".</t>
  </si>
  <si>
    <t>1075963-511-LE23</t>
  </si>
  <si>
    <t>SEGUNDO LLAMADO:ADQUISICION DE REPUESTOS PARA MANTENCIONES CORRECTIVA GASES CLINICOS PARA HOSPITAL DE ARICA</t>
  </si>
  <si>
    <t>SEGUNDO LLAMADO: ADQUISICION DE REPUESTOS PARA MANTENCIONES CORRECTIVA GASES CLÍNICOS PARA HOSPITAL DE ARICA</t>
  </si>
  <si>
    <t>Regulador de oxigeno con flujometro de 0-15LPM conexión tuerca.</t>
  </si>
  <si>
    <t> 12-09-2023 16:57:00</t>
  </si>
  <si>
    <t>1499-126-LQ23</t>
  </si>
  <si>
    <t>oxígeno líquido</t>
  </si>
  <si>
    <t>Suministro de oxígeno líquido. Revisar especificaciones técnicas en Bases.</t>
  </si>
  <si>
    <t>89.964.000</t>
  </si>
  <si>
    <t>1057480-31-LP23</t>
  </si>
  <si>
    <t>MANTENCION DE EQUIPOS MEDICOS</t>
  </si>
  <si>
    <t>CONTRATACIÓN DE LOS SERVICIOS DE MANTENCIÓN PREVENTIVA Y REPARATIVA DE EQUIPOS MÉDICOS PARA HOSPITAL SAN JOSÉ DE MELIPILLA RESOLUCIÓN N°1641 CON FECHA 12/09/2023</t>
  </si>
  <si>
    <t>SERVICIO DE MANTENCIÓN PREVENTIVA DE EQUIPO CONCERTRADORES DE OXIGENO (15 EQUIPOS, MANTENCIÓN SEMESTRAL)</t>
  </si>
  <si>
    <t>3864-37-L123</t>
  </si>
  <si>
    <t>COMPRA CONCENTRADORES DE OXIGENO Y DISPOSITIVOS</t>
  </si>
  <si>
    <t>Compra de dos concentradores de oxigeno y dispositivos para el Programa Cuidados Paliativos Universales en APS, en CESFAM Santa Cruz.</t>
  </si>
  <si>
    <t>I MUNICIPALIDAD DE SANTA CRUZ</t>
  </si>
  <si>
    <t>Compra de Dos Concentradores de Oxígeno y Dispositivos para el Programa Cuidados Paliativos Universales en APS, en CESFAM Santa Cruz</t>
  </si>
  <si>
    <t> 22-09-2023 14:05:05</t>
  </si>
  <si>
    <t>1063538-210-LE23</t>
  </si>
  <si>
    <t>SUM. CAMBIO E INST. DE TOMAS DE GASES CLINICOS</t>
  </si>
  <si>
    <t>El Hospital Base San José de Osorno, en adelante también el “Hospital”, requiere la adquisición del servicio de suministro, cambio e instalación de tomas de gases clínicos de pabellones quirúrgicos para el Hospital, de acuerdo con las condiciones establecidas en las presentes bases administrativas, económicas, técnicas y sus anexos.</t>
  </si>
  <si>
    <t>044-3609|2206005002|Suministro, cambio e instalación de toma de gases.</t>
  </si>
  <si>
    <t> 2126-146-LE23</t>
  </si>
  <si>
    <t>ADQUISICION MASCARILLAS VMNI PCTE DOMICILIARIO</t>
  </si>
  <si>
    <t>Que el Hospital obtenga mediante las presentes Bases Técnicas los estándares mínimos para satisfacer los requerimientos internos de las unidades requirentes, garantizando con esta adquisición el abastecimiento oportuno y calidad incorporadas en términos de referencia.</t>
  </si>
  <si>
    <t>222-0455 MASCARILLA ORONASAL REUTILIZABLE PARA VMNI TALLA L</t>
  </si>
  <si>
    <t>2200-67-LE23</t>
  </si>
  <si>
    <t>ADQUISICIÓN DE INSUMOS PARA PROGRAMA DE ATENCIÓN DE USUARIOS CON SOPORTE VENTILATORIO DOMICILIARIO - DAP</t>
  </si>
  <si>
    <t>La necesidad del Servicio de Salud Aconcagua de adquirir Insumos para Programa de Atención de Usuarios con Soporte Ventilatorio Domiciliario, el presente proceso tiene como finalidad adquirir dichos productos para el recambio en el soporte ventilatorio y para que estos se desarrollen en óptimas condiciones, solicitado y autorizado según Solicitud de Compra Interna N°579 de fecha 18.08.2023, de la Referente Técnico de la Dirección Atención Primaria. Que lo requerido no se encuentra en el catálogo electrónico de Convenio Marco y resulta necesario para el cumplimiento de los fines del Servicio. Que, en cumplimiento a lo dispuesto en la Ley Nº19.886 y su Reglamento, aprobado por Decreto Supremo N° 250, de 2004, del Ministerio de Hacienda, y sus modificaciones posteriores, se confeccionaron las Bases que se aprueban en este acto, que observan los principios de libre concurrencia de los oferentes al llamado administrativo y de igualdad que rigen los procedimientos concursales, y cumplen con los requerimientos técnicos y jurídicos para verificar la realización de la presente licitación pública.</t>
  </si>
  <si>
    <t>Arnes mascarilla oronasal Resmed F20, SE ADJUNTAN BASES ADMINISTRATIVAS, TÉCNICAS Y ANEXOS. TUBO CORRUGADO (20U). FILTROS (200U)</t>
  </si>
  <si>
    <t>1058078-30-LQ23</t>
  </si>
  <si>
    <t>OXIGENO DOMICILIARIO</t>
  </si>
  <si>
    <t>CONTRATACIÓN DEL SERVICIO DE OXIGENO DOMICILIARIO PARA PACIENTES DEL HOSPITAL SAN JOSE DE MELIPILLA RESOLUCIÓN N°001704 CON FECHA 21/09/2023</t>
  </si>
  <si>
    <t>Hospital San José de Melipilla</t>
  </si>
  <si>
    <t>VALOR TOTAL (NETO) DEL CONVENIO(INGRESAR EL TOTAL DE LA SUMA DE LAS TRES LINEAS DETALLADAS EN ANEXO ECONÓMICO N°5 PARA LOS 18 MESES QUE DURARA EL CONTRATO MAS LO SOLICITADO EN BASES DE LICITACIÓN)</t>
  </si>
  <si>
    <t>2189-55-LR23</t>
  </si>
  <si>
    <t>Conservación Gases Clínicos Hospital de Molina</t>
  </si>
  <si>
    <t>Conservación Infraestructura Gases Clínicos Hospital de Molina, según documentación técnica adjunta</t>
  </si>
  <si>
    <t xml:space="preserve"> SERVICIO DE SALUD DEL MAULE</t>
  </si>
  <si>
    <t>Conservación Infraestructura - Gases Clínicos, Hospital de Molina</t>
  </si>
  <si>
    <t>4083-43-LE23</t>
  </si>
  <si>
    <t>CONTRATO DE SUMINISTRO DE OXÍGENO GASEOSO Y ARRIEN</t>
  </si>
  <si>
    <t>El objetivo de la presente licitación pública es realizar un Contrato de Suministro de Oxígeno Gaseoso y Arriendo de Cilindros del Departamento de Salud de la Municipalidad de Cabrero según NP Nº03 Programa SAR emitida con fecha 11082023 de acuerdo a las Bases Administrativas, Bases Técnicas y los Anexos que regulan este proceso licitatorio.</t>
  </si>
  <si>
    <t>CONTRATO DE SUMINISTRO DE OXÍGENO GASEOSO Y ARRIENDO DE CILINDROS</t>
  </si>
  <si>
    <t> 69.151.002-6.</t>
  </si>
  <si>
    <t>Joselin Gonzalez Gutierrez</t>
  </si>
  <si>
    <t>jgonzalez@cabrero.cl</t>
  </si>
  <si>
    <t>Vanessa Sepulveda Vazquez</t>
  </si>
  <si>
    <t>vsepulveda@cabrero.cl</t>
  </si>
  <si>
    <t>2098-9-LR23</t>
  </si>
  <si>
    <t>CONVENIO SUMINISTRO GASES CLÍNICOS HRAV</t>
  </si>
  <si>
    <t>Las presentes Bases establecen las disposiciones Administrativas que regirán las condiciones para la adquisición mediante Propuesta Pública para la CONVENIO DE SUMINISTRO DE GASES CLINICOS E INSTALACIÓN DE NUEVO ESTANQUE CRIOGÉNICO HRAV que celebre el Hospital Dr. Rafael Avaria V., ubicado en Avda. Bernardo O’Higgins N° 111 Comuna de Curanilahue, perteneciente al Servicio de Salud Arauco, en conformidad a las Bases Técnicas.</t>
  </si>
  <si>
    <t>HOSPITAL DE CURANILAHUE</t>
  </si>
  <si>
    <t>CONVENIO OXIGENO Y GASES CLÍNICOS.</t>
  </si>
  <si>
    <t>1057922-36-LE23</t>
  </si>
  <si>
    <t>ADQUISICIÓN DE EQUIPOS SALAS IRA EN CONTEXTO CAMPAÑA DE INVIERNO</t>
  </si>
  <si>
    <t>Reposición e implementación de equipamiento para abordaje de patologías respiratorias agudas y/o crónicas, con el objetivo de aumentar resolutividad en el abordaje, generar mayor acceso a prestaciones y contar con evaluaciones que contribuyan a objetivar riesgo clínico de lo/as usuario/as con el objetivo de brindar atenciones en condiciones de seguridad.</t>
  </si>
  <si>
    <t>CONCENTRADOR OXÍGENO PORTÁTIL; SATURÓMETRO DE PULSO PORTÁTIL (10U)</t>
  </si>
  <si>
    <t>Poco tiempo para ofertar</t>
  </si>
  <si>
    <t>2307-118-L123</t>
  </si>
  <si>
    <t>Insumos para Salas de Rehabilitación</t>
  </si>
  <si>
    <t>La Ilustre Municipalidad de Osorno a través del Departamento de Salud requiere adquirir insumos diversos para sala de Rehabilitación de los CESFAM V Centenario, con el objetivo de ser utilizados en terapias y atenciones del establecimiento, según las especificaciones indicadas en el punto N°12, para dar cumplimiento al requerimiento N° 1111.</t>
  </si>
  <si>
    <t>VÁLVULA ENTRENAMIENTO MUSCULAR ESPIRATORIO (THRESHOLD PEP)</t>
  </si>
  <si>
    <t>2080-247-LQ23</t>
  </si>
  <si>
    <t>SUMINISTRO VENTILACIÓN MECANICA</t>
  </si>
  <si>
    <t>El objeto de esta Licitación es contar con un adecuado Suministro de Ventilación Mecanica para el Hospital Regional Libertador Bernardo O’Higgins, durante la vigencia del proceso.</t>
  </si>
  <si>
    <t>13 VM-097 Dispositivo inhalador tipo válvula threshold imt (valvula uni-direccional independiente del flujo de aire, material acrílico de alta resistencia) UNIDAD 456</t>
  </si>
  <si>
    <t>188-97-L123</t>
  </si>
  <si>
    <t xml:space="preserve">INSUMOS DE FISIOTERAPIA, ÓRTESIS Y REHABILITACIÓN PARA EL PROGRAMA DE REHABILITACIÓN INTEGRAL EN APS Y MÁS ADULTO MAYOR AUTOVALENTE </t>
  </si>
  <si>
    <t>INSUMOS DE FISIOTERAPIA, ÓRTESIS Y REHABILITACIÓN PARA EL PROGRAMA DE REHABILITACIÓN INTEGRAL EN APS Y MÁS ADULTO MAYOR AUTOVALENTE DE LA CORPORACIÓN MUNICIPAL DE LA FLORIDA</t>
  </si>
  <si>
    <t xml:space="preserve">OxÍmetro de Pulso tipo Choicemmed Rango de medición SpO2:70-99%. Rango de medición PR: 30-245BPM. Modelo de monitorización con gráfico de barras. Consumo energético menor a 30mA. Resolución de saturación -1% pulso -1BPM. Precisión medición </t>
  </si>
  <si>
    <t>2583-487-L123</t>
  </si>
  <si>
    <t>Se solicitan Equipos y Mobiliario Clínico, como Máquinas de Podología, Banda cardiaca. Mesa Mayo, Killian y Otros/Fondo Correspondiente a Presupuesto APS/DISAM/SP 43612/POS</t>
  </si>
  <si>
    <t>Se solicita la adquisición de equipos y mobiliario clínico, ya 0que los CESFAN No están exentos a situaciones de urgencia, sobre todo en los centros que cuentan con dicha atención que, de presentarse, requiere que el establecimiento permita brindar una primera atención y contención para luego derivar a nivel secundario de ser necesario. Es por ello, que también se consideran equipos y/o dispositivos que permitan contar con los recursos necesarios para responder en primera instancia.</t>
  </si>
  <si>
    <t>SE SOLICITA SATUROMETRO OXÍGENO, SEGÚN ESPECIFICACIONES EN BASES TÉCNICAS</t>
  </si>
  <si>
    <t>1271178-18-L123</t>
  </si>
  <si>
    <t xml:space="preserve">Adquisición de implementos médicos para cuidados paliativos en APS </t>
  </si>
  <si>
    <t xml:space="preserve">Se requiere la adquisición de implementos médicos para cuidados paliativos en atención primaria de salud, según el detalle que se observa a continuación: 
5 BOMBA DE ASPIRACIÓN PORTÁTIL; 60 TERMÓMETRO CLÍNICO DIGITAL;35 MONITOR DE PRESIÓN ARTERIAL AUTOMÁTICO;35 BRAZALETE PEDIÁTRICO PARA MONITOR DE PRESIÓN DIGITAL; 20 OTOSCOPIO CON ILUMINACIÓN DIRECTA;15 OXIMETRO DE PULSO – SATUROMETRO ADULTO;15 OXIMETRO DE PULSO – SATUROMETRO PEDIÁTRICO;12 BOLSO CLÍNICO GRANDE y 4 BOLSO CLÍNICO PEQUEÑO
</t>
  </si>
  <si>
    <t>OXIMETRO DE PULSO  SATUROMETRO ADULTO</t>
  </si>
  <si>
    <t>1549-136-LR23</t>
  </si>
  <si>
    <t>SERV CONSERVACIÓN RED DE GASES MEDICINALES DEL HSJ</t>
  </si>
  <si>
    <t>El presente proyecto tiene por objetivo la conservación de la infraestructura general del Hospital San José, garantizando la continuidad del servicio de gases medicinales, la que se realizará a través de una Red de Gases nuevas que permita independizar el suministro de la Placa Quirúrgica del resto del Hospital. Sin perjuicio de los anterior, esta contará con una redundancia que permita entregar el servicio al resto del Hospital en caso de reparaciones o futuras normalizaciones.
El sector a intervenir será la Placa Quirúrgica, específicamente los puntos de oxígeno, aire y vacío ubicados en los servicios de Urgencias Adultos y Maternidad Neonatología, Maternidad, Pabellones Quirúrgicos y UCI; todos en el edificio ubicado en la Ciudad de Santiago, en calle San José 1196, Comuna de Independencia.</t>
  </si>
  <si>
    <t>CONSERVACIÓN DE RED DE GASES MEDICINALES DEL HOSPITAL SAN JOSÉ</t>
  </si>
  <si>
    <t>4281-45-L123</t>
  </si>
  <si>
    <t>MATERIALES ARTICULOS E INSUMOS PARA EL DSM-CUNCO.</t>
  </si>
  <si>
    <t>ADQUISICIÓN DE MATERIALES, ARTICULOS E INSUMOS PARA EL DEPARTAMENTO DE SALUD MUNICIPAL DE CUNCO.</t>
  </si>
  <si>
    <t>SATUROMETRO SIMILAR O IGUAL A CHOICEMMED C29.</t>
  </si>
  <si>
    <t>3246-54-LE23</t>
  </si>
  <si>
    <t>GA 14 KO SUMINISTRO DE GASES INDUSTRIALES FACH ANT</t>
  </si>
  <si>
    <t>GA 14 KO SUMINISTRO DE GASES INDUSTRIALES FACH ANTOFAGASTA.
SE ADJUNTAN BASES ADMINISTRATIVAS, TÉCNICAS Y SUS ANEXOS.</t>
  </si>
  <si>
    <t>RECARGA DE OXIGENO LIQUIDO (LOX) PARA PLANTA CRIOGENICA ASENTADA EN BASE AÉREA CERRO MORENO, ANTOFAGASTA. SE ADJUNTAN BASES TÉCNICAS, ADMINISTRATIVAS Y SUS ANEXOS; CILINDRO DE ARGÓN EXTRAPURO, SE ADJUNTAN BASES TÉCNICAS, ADMINISTRATIVAS Y SUS ANEXOS</t>
  </si>
  <si>
    <t>1960-10-L123</t>
  </si>
  <si>
    <t>Servicio de mantención, prueba hidrostática y recarga de cilindros de oxigeno y nitrógeno</t>
  </si>
  <si>
    <t xml:space="preserve">Servicio de mantención, prueba hidrostática y recarga de cilindros de oxigeno y nitrógeno del Servicio de seguridad, salvamento y extinción de incendio del Aeropuerto Presidente Carlos Ibáñez del Campo.
</t>
  </si>
  <si>
    <t xml:space="preserve">Servicio de mantención, prueba hidrostática y recarga cilindro oxigeno </t>
  </si>
  <si>
    <t>2484-58-LE23</t>
  </si>
  <si>
    <t xml:space="preserve">ADQUISICIÓN DE INSUMOS CAMPAÑA DE INVIERNO 2023 CESFAM MANUEL BUSTOS HUERTA </t>
  </si>
  <si>
    <t>ADQUISICIÓN DE INSUMOS CAMPAÑA DE INVIERNO 2023 CESFAM MANUEL BUSTOS HUERTA</t>
  </si>
  <si>
    <t xml:space="preserve">LINEA 2 OXIMETROS, PRESUPUESTO DISPONIBLE $ 2.800.000 </t>
  </si>
  <si>
    <t>1171142-94-LP23</t>
  </si>
  <si>
    <t>115-23 Mantenimiento Sistema Gases Clínicos CAPLC</t>
  </si>
  <si>
    <t>El Complejo Asistencial Padre Las Casas, perteneciente al Servicio de Salud Araucanía Sur, a través del Departamento de Abastecimiento, requiere adquirir un SERVICIO DE MANTENIMIENTO PREVENTIVO Y CORRECTIVO DEL SISTEMA DE GASES CLÍNICOS DEL COMPLEJO ASISTENCIAL PADRE LAS CASAS”, ubicados en Ruta 194, Km 0.7, Localidad de Maquehue, Comuna de Padre Las Casas, Región de La Araucanía. El contrato se cursará por un periodo de 12 meses, con posibilidad de renovación por un plazo máximo de 12 meses más, manteniendo las mismas condiciones estipuladas en las presentes bases.</t>
  </si>
  <si>
    <t>Mantenimiento Preventivo Manifold de Óxido Nitroso (Uso Clínico), Marca AMICO. La cantidad corresponde al número de sistemas (1) por la frecuencia de mantenimiento semestral (2).</t>
  </si>
  <si>
    <t>1057544-323-LE23</t>
  </si>
  <si>
    <t>Suministro de insumos para Medicina física y rehabilitación II</t>
  </si>
  <si>
    <t>2307-108-LE23</t>
  </si>
  <si>
    <t>INSUMOS Y EQUIPOS PLAN DE COMPRAS 2023 DEPARTAMENTO DE SALUD</t>
  </si>
  <si>
    <t>La Ilustre Municipalidad de Osorno a través del Departamento de Salud requiere adquirir Insumos y Equipos para Plan de Compras 2023, Departamento de Salud, con el objetivo de ser utilizados diariamente en las atenciones de los pacientes que acuden a los establecimientos, según las especificaciones indicadas en el punto N°12, y para dar cumplimiento a los requerimientos N° 506-508.-</t>
  </si>
  <si>
    <t>SATURÓMETRO DE OXIGENO (REVIZAR MAS DETALLE EN PUNTO N° 12)</t>
  </si>
  <si>
    <t>1665-8-LE23</t>
  </si>
  <si>
    <t>ADQUISICIÓN DE EQUIPOS MEDICOS HOSPITAL CHAITEN</t>
  </si>
  <si>
    <t xml:space="preserve">ADQUISICIÓN DE EQUIPOS MEDICOS HOSPITAL CHAITEN, PARA EL USO DE HOSPITALIZACIÓN DOMICILIARIA. SE DEJA ESTABLECIDO QUE TODAS LAS ESPECIFICACIONES TECNICAS (FORMULARIO T-1) SON OBLIGATORIAS, POR LO TANTO SI EXISTEN INCUMPLIMIENTOS EN LAS OFERTAS, ESTAS SERÁN RECHAZADAS. </t>
  </si>
  <si>
    <t>CONCENTRADORES DE OXIGENO; OXIMETRO DE PULSO ADULTO (6 U)</t>
  </si>
  <si>
    <t>1057402-247-LQ23</t>
  </si>
  <si>
    <t>INSUMOS MÉDICOS PARA UPC 2024-2025</t>
  </si>
  <si>
    <t>El propósito de la licitación es contar con contratos de suministro de “INSUMOS MÉDICOS PARA UPC 2024-2025”, que permitan el aprovisionamiento oportuno de los productos necesarios en la atención de los usuarios del Hospital para los años 2024 - 2025, en las circunstancias que estos productos no fueran provistos por la Central Nacional de Abastecimiento de los Servicios de Salud, ni se encuentren disponibles en catálogos electrónicos del Convenio Marco o en las Compras Coordinadas yo Conjuntas del Ministerio de Salud, o bien su adquisición sea desventajosa respecto al resultado de la presente licitación, cuyas condiciones más ventajosas serán informadas en la oportunidad correspondiente a la Dirección de Compras, en conformidad con lo dispuesto en el artículo 15 del D.S. Nº 250, de 2004, del Ministerio de Hacienda.
El contrato de suministro anteriormente indicado se hará efectivo cada vez que sea necesario, a través de la emisión de órdenes de compra enviadas al proveedor adjudicado mediante la plataforma www.mercadopublico.cl.
Sin perjuicio de lo anterior, durante todo el periodo de vigencia del contrato, los productos serán solicitados en la oportunidad del mes que el Hospital estime pertinente, comprometiéndose el oferente adjudicado a difundir esta modalidad de compra a todas las instancias que participan en su proceso de ventas.</t>
  </si>
  <si>
    <t xml:space="preserve">MASCARILLA CPAP/BIPAP ORO-NASAL </t>
  </si>
  <si>
    <t>1057049-351-LP23</t>
  </si>
  <si>
    <t>TPG- CONTRATACIÓN DE INSTALACIÓN DE CENTRAL DE GASES CLÍNICOS PARA EL HOSPITAL CLÍNICO SAN BORJA ARRIARÁN</t>
  </si>
  <si>
    <t>El objetivo de la Propuesta es la contratación de INSTALACION DE CENTRAL DE GASES CLINICOS PARA SALAS TERAPÉUTICAS DEL HOSPITAL CLÍNICO SAN BORJA ARRIARÁN solicitados en las especificaciones técnicas, en concordancia con las Bases Administrativas, técnicas, formularios, planos, aclaraciones y otros documentos que pudieran formularse en el transcurso de la licitación.</t>
  </si>
  <si>
    <t>INSTALACIÓN DE CENTRAL DE GASES CLÍNICOS PARA LAS SALAS TERAPÉUTICAS DEL HOSPITAL SAN BORJA ARRIARAN (ver bases)</t>
  </si>
  <si>
    <t>3334-76-L123</t>
  </si>
  <si>
    <t>CONCENTRADORES DE OXIGENO</t>
  </si>
  <si>
    <t>ADQUIRIR DOS CONCENTRADORES DE OXIGENO Y SUS ACCESORIOS PARA LOS USUARIOS DEL PROGRAMA CUIDADOS PALIATIVOS UNIVERSALES DEL CESFAM</t>
  </si>
  <si>
    <t>CONCENTRADORES DE OXIGENO Y SUS ACCESORIOS, SEGUN BASES</t>
  </si>
  <si>
    <t>734-80-L123</t>
  </si>
  <si>
    <t>Campaña invierno 2023 equipamiento para rehabilitación post COVID-19:</t>
  </si>
  <si>
    <t xml:space="preserve">Campaña invierno 2023 equipamiento para rehabilitación post COVID-19:
30 Valvulas Threshold
20 Pimometros,
12 Flujometros adulto
12 flujometros pediatrico
</t>
  </si>
  <si>
    <t>Valvulas Threshold</t>
  </si>
  <si>
    <t>1057540-101-LE23</t>
  </si>
  <si>
    <t>CONVENIO DE MANTENIMIENTO PREVENTIVO Y CORRECTIVO PARA VENTILADORES MECANICOS</t>
  </si>
  <si>
    <t>MANTENIMIENTO PREVENTIVO Y CORRECTIVO PARA VENTILADORES MECANICOS</t>
  </si>
  <si>
    <t>1667-34-LQ23</t>
  </si>
  <si>
    <t xml:space="preserve">El Hospital Guillermo Grant Benavente necesita contar con el servicio de oxigenoterapia domiciliaria para pacientes que se encuentran en cuidados paliativos por su avanzado cáncer, pacientes de la unidad de broncopulmonar y cualquier paciente que necesite el servicio. </t>
  </si>
  <si>
    <t>SERVICIO DE OXIGENOTERAPIA DOMICILIARIA PARA PACIENTES DEL HGGB</t>
  </si>
  <si>
    <t>2908-25-L123</t>
  </si>
  <si>
    <t xml:space="preserve">Total línea 2 ofertada
(valor que se debe ingresa en oferta de mercado público, en caso que solo oferte esta línea, según anexo económico)
</t>
  </si>
  <si>
    <t>5061-166-L123</t>
  </si>
  <si>
    <t>S252 Servicio de suministro oxigeno medico, aire medicinal y arriendo de cilindros, para establecimientos de salud municipal.</t>
  </si>
  <si>
    <t>2773-61-LE23</t>
  </si>
  <si>
    <t>Suministro y Recarga de Oxígeno Gaseoso Medicinal</t>
  </si>
  <si>
    <t>La Ilustre Municipalidad de Chiguayante, a través de su Departamento de Administración de Salud, requiere la contratación suministro de oxígeno medicinal para la red de salud comunal, según la solicitud de pedido interno N°402 de fecha 31 de agosto de 2023.</t>
  </si>
  <si>
    <t>Ingresar Valor de reposición de cilindro 1m3 por extravío interno (IVA INCLUIDO)</t>
  </si>
  <si>
    <t>2598-46-LE23</t>
  </si>
  <si>
    <t> I MUNICIPALIDAD DE CONCON</t>
  </si>
  <si>
    <t>Servicio de suministro de oxigeno y otros (aire medicinal, arriendo de cilindros, equipos de oxigenterapia y otros). Según bases administrativas, adjuntas.</t>
  </si>
  <si>
    <t>407-108-LP23</t>
  </si>
  <si>
    <t>MANTENIMIENTO PREVENTIVO Y CORRECTIVO DE CENTRAL DE AIRE CENTRAL DE VACÍO Y TOMA DE GASES MEDICINALES MONOBLOCK Y CENTRO DE ATENCIÓN AMBULATORIA.</t>
  </si>
  <si>
    <t>El HGGB necesita contar con servicio de mantenimiento preventivo y correctivo de central de aire, central de vacío y toma de gases, ubicadas en edificio CAA y Monoblock por un periodo de 36 meses, solicitado por Profesional Departamento Desarrollo Industrial mediante requerimiento S-COM 140.</t>
  </si>
  <si>
    <t> HOSPITAL GUILLERMO GRANT BENAVENTE</t>
  </si>
  <si>
    <t>MANTENIMIENTO PREVENTIVO Y CORRECTIVO DE CENTRAL DE AIRE CENTRAL DE VACÍO Y TOMA DE GASES MEDICINALES MONOBLOCK Y CENTRO DE ATENCIÓN AMBULATORIA., SEGÚN EETT ADJUNTAS</t>
  </si>
  <si>
    <t>Publicada</t>
  </si>
  <si>
    <t>607-128-L123</t>
  </si>
  <si>
    <t>EQUIPOS MÉDICOS PARA CLÍNICAS PARQUEMET</t>
  </si>
  <si>
    <t>EQUIPOS MÉDICOS PARA CLÍNICAS PARQUEMET.</t>
  </si>
  <si>
    <t>PARCHES DESFRIBRILADORES, OXIMETROS, TOMA PRESIÓN, CILINDRO DE OXÍGENO, RESUCITADORES Y REGULADOR DE OXIGENO.  DE ACUERDO A LAS ESPECIFICACIONES TÉCNICAS</t>
  </si>
  <si>
    <t>3951-46-L123</t>
  </si>
  <si>
    <t xml:space="preserve">"ADQUISICIÓN DE EQUIPAMIENTO CORRESPONDIENTE A PRAPS BUENAS PRACTICAS DEL CONSULTORIO VÍCTOR DOMINGO SILVA" </t>
  </si>
  <si>
    <t>Se dispone llamado de Licitación Pública para la ADQUISICIÓN DE EQUIPAMIENTO CORRESPONDIENTE A PRAPS BUENAS PRACTICAS DEL CONSULTORIO VÍCTOR DOMINGO SILVA</t>
  </si>
  <si>
    <t>CONSULTORIO GENERAL URBANO VICTOR DOMINGO SILVA</t>
  </si>
  <si>
    <t>1057385-62-LE23</t>
  </si>
  <si>
    <t>SOL.COMPRA Nº616 DE RAUL ACUÑA
SUMINISTRO DE OXIGENO PARA EL HOSPITAL DE TALTAL
SE ADJUNTAN BASE S ADM. Y ESPECIFICACIONES TECNICAS.</t>
  </si>
  <si>
    <t>FLETE POR CILINDRO OXIDO NITROSO; OXIGENO GASEOSO MEDICINAL</t>
  </si>
  <si>
    <t>RAUL ACUÑA</t>
  </si>
  <si>
    <t>seriviciogeneral.hct@redsalud.gob.cl</t>
  </si>
  <si>
    <t>VICTORIA TORRES</t>
  </si>
  <si>
    <t>1978-135-LE23</t>
  </si>
  <si>
    <t>INSUMOS AREA DE OPERACIONES DEPTO GESTION PREHOSPITALARIA SAMU</t>
  </si>
  <si>
    <t>Esta licitación tiene por objetivo adquirir diversos insumos para el correcto funcionamiento de SAMU del Servicio de Salud Maule</t>
  </si>
  <si>
    <t>MANOMETRO DE OXIGENO DE ALTA PRESIÓN 0-315 BAR PARA REGULADOR HARRIS (8 UNID.); FLUJOMETRO DE PARED 0,15 LPM DISS (40 UNID,); MANOMETRO DE OXIGENO DE BAJA PRESIÓN 0-16 BAR PARA REGULADOR HARRIS (8 UNID.); REGULADOR MANOMETRO CON SALIDA DE 50 PSI PIN INDEX SALIDA DISS (40 UNID.)</t>
  </si>
  <si>
    <t>1057509-375-LE23</t>
  </si>
  <si>
    <t>CONVENIO SERVICIOS DE TAXI CARGO PARA TRASLADO INSTALACION RECAMBIO Y RETIRO DE OXIGENO ncv</t>
  </si>
  <si>
    <t>El Hospital Clínico Herminda Martín de Chillán llama a Licitación Pública a través del Portal Mercado Público, para “Convenio Servicios de Taxi Cargo Para Traslado, Instalación, Recambio y Retiro de Oxigeno”, con el fin de proveer de oxígeno a pacientes dependientes de la Unidad de Hospitalización Domiciliaria, de acuerdo a requerimientos especificados en Bases Administrativas y Técnicas de la presente licitación.  Se pretende obtener la mejor calidad y oportunidad en el servicio a un precio conveniente.</t>
  </si>
  <si>
    <t>Servicio de Taxi Cargo para traslado de cilindro de oxigeno. Ofertar según Anexo Nº3 Oferta Económica. Presupuesto total referencial total por 18 meses $26.000.000.-</t>
  </si>
  <si>
    <t>1077195-11-L123</t>
  </si>
  <si>
    <t>2360-118-LE23</t>
  </si>
  <si>
    <t>ADQUISICION EQUIPOS MENORES MAIS CONV. MODELO S.F.</t>
  </si>
  <si>
    <t>LA DAS DE TALCAHUANO REQUIERE LA ADQUISICION DE EQUIPOS MENORES PARA CONVENIO MODELO SALUD FAMILIAR.</t>
  </si>
  <si>
    <t>SATUROMETRO (SEGUN PAUTA EVALUACION ADJUNTA)</t>
  </si>
  <si>
    <t>1057379-22-LE23</t>
  </si>
  <si>
    <t>MAN. PREVENTIVA Y CORRECTIVA SIS. GASES CLINICOS</t>
  </si>
  <si>
    <t>MAN. PREVENTIVA Y CORRECTIVA SIS. GASES CLÍNICOS POR 24 MESES</t>
  </si>
  <si>
    <t>MANTENCION PREVENTIVA Y CORRECTIVA SISTEMA DE GASES CLINICOS. SEGUN ESPECIFICIACIONES TECNICAS ADJUNTAS</t>
  </si>
  <si>
    <t>3951-52-L123</t>
  </si>
  <si>
    <t>ADQUISICIÓN DE INSTRUMENTOS DE MEDICIÓN Y EQUIPAMIENTO INFORMÁTICO, PARA LA SALA IRA/ERA, MEDIANTE EL PROGRAMA CAMPAÑA DE INVIERNO, AÑO 2023.</t>
  </si>
  <si>
    <t>Las presentes bases tienen como objetivo adquirir instrumentos de medición y equipamiento informático, para la sala IRA/ERA, de forma de coadyuvar a brindar una atención óptima y oportuna a la población beneficiaria del establecimiento .</t>
  </si>
  <si>
    <t>OXÍMETRO DE PULSO PEDIATRICO</t>
  </si>
  <si>
    <t>1549-142-LP23</t>
  </si>
  <si>
    <t>ADQUISICION Y RECARGA DE 2000 LITROS DE HELIO LIQUIDO PARA EL RESONADOR.</t>
  </si>
  <si>
    <t>ADQUISICION Y RECARGA DE 2000 LITROS DE HELIO LIQUIDO PARA EL RESONADOR MAGNETICO DEL HOSPITAL SAN JOSE, POR UN PERIODO DE 12 MESES. RESOLUCION DE BASES N°3357, DE FECHA 06/10/2023.-</t>
  </si>
  <si>
    <t>ADQUISICIÓN Y RECARGA DE HELIO LÍQUIDO PARA RESONADOR MAGNÉTICO MARCA PHILLIPS MODELO ACHIEVA 1.5T PULSAR</t>
  </si>
  <si>
    <t>4042-25-L123</t>
  </si>
  <si>
    <t>Adquisición de equipos médicos</t>
  </si>
  <si>
    <t>Adquisición de equipos médicos, para el Departamento de Salud Municipal de Fresia.</t>
  </si>
  <si>
    <t>I MUNICIPALIDAD DE FRESIA</t>
  </si>
  <si>
    <t xml:space="preserve">SATUROMETRO ADULTO </t>
  </si>
  <si>
    <t>1058078-36-LQ23</t>
  </si>
  <si>
    <t>Claudio Guzmán</t>
  </si>
  <si>
    <t>125.650.000</t>
  </si>
  <si>
    <t>4401-103-LE23</t>
  </si>
  <si>
    <t>SC 865 -  INSUMOS SAR</t>
  </si>
  <si>
    <t>El departamento de Salud de la I. Municipalidad de San Clemente, requiere la “ADQUISICION DE INSUMOS CLINICOS SAR PARA EL DEPARTAMENTO DE SALUD” solicitado por la unidad de Bodega Comunal de Farmacia perteneciente al Departamento de Salud de acuerdo a los requerimientos y condiciones establecidas en las presentes bases y documentos que forman parte de ellas .</t>
  </si>
  <si>
    <t xml:space="preserve">AEROCAMARA INFANTIL CON VALVULA NO RECIRCULACION
</t>
  </si>
  <si>
    <t>1271359-150-LE23</t>
  </si>
  <si>
    <t>INSUMOS VARIOS: CENTRO DE SALUD FAMILIAR JOSE BAUZ</t>
  </si>
  <si>
    <t>La Corporación de Desarrollo Social de Lampa a través de la Dirección Comunal de Salud, solicita la adquisición de insumos de urgencias y control de signos vitales, destinados al Centro de Salud Familiar Jose Bauza Frau.</t>
  </si>
  <si>
    <t>SATUROMETROS ADULTOS</t>
  </si>
  <si>
    <t>2026-163-LP23</t>
  </si>
  <si>
    <t>Adquisición de Equipos para tención Domiciliaria</t>
  </si>
  <si>
    <t>“Adquisición de Equipos para Atención Domiciliaria Hospitales Red SSVQ”, de la Minuta Presupuestaria “Distribución Recursos de Expansión Glosa 7 - Programa de Contingencias Operacionales año 2023”, financiado por el MINSAL, vía Subtitulo 29..</t>
  </si>
  <si>
    <t xml:space="preserve">CONCENTRADOR DE OXIGENO </t>
  </si>
  <si>
    <t>642028-136-L123</t>
  </si>
  <si>
    <t>Adquisición de 07 concentradores de oxigeno</t>
  </si>
  <si>
    <t>Adquisición de 07 concentradores de oxigeno estacionario de uso doméstico para usuariosas del Programa Minsal de Cuidados Paliativos Universales</t>
  </si>
  <si>
    <t>CORP MUNICIPAL MELIPILLA PARA LA ED SALUD</t>
  </si>
  <si>
    <t>Concentrador de oxígeno estacionario de uso domestico</t>
  </si>
  <si>
    <t>3611-38-LE23</t>
  </si>
  <si>
    <t xml:space="preserve">Adquisición de Recarga de oxigeno medicinal arriendo y traslado de cilindros </t>
  </si>
  <si>
    <t>Adquisición de Recarga de oxigeno medicinal, arriendo y traslado de cilindros</t>
  </si>
  <si>
    <t>Recarga Oxigeno médico 10 M3, cilindro propiedad de la institución/ empresa adjudicada</t>
  </si>
  <si>
    <t>10.000.000</t>
  </si>
  <si>
    <t>Luis Santibáñez Paillalef</t>
  </si>
  <si>
    <t>unidadabastecimientodsm@gmail.com</t>
  </si>
  <si>
    <t>Nicole Torres Torres</t>
  </si>
  <si>
    <t>2505-23-LE23</t>
  </si>
  <si>
    <t>CONVENIO OXIGENO MEDICO PARA DPTO. DE SALUD RIO CLARO</t>
  </si>
  <si>
    <t>SE REQUIERE LA ADQUISICION DE SERVICIO DE ABASTECIMIENTO DE CILINDROS DE OXIGENO MEDICO, DEBE CONSIDERAR, EL ARRIENDO DE CILINDROS, EL DESPACHO DE LOS CILINDROS Y LA RECARGA DE LOS CILINDROS. SEGUN BASES ADJUNTAS.</t>
  </si>
  <si>
    <t>I MUNICIPALIDAD DE RIO CLARO</t>
  </si>
  <si>
    <t>OXIGENO MEDICO DE 10M3. PARA DPTO. DE SALUD DE RIO CLARO.</t>
  </si>
  <si>
    <t>3926-64-L123</t>
  </si>
  <si>
    <t>OXIGENO MEDICINAL DESAM</t>
  </si>
  <si>
    <t>OXIGENO MEDICINAL PARA EL DPTO.SALUD SAN JUAN DE LA COSTA.SEGUN SOLICITUD 393 SRTA VALENTINA ORTEGA CESFAM BAHIA MANSA Y SOL.221 SRTA PRISCILLA CATALAN CESFAM PUAUCHO.</t>
  </si>
  <si>
    <t xml:space="preserve"> Ilustre Municipalidad de San Juan de la Costa</t>
  </si>
  <si>
    <t>RECARGA DE CILINDROS DE OXIGENO MEDICINAL, SE ADJUNTA PLANILLA CON EL DETALLE POR CILINDRO Y TIPO DE VÁLVULA, CON RETIRO Y ENTREGA EN EL CESFAM PUAUCHO, COMUNA DE SAN JUAN DE LA COSTA, KM 34, RUTA U-400, DÉCIMA REGIÓN.</t>
  </si>
  <si>
    <t>1221016-93-L123</t>
  </si>
  <si>
    <t>Compra de equipo medico</t>
  </si>
  <si>
    <t>Concentrador de oxigeno portatil</t>
  </si>
  <si>
    <t>1057439-97-LP23</t>
  </si>
  <si>
    <t>Instalación red de gases y equipos proyecto 24 camas HLS</t>
  </si>
  <si>
    <t>Las presentes bases enmarcan los requerimientos de la Subdirección de Operaciones del Hospital La Serena bajo la licitación “Instalación red de gases y equipos proyecto 24 camas HLS” con el fin de instalar red de gases y equipos para control de gases en el proyecto 24 camas al interior del Hospital La Serena</t>
  </si>
  <si>
    <t>Instalación de red de gases y equipos para control de gases en proyecto 24 camas al interior del Hospital La Serena. El detalle se encuentra en el punto B de las bases de licitación.</t>
  </si>
  <si>
    <t> 03-11-2023 18:00:00</t>
  </si>
  <si>
    <t>1398-127-LE23</t>
  </si>
  <si>
    <t>Mascarillas Oro -Nasal Ventilación No Invasiva</t>
  </si>
  <si>
    <t>El Director SAMU OHiggins, solicita la adquisición de 30 Unidades de Mascarillas Oro-Nasal Ventilación No Invasiva Talla M y 30 Unidades de Mascarillas Oro-Nasal Ventilación No Invasiva Talla L que tiene como objetivo adquirir las mascarillas Oro-Nasales para pacientes Críticos. El oferente deberá subir un archivo en PDF con el Producto y sus respectivas características técnicas.</t>
  </si>
  <si>
    <t>Mascarillas Oro-Nasal Ventilación No Invasiva Talla M. El oferente debe subir un archivo en PDF con las Características Técnicas (30 UNID.); Mascarillas Oro-Nasal Ventilación No Invasiva Talla L. El oferente deberá subir un archivo del Producto en PDF con las Características Técnicas (30 UNID.)</t>
  </si>
  <si>
    <t>2710-212-L123</t>
  </si>
  <si>
    <t xml:space="preserve">EQUIPAMIENTO PARA SALAS RESPIRATORIAS APS OVALLE.  </t>
  </si>
  <si>
    <t xml:space="preserve">EQUIPAMIENTO PARA SALAS RESPIRATORIAS APS OVALLE, SEGÚN SOLICITUD N°184/2023 DE REFERENTE COMUNAL DE SALAS RESPIRATORIAS.   </t>
  </si>
  <si>
    <t>OXIMETRO DE PULSO ADULTO, SEGÚN ESPECIFICACIONES TÉCNICAS ADJUNTAS.</t>
  </si>
  <si>
    <t>1057417-299-LE23</t>
  </si>
  <si>
    <t>CONVENIO DE PROVISIÓN Y MONTAJE PIPING PARA GASES CLÍNICOS 2° LLAMADO mss</t>
  </si>
  <si>
    <t>2311-208-L123</t>
  </si>
  <si>
    <t>Equipamiento Clínico para Sala IRA -ERA Cesfam de Lontué</t>
  </si>
  <si>
    <t>Se requiere la adquisición de equipamiento Clinico para sala IRA-ERA Cesfam de Lontué, detallado en su especificación técnica. Lo anterior, para su oferta económica disponible, despacho NO fraccionado y señalar plazos de entrega en su comprobante de oferta.</t>
  </si>
  <si>
    <t>Adquisición de REGULADOR DE OXIGENO, detallado en su especificación técnica.</t>
  </si>
  <si>
    <t>2421-72-LR23</t>
  </si>
  <si>
    <t>Suministro General de Dispositivos Médicos</t>
  </si>
  <si>
    <t>SE SOLICITA LA CONTRATACIÓN DEL SUMINISTRO GENERAL DE DISPOSITIVOS MÉDICOS (INSUMOS) DESTINADOS A LOS CENTROS DE SALUD DEPENDIENTES DE LA ILUSTRE MUNICIPALIDAD DE CONCEPCIÓN</t>
  </si>
  <si>
    <t>OXIMETRO DE PULSO PORTATIL: Display de SpO2, PR, Barra de pulso y onda de pletismógrafo, 6 Modos de pantalla, Apagado automático, Indicador batería baja, 2 Pilas AAA alcalinas o recargable.</t>
  </si>
  <si>
    <t>2710-223-LE23</t>
  </si>
  <si>
    <t>BRECHAS EQUIPOS CLÍNICOS CESFAM MARCOS MACUADA</t>
  </si>
  <si>
    <t>SATUROMETRO ADULTO</t>
  </si>
  <si>
    <t>1398-130-L123</t>
  </si>
  <si>
    <t>FLUJOMETROS DAP</t>
  </si>
  <si>
    <t xml:space="preserve">DE ACUERDO A SOLICITUD 320 </t>
  </si>
  <si>
    <t>FLUJOMETROS PORTATIL</t>
  </si>
  <si>
    <t>2146-109-L123</t>
  </si>
  <si>
    <t>COMPRA DE INSUMOS CLINICOS Y EQUIPOS MENORES PARA HOSPITAL ANDACOLLO</t>
  </si>
  <si>
    <t>NECESIDAD DE CONTAR CON EQUIPAMIENTO MENOR PARA REALIZACION DE EXAMENES FISICOS REQUERIDO MEDIANTE SOLICITUD DE COMPRA N° 345, DE LA MISMA FORMA COMPRA  DE APOSITOS PARA REALIZAR CURACIONES AVANZADAS A PACIENTES DE ATENCIÓN DOMICILIARIA  A TRAVEZ DE SOLICITUD DE COMPRA N° 355 AMBAS EMITIDAS POR ENFERMERA COORDINADORA.</t>
  </si>
  <si>
    <t>SERVICIO DE SALUD COQUIMBO HOSPITAL DE ANDACOLLO</t>
  </si>
  <si>
    <t>OXIMETRO SATUROMETRO SIMILAR A HEAL FORCE 100 B3</t>
  </si>
  <si>
    <t>956-282-LE23</t>
  </si>
  <si>
    <t>Adquisición de Equipamiento de Hospitalización y BIPAP para el Proyecto Normalización Hospital San José de Casablanca</t>
  </si>
  <si>
    <t>La necesidad de realizar un proceso de licitación para la Adquisición de Equipamiento de Hospitalización y BIPAP para el Proyecto Normalización Hospital San José de Casablanca, requeridos por la Subdirección de Desarrollo Institucional de la Dirección del Servicio de Salud Valparaíso – San Antonio.</t>
  </si>
  <si>
    <t>BIPAP. Detalles y especificaciones en resolución y archivos anexos. Completar y adjuntar documentación obligatoria.</t>
  </si>
  <si>
    <t>2825-105-L123</t>
  </si>
  <si>
    <t>EQUIPAMIENTO CLINICO PARA PROGRAMA</t>
  </si>
  <si>
    <t>EQUIPAMIENTO CLINICO PARA PROGRAMA DE CUIDADOS PALIATIVOS UNIVERSALES, CON TIEMPO DE ENTREGA Y GARANTIA</t>
  </si>
  <si>
    <t>OXIMETROS, PORTATIL PULSIOMETROS DE DEDO PARA CAPTURAR LAS MEDICIONES DE SpO2 Y FRECUENCIA DE P ULSO CON RAPIDEZ Y PRECISION, INCLUSO EN CONDICIONES DIFICILES DE MOVIMIENTO Y BAJA PERSUSION CON GARANTIA Y CERTIFICACION. RANGO AMPLIO DE TAMAÑOS DE DEDO DES</t>
  </si>
  <si>
    <t>5052-56-LE23</t>
  </si>
  <si>
    <t xml:space="preserve">ADQUISICION DE MATERIALES Y EQUIPOS VARIOS </t>
  </si>
  <si>
    <t xml:space="preserve"> El objetivo de la presente licitación, es la adquisición de rociadores y shower door de duchas por proyecto MEL y equipamientos varios para Hospitalizacion Domiciliaria del Hospital Regional de Talca, con el fin de asegurar el abastecimiento en calidad y oportunidad, para satisfacer la demanda de los usuarios.</t>
  </si>
  <si>
    <t>Saturometro, con parametro SPO2 (rango de medicion 70-90%) y parametro frecuencia de pulso, con pantalla LED 2 colores, con estuche para transporte. (valor neto)</t>
  </si>
  <si>
    <t>1057420-43-L123</t>
  </si>
  <si>
    <t>ADQUISICIÓN DE INSUMOS CLINICOS PARA REPOSICION DE STOCK DEL HOSPITAL DE LA FAMILIA Y LA COMUNIDAD DE HUÉPIL</t>
  </si>
  <si>
    <t xml:space="preserve">EL HOSPITAL DE HUEPIL REQUIERE LA ADQUISICON DE INSUMOS CLINICOS PARA REPOSICION DE STOCK EN BODEGA CENTRAL COMO TAMBIEN EN LAS UNOIDADES DE URGENCIA Y MATERNIDAD </t>
  </si>
  <si>
    <t>OXIMETRO NEONATAL,PEDIATRICO Y ADULTO</t>
  </si>
  <si>
    <t>652-89-L123</t>
  </si>
  <si>
    <t>INSUMOS MEDICOS PROGRAMA RUTA MÉDICA</t>
  </si>
  <si>
    <t xml:space="preserve">Se requiere la Adquisición de  insumos médicos para la ejecución del Programa Noche Digna del Servicio de Salud Arauco. 
</t>
  </si>
  <si>
    <t>SATURÓMETRO</t>
  </si>
  <si>
    <t>1260057-39-LE23</t>
  </si>
  <si>
    <t xml:space="preserve">ADQ DE MOBILIARIO Y ARTÍCULOS VARIOS DOMICILIARIA Y MEL  </t>
  </si>
  <si>
    <t xml:space="preserve">ADQUISICIÓN DE MOBILIARIO Y ARTÍCULOS VARIOS PARA EJECUCIÓN DE PROYECTO DE NORMALIZACIÓN HOSPITALIZACIÓN DOMICILIARIA Y PROYECTO MEL 2023 </t>
  </si>
  <si>
    <t>Línea N°8: Kit de Cilindro de oxigeno portátil + carro de transporte + regulador. De acuerdo a lo establecido en artículo 1° Bases Técnicas</t>
  </si>
  <si>
    <t>584146-35-L123</t>
  </si>
  <si>
    <t>CONCENTRADOR DE OXIGENO</t>
  </si>
  <si>
    <t>ADQUISICION CONCENTRADOR DE OXIGENO</t>
  </si>
  <si>
    <t>CONCENTRADOR OXIGENO 0 A 10 LT/MIN DE FLUJO SEGÚN ESPECIFICACIONES TÉCNICAS ADJUNTAS. VER BAG, ET Y ANEXOS.</t>
  </si>
  <si>
    <t>1376-35-L123</t>
  </si>
  <si>
    <t>ADQUISICIÓN DE EQUIPAMIENTO PARA EL ÁREA MÉDICA DE LA DIRECCIÓN REGIONAL DE GENDARMERIA, REGIÓN DE ATACAMA</t>
  </si>
  <si>
    <t xml:space="preserve">ADQUISICIÓN DE EQUIPAMIENTO PARA EL ÁREA MÉDICA DE LA DIRECCIÓN REGIONAL DE GENDARMERIA, REGIÓN DE ATACAMA.
FACTURAR A: DIRECCIÓN REGIONAL GENDARMERÍA DE CHILE COPIAPÓ; RUT: 61.004.010-1; DIRECCIÓN: RANCAGUA #499, 3 PISO, EDIFICIO MINJU, COPIAPÓ.
CONDICIONES DE PAGO: CRÉDITO 30 DIAS
Recepción de facturación al correo dipresrecepcion@custodium.com, se solicita despachar con Guía de Despacho y Facturar previa recepción conforme, registrar N° orden de compra en campo 801 del XML.
</t>
  </si>
  <si>
    <t>OXIMETRO DE PULSO HEAL FORCE A3 O SIMILAR</t>
  </si>
  <si>
    <t>2366-104-LE23</t>
  </si>
  <si>
    <t>SERVICIO DE MANT. DE MANIFOLD DE GASES M.50 OP.LOG</t>
  </si>
  <si>
    <t>SERVICIO DE MANTENIMIENTO DE MANIFOLD DE GASES CLÍNICOS M.50 OPERACIONES Y LOGÍSTICA</t>
  </si>
  <si>
    <t>MANTENIMIENTO CENTRAL DE AIRE COMPRIMIDO (CESFAM EPA)</t>
  </si>
  <si>
    <t>1643-122-L123</t>
  </si>
  <si>
    <t>ADQUISICIÓN DE CONCENTRADOR DE OXÍGENO 10 LTS.</t>
  </si>
  <si>
    <t xml:space="preserve">ADQUISICIÓN DE CONCENTRADOR DE OXÍGENO 10 LTS PARA SERVICIO DE HOSPITALIZACIÓN DOMICILIARIA.
</t>
  </si>
  <si>
    <t>CONCENTRADOR DE OXÍGENO 10 LTS</t>
  </si>
  <si>
    <t>1237328-5-LE23</t>
  </si>
  <si>
    <t>CONCENTRADORES DE OXÍGENO</t>
  </si>
  <si>
    <t>Corporación Municipal de Punta Arenas, en adelante la CORMUPA, llama a los oferentes, personas naturales o jurídicas, especializadas en el rubro de salud, a presentar sus ofertas para suscribir un contrato destinado a la adquisición de concentradores de oxígeno.</t>
  </si>
  <si>
    <t>CORP MUNICIPAL DE PUNTA ARENAS PARA LA EDUCACION SALUD Y AT AL MENOR</t>
  </si>
  <si>
    <t>Concentradores de oxígeno, para mejorar el alivio de síntomas, a través de procedimientos o indicaciones de oxigenoterapia.</t>
  </si>
  <si>
    <t>1624-83-L123</t>
  </si>
  <si>
    <t>HOSPITAL DE NANCAGUA  REQUIERE COMPRA  CONVENIO SUMINISTRO OXIGENO MEDICO , 
 de 10 M3, 6 M3 Y 0,7 M3, PUESTO EN EL ESTABLECIMIETO CON EMISION DE ORDEN DE COMPRA SEGUN NECESIDAD. DEL ESTABLECIMIENTO., SEGUN SOLICITUD QUE SE ADJUNTA.</t>
  </si>
  <si>
    <t>recarga  oxigeno médico 0.7  m3 válvula pin tipo E y válvula H</t>
  </si>
  <si>
    <t>1216085-73-LE23</t>
  </si>
  <si>
    <t>INSUMOS DEL PROGRAMA CUIDADOS PALIATIVOS UNIVERSAL</t>
  </si>
  <si>
    <t>El objetivo de esta licitación, es generar la compra de Insumos Programa Cuidados Paliativos, de acuerdo a requerimientos ingresados por sistemas electrónicos vigentes y en atención a necesidades y presupuestos disponibles, no siendo obligación adquirir todo lo adjudicado.</t>
  </si>
  <si>
    <t>CORP MUNICIPAL PARA EL DESARROLLO SOCIAL</t>
  </si>
  <si>
    <t>SATUROMETRO (OXIMETRÍA DE PULSO), UNIDADES</t>
  </si>
  <si>
    <t>1465-4-LE23</t>
  </si>
  <si>
    <t>Gases Clínicos Hospital de Teno 2023.</t>
  </si>
  <si>
    <t>“Licitación pública de Gases Clínicos Hospital de Teno 2023”
La presente licitación tiene por objeto celebrar un convenio de suministro de gases clínicos por el periodo de 36 meses.</t>
  </si>
  <si>
    <t>SERVICIO DE SALUD DEL MAULE HOSPITAL DE TENO</t>
  </si>
  <si>
    <t>“LP de Gases Clínicos Hospital de Teno 2023” se debe completar el anexo N°4 oferta económica por todas las líneas solicitadas. VALOR UNITARIO NETO POR CADA LÍNEA. (El monto ingresado en esta oferta electrónica debe coincidir con el anexo N°4)</t>
  </si>
  <si>
    <t>2688-32-LE23</t>
  </si>
  <si>
    <t>ADQUISICION EQUIPOS MEDICOS CONVENIO AGL</t>
  </si>
  <si>
    <t>ADQUISICION EQUIPOS MEDICOS A TRAVES DE CONVENIO AGL</t>
  </si>
  <si>
    <t>2307-134-LE23</t>
  </si>
  <si>
    <t>ADQUISICION 9 CONCENTRADORES DE OXIGENO ESTACIONARIOS PARA CENTROS DE SALUD</t>
  </si>
  <si>
    <t>La I.  Municipalidad de Osorno a través del Departamento de Salud requiere adquirir 9 concentradores de oxígeno estacionarios para la atención de usuarios/as de los centros de salud que se encuentran bajo control en programa “Cuidados Paliativos Universales”, según las especificaciones indicadas en el punto N°12 y N°13, y de acuerdo a lo solicitado en requerimiento 1259</t>
  </si>
  <si>
    <t>Concentradores de oxígeno estacionarios de acuerdo con las características técnicas expresadas en Punto N° 13 .-</t>
  </si>
  <si>
    <t>3210-22-LE23</t>
  </si>
  <si>
    <t>INSUMOS IMPLEMENTOS CONVENIO CPU</t>
  </si>
  <si>
    <t>POR CONVENIO DE CUIDADOS PALIATIVOS UNIVERSALES</t>
  </si>
  <si>
    <t>1384-70-L123</t>
  </si>
  <si>
    <t xml:space="preserve">SUMINISTRO DE ARRIENDO, MANTENCIÓN Y RECARGA DE CILINDROS DE GASES CLINICOS PARA CENTROS DE SALUD DE RECOLETA </t>
  </si>
  <si>
    <t>El objetivo de la presente licitación es la contratación del servicio para suministro de arriendo mensual y recarga de tubos de gases clínicos, llámese a esto: oxigeno medicinal y aire comprimido para los centros de salud de la Municipalidad de Recoleta.</t>
  </si>
  <si>
    <t>I MUNICIPALIDAD DE RECOLETA</t>
  </si>
  <si>
    <t xml:space="preserve">El objetivo de la presente licitación es la contratación del servicio para suministro de arriendo mensual y recarga de tubos de gases clínicos, llámese a esto: oxigeno medicinal y aire comprimido para los centros de salud de la Municipalidad. </t>
  </si>
  <si>
    <t>1172239-51-LQ23</t>
  </si>
  <si>
    <t>EQUIPAMIENTO TP</t>
  </si>
  <si>
    <t xml:space="preserve">Conforme a la Ley de Compras Públicas 19.886, El Decreto Nº 250 de 2004, del Ministerio de Hacienda que fija el reglamento y sus modificaciones, el Servicio Local de Educación Pública de Valparaíso, llama a licitación pública a personas naturales o jurídicas, empresas o proveedores del rubro, o unión temporal de proveedores, para adquirir insumos para especialidades técnico profesionales en modalidad suministro para establecimientos del Servicio Local De Educación Pública De Valparaíso ID 1172239-51-LQ23, a fin de satisfacer su demanda de una manera eficiente y eficaz. Las cantidades a adquirir dependerán de la demanda de cada establecimiento.  
Las Bases administrativas y técnicas establecen las condiciones que regirán la Licitación y el posterior contrato que se celebre para dar cumplimiento a este objetivo.
</t>
  </si>
  <si>
    <t>SERVICIO LOCAL DE EDUCACION PUBLICA DE VALPARAISO</t>
  </si>
  <si>
    <t>Oximetro de pulso
OXIMETRO/ SATURÓMETRO CON SENSOR A ELECCIÓN: ADULTO, PEDIÁTRICO O NEONATAL. CARACTERÍSTICAS:Es ligero y fácil de usar; Carcasa protectora de goma y soporte estable para el uso; 
Sensor disponible del oxímetro para adulto, y como opcion</t>
  </si>
  <si>
    <t>1002772-138-LE23</t>
  </si>
  <si>
    <t>SUMINISTRO DE INSUMOS PARA EVALUACION RESPIRATORIA</t>
  </si>
  <si>
    <t>Las presentes Bases constituyen el instrumento rector con el fin de suscribir un CONVENIO DE SUMINISTRO DE INSUMOS PARA EVALUACION RESPIRATORIA PARA LA UNIDAD DE PACIENTE CRITICO ADULTO del Hospital Dr. Félix Bulnes Cerda, por un periodo de 24 meses. Éstas, establecen los fines, condiciones y requisitos que deberán ser cumplidos por los oferentes, en todas y cada una de las partes que conformen su oferta y además de regular el todo el proceso licitatorio hasta la suscripción del correspondiente contrato y su ejecución.</t>
  </si>
  <si>
    <t>10010415 FLUJOMETRO MINI-WRIGHT ESTANDAR ADULTO (FLUJO ESPIRATORIO MAXIMO) - VER DESCRIPCIÓN EN BASES TÉCNICAS</t>
  </si>
  <si>
    <t>Sin Stock</t>
  </si>
  <si>
    <t>5053-175-LE23</t>
  </si>
  <si>
    <t>Compra de repuestos y otros</t>
  </si>
  <si>
    <t xml:space="preserve"> El objetivo de la presente licitación, es la adquisición de repuestos y otros para Depto. de Ingeniería e ingeniería clínica del Hospital Regional de Talca, con el fin de asegurar el abastecimiento en calidad y oportunidad, para satisfacer la demanda de los usuarios.</t>
  </si>
  <si>
    <t xml:space="preserve">FLUJOMETROS DE OXIGENO DE 0 A 15
LPM, CON CONECTOR CHEMETRON. PRESIÓN DE TRABAJO 50 PSI, CONEXIÓN DE SALIDA DISS. FLOTADOR ESFÉRICO, CÚPULA Y TUBO DE MEDICIÓN DE POLICARBONATO DE ALTA RESISTENCIA CONTRA LOS IMPACTOS. SIMILAR MODELO 8MFA1006
</t>
  </si>
  <si>
    <t>1175-260-LR23</t>
  </si>
  <si>
    <t>168-23: Suministro gases medicinales SSAS</t>
  </si>
  <si>
    <t>El SSAS requiere a través de licitación N°168-23: Suministro de gases medicinales para establecimientos SSAS</t>
  </si>
  <si>
    <t>El SSAS requiere a través de licitación N°168-23: "Suministro de gases medicinales para establecimientos SSAS"</t>
  </si>
  <si>
    <t>2311-218-L123</t>
  </si>
  <si>
    <t>ADQUISICIÓN INSUMOS CLÍNICOS DIFERENTES PROGRAMAS</t>
  </si>
  <si>
    <t>SE REQUIEREN INSUMOS CLÍNICOS PARA DIFERENTES DEPENDENCIAS DE SALUD. 
AL SER UNA COMPRA  A DIFERENTES DEPENDENCIAS DE SALUD AL MOMENTO DE ADJUDICAR SE PUEDE GENERAR MAS DE UNA ORDEN DE COMPRA POR PROVEEDOR</t>
  </si>
  <si>
    <t xml:space="preserve">SE REQUIERE SATUROMETRO ADULTO- PEDIÁTRICO </t>
  </si>
  <si>
    <t>872-115-LE23</t>
  </si>
  <si>
    <t>Red de Gases</t>
  </si>
  <si>
    <t>La Comisión Chilena de Energía Nuclear, requiere suministro e instalación de red de gases con tres centrales dúplex, red de acero inoxidable de 14 pulgadas y tres puntos de uso con regulador para Nitrógeno, Aire y Argón. Adicionalmente, instalación de caseta de gases de acuerdo a DS 43, en el Centro de Estudios Nucleares de Lo Aguirre.</t>
  </si>
  <si>
    <t xml:space="preserve">La Comisión Chilena de Energía Nuclear, requiere suministro e instalación de red de gases con tres centrales dúplex, red de acero inoxidable de 1/4” y tres puntos de uso con regulador para Nitrógeno, Aire y Argón. Adicionalmente, instalación de caseta de </t>
  </si>
  <si>
    <t>2710-225-LE23</t>
  </si>
  <si>
    <t>CONCENTRADORES DE OXÍGENO CPU</t>
  </si>
  <si>
    <t xml:space="preserve">CONCENTRADORES DE OXÍGENO CPU, SEGÚN SOLICITUD N° 197-2023 DE UNIDAD DE CONVENIOS. 
CONVENIO PROGRAMA APOYO A LOS CUIDADOS PALIATIVOS UNIVERSALES EN APS. </t>
  </si>
  <si>
    <t xml:space="preserve">CONCENTRADOR DE OXÍGENO DE 10 LITROS </t>
  </si>
  <si>
    <t>635-134-LE23</t>
  </si>
  <si>
    <t>ADQUISICION CONCENTRADOR DE OXIGENO PORTATIL SERVICIO DE SALUD ARICA Y PARINACOTA OT 1702</t>
  </si>
  <si>
    <t>La presente adquisición se realiza en virtud de la resolución exenta Nº 561, de fecha 02 de agosto de 2023, del Ministerio de Hacienda, que Modifica el presupuesto vigente del Sector Público; en el cual se asigna al Servicio de Salud Arica y Parinacota el siguiente presupuesto para la adquisición de equipo financiados a través de Subtítulo 29, Ítem 05, Máquinas y Equipos.</t>
  </si>
  <si>
    <t>Concentrador de oxigeno portátil, según especificaciones técnicas.</t>
  </si>
  <si>
    <t>No cumple especificaciones</t>
  </si>
  <si>
    <t>1057533-7-L123</t>
  </si>
  <si>
    <t>MANTENIMIENTO DE CENTRALES DE AIRE MEDICINAL Y CENTRAL DE VACÍO CORRESPONDIENTE A LAS REDES DE GASES CLÍNICOS, DEL HOSPITAL PU MÜLEN QUILACAHUIN</t>
  </si>
  <si>
    <t>Servicios de mantención preventiva anual de centrales de aire medicinal y central de vacío correspondientes a las redes de gases clínicos.</t>
  </si>
  <si>
    <t>HOSPITAL DEL PERPETUO SOCORRO DE QUILACAHUIN</t>
  </si>
  <si>
    <t>Servicio de mantención preventiva anual de centrales de aire medicinal y central de vacío correspondientes a las redes de gases clínicos.</t>
  </si>
  <si>
    <t>886954-191-LQ23</t>
  </si>
  <si>
    <t>Convenio Suministro CPAP con equipo en comodato</t>
  </si>
  <si>
    <t>La necesidad de abastecer del insumo para la atención oportuna del paciente.</t>
  </si>
  <si>
    <t>Mascarillas Nasales S/M/L // Según Especificaciones Técnicas</t>
  </si>
  <si>
    <t>4488-17-L123</t>
  </si>
  <si>
    <t>MANTENCION RED DE GASES CLINICOS Y OTROS</t>
  </si>
  <si>
    <t>MANTENCION RED DE GASES CLINICOS Y OTROS EN CESFAM YANEQUEN NEGRETE</t>
  </si>
  <si>
    <t>MANTENCION Y REPARACION DE GASES CLINICOS</t>
  </si>
  <si>
    <t>1462-28-LE23</t>
  </si>
  <si>
    <t>ADQ. INSUMOS MÉDICOS Y EQUIPOS MENORES PARA PROGRAMAS HOSP.HUALAÑE</t>
  </si>
  <si>
    <t>ADQUISICION DE INSUMOS MÉDICOS Y EQUIPOS MENORES PARA DISTINTOS PROGRAMAS DE HOSPITAL HUALAÑE</t>
  </si>
  <si>
    <t>SERVICIO DE SALUD DEL MAULE HOSPITAL DE HUALANE</t>
  </si>
  <si>
    <t>FLUJOMETRO PORTATIL PARA ADULTOS SIMILAR FLUJOMETRO MINI WRIGHT</t>
  </si>
  <si>
    <t>2360-124-L123</t>
  </si>
  <si>
    <t>EQUIPAMIENTO SERV. URGENCIA  SAR LOS CERROS</t>
  </si>
  <si>
    <t>LA DAS DE TALCAHUANO REQUIERE LA ADQUISICION DE EQUIPAMIENTO PARA SERVICIO URGENCIA DE SAR LOS CERROS.</t>
  </si>
  <si>
    <t>SATUROMETRO ADULTO (SEGUN EETT ADJUNTA)</t>
  </si>
  <si>
    <t>483-40-LE23</t>
  </si>
  <si>
    <t>INSUMOS CLÍNICOS 2023-2024</t>
  </si>
  <si>
    <t>El Hospital de Contulmo requiere adquirir diversos tipos de Insumos, los cuales son necesarios para abastecer los diferentes servicios de nuestro hospital.
La oferta se realizará por valor unitario y por los insumos indicados en las presentes bases técnicas.
La adquisición se hará según los valores indicados en Anexo N°1.</t>
  </si>
  <si>
    <t>Regulador de oxigeno con flujometro conexión tuerca: Reguladores de Oxígeno con conexión estándar TUERCA.
 Flujómetro de Oxígeno Compensado, rango de flujo de 0 a 15 lts/min.
Ajuste de flujos con válvula de aguja para una mayor precisión.
Cúpula acríli</t>
  </si>
  <si>
    <t>5178-38-LE23</t>
  </si>
  <si>
    <t>OXIGENO CLINICO FUNCIONAMIENTO CAMARA HIPERBARICA</t>
  </si>
  <si>
    <t>Que, la Facultad de Medicina de la Universidad de Chile, a través del Departamento de Obstetricia y Ginecología Sur, requiere proveer a la unidad de medicina hiperbárica de oxigeno clínico gaseoso medicinal para su normal funcionamiento.</t>
  </si>
  <si>
    <t>OXIGENO CLINICO GASEOSO MEDICINAL, de acuerdo a bases adjuntas</t>
  </si>
  <si>
    <t>2917-70-L123</t>
  </si>
  <si>
    <t>Equipo concentrador de oxigeno Cuidados Paliativos Universales</t>
  </si>
  <si>
    <t>I MUNICIPALIDAD DE RIO NEGRO</t>
  </si>
  <si>
    <t>Concentrador de oxigeno tipo o equivalente a EVERFLO de PHILLIPS</t>
  </si>
  <si>
    <t> 03-11-2023 16:00:00</t>
  </si>
  <si>
    <t>Claudia Oñate Guajardo</t>
  </si>
  <si>
    <t>direccionsalud@rionegrochile.cl</t>
  </si>
  <si>
    <t>4457-88-L123</t>
  </si>
  <si>
    <t>EQUIPAMIENTO MENOR  PARA CESFAM</t>
  </si>
  <si>
    <t>EQUIPAMIENTO MENOR  PARA CESFAM. Solicitud de Adquisiciones N°296 ID DOC 750679 de fecha 24.10.2023.</t>
  </si>
  <si>
    <t>1057543-85-LE23</t>
  </si>
  <si>
    <t>MANTENCIONES VARIAS II</t>
  </si>
  <si>
    <t>SE REQUIEREN REALIZAR MANTENCIONES PREVENTIVAS A EQUIPOS INDUSTRIALES VARIAS DEL HOSPITAL DE TOMÉ.</t>
  </si>
  <si>
    <t>MANTECIÓN A RED DE GASES MEDICINALES,VER BASES ADMINISTRATIVAS (ESPECIFICACIONES TECNICAS)</t>
  </si>
  <si>
    <t>1057543-84-LE23</t>
  </si>
  <si>
    <t>Equipos Médicos para HODOM</t>
  </si>
  <si>
    <t>CONCENTRADOR DE OXÍGENO CON BATERIA Y ENCHUFE (Ver Bases Administrativas)</t>
  </si>
  <si>
    <t>2598-50-LE23</t>
  </si>
  <si>
    <t xml:space="preserve">SUMINISTRO DE OXIGENO MEDICINAL Y OTROS </t>
  </si>
  <si>
    <t xml:space="preserve">El Departamento de Salud Municipal Concón, en consideración a la necesidad del Servicio de Atención Primaria de Urgencia de Alta Resolución (SAR), requiere de la contratación del servicio de aprovisionamiento de oxígeno y aire comprimido medicinal, arriendo de cilindros, arriendo de equipo de oxigenoterapia y suministro de repuestos y accesorios, además de eventuales reparaciones, que permitan satisfacer la demanda de aquellos pacientes que requieren de este servicio. </t>
  </si>
  <si>
    <t>4238-54-L123</t>
  </si>
  <si>
    <t>INSUMOS-FARMACOS Y OXIGENO- PGMA CUIDADOS PALIATIVOS UNIV. EN APS-2023</t>
  </si>
  <si>
    <t>INSUMOS, FARMACOS Y OXIGENO- PGMA CUIDADOS PALIATIVOS UNIV. EN APS-2023, DE ACUERDO A ORD. (SALUD) N° 562/2023 Y RESOLUCION N° 212/2023</t>
  </si>
  <si>
    <t>CONCENTRADOR OXIGENO PORTATIL, CON BATERIA RECARGABLE,  QUE INCLUYA MOCHILA, CARRO TRANSPORTADOR, BATERIA Y 02 FILTRO DE REPUESTOS, SE ADJUNTA ANEXO CON LAS ESPECIFICACIONES TECNICAS Y LAS BAE.</t>
  </si>
  <si>
    <t>2273-270-L123</t>
  </si>
  <si>
    <t>EQUIPAMIENTO TERAPEUTICO CENTRO DIURNO EL CASTILLO D-C 1628 EXP. 29862. XG.</t>
  </si>
  <si>
    <t>EQUIPAMIENTO TERAPEUTICO CENTRO DIURNO EL CASTILLO D-C 1628 EXP. 29862. SOLICITADO POR JUAN IGNACIO OLAVE ZULOAGA DIRECTOR DIR. DE DESARROLLO COMUNITARIO.</t>
  </si>
  <si>
    <t>OXIMETRO DE PULSO PARA ADULTOS</t>
  </si>
  <si>
    <t>1021609-24-LQ23</t>
  </si>
  <si>
    <t>CS INSUMOS CLINICOS VIA AEREA 2</t>
  </si>
  <si>
    <t>La presente licitación tiene por objeto asegurar la provisión de productos imprescindibles para la atención de los usuarios beneficiarios del Hospital, considerando la eventual vulneración de los atributos de calidad, seguridad, disponibilidad, permanencia, oportunidad, además de evitar quiebres de stock o sobre stock que merman la eficiencia de la gestión logística de los productos que serán considerados en esta licitación, radicando en ella la importancia de adjudicar los suministros de largo plazo oportunamente.</t>
  </si>
  <si>
    <t>MASCARILLA ORONASAL TALLA S; MASCARILLA ORONASAL TALLA L; MASCARILLA ORONASAL TALLA XL; MASCARILLA ORONASAL TALLA M</t>
  </si>
  <si>
    <t>300000 </t>
  </si>
  <si>
    <t>1057387-67-LE23</t>
  </si>
  <si>
    <t>MANTENCION PREVENTIVA Y CORRECTIVA GASES CLINICOS</t>
  </si>
  <si>
    <t>MANTENCION PREVENTIVA Y CORRECTIVA DEL SISTEMA DE GASES CLINICOS HOSPITAL SAN AGUSTIN COLLIPULLI.</t>
  </si>
  <si>
    <t>MANTENCION PREVENTIVA Y CORRECTIVA DEL SISTEMA DE GASES CLINICOS</t>
  </si>
  <si>
    <t>1260057-40-LE23</t>
  </si>
  <si>
    <t>COMPRA INSUMOS MEDICOS NOVIEMBRE 2023</t>
  </si>
  <si>
    <t>Mascara BIPAP ORONASAL S; Mascara BIPAP ORONASAL L</t>
  </si>
  <si>
    <t>2792-89-LE23</t>
  </si>
  <si>
    <t>SERVICIO DE OXIGENO MEDICINAL PARA LOS ESTABLECIMIENTOS DE SALUD DE HUECHURABA 2023-2024”</t>
  </si>
  <si>
    <t xml:space="preserve">servicio de arriendo y carga de oxigeno y aire medicinal </t>
  </si>
  <si>
    <t>Municipalidad de Huechuraba</t>
  </si>
  <si>
    <t>SERVICIO DE OXIGENO MEDICINAL PARA LOS ESTABLECIMIENTOS DE SALUD DE HUECHURABA 2021-2023, según bases adjuntas y oferta económica en anexo nº 4</t>
  </si>
  <si>
    <t>1180937-18-LE23</t>
  </si>
  <si>
    <t>ADQUISICIÓN EQUIPOS DE APOYO DIAGNOSTICO PARA LOS HOSPITAL COMUNITARIO DE SALUD FAMILIAR DE COELEMU EL CARMEN YUNGAY Y QUIRIHUE</t>
  </si>
  <si>
    <t>El Servicio de Salud Ñuble, mandatado por el GORE Ñuble, requiere la Adquisición Equipos de Apoyo Diagnostico para los Hospital Comunitario de Salud Familiar de Coelemu, El Carmen, Yungay y Quirihue, “Proyecto Adquisición Equipamiento Complejización Camas y Servicios de Urgencia COVID 19” Código BIP 40031881-0.</t>
  </si>
  <si>
    <t>CONCENTRADOR DE OXIGENO; OXIMETRO DE PULSO ADULTO (10 unidades)</t>
  </si>
  <si>
    <t>3334-85-LE23</t>
  </si>
  <si>
    <t>CONVENIO SUMINISTRO DE OXIGENO</t>
  </si>
  <si>
    <t>CONVENIO DE SUMINISTRO DE OXIGENO PARA LOS ESTABLECIMINETOS DE SALUD DEPENDIENTES DEL DESAM LA UNION</t>
  </si>
  <si>
    <t>Convenio de suministro de oxigeno</t>
  </si>
  <si>
    <t>3663-49-LE23</t>
  </si>
  <si>
    <t>Insumos quirúrgicos</t>
  </si>
  <si>
    <t>Abastecer las necesidades de las Unidades clínicas del CESFAM y Postas de Salud Rural de la Comuna de Requínoa.</t>
  </si>
  <si>
    <t>NIPLES OXIGENO</t>
  </si>
  <si>
    <t>3926-69-CO23</t>
  </si>
  <si>
    <t>OXIGENO MEDICINAL DESAM SEGUN SOLICITUD N° 393 SRTA VALENTINA ORTEGA,N° 221 CESFAM BAHIA MANSA SRTA PRISCILLA CATALAN CESFAM PUAUCHO.</t>
  </si>
  <si>
    <t>Ilustre Municipalidad de San Juan de la Costa</t>
  </si>
  <si>
    <t>RECARGA DE CILINDROS DE OXIGENO MEDICINAL (NO ES CONTRATO DE SUMINISTRO), SE ADJUNTA PLANILLA CON EL DETALLE POR CILINDRO(PROPIOS) Y TIPO DE VÁLVULA, CON RETIRO Y ENTREGA EN EL CESFAM PUAUCHO, COMUNA DE SAN JUAN DE LA COSTA, KM 34, RUTA U-400, DÉCIMA REGIÓN</t>
  </si>
  <si>
    <t> 08-11-2023 9:30:00</t>
  </si>
  <si>
    <t>3.678.000</t>
  </si>
  <si>
    <t>812261-102-LQ23</t>
  </si>
  <si>
    <t>SUMINISTRO DE GASES CLÍNICOS PARA EL HLF</t>
  </si>
  <si>
    <t>Las presentes bases de licitación son formuladas para establecer la regulación del proceso de adquisición del
SERVICIO DE SUMINISTRO DE GASES CLÍNICOS PARA EL HOSPITAL LA FLORIDA, y reglamentan entre otros 
aspectos las condiciones que deben cumplir las ofertas, las etapas del proceso licitatorio, su forma de 
evaluación y adjudicación, las condiciones del contrato, y todos los aspectos necesarios para el correcto 
proceso de adquisición</t>
  </si>
  <si>
    <t>SERVICIO SUMINISTRO DE OXÍGENO (10 m3); SERVICIO SUMINISTRO DE ARGÓN (0.7 m3)</t>
  </si>
  <si>
    <t>2311-235-L123</t>
  </si>
  <si>
    <t>INSUMOS Y EQUIPOS CLINICOS DIFERENTES PROGRAMAS</t>
  </si>
  <si>
    <t>Equipos e Insumos clínicos diferentes programas memos N° 127, 137, 139, 198, 199   Cesfam Molina y Memo N° 604 Cesfam Lontue</t>
  </si>
  <si>
    <t>VALVULA PEP El dispositivo de presion respiratoria thershold puede utilizarse para el despeje de las vias respiratorias y para la higiene bronquial para entrenamiento muscular respiratorio SALA ERA CESFAM MOLINA CERTIFICADO 826</t>
  </si>
  <si>
    <t>3946-86-L123</t>
  </si>
  <si>
    <t>Compra de Implementos de Atención Clínicos para las Postas de Salud y CCR del Departamento de Salud Municipal”.</t>
  </si>
  <si>
    <t>I MUNICIPALIDAD DE PICHIDEGUA</t>
  </si>
  <si>
    <t>Saturometro Similar a ChoiceMMed. uso de paciente adulto y pediátrico. P antalla a color OLED retroiluminada con 6 modos de configuración. Muestra SpO2, Ritmo Cardiaco y curva pletismográfica. Función de auto-apagado (luego de 8 segundos). Autonomía de 30</t>
  </si>
  <si>
    <t>898-224-LE23</t>
  </si>
  <si>
    <t>MANTENIMIENTO DE CENTRALES DE AIRE MEDICINAL Y CENTRAL DE VACÍO CORRESPONDIENTE A LAS REDES DE GASES CLÍNICOS</t>
  </si>
  <si>
    <t>1057387-71-L123</t>
  </si>
  <si>
    <t>CAMPAÑA INVIERNO PROGRAMA IRA ERA (VÁLVULAS Y FILTROS)</t>
  </si>
  <si>
    <t>VALVULA PEP SIMILAR A THRESHOLD (VALVULA DE PRESION EXPIRATORIA)</t>
  </si>
  <si>
    <t>4429-100-LE23</t>
  </si>
  <si>
    <t>EQUIPAMIENTO CLINICO MENOR, INSUMOS Y OTROS PARA CENTROS DE SALUD FAMILIAR DEPENDIENTES DE LA MUNICIPALIDAD DE HUALPEN</t>
  </si>
  <si>
    <t>OXIMETRO DE PULSO ADULTO SEGUN BTE</t>
  </si>
  <si>
    <t>1057545-148-L123</t>
  </si>
  <si>
    <t>ADQUISICIÓN INSUMOS Y EQUIPOS PARA PROGRAMA IRA Y ERA</t>
  </si>
  <si>
    <t xml:space="preserve">SERVICIO DE SALUD LOS RÍOS REQUIERE DE LA ADQUISICIÓN DE INSUMOS Y EQUIPOS NECESARIOS PARA EL DESARROLLO DE LAS PRESTACIONES DE PROGRAMAS IRA Y ERA EN LA RED ASISTENCIAL.
LA PRESENTACIÓN DE LOS ANEXOS ADMINISTRATIVOS DEL N°1 AL N°4 SON DE CARÁCTER OBLIGATORIO. POR LO TANTO LAS OFERTAS DE LOS PROVEEDORES QUE NO ADJUNTEN LOS ANEXOS  SERÁN DECLARADAS INADMISIBLES.
</t>
  </si>
  <si>
    <t xml:space="preserve">Válvulas de entrenamiento IMT según características técnicas obligatorias señaladas en Anexo N°4. </t>
  </si>
  <si>
    <t>3926-71-L123</t>
  </si>
  <si>
    <t>CONCENTRADORES DE OXIGENO PORTATIL.</t>
  </si>
  <si>
    <t>Equipamiento para atenciones respiratorias del Dpto. Salud San Juan de la Costa.</t>
  </si>
  <si>
    <t>CONCENTRADOR DE OXIGENO PORTÁTIL, SEGÚN ESPECIFICACIONES TÉCNICAS ADJUNTAS.</t>
  </si>
  <si>
    <t>2825-109-L123</t>
  </si>
  <si>
    <t>EQUIPAMIENTO CLINICO CUIDADOS PALEATIVOS</t>
  </si>
  <si>
    <t>EQUIPAMIENTO CLINICO PARA PROGRAMA CUIDADOS PALEATIVOS</t>
  </si>
  <si>
    <t>874750-69-LE23</t>
  </si>
  <si>
    <t>MTTO PREVENTIVO Y CORRECTIVO DE GASES CLINICO</t>
  </si>
  <si>
    <t xml:space="preserve">El Hospital, solicita el mantenimiento preventivo y correctivo de gases clínicos, por un periodo de 2 años, con un mantenimiento preventivo de forma anual, con el objetivo de mantener en óptimas condiciones el suministro de diferentes gases, para los usuarios que lo necesiten, cumplimiento además las exigencias de seguridad que se requieren. </t>
  </si>
  <si>
    <t>MANTENIMIENTO PREVENTIVO Y CORRECTIVO DE GASES CLINICOS, POR UN PERIODO DE 24 MESES</t>
  </si>
  <si>
    <t>1080093-26-LE23</t>
  </si>
  <si>
    <t>INSUMOS MÉDICOS PARA FORTALECIMIENTO RRHH EN APS</t>
  </si>
  <si>
    <t>El propósito de la presente licitación es la adquisición de productos e insumos de salud y médicos para favorecer el desarrollo de actividades de salas de salud respiratoria, estrategia de vacunación y usuarios en dependencia severa pertenecientes al programa Fortalecimiento RRHH en Atención Primaria de Salud del Servicio de Salud Magallanes.</t>
  </si>
  <si>
    <t>FLUJOMETRO ADULTO: DIMENSIONES: 157 X 44 MM (SIN BOQUILLA), 210 X 44 MM (CON BOQUILLA), PESO: 76G, RANGO DE MEDICIÓN: 60-800 L / MIN (ESCALA ATS), PRECISIÓN: ± 10% O 20 L / MIN (ESCALA ATS), REPETIBILIDAD: ± 5% O 10 L / MIN (ESCALA ATS), CALIBRADO INDIVID</t>
  </si>
  <si>
    <t>2664-52-LE23</t>
  </si>
  <si>
    <t>PROVEER DE OXIGENO Y AIRE MEDICINAL A LOS CENTROS DE SALUD Y AMBULANCIAS DE LA DISAM TOMÉ</t>
  </si>
  <si>
    <t>I MUNICIPALIDAD DE TOME</t>
  </si>
  <si>
    <t>ARRIENDO POR DIA DE CILINDROS DE 1 METRO CUBICO</t>
  </si>
  <si>
    <t>20.000.000</t>
  </si>
  <si>
    <t>JOSE LUIS ORTIZ PEDREROS</t>
  </si>
  <si>
    <t>jose.ortiz@disamtome.cl</t>
  </si>
  <si>
    <t>1057480-42-LQ23</t>
  </si>
  <si>
    <t>SERVCIO DE MANTENCION TOMAS RED CENTRAL DE VACIO</t>
  </si>
  <si>
    <t>CONTRATACIÓN DE LOS SERVICIOS DE MANTENCIÓN PREVENTIVA, REPARATIVA DE: TOMAS, RED,CENTRAL DE VACIÓ, COMPRESOR DE AIRE CLÍNICO, SUMINISTRO DE EQUIPOS Y ACCESORIOS PARA GASES CLÍNICOS EN EL HOSPITAL SAN JOSÉ DE MELIPILLA
RESOLUCIÓN N°002059 CON FECHA 08/11/2023</t>
  </si>
  <si>
    <t>SUMA TOTAL (NETO) DEL CONVENIO (18 MESES; INCLUYE LA TOTALIDAD DE LAS OCHO (8) LINEAS DETALLADAS EN ANEXO °5 Y LOS RESPECTIVOS REQUERIMIENTOS EN BASES DE LICITACIÓN).</t>
  </si>
  <si>
    <t>1057535-9-LE23</t>
  </si>
  <si>
    <t>SERVICIO DE MANTENCIÓN GASES CLÍNICOS 2023</t>
  </si>
  <si>
    <t>Las presentes Especificaciones Técnicas determinan el alcance del mantenimiento de las instalaciones de gases clínicos, para lo que se requiere de servicios externos de empresas especializadas con experiencia comprobable en el rubro, inscrita y vigente en Chile Proveedores, para la ejecución del servicio: Compra de Servicios de Mantenimiento de Gases Clínicos  que se identifican a continuación:
Se entenderán como requisitos mínimos a cumplir por el contratista en lo referente a fabricación, montaje, calidad de materiales, capacidad y tipo de equipos y en general de todos los elementos necesarios para el correcto funcionamiento del sistema gases clínicos, aun cuando no se señalen en estas especificaciones.
En la ejecución de los trabajos el contratista, deberá velar por el fiel cumplimiento de las normas que rigen esta especialidad:
Al termino de los servicios de mantenimiento de Gases Clínicos el contratista elaborara un informe de los servicios prestados.</t>
  </si>
  <si>
    <t>1057544-384-LE23</t>
  </si>
  <si>
    <t>Compra por Suministro de insumos clínicos para las unidades clínicas del HHT</t>
  </si>
  <si>
    <t>Que, el establecimiento requiere la compra de insumos clínicos para su uso en los servicios clínicos del Hospital Las Higueras</t>
  </si>
  <si>
    <t>SERVICIO DE SALUD DE TALCAHUANO HOSPITAL LAS HIGUERAS</t>
  </si>
  <si>
    <t>028-0155 VALVULAS DE ENTRENAMIENTO (PEP)</t>
  </si>
  <si>
    <t>El Hospital, solicita el mantenimiento preventivo y correctivo de gases clínicos, por un periodo de 2 años, con un mantenimiento preventivo de forma anual, con el objetivo de mantener en óptimas condiciones el suministro de diferentes gases, para los usuarios que lo necesiten, cumplimiento además las exigencias de seguridad que se requieren.</t>
  </si>
  <si>
    <t>SERVICIO DE SALUD MAGALLANES HOSPITAL DE PORVENIR</t>
  </si>
  <si>
    <t>1554-50-LE23</t>
  </si>
  <si>
    <t>Servicio Convenio de Reparación de Instrumental</t>
  </si>
  <si>
    <t>El objeto de la licitación es efectuar el llamado a Licitación pública, y regular la presentación de ofertas a fin de satisfacer las demandas de Unidades y Servicios, los cuales deberán tener la suficiencia técnica y especializada para prestar colaboración con el Hospital Regional. Dichos requerimientos y servicios deberán enfocar su trabajo en la atención de calidad, con responsabilidad y pertinencia, encontrándose disponibles para el equipo de salud cuando este lo requiera, subordinándose a las normas del establecimiento hospitalario. Los cuales serán coordinados y supervisados por la contraparte Técnica.</t>
  </si>
  <si>
    <t>SERVICIO DE SALUD ATACAMA HOSPITAL COPIA</t>
  </si>
  <si>
    <t>FLUJOMETRO NIPLES</t>
  </si>
  <si>
    <t>2258-236-LE23</t>
  </si>
  <si>
    <t>ADQUISICION DE EQUIPO PARA LA UNIDAD DE H. D.</t>
  </si>
  <si>
    <t>objetivo primordial  es contar con los equipos e insumos apropiados para la unidad de hospitalización domiciliaria del Hospital Regional de Antofagasta, con la finalidad de satisfacer de manera adecuada y eficiente la labor asistencial del establecimiento</t>
  </si>
  <si>
    <t>Concentrador de Oxigeno Portátil (Con todos sus elementos para ser utilizado)</t>
  </si>
  <si>
    <t>1057508-98-LE23</t>
  </si>
  <si>
    <t>ADQUISICIÓN INSUMOS PARA EL PROGRAMA VENTILACIÓN DOMICILIARIA PARA LA RED ASISTENCIAL DE ÑUBLE SERVICIO DE SALUD ÑUBLE</t>
  </si>
  <si>
    <t>El Servicio de Salud Ñuble, requiere adquirir Insumos para El Programa Ventilación Domiciliaria, para la Red Asistencial de Ñuble.</t>
  </si>
  <si>
    <t>SERVICIO DE SALUD ÑUBLE</t>
  </si>
  <si>
    <t>Mascara oronasal para uso con generador de flujo con presión binivelada Talla s; Arnés adulto 4 puntas  para mascarilla oronasal Airfit F2O Resmed; Mascara oronasal para uso con generador de flujo con presión binivelada Talla L; Filtros para VNI Resmed Stellar 150</t>
  </si>
  <si>
    <t>Varios</t>
  </si>
  <si>
    <t>Belén Concha Sepúlveda</t>
  </si>
  <si>
    <t>belen.concha@redsalud.gov.cl</t>
  </si>
  <si>
    <t>5350-74-L123</t>
  </si>
  <si>
    <t>MEJORAMIENTO DE LA SEGURIDAD DE LA ATENCION CONVENIO AGL CESFAM JOAN CRAWFORD.</t>
  </si>
  <si>
    <t xml:space="preserve">REGULADORES DE OXIGENO CON FLUJOMETRO DE CONEXION TUERCA CON CUPULA </t>
  </si>
  <si>
    <t>2258-240-LR23</t>
  </si>
  <si>
    <t>objetivo primordial es contar con los servicios apropiados considerando optimizar el uso de los recursos disponibles y realizar un contrato con una empresa responsable de realizar el servicio de prestaciones entregadas a domicilio, transfiriendo al lugar de convalecencia del paciente la tecnología necesaria en equipos e insumos para entregar soporte ventilatorio, a través de la entrega de un equipo concentrador, cilindro de Oxigeno de 10 m3 de respaldo al concentrador  y cilindro tipo E de apoyo ambulatorio junto a servicios de refuerzo.</t>
  </si>
  <si>
    <t>1063538-239-LP23</t>
  </si>
  <si>
    <t>CONTRATO MANTENCIÓN SISTEMA DE GASES CLÍNICOS</t>
  </si>
  <si>
    <t xml:space="preserve">El Hospital Base San José de Osorno, en adelante también el “Hospital”, requiere la adquisición del servicio de “Mantención Sistema de Gases Clínicos” del Hospital, de acuerdo a las condiciones establecidas en las presentes bases administrativas, económicas, técnicas y sus anexos. La forma de la presente licitación pública corresponde a adquisición mayor o igual a 1.000 e inferior a 2.000 UTM.
</t>
  </si>
  <si>
    <t>044-2568 | 2206005001 | Mantención preventiva sistema de gases clínicos</t>
  </si>
  <si>
    <t>1057944-19-L123</t>
  </si>
  <si>
    <t>ADQUISICIÓN DE 05 OXÍMETROS DE PULSO PORTÁTILES PARA EL HOSPITAL CARLOS VAN BUREN</t>
  </si>
  <si>
    <t xml:space="preserve">Oxímetros de pulso portátiles </t>
  </si>
  <si>
    <t>1216085-80-LE23</t>
  </si>
  <si>
    <t>OXÍGENO DOMICILIARIO PROGRAMA CUIDADO PALIATIVOS-</t>
  </si>
  <si>
    <t>Realizar la prestación de Oxigeno domiciliario del Programa Cuidado Paliativos universales de la Corporación Municipal de Villa Alemana.
Durante toda la vigencia del contrato, la empresa contratista deberá prestar el servicio solicitado en las presentes bases y especificaciones técnicas de las presentas bases. 
Las coordinaciones de los trabajos serán desde el CECOSF Cien Águilas, ubicado en El Ingenio 0356 , Villa Alemana.
De acuerdo a requerimientos ingresados por sistemas electrónicos vigentes y en atención a necesidades y presupuestos disponibles, no siendo obligación adquirir todo lo adjudicado.</t>
  </si>
  <si>
    <t>Entrega de oxígeno domiciliario según Modalidad A y Modalidad B</t>
  </si>
  <si>
    <t>sin cobertura</t>
  </si>
  <si>
    <t>2284-331-L123</t>
  </si>
  <si>
    <t>ADQUISICIÓN DE CONCENTRADORES DE OXIGENO PARA CUIDADOS PALIATIVOS -  ÁREA DE SALUD MUNICIPAL DE VALDIVIA - SOLICITUD Nº 908-2023</t>
  </si>
  <si>
    <t>EL SERVICIO REQUERIDO SE ENCUENTRA DETALLADO EN BASES ADJUNTAS AL PROCESO.
SE SOLICITA ANALIZAR TODOS LOS ANTECEDENTES DEL PROCESO. EN CASO DE TENER ALGUNA DUDA O CONSULTA, SE DEBE REALIZAR MEDIANTE EL FORO.</t>
  </si>
  <si>
    <t>ADQUISICIÓN DE CONCENTRADOES DE OXIGENO PARA CUIDADOS PALIATIVOS -  ÁREA DE SALUD MUNICIPAL DE VALDIVIA - SOLICITUD Nº 908-2023 - DE ACUERDO A DOCUMENTOS ADJUNTOS AL PROCESO DE LICITACIÓN.</t>
  </si>
  <si>
    <t>1462-31-L123</t>
  </si>
  <si>
    <t xml:space="preserve"> SERVICIO DE MANTENCIÓN PREVENTIVA Y CORRECTIVA DE MANIFOLDS DE OXÍGENO, AIRE MEDICINAL, OXIDO NITROSO Y SISTEMA DE ASPIRACIÓN DUPLEX DE HOSPITAL HUALAÑE</t>
  </si>
  <si>
    <t>El Hospital de Hualañé requiere mantención preventiva y eventualmente correctiva para la central de gases clínicos, Oxígeno, aire medicinal, oxido nitroso y vacío con el objetivo de mantener en correcto funcionamiento las centrales a través de las revisiones programadas y estipuladas por protocolos diseñados de fabrica con equipos calibrados y personal debidamente capacitado y avalado por el fabricante.</t>
  </si>
  <si>
    <t>Provisión de 15 Flujómetros de Oxígeno 0-15 (Lxm), Incluye conector Diamond</t>
  </si>
  <si>
    <t>2274-113-LE23</t>
  </si>
  <si>
    <t>ADQUISICIÓN DE EQUIPAMIENTO DE OXIGENOTERAPIA DEC 1815</t>
  </si>
  <si>
    <t>ADQUISICIÓN DE EQUIPAMIENTO DE OXIGENOTERAPIA PARA CESFAM DE LA COMUNA DE LA PINTANA DEC 1815</t>
  </si>
  <si>
    <t>Concentrador de Oxígeno de acuerdo a las especificaciones técnicas. Art. N°1 (linea 1).</t>
  </si>
  <si>
    <t>525800-42-L123</t>
  </si>
  <si>
    <t>INSUMOS CLINICOS NP 935</t>
  </si>
  <si>
    <t>SE REQUIERE ADQUIRIR INSUMOS PARA FARMACIA DE CESFAM ITURRA DE ACUERDO A BASES ADMINISTRATIVAS Y TÉCNICAS ADJUNTAS. SE DEBE ADJUNTAR ANEXOS OBLIGATORIOS</t>
  </si>
  <si>
    <t>I MUNICIPALIDAD DE SAN FELIPE</t>
  </si>
  <si>
    <t>OXIMETRO DE PULSO DEDO, MONITOR DE SpO2 (SATURACION DE OXIGENO) Y PR (FRECUENCIA DEL PULSO), DISPOSITIVO DIGITAL. GARANTÍA SUPERIOR A 12 MESES</t>
  </si>
  <si>
    <t>1057539-246-LE23</t>
  </si>
  <si>
    <t>ADQUISICIÓN DE INSUMOS MURALES Y PORTÁTILES DE GASES CLÍNICOS SOLIC 109</t>
  </si>
  <si>
    <t>adquisición de Insumos Murales y Portátiles de gases Clínicos, con el objeto mantener el stock necesario para mantener la red de gases clínicos y oxígenos en los distintos servicios HPM.</t>
  </si>
  <si>
    <t>Adquisición de Insumos Murales y Portátiles de gases Clínicos del Hospital Puerto Montt, generar oferta según formulario N° 8 "OFERTA ECONÓMICA”</t>
  </si>
  <si>
    <t>1057414-37-LE23</t>
  </si>
  <si>
    <t>ADQ. INSUMOS RESPIRATORIOS PARA EL SS.BB.</t>
  </si>
  <si>
    <t>ADQUISICIÓN DE ESPIRÓMETROS, BOMBA DE ASPIRACIÓN Y SATURÓMETRO POR EL PROGRAMA FORTALECIMIENTO RECURSO HUMANO EN ATENCIÓN PRIMARIA DEL SS.BB</t>
  </si>
  <si>
    <t>Oferta Económica - OXIMETRO/SATUROMETRO NEONATAL/PEDIATRICO/ADULTO</t>
  </si>
  <si>
    <t>4484-54-LE23</t>
  </si>
  <si>
    <t>MEDICAMENTOS E INSUMOS PROG. CUIDADOS PALIATIVOS</t>
  </si>
  <si>
    <t>SE REQUIERE MEDICAMENTOS E INSUMOS MEDICOS PARA DAR CUMPLIMIENTO AL PROGRAMA  CUIDADOS PALIATIVOS</t>
  </si>
  <si>
    <t>CONCENTRADOR DE OXÍGENO PHILIPS EVERFLO (IGUAL O SIMILAR); OXÍMETRO DE PULSO ADULTOCHOICEMMED MD330C2 (IGUAL O SIMILAR) VER BASES (3 unidades)</t>
  </si>
  <si>
    <t>2098-229-LQ23</t>
  </si>
  <si>
    <t>SERVICIO DE OXIGENOTERAPIA DOMICILIARIA HOSPITAL DE CURANILAHUE</t>
  </si>
  <si>
    <t xml:space="preserve">Conforme a Ley de Compras Públicas Nº19.886, el reglamento y sus modificaciones, el Hospital Dr. Rafael Avaria Valenzuela de Curanilahue a través de su Unidad de abastecimiento, invita a los oferentes, personas naturales o jurídicas, a participar en la licitación pública para participar de un Convenio de SERVICIO DE OXIGENOTERAPIA DOMICILIARIA HOSPITAL DE CURANILAHUE. Las Bases Administrativas, Bases Técnicas, Anexos de Licitación y todas las contempladas en el ID 2098-229-LQ23 establecen las condiciones que regirán la Licitación y el posterior convenio que se celebre para dar cumplimiento a este objeto. </t>
  </si>
  <si>
    <t>1057508-99-LE23</t>
  </si>
  <si>
    <t>“ADQUISICIÓN FILTROS PARA ESPIROMETROS Y FLUJOMETROS MINI WRIGHT PARA LA RED DE SALUD RESPIRATORIA IRA ERA SERVICIO DE SALUD ÑUBLE”</t>
  </si>
  <si>
    <t>El Servicio de Salud Ñuble, requiere adquirir 13 espirómetros para los Establecimientos de la Red Asistencial de la Provincia de Ñuble, con el fin de reponer e implementar esta herramienta diagnóstica en las salas IRA-ERA.</t>
  </si>
  <si>
    <t>FLUJOMETROS MINI WRIGHT</t>
  </si>
  <si>
    <t>958479-50-LE23</t>
  </si>
  <si>
    <t xml:space="preserve"> INSUMOS MÉDICOS DEPARTAMENTO ATENCIÓN CERRADA HPW</t>
  </si>
  <si>
    <t>El propósito de la presente licitación es para la adquisición de insumos yo productos médicos para  la atención de usuarios del Departamento de Atención Cerrada del Hospital Comunitario Cristina Calderón de Puerto Williams.</t>
  </si>
  <si>
    <t>FRASCO HUMIDIFICADOR 500</t>
  </si>
  <si>
    <t>2887-33-L123</t>
  </si>
  <si>
    <t>EQUIPOS MEDICOS PROGRAMA CUIDADOS PALIATIVOS</t>
  </si>
  <si>
    <t>ADQUISICION DE EQUIPOS MEDICOS PARA PROGRAMA CUIDADOS PALIATIVOS</t>
  </si>
  <si>
    <t>2069-140-LQ23</t>
  </si>
  <si>
    <t>KUR-SUMNISTRO OXIGENO CRIOGENICO</t>
  </si>
  <si>
    <t>SERVICIO DE SALUD METROPOLITANO SUR HOSPITAL BARROS LUCO TRUDEAU</t>
  </si>
  <si>
    <t>Servicio de Suministro de Oxígeno Criogénico</t>
  </si>
  <si>
    <t>2682-89-L123</t>
  </si>
  <si>
    <t>OXIMETROS DE PULSO DIGITAL PORTATIL PARA OXIMETRÍA NOCTURNA</t>
  </si>
  <si>
    <t>ADQUISICIÓN DE DISPOSITIVO MÉDICO PARA CONTAR CON DISPONIBILIDAD EN LOS ESTABLECIMIENTOS DE SALUD DEPENDIENTES DEL DEPARTAMENTO DE SALUD DE INDEPENDENCIA</t>
  </si>
  <si>
    <t>I MUNICIPALIDAD DE INDEPENDENCIA</t>
  </si>
  <si>
    <t>OXIMETRO DE PULSO DIGITAL PORTATIL ADULTO/PEDIATRICO PARA OXIMETRIA CONTINUA NOCTURNA, ADJUNTAR FICHA TECNICA</t>
  </si>
  <si>
    <t>1237328-14-LE23</t>
  </si>
  <si>
    <t>AGL PUESTA EN MARCHA CESFAM THOMAS FENTON</t>
  </si>
  <si>
    <t>Corporación Municipal de Punta Arenas, en adelante la CORMUPA, llama a los oferentes, personas naturales o jurídicas, a presentar sus ofertas para suscribir un contrato destinado a proceder a las adquisiciones pendientes destinadas al cumplimiento de los objetivos del convenio; mejorar las condiciones de calidad, oportunidad y continuidad de atención al establecimiento de Atención Primaria, equipamiento e insumos y mantenimiento</t>
  </si>
  <si>
    <t>Flujómetros de aire pediátricos de 0 a 3,5 lts.</t>
  </si>
  <si>
    <t>3747-33-L123</t>
  </si>
  <si>
    <t>MATERIALES E INSUMOS RHB PULMONAR Y FONOAUDIOLOGOS</t>
  </si>
  <si>
    <t>MATERIALES E INSUMOS PARA REHABILITACION PULMONAR Y MATERIALES PARA FONOAUDIOLOGO POR PROGRAMA COMPLEMENTARIO ESTRATEGIAS DE REFUERZO EN APS PARA ENFRENTAR PANDEMIA COVID-19 AÑO 2023.</t>
  </si>
  <si>
    <t xml:space="preserve">Válvulas IMT (o válvulas Threshold): que deben ser indicadas en usuarios que se objetive la debilidad muscular respiratoria por medio de pimometrìa
</t>
  </si>
  <si>
    <t>1075337-108-LR23</t>
  </si>
  <si>
    <t>INS DE VENT. INVASIVA Y NO INVASIVA PEDIATRICA</t>
  </si>
  <si>
    <t>La presente licitación tiene como objetivo la compra de insumos para ventilación pediátrica del Hospital de Angol del Hospital Dr. Mauricio Heyermann Torres de Angol.</t>
  </si>
  <si>
    <t>INS011287 MASCARA ORONASAL TALLA M MODELO SIMILAR A PERFORMATRAK REUSABLE PACK</t>
  </si>
  <si>
    <t> 04-12-2023 9:00:00</t>
  </si>
  <si>
    <t>3486-93-L123</t>
  </si>
  <si>
    <t>EQUIPAMIENTO KINESICO</t>
  </si>
  <si>
    <t>ADQ. DE EQUIPAMIENTO KINESICO PARA CESFAM DE NUEVA IMPERIAL SP. 608</t>
  </si>
  <si>
    <t>I MUNICIPALIDAD DE NUEVA IMPERIAL</t>
  </si>
  <si>
    <t>BOQUILLA FLUJOMETRO ADULTO-PEDIATRICO, DE CARTON, COMPATIBLE CON ESPIROMETRO MINI WRIGTH</t>
  </si>
  <si>
    <t>2780-162-L123</t>
  </si>
  <si>
    <t xml:space="preserve">EQUIPAMIENTO MEDICOS PARA CESFAM Y PSR </t>
  </si>
  <si>
    <t>COMPRA DE EQUIPAMIENTOS MEDICOS PARA PROGRAMA 2DO. ADENDUM FORTALECIMIENTO RRHH 2022</t>
  </si>
  <si>
    <t>Poco tiempompara ofertar</t>
  </si>
  <si>
    <t>3651-49-LE23</t>
  </si>
  <si>
    <t>CS. OXIGENO MEDICINAL Y AIRE COMPRIMIDO</t>
  </si>
  <si>
    <t>PRESUPUESTO MUNICIPAL 2023-2024</t>
  </si>
  <si>
    <t>SUMINISTRO OXIGENO MEDICINAL Y AIRE COMPRIMIDO, PARA CESFAM Y POSTAS RURALES DE LA COMUNA DE QUILLECO, VER BASES ADMINISTRATIVAS</t>
  </si>
  <si>
    <t>3926-75-L123</t>
  </si>
  <si>
    <t xml:space="preserve">FARMACOS E INSUMOS </t>
  </si>
  <si>
    <t xml:space="preserve">ABASTECIEMIENTO DESAM SAN JUAN DE LA COSTA </t>
  </si>
  <si>
    <t>Boquilla de cartón para flujómetro 3 cm diámetro</t>
  </si>
  <si>
    <t>5054-37-LE23</t>
  </si>
  <si>
    <t>Adquisición de polígrafo y concentrado de oxigeno</t>
  </si>
  <si>
    <t>El objetivo de la presente licitación, es la adquisición de equipamiento para Hospitalización Domiciliaria del Hospital Regional de Talca, con el fin de cumplir con los requerimientos de la institución.</t>
  </si>
  <si>
    <t>POLIGRAFO. Ver anexo N°5 Especificaciones técnicas; CONCENTRADOR DE OXIGENO. Ver anexo N°5 Especificaciones técnicas (3 unidades)</t>
  </si>
  <si>
    <t> 23-11-2023 17:30:00</t>
  </si>
  <si>
    <t>1057476-45-LE23</t>
  </si>
  <si>
    <t xml:space="preserve"> SUMINISTRO DE RECARGA Y ARRIENDO DE CILINDROS DE OXÍGENO MEDICINAL</t>
  </si>
  <si>
    <t>SE REQUIERE DISPONER DEL CONVENIO DE SUMINISTRO DE RECARGA Y ARRIENDO DE CILINDROS DE OXÍGENO MEDICINAL A UTILIZARSE EN UNIDADES CLÍNICAS DE LA INSTITUCIÓN, SEGÚN BASES ADMINISTRATIVAS Y TÉCNICAS APROBADAS POR RES. EXENTA N° 1930/2023</t>
  </si>
  <si>
    <t>INSTITUTO PSIQUIATRICO DR JOSE HORWITZ BARAK</t>
  </si>
  <si>
    <t>5.400 m3 en servicios de recargas de cilindros de 10 m3</t>
  </si>
  <si>
    <t>5061-216-L123</t>
  </si>
  <si>
    <t>S342 Servicio de suministro oxigeno medico, aire medicinal y arriendo de cilindros, para establecimientos de salud municipal.</t>
  </si>
  <si>
    <t>Deuda Linde</t>
  </si>
  <si>
    <t>1057429-38-LE23</t>
  </si>
  <si>
    <t>EQUIPAMIENTO CLINICO</t>
  </si>
  <si>
    <t>EQUIPAMIENTO CLINICO PARA DISTINTAS UNIDADES DEL HOSPITAL, POR VIDA UTIL O NECESIDAD</t>
  </si>
  <si>
    <t>SERVICIO NACIONAL DE SALUD HOSPITAL DE CORONEL</t>
  </si>
  <si>
    <t>VENTILADOR MECANICO NO INVASIVO</t>
  </si>
  <si>
    <t>1057551-4-L123</t>
  </si>
  <si>
    <t>COMPRA DE MONITOR MULTIPARÁMETROS y OXÍMETRO DE PULSO PARA EL HOSPITAL DE PAILLACO.”</t>
  </si>
  <si>
    <t xml:space="preserve">Hospital paillaco requiere la adquisicion de 2 monitor multiparámetros y 1 oximetro de pulso  </t>
  </si>
  <si>
    <t>SERVICIO DE SALUD VALDIVIA HOSPITAL DE P</t>
  </si>
  <si>
    <t xml:space="preserve">oximetro de pulso </t>
  </si>
  <si>
    <t>2381-86-LE23</t>
  </si>
  <si>
    <t>ADQUISICIÓN DE FÁRMACOS INSUMOS Y EQUIPOS PARA EL</t>
  </si>
  <si>
    <t>ADQUISICIÓN DE FÁRMACOS, INSUMOS Y EQUIPOS PARA EL PROGRAMA CAMPAÑA DE INVIERNO</t>
  </si>
  <si>
    <t>REGULADOR DE OXIGENO MEDICINAL, TIPO TUERCA CON FLUJÓMETRO DE COLUMNA, SEGUN BASES ADJUNTAS</t>
  </si>
  <si>
    <t>4735-51-L123</t>
  </si>
  <si>
    <t>Convenio de suministro oxigeno medicinal y arriendo de tubos para el Departamento de Salud Municipal de CholChol año 2024</t>
  </si>
  <si>
    <t>Las presentes Bases Administrativas tienen por objetivo regular el proceso de licitación, evaluación, adjudicación, entre otros, para la propuesta de “Convenio de Suministro Oxígeno medicinal y arriendo de tubos para el Departamento de Salud Municipal de CholChol, año 2024”, para contar con los insumos necesarios y dar respuesta a las distintas necesidades de la  Municipalidad de Cholchol durante el año señalado.</t>
  </si>
  <si>
    <t>SERVICIO CARGA BALONES DE OXIGENO MEDICINAL A TRAVES DE MODALIDAD DE ARRIENDO DE TUBOS, SEGUN BASES TECNICAS (INGRESAR VALORES UNITARIOS DETALLADOS EN ANEXO N°3)</t>
  </si>
  <si>
    <t>1216085-86-CO23</t>
  </si>
  <si>
    <t>Realizar la prestación de Oxigeno domiciliario del Programa Cuidado Paliativos universales de la Corporación Municipal de Villa Alemana.
Durante toda la vigencia del contrato, la empresa contratista deberá prestar el servicio solicitado en las presentes bases y especificaciones técnicas de las presentas bases. 
Las coordinaciones de los trabajos serán desde el CECOSF Cien Águilas, ubicado en El Ingenio 0356 , Villa Alemana.
De acuerdo a requerimientos ingresados por sistemas electrónicos vigentes y en atención a necesidades y presupuestos disponibles, no siendo obligación adquirir todo lo adjudicado</t>
  </si>
  <si>
    <t/>
  </si>
  <si>
    <t>557639-77-L123</t>
  </si>
  <si>
    <t>ADQUISICIÓN DE CONCENTRADORES DE OXÍGENO.</t>
  </si>
  <si>
    <t>Abastecer en forma oportuna de Concentradores de oxígeno al Equipo del Programa de cuidados paliativos de alivio del dolor.
Comprar equipos a instituciones debidamente acreditadas.
Entregar los productos al Equipo de Apoyo de Cuidados Paliativos de alivio del dolor.
Comprar de acuerdo a los requerimientos técnicos en las cantidades indicadas.
Que el despacho sea parcial, con entrega de 1 equipo mensual en la dirección indicada.</t>
  </si>
  <si>
    <t>CORP MUNICIPAL DE SERVICIOS PUBLICOS TRASPASADOS DE RANCAGUA</t>
  </si>
  <si>
    <t xml:space="preserve">Concentrador de Oxígeno EverFlo Philips Respironics
Flujo variable de 0,5 a 5,0 L por minuto.
Presión de salida 6 lb/plg2.
Filtro entrada Tipo Pall, calor / humedad
Filtro salida oxígeno: Antibacteriano
Extensión máxima de vía de oxígeno 15 mts
220 </t>
  </si>
  <si>
    <t>2757-72-L123</t>
  </si>
  <si>
    <t>ADQUISICIÓN DE INSUMOS OXIGENOTERAPIA PARA RED SAL</t>
  </si>
  <si>
    <t>ADQUISICIÓN DE INSUMOS OXIGENOTERAPIA PARA RED DE SALUD MUNICIPAL, SAN ANTONIO
VER BASES ADMINISTRATIVAS, TÉCNICAS Y SUS ANEXOS DE LICITACION ADJUNTAS</t>
  </si>
  <si>
    <t>ADQUISICIÓN DE INSUMOS OXIGENOTERAPIA PARA RED DE SALUD MUNICIPAL, SAN ANTONIO (VER BASES ADJUNTAS)</t>
  </si>
  <si>
    <t>3606-30-LE23</t>
  </si>
  <si>
    <t>CONCENTRADORES DE OXIGENO PORTATIL</t>
  </si>
  <si>
    <t>ADQUISICION DE CINCO CONCENTRADORES DE OXIGENO PORTATIL, DESTINADOS AL BUEN FUNCIONAMIENTO DE LAS POSTAS RURALES DE LA COMUNA DE MULCHEN, ADMINISTRADAS POR EL DEPARTAMENTO DE SALUD MUNICIPAL, SEGUN PROGRAMA CUIDADOS PALIATIVOS AÑO 2023.</t>
  </si>
  <si>
    <t>CONCENTRADORES DE OXIGENO ESTACIONARIO CON FLUJO DE 1 A 5 LTS POR MIN. FLUJO CONTINUO, CONCENTRACION 90% + 6% EN TODOS LOS AJUSTES, BAJO CONSUMO ENERGETICO, SILENCIOSO, ALIMENTACION AC DE 100 A 240V, 275W, 50-60Hz, MEDIDAS 33 X 17.8 X 41,9 CM</t>
  </si>
  <si>
    <t>2111-323-LE23</t>
  </si>
  <si>
    <t>EQUIPOS DE HOSPITALIZACIÓN DOMICILIARIA</t>
  </si>
  <si>
    <t>Contratar la Adquisición de Equipos de Hospitalización Domiciliaria para el Hospital de Urgencia Asistencia Pública</t>
  </si>
  <si>
    <t>CONCENTRADOR DE OXÍGENO 10LPM; CONCENTRADOR DE OXÍGENO 5LPM</t>
  </si>
  <si>
    <t>1469-505-L123</t>
  </si>
  <si>
    <t>“EQUIPAMIENTO DE INSUMOS DE SALUD PROGRAMA PACE, UNIVERSIDAD DE TALCA”</t>
  </si>
  <si>
    <t xml:space="preserve">La Universidad de Talca requiere adquirir equipamiento de insumos de salud Programa PACE para estudiantes adscritos al programa matriculados en la institución. </t>
  </si>
  <si>
    <t>3246-63-LE23</t>
  </si>
  <si>
    <t>INT GS 43 JVP ADQUISICIÓN DE EQUIPOS MÉDICOS</t>
  </si>
  <si>
    <t>ADQUISICIÓN DE INSTRUMENTOS DE SIMULACIÓN Y EQUIPOS MÉDICOS</t>
  </si>
  <si>
    <t>VENTILADOR MECÁNICO PORTÁTIL SEGÚN BASES TÉCNICAS</t>
  </si>
  <si>
    <t>1057967-13-LE23</t>
  </si>
  <si>
    <t>Equipos y Equipamiento SAR Michelle Bachelet</t>
  </si>
  <si>
    <t>El Servicio de Salud Metropolitano Central requiere la adquisición de Equipos y Equipamiento de bajo costo para el SAR en Cesfam Michelle Bachelet Jeria de Maipú.</t>
  </si>
  <si>
    <t>Balón de oxígeno con flujómetro</t>
  </si>
  <si>
    <t>2773-79-LE23</t>
  </si>
  <si>
    <t>ADQUISICIÓN EQUIPAMIENTO CLÍNICO</t>
  </si>
  <si>
    <t>La Ilustre Municipalidad de Chiguayante, a través de la Unidad de Compra de su Dirección de
Administración de Salud, hace el llamado a licitación pública para la adquisición de equipoequipamiento clínico en el marco del Apoyo a la gestión local en atención primaria municipal, proyecto
contingencia incendios año 2023.
El fundamento de esta adquisición se encuentra contenida en Solicitud de Pedido Interno N°283-2023,
la documentación de respaldo y las especificaciones técnicas que se detallan a continuación.</t>
  </si>
  <si>
    <t>REGULADORES FLUJOMETROS
 FLUJOMETRO DE OXÍGENO ADULTO (CGA 540)
● Para tanques con tuerca de conexión cilindro G 5/8 Estándar
CGA 540
● Con botella humidificadora y regulador de oxígeno
● Material de la botella: Plástico
● Capacidad: 150ml
● Conexi</t>
  </si>
  <si>
    <t>557974-146-L123</t>
  </si>
  <si>
    <t>CONCENTRADOR Y TUBOS DE OXIGENO</t>
  </si>
  <si>
    <t>2598-58-LE23</t>
  </si>
  <si>
    <t>1057547-520-LQ23</t>
  </si>
  <si>
    <t>Normalizacion de Matrices y Columnas  gases Clinic</t>
  </si>
  <si>
    <t>Compra de Servicios Normalizacion de Matrices y Columnas de Gases Clinicos de Pabellones Quirurgicos del Hospital Base Valdivia</t>
  </si>
  <si>
    <t>NORMALIZACION DE MATRICES Y COLUMNAS DE GASES CLINICOS DE PABELLONES QUIRURGICOS</t>
  </si>
  <si>
    <t>4707-66-L123</t>
  </si>
  <si>
    <t>I MUNICIPALIDAD DE SAN NICOLAS</t>
  </si>
  <si>
    <t>SUMINISTRO ANUAL DE OXIGENO MEDICINAL</t>
  </si>
  <si>
    <t>3486-95-L123</t>
  </si>
  <si>
    <t>concentrador de O2 para Unidad de Cuidados Paliativos, para el cumplimiento de lineamientos (S.P. N° 498)</t>
  </si>
  <si>
    <t>CONCENTRADOR DE OXIGENO ESTACIONARIO, SEGÚN BASES TECNICAS ADJUNTAS (DEBE CUMPLIR CON TODAS LAS ESPECIFICACIONES)</t>
  </si>
  <si>
    <t>1057544-410-LE23</t>
  </si>
  <si>
    <t>Compra por Suministro de Insumos Clínicos para procedimientos de Cirugías Cardiacas</t>
  </si>
  <si>
    <t>Que, el establecimiento requiere la compra de productos para las distintas unidades y servicios clínicos del Hospital Las Higueras</t>
  </si>
  <si>
    <t>054-1238 VÁLVULA RESPIRATORIA VIBRACIÓN PEP ALTO FUJO</t>
  </si>
  <si>
    <t>1398-160-LE23</t>
  </si>
  <si>
    <t>INSUMOS VENTILACIÓN MECÁNICA</t>
  </si>
  <si>
    <t>Adquirir insumos para equipos de ventilación mecánica para Programa de Asistencia Ventilatoria No invasiva adultos y  niños.</t>
  </si>
  <si>
    <t>Mascarilla nasal para ventilación no invasiva de silicona, talla S; Interface Oronasal de Silicona, talla M</t>
  </si>
  <si>
    <t>VARIAS</t>
  </si>
  <si>
    <t>1057541-77-LE23</t>
  </si>
  <si>
    <t>CONVENIO DE SUMINISTROS OXÍGENO MEDICINAL</t>
  </si>
  <si>
    <t>Se requiere Convenio de Suministro de Oxígeno Medicinal para la atención pre-hospitalaria de pacientes para el Departamento SAMU del Servicio Salud Talcahuano, por un periodo de 24 meses o hasta agotar el presupuesto disponible, lo que ocurra primero. Se requiere realizar un contrato por los servicios de suministro de oxígeno medicinal para: 17 ambulancias con las que cuenta el Departamento SAMU, requiriendo contar con un stock de 10 cilindros de oxígeno con válvula CGA-540 de 6 metros cúbicos para recambio yo recarga y con un stock de 48 cilindros menor o igual a 1 metro cubico, de fácil transporte y con regulador incorporado</t>
  </si>
  <si>
    <t xml:space="preserve">Se requiere Convenio de Suministro de Oxígeno Medicinal para la atención pre-hospitalaria de pacientes para el Departamento SAMU del Servicio Salud Talcahuano, por un periodo de 24 meses o hasta agotar el presupuesto disponible, lo que ocurra primero. Se </t>
  </si>
  <si>
    <t>2366-139-LE23</t>
  </si>
  <si>
    <t>CILINDROS DE OXIGENOS OYL SC N 70</t>
  </si>
  <si>
    <t>Cilindro para oxigeno de aluminio de 0,7 m3
Acoplamiento tipo Rosca americana
Aluminio 
Estándar
Valvula H con hilo americano
Tapa de seguridad
Incluir prueba hidroestática y certificado</t>
  </si>
  <si>
    <t>2832-70-LE23</t>
  </si>
  <si>
    <t>Adquisición Equipamiento Clínico Depto. Salud Qta.</t>
  </si>
  <si>
    <t>La I. Municipalidad de Quillota- Departamento de Salud, en adelante, “Departamento de Salud”, confecciona las presentes Bases con el objeto de adquirir equipamiento clínico para la ejecución de programas en Centros de Salud Perteneciente a la Red Municipal.</t>
  </si>
  <si>
    <t>CONCENTRADOR DE OXÍGENO OLIVE OLV-10S O EQUIVALENTE SEGÚN ARTÍCULO 41 DE BASES TÉCNICAS DE LICITACIÓN.</t>
  </si>
  <si>
    <t>1057387-82-L123</t>
  </si>
  <si>
    <t xml:space="preserve">COMPRA DE VALVULA DE ENTRENAMIENTO RESPIRATORIO </t>
  </si>
  <si>
    <t>Válvula de entrenamiento respiratorio similar a IMT/PEP, modelo All in One, con presión ajustable. Resistencia ajustable en cmH20. Certificación IST Chile. de Acrilico resistente al impacto, boquilla de polipropileno</t>
  </si>
  <si>
    <t>Válvula de entrenamiento respiratorio similar a IMT/PEP</t>
  </si>
  <si>
    <t>3926-77-L123</t>
  </si>
  <si>
    <t>CONCENTRADOR DE OXIGENO.</t>
  </si>
  <si>
    <t xml:space="preserve">EQUIPAMIENTO PROGRAMA CUIDADOS PALIATIVOS </t>
  </si>
  <si>
    <t>2125-116-LE23</t>
  </si>
  <si>
    <t>MANTENIMIENTO DE CENTRAL DE AIRE MEDICINAL</t>
  </si>
  <si>
    <t>Solicitado por SSGG-173-23</t>
  </si>
  <si>
    <t>Contratación de servicios por mantenimiento preventivo y correctivo y repuestos para la central de aire medicinal del Hospital Dr. Humberto Elorza Cortes de Illapel, por un periodo de 24 meses . Favor revisar bases adjuntas.</t>
  </si>
  <si>
    <t>1057384-112-LE23</t>
  </si>
  <si>
    <t>SUMINISTRO DE OXIGENO GASEOSO MEDICINAL</t>
  </si>
  <si>
    <t>SUMINISTRO DE OXIGENO GASEOSO MEDICINAL, OXIDO NITROSO Y OXICALM EN CILINDROS PARA HOSPITAL DE TOCOPILLA</t>
  </si>
  <si>
    <t>SERVICIO DE SALUD ANTOFAGASTA HOSPITAL M</t>
  </si>
  <si>
    <t>SUMINISTRO DE OXIGENO GASEOSO MEDICINAL, OXIDO NITROSO Y OXICALM EN CILINDROS PARA EL HOSPITAL DE TOCOPILLA</t>
  </si>
  <si>
    <t>1642-60-LE23</t>
  </si>
  <si>
    <t>Concentradores de oxígeno</t>
  </si>
  <si>
    <t>“Concentradores de oxígeno para la Unidad de Hospitalización Domiciliaria” para el Hospital de Curacaví.</t>
  </si>
  <si>
    <t>2189-79-LR23</t>
  </si>
  <si>
    <t>Conservación Gases Clínicos Hospital de Molina, segundo llamado, según documentación adjunta.</t>
  </si>
  <si>
    <t>2067-44-LE23</t>
  </si>
  <si>
    <t>M. PREV. Y CORREC. DE EQUIPAMIENTO GASES CLINICOS</t>
  </si>
  <si>
    <t>El Hospital de Cunco, ubicado en la comuna del mismo nombre, requiere el servicio de mantención preventiva y correctiva de equipamientos de gases clínicos, por un periodo de 12 meses. Se requiere un servicio de mantenimiento preventivo programado y mantenimiento correctivo. Contar con el suministro de los repuestos y accesorios necesarios para estas actividades.</t>
  </si>
  <si>
    <t>SERVICIO SALUD ARAUCANIA SUR HOSPIT DR EDUARDO GONZALEZ GALENO CUNCO</t>
  </si>
  <si>
    <t>SERVICIO DE MANTENCION PREVENTIVA Y CORRECTIVA DE EQUIPAMIENTO DE GASES CLINICOS.</t>
  </si>
  <si>
    <t>1384-81-L123</t>
  </si>
  <si>
    <t>MATERIALES SALA IRA - ERA</t>
  </si>
  <si>
    <t>Adquisición de equipos para terapia kinesiológica llevadas a cabo en salas IRA-ERA de los  CESFAM de la comuna más despacho de los productos requeridos según siguiente desglose</t>
  </si>
  <si>
    <t>OXÍMETROS DE PULSO</t>
  </si>
  <si>
    <t>899-50-LE23</t>
  </si>
  <si>
    <t xml:space="preserve">COMPRA DE EQUIPOS MEDICOS DEL PROGRAMA APS CUIDADOS PALEATIVOS </t>
  </si>
  <si>
    <t xml:space="preserve">HOSPITAL SAN JOSE DE CASABLANCA REQUIERE REALIZAR LA COMPRA DE EQUIPOS MEDICOS DEL PROGRAMA APS CUIDADOS PALIATIVOS </t>
  </si>
  <si>
    <t xml:space="preserve">OXIMETRO DE PULSO PORTATIL </t>
  </si>
  <si>
    <t>1057501-253-LQ23</t>
  </si>
  <si>
    <t xml:space="preserve">CONVENIO GASES MEDICINALES PARA EL CASR. </t>
  </si>
  <si>
    <t>SE SOLICITA CONTAR CON LOS SUMINISTROS DE GASES MEDICINALES PARA EL CASR.</t>
  </si>
  <si>
    <t>50-310-000-004-00 AIRE COMPRIMIDO M3</t>
  </si>
  <si>
    <t>5000000 </t>
  </si>
  <si>
    <t>1237328-15-LE23</t>
  </si>
  <si>
    <t>CONCENTRADORES DE OXÍGENO SEGUNDO LLAMADO</t>
  </si>
  <si>
    <t>La presente descripción del servicio está dedicada a la siguiente licitación destinada a la adquisición de concentradores de oxígeno, para mejorar el alivio de síntomas, a través de procedimientos o indicaciones de oxigenoterapia. Los servicios deberán llevarse a cabo de acuerdo con lo determinado en las Bases Administrativas y Bases Técnicas de la presente licitación.</t>
  </si>
  <si>
    <t>Adquisición de concentradores de oxígeno, para mejorar el alivio de síntomas, a través de procedimientos o indicaciones de oxigenoterapia</t>
  </si>
  <si>
    <t>1057922-48-LE23</t>
  </si>
  <si>
    <t>ADQUISICIÓN DE EQUIPAMIENTO PARA SALAS IRA</t>
  </si>
  <si>
    <t>Reposición e implementación de equipamiento para abordaje de patologías respiratorias agudas y/o crónicas, con el objetivo de aumentar resolutividad en el abordaje, generar mayor acceso a prestaciones y contar con evaluaciones que contribuyan a objetivar riesgo clínico de los usuarios con el objetivo de brindar atenciones en condiciones de seguridad.</t>
  </si>
  <si>
    <t>CONCENTRADOR OXÍGENO PORTÁTIL; POLÍGRAFO RESPIRATORIO; AUTOCPAP</t>
  </si>
  <si>
    <t>1950-119-LP23</t>
  </si>
  <si>
    <t>121-23 OXIGENO LIQUIDO H. Pitrufquen</t>
  </si>
  <si>
    <t>Suministro de oxígeno líquido que incluya el oxígeno gaseoso para el respaldo de la red. En este caso, los cilindros no tendrán costo de arrendamiento.
El contrato considerará, además, y sin costo para el hospital, lo siguiente:
- Provisión e instalación de estanque de oxígeno de 5.000 litros aprox.
- Estación criogénica, instalaciones complementarias ejemplo: tableros eléctricos y telemetría.
- Protección eléctrica a batería, para cilindros de respaldo.
- Sirena, alarmas y señalética para casos de emergencias.
Todo lo anterior será de propiedad del proveedor y lo podrá retirar cuando el contrato finalice.
Con relación al CONSUMO MENSUAL DE OXIGENO, ESTE ALCANZA UN PROMEDIO MENSUAL DE 3.800 m3 DE OXIGENO GASEOSO.
EXPLICACIÓN TÉCNICA.  SI BIEN SE RECIBE OXÍGENO LÍQUIDO, EL QUE SE DEPOSITA EN EL ESTANTE CRIOGÉNICO, LA FACTURACIÓN SE HACE EN EL EQUIVALENTE A OXÍGENO GASEOSO, PARA LO CUAL LOS INSTRUMENTOS DE MEDICIÓN QUE POSEE EL ESTANQUE, ENTREGAN LOS DATOS EN METROS CÚBICO DE OXÍGENO GASEOSO. POR ESTA RAZÓN, SE HABLARÁ, EN MÁS DE UNA OPORTUNIDAD DE OXÍGENO GASEOSO.
- El contrato se cursará por 18 meses a partir del día hábil siguiente de publicada en mercadopublico.cl. Si la presente Licitación se resuelve antes del término del convenio actual, esta prevalecerá vigente, dando termino a la anterior.
Convenio podrá ser prorrogado, hasta por 6 meses, en la medida que se cumpla lo señalado en el punto 1.3 de estas bases.</t>
  </si>
  <si>
    <t>OXIGENO LIQUIDO SEGUN ESPECIFICACIONES EN BASES</t>
  </si>
  <si>
    <t>2694-36-L123</t>
  </si>
  <si>
    <t>EQUIPAMIENTO MEDICO  Y  OFICINA</t>
  </si>
  <si>
    <t>EQUIPAMIENTO  MEDICO Y  OFICINA  PARA  PROGRAMA  PROMOCIÓN  DE  SALUD.</t>
  </si>
  <si>
    <t>1  OXIMETRO  ADULTO.  SEGUN  BASES  ADJUNTAS</t>
  </si>
  <si>
    <t>1057543-100-LE23</t>
  </si>
  <si>
    <t>1947-144-LQ23</t>
  </si>
  <si>
    <t>640 CONTRATACIÓN DEL SERVICIO DE MANTENIMIENTO PREVENTIVO Y CORRECTIVO PARA EQUIPOS DE CENTRAL DE AIRE MEDICINAL CENTRAL DE VACÍO MANIFOLDS E INSTALACIONES DE GASES CLÍNICOS DEL HOSPITAL DE NIÑOS DR. ROBERTO DEL RÍO [NDJ]</t>
  </si>
  <si>
    <t>El Hospital de niños Dr. Roberto del Río para dar cumplimiento a las funciones, requiere la CONTRATACIÓN DEL SERVICIO DE MANTENIMIENTO PREVENTIVO Y CORRECTIVO PARA EQUIPOS DE CENTRAL DE AIRE MEDICINAL, CENTRAL DE VACÍO, MANIFOLDS E INSTALACIONES DE GASES CLÍNICOS por el período de 24 meses.</t>
  </si>
  <si>
    <t>640-0524 Visitas Plan Mantención anual para Central de Vacío (incluye repuestos e insumos)</t>
  </si>
  <si>
    <t>4457-106-L123</t>
  </si>
  <si>
    <t>EQUIPAMIENTO PARA CESFAM</t>
  </si>
  <si>
    <t>SE SOLICITA LA ADQUISICION DE EQUIPAMIENTO MENOR PARA CESFAM HUALQUI.
SOLICITUD DE ADQUISICIONES Nº 354 DE ID DOC. 758268 DE FECHA 06.12.2023.-</t>
  </si>
  <si>
    <t>1719-32-L123</t>
  </si>
  <si>
    <t>Suministro Oxigeno para 2024, según decreto n5957.-, para los establecimientos de Salud Cesfam Sagrada Familia, Cesfam Villa Prat, Posta Los Quillayes, Posta Santa Rosa.-</t>
  </si>
  <si>
    <t>ILUSTRE MUNICIPALIDAD  DE SAGRADA FAMILIA</t>
  </si>
  <si>
    <t>Servicio de Suministro de Oxigeno según bases para año 2024.-</t>
  </si>
  <si>
    <t>1463-8-LE23</t>
  </si>
  <si>
    <t>ADQUISICIÓN DE EQUIPOS Y EQUIPAMIENTO HD</t>
  </si>
  <si>
    <t>ADQUISICIÓN DE EQUIPOS Y EQUIPAMIENTO HOSPITALIZACIÓN DOMICILIARIA.</t>
  </si>
  <si>
    <t>SERVICIO DE SALUD DEL MAULE HOSPITAL DE LICANTEN</t>
  </si>
  <si>
    <t>CONCENTRADOR DE OXÍGENO 5 LITROS O SUPERIOR</t>
  </si>
  <si>
    <t>5184-251-LP23</t>
  </si>
  <si>
    <t>OXIGENO MEDICINAL GASEOSO 0,7M3; PEDIDO EMERGENCIA</t>
  </si>
  <si>
    <t>1260057-46-LE23</t>
  </si>
  <si>
    <t xml:space="preserve">ADQUISICIÓN DE EQUIPOS DISPOSITIVOS MÉDICOS E INSUMOS </t>
  </si>
  <si>
    <t>APRUEBA BASES ADMINISTRATIVAS Y TÉCNICAS DE LICITACIÓN PARA LA ADQUISICIÓN DE EQUIPOS, DISPOSITIVOS MÉDICOS E INSUMOS PARA EJECUCIÓN DE PROYECTO DE NORMALIZACIÓN HOSPITALIZACIÓN DOMICILIARIA PARA EL HOSPITAL DE PEÑAFLOR</t>
  </si>
  <si>
    <t>Línea N°8: Concentrador de Oxigeno de hasta 10 lts; Línea N°9: Concentrador de Oxigeno de hasta 5 lts</t>
  </si>
  <si>
    <t>4968-68-LE23</t>
  </si>
  <si>
    <t>INSUMOS KINESIOLÓGICOS PARA HOSPITALIZACIÓN DOMICILIARIA</t>
  </si>
  <si>
    <t>el Hospital de Quilpué requiere adquirir “INSUMOS Y EQUIPAMIENTO KINESIOLÓGICO PARA HOSPITALIZACIÓN DOMICILIARIA” de conformidad al requerimiento contenido en las solicitudes de Compra N° 24, 25, 26, 27, 28, 29 y 58 con fecha 17 de octubre y 28 de noviembre de 2023 de Unidad de Hospitalización domiciliaria del Hospital de Quilpué.</t>
  </si>
  <si>
    <t>VALVULA  TRHESHOLD  DE ENTRENAMIENTO RESPIRATORIO; BOQUILLAS PARA FLUJOMETRO MINI WRIGGT (DE CARTON)PACK DE 100</t>
  </si>
  <si>
    <t>3853-55-LE23</t>
  </si>
  <si>
    <t>El Departamento de Salud Municipal de Río Bueno, requiere adquirir "Contrato de Suministro de Oxígeno Medicinal para Pacientes Domiciliarios".</t>
  </si>
  <si>
    <t>Contrato de Suministro de Oxígeno Medicinal, para Pacientes Domiciliarios Oxígeno Dependiente: Según Bases Administrativas,Técnicas y Anexos Adjuntos</t>
  </si>
  <si>
    <t>1624-92-L123</t>
  </si>
  <si>
    <t>Convenio de Suministro de Oxigeno Medico para servicios Urgencias y Hospitalizados</t>
  </si>
  <si>
    <t>SE REQUIERE CONVENIO SUMINISTRO OXIGENO MÉDICO , FLETE Y ARRIENDO, SEGUN ESPECIFICACIONES Y ADJUNTOS, CON ENTREGA SEMANAL SEGUN NECESIDAD DEL
ESTABLECIMIENTO. CON EMISION DE ORDEN DE COMPRA..</t>
  </si>
  <si>
    <t>RECARGA OXIGENO MÉDICO 6 M3</t>
  </si>
  <si>
    <t>2311-282-L123</t>
  </si>
  <si>
    <t xml:space="preserve">INSUMOS DENTALES Y OTROS MATERIALES </t>
  </si>
  <si>
    <t xml:space="preserve">MEMO N° 267 QUE SOLICITA INSUMOS DENTALES </t>
  </si>
  <si>
    <t>VALVULA DE ENTRENAMIENTO PEP SE ADJUNTAN ESPECIFICACIONES</t>
  </si>
  <si>
    <t>1380-278-LE23</t>
  </si>
  <si>
    <t>PPTA 532-23 ADQ EQUIPOS Y EQUIPAMIENTO PARA ATENCION DOMICILIARIA</t>
  </si>
  <si>
    <t>Revisar punto N° 3 "Del objeto de la contratación", del ítem I de las bases administrativas.</t>
  </si>
  <si>
    <t>CONCENTRADOR DE OXÍGENO; OXÍMETRO DE PULSO (15 UNIDADES)</t>
  </si>
  <si>
    <t>1057489-528-LE23</t>
  </si>
  <si>
    <t>MOBILIARIO E INSUMOS PARA EL PACTO DEL HDS</t>
  </si>
  <si>
    <t>1.- Apruébense las Bases que regularán el proceso para efectuar llamado a Propuesta Pública, por el Adquisición de Mobiliario e Insumos para Plan de Acompañamiento y Cuidado Personas Víctimas de Trauma Ocular, año 2023, para el Hospital del Salvador, en adelante PACTO según requerimientos de las presentes Bases.
2.- Las Bases Administrativas y Técnicas que por este acto se aprueban, se entenderá que forman parte integrante de la presente Resolución y cualquier modificación de su texto que se efectúe antes del cierre de recepción de ofertas, deberá ceñirse a lo dispuesto en el Artículo 19º del Decreto N°250 que aprueban Reglamento de la Ley Nº19.886.
3.- El texto de las Bases que regularán el procedimiento concursal para el Adquisición de Mobiliario e Insumos para PACTO 2023 del Hospital del Salvador, está integrado por tres Sub Títulos: I Bases Administrativas, II Especificaciones Técnicas y III Anexos, el que se transcribe a continuación:</t>
  </si>
  <si>
    <t>SATURÓMETRO,  revisar en resol. 5763 en anexos tecnicos N° 5 de las bases</t>
  </si>
  <si>
    <t>2366-173-LE23</t>
  </si>
  <si>
    <t>ADQUISICIÓN DE OXIMETROS DE MANO PRECISO M:947</t>
  </si>
  <si>
    <t>OXIMETROS DE MANO (FOs1). VER ESPECIFICACIONES TECNICAS ANEXO 3.</t>
  </si>
  <si>
    <t>1057420-51-LP23</t>
  </si>
  <si>
    <t>EL HOSPITAL DE LA FAMILIA Y LA COMUNIDAD DE HUÉPIL REQUIERE ESTABLECER CONVENIO DE SUMINISTRO DE OXIGENO MEDICINAL, MANTENIMIENTO PREVENTIVO Y CORRECTIVO DE SISTEMA DE GASES CLINICOS, AIRE MEDICINAL Y AIRE DENTAL SEGÚN BASES ADMINISTRATIVAS Y TÉCNICAS ADJUNTAS A ESTE PROCESO.</t>
  </si>
  <si>
    <t>SERVICIO DE SALUD BIO BIO HOSPITAL DE HUEPIL</t>
  </si>
  <si>
    <t>CONVENIO DE SUMINISTRO DE OXIGENO MEDICINAL, MANTENIMIENTO PREVENTIVO Y CORRECTIVO DE SISTEMA DE GASES CLINICOS, AIRE MEDICINAL Y AIRE DENTAL PARA EL HOSPITAL DE LA FAMILIA Y LA COMUNIDAD DE HUÉPIL.</t>
  </si>
  <si>
    <t>1057420-55-LE23</t>
  </si>
  <si>
    <t>ADQUISICIÓN DE INSUMOS CLINICOS MATERIALES DE CURACION Y OTROS PARA EL HOSPITAL DE FAMILIA Y LA COMUNIDAD DE HUÉPIL</t>
  </si>
  <si>
    <t>tienen por objeto efectuar la adquisición de insumos clínicos, materiales de curación y otros insumos .</t>
  </si>
  <si>
    <t xml:space="preserve">OXIMETRO DE PULSO ADULTO </t>
  </si>
  <si>
    <t>1224953-11-LE23</t>
  </si>
  <si>
    <t>ADQUISICION EQUIPAMIENTO CLINICO CONVENIO AGL 2023</t>
  </si>
  <si>
    <t>ADQUISICION EQUIPAMIENTO Y MOBILIARIO PARA LOS DISPOSITIVOS DE LA RED DE SALUD COMUNAL CESFAM, CECOFS Y SUS ESTABLECIMIENTOS, INCLUIR DESPACHO A DOMICILIO</t>
  </si>
  <si>
    <t>CORP MUNICIP ANCUD PARA LA EDUCAC SALUD</t>
  </si>
  <si>
    <t>Saturómetros ADULTO pantalla OLED, parámetros SpO0, PR, Gráfico de barras PR, Indicador de baja potencia, forma de onda de SpO2, 6 modos de configuración para visualizar la pantalla, 10 niveles de brillo ajustable, SpO2: rango 70%-99%</t>
  </si>
  <si>
    <t>1180817-14-LR23</t>
  </si>
  <si>
    <t>EQUIPOS PARA CONTINGENCIA RESPIRATORIA</t>
  </si>
  <si>
    <t>ADQUISICIÓN DE EQUIPOS Y EQUIPAMIENTO PARA CONTINGENCIA RESPIRATORIA</t>
  </si>
  <si>
    <t>CPAP; Concentrador de Oxígeno Portátil (10 UN); Concentrador de Oxígeno (1 UN); Ventiladores Mecánicos no Invasivo, con base calefactora (8UN)</t>
  </si>
  <si>
    <t>2366-213-L123</t>
  </si>
  <si>
    <t>CONCENTRADOR DE OXIGENO SC N°1127 CONVENIO PROGRAMA CUIDADOS PALIATIVOS UNIVERSALES EN LA APS ARICA Y PARINACOTA AÑO 2023 RES. N°2021</t>
  </si>
  <si>
    <t>2080-320-LE23</t>
  </si>
  <si>
    <t>Compra Reguladores Flujometros y conectores</t>
  </si>
  <si>
    <t>El objeto de esta Licitación es contar con una adecuada adquisición de Insumos para Hospital Regional Libertador Bernardo O’Higgins, durante el curso del contrato.</t>
  </si>
  <si>
    <t xml:space="preserve">4 BMANT-2798 Reguladores de aire UNIDAD 70; 7 BMANT-3007 Conectores tipo ohmeda para aire UNIDAD 20
</t>
  </si>
  <si>
    <t>1063534-13-LE23</t>
  </si>
  <si>
    <t>ADQUISICION DE EQUIPOS PARA HODOM</t>
  </si>
  <si>
    <t>El Hospital Base San José de Osorno, en adelante también el “Hospital”, requiere la adquisición de equipos para HODOM del Hospital, de acuerdo a las condiciones establecidas en las presentes bases administrativas, económicas, técnicas y sus anexos. La forma de la presente licitación pública corresponde a aquellas adquisiciones entre 100 y 1.000 UTM.</t>
  </si>
  <si>
    <t>043-6722 | 2905002001 | BIPAP; VENTILADOR DOMICILIARIO</t>
  </si>
  <si>
    <t>552975-55-L123</t>
  </si>
  <si>
    <t>ADQUISICIÓN DE IMPLEMENTOS MÉDICOS PARA EL CESFAM DR. ALFONSO LENG DE LA CORPORACIÓN DE DESARROLLO SOCIAL DE PROVIDENCIA</t>
  </si>
  <si>
    <t>La presente licitación tiene por objeto adquirir implementos médicos para el CESFAM Dr. Alonso Leng ubicado en Av. Manuel Montt N°101, establecimiento administrado por la Corporación de Desarrollo Social de Providencia.</t>
  </si>
  <si>
    <t>CORP DE DESARROLLO SOCIAL DE PROVIDENCIA</t>
  </si>
  <si>
    <t>SATURÓMETRO ADULTO</t>
  </si>
  <si>
    <t>1655-57-LE23</t>
  </si>
  <si>
    <t>Servicio de Mantención de Redes gases clínicos</t>
  </si>
  <si>
    <t>La Dirección de Atención Primaria del Servicio de Salud Metropolitano Central requiere la contratación de “ADQUISICION DE MANTENCIÓN DE REDES DE GASES CLÍNICOS” con la finalidad que permita garantizar el correcto funcionamiento de la red de gases, con que cuenta la Dirección de Atención Primaria, a través de la ejecución de revisiones y trabajos programados, convocando a una licitación pública, que se regirá por las presentes Bases administrativas, técnicas y sus anexos.</t>
  </si>
  <si>
    <t>Servicio de mantencion Redes Gases clinicos.</t>
  </si>
  <si>
    <t>3996-102-L123</t>
  </si>
  <si>
    <t>Insumos de Enfermeria Universalizacion - Diciembre 2023</t>
  </si>
  <si>
    <t xml:space="preserve">Se requiere realizar adquisicion de Insumos de enfermeria, para ejecucion del convenio de Universalizacion </t>
  </si>
  <si>
    <t>OXIMETRO DE PULSO ADULTO, SIMILAR CHOICEMMED</t>
  </si>
  <si>
    <t>4367-34-LE23</t>
  </si>
  <si>
    <t>EQUIPAMIENTO PARA DAR CUMPLIMIENTO A PROGRAMA CPU</t>
  </si>
  <si>
    <t>Que se requiere adquisición de insumos médicos, equipamientos necesarios en base a la norma técnica, para dar cumplimiento a programa Cuidados Paliativos Universales CPU.</t>
  </si>
  <si>
    <t>ILUSTRE MUNICIPALIDAD DE QUILLON</t>
  </si>
  <si>
    <t>CONCENTRADOR OXIGENO FIJO; OXÍMETRO DE PULSO ADULTO REFERENCIA (MARCA CHOICEMMED) (3UN); CONCENTRADOR OXIGENO PORTATIL (2UN)</t>
  </si>
  <si>
    <t>1057503-92-LR23</t>
  </si>
  <si>
    <t>OP-SUMINISTRO DE GASES CLINICOS</t>
  </si>
  <si>
    <t>suministro de gases clínicos con niveles de calidad establecidos en la NCH 2197 of. 92 y la logística necesaria para el aprovisionamiento oportuno de los insumos, que considere a su vez el equipamiento o infraestructura
necesaria para un servicio de operación continua</t>
  </si>
  <si>
    <t>OP-SUMINISTRO
DE GASES CLINICOS - HPH</t>
  </si>
  <si>
    <t xml:space="preserve">	500000</t>
  </si>
  <si>
    <t>1057544-425-LE23</t>
  </si>
  <si>
    <t>Compra por Suministro de Insumos Clínicos para ImagenologíaMedicina Física y Rehabilitación</t>
  </si>
  <si>
    <t>Que, el establecimiento requiere la compra de insumos clínicos para su uso en servicios clínicos del Hospital Las Higueras</t>
  </si>
  <si>
    <t>1213002-35-L123</t>
  </si>
  <si>
    <t>ADQUISICIÓN CONCENTRADORES DE OXÍGENO</t>
  </si>
  <si>
    <t>Se requiere la adquisición de concentradores de oxígeno para visitas domiciliarias asociadas al Programa Cuidados Paliativos Universales en  los centros de salud de la comuna de Pirque.</t>
  </si>
  <si>
    <t>CORP MUNICIPAL DE EDUCACION Y SALUD DE PIRQUE</t>
  </si>
  <si>
    <t>Según detalle en Bases Técnicas Referenciales</t>
  </si>
  <si>
    <t>2125-127-LE23</t>
  </si>
  <si>
    <t>Convenio suministro recarga de gases medicinales</t>
  </si>
  <si>
    <t>Solicitado ABAS-153-23</t>
  </si>
  <si>
    <t xml:space="preserve">Aire medicinal 0,7 m3 
</t>
  </si>
  <si>
    <t>1643-143-LQ23</t>
  </si>
  <si>
    <t>SUMINISTRO GASES CLINICOS Y ARRIENDO DE CILINDROS</t>
  </si>
  <si>
    <t>CONTRATAR EL SERVICIO DE SUMINISTRO DE GASES CLÍNICOS Y ARRIENDO DE CILINDROS POR 24 MESES, SEGÚN ESPECIFICACIONES TÉCNICAS PARA EL HOSPITAL DE TALAGANTE.</t>
  </si>
  <si>
    <t>SERVICIO NACIONAL DE SALUD HOSPITAL DE TALAGANTE</t>
  </si>
  <si>
    <t>servicio de suministro de gases clínicos y arriendo de cilindros por 24 meses, según requerimientos técnicos.</t>
  </si>
  <si>
    <t>4457-109-L123</t>
  </si>
  <si>
    <t>INSUMOS CLINICOS DE UNIDAD  SAPU</t>
  </si>
  <si>
    <t>SE SOLICITA LA ADQUISICION DE INSUMOS CLINICOS DE UNIDAD SAPU 
SOLICITUD DE ADQUISICONES Nº 366 ID.DOC. 754527 DE FECHA.
ENCARGADA: PILAR MUÑOZ CASTILLO</t>
  </si>
  <si>
    <t>TUERCA MANGUERA OXIGENO (NIPLE)</t>
  </si>
  <si>
    <t>1642-64-LE23</t>
  </si>
  <si>
    <t>CONCENTRADORES DE OXIGENO HOSPITALIZACION DOMICILIARIA</t>
  </si>
  <si>
    <t>La necesidad de adquirir un convenio de Adquisición de Concentradores de oxígeno para la Unidad de Hospitalización Domiciliaria del Hospital de Curacaví para dar cumplimiento a la Minuta de Modificación Presupuestaria “Distribución Recursos de Expansión Glosa 7 - Programa de Contingencias Operacionales año 2023”</t>
  </si>
  <si>
    <t>5053-182-LE23</t>
  </si>
  <si>
    <t>ADQUISICION DE MANIFOLD- BOMBA Y OTROS</t>
  </si>
  <si>
    <t>El objetivo de la presente licitación, es la adquisición adquisición de manifold- bomba y otros del Hospital Regional de Talca, con el fin de asegurar el abastecimiento en calidad y oportunidad, para satisfacer la demanda de los usuarios.</t>
  </si>
  <si>
    <t>PROVISION E INSTALACION DE NUEVO MANIFOLF PARA EL RESPALDO DE OXIGENO EN EL TANQUE CRIOGENICO</t>
  </si>
  <si>
    <t>ETAPA 1 - ANALISTA LICITACIONES</t>
  </si>
  <si>
    <t>ETAPA 3 - ANALISTA LICITACIONES</t>
  </si>
  <si>
    <t>ETAPA 4 - COMERCIAL 
(Sólo procesos participados)</t>
  </si>
  <si>
    <t>ETAPA 5 - ANALISTA LICITACIONES
(Sólo procesos participados y con indicación de seguimiento)</t>
  </si>
  <si>
    <t>ETAPA 6 - ANALISTA LICITACIONES
(Sólo procesos adjudicados a LINDE)</t>
  </si>
  <si>
    <t>Organismo</t>
  </si>
  <si>
    <t>Presupuesto</t>
  </si>
  <si>
    <t>Ppto Neto</t>
  </si>
  <si>
    <t>PPTO Neto2</t>
  </si>
  <si>
    <t>Contacto</t>
  </si>
  <si>
    <t>Fono</t>
  </si>
  <si>
    <t>Mail</t>
  </si>
  <si>
    <t>1979-49-COT22</t>
  </si>
  <si>
    <t>Adquisición de máscaras full face y oronasal para H. Nva. Imperial</t>
  </si>
  <si>
    <t>Bárbara Traipe</t>
  </si>
  <si>
    <t>56 4 5255 7872</t>
  </si>
  <si>
    <t>barbara.traipe@redsalud.gob.cl</t>
  </si>
  <si>
    <t>1383-20-COT22</t>
  </si>
  <si>
    <t>Insumos desechables para espirómetro</t>
  </si>
  <si>
    <t>HOSPITAL VILCUN</t>
  </si>
  <si>
    <t>61.602.242-3</t>
  </si>
  <si>
    <t>Javier Lorca Vásquez</t>
  </si>
  <si>
    <t>56 4 5555 489</t>
  </si>
  <si>
    <t xml:space="preserve">
javier.lorca@redsalud.gov.cl</t>
  </si>
  <si>
    <t>4115-55-COT22</t>
  </si>
  <si>
    <t>I MUNICIPALIDAD DE CURACAUTIN</t>
  </si>
  <si>
    <t xml:space="preserve"> 69.181.000-3</t>
  </si>
  <si>
    <t>MARGARITA FIGUEROA COLIPI</t>
  </si>
  <si>
    <t>56 4 5252 4545</t>
  </si>
  <si>
    <t>MARGARITA.FIGUEROA@ARAUCANIANORTE.CL</t>
  </si>
  <si>
    <t>1549-794-COT22</t>
  </si>
  <si>
    <t>347-3162 MASCARILLA FACIAL P/BIPAP</t>
  </si>
  <si>
    <t xml:space="preserve"> 61.608.002-4</t>
  </si>
  <si>
    <t xml:space="preserve">
MARICEL PERALTA</t>
  </si>
  <si>
    <t>56 2 2608 7544</t>
  </si>
  <si>
    <t xml:space="preserve">
maricel.peralta@redsalud.gov.cl</t>
  </si>
  <si>
    <t>4162-45-COT22</t>
  </si>
  <si>
    <t>COMPRA DE SATUROMETRO PEDIATRICO PARA CESFAM LO MIRANDA</t>
  </si>
  <si>
    <t xml:space="preserve"> 69.080.600-2</t>
  </si>
  <si>
    <t xml:space="preserve">
ROSALINDA SANCHEZ PONCE</t>
  </si>
  <si>
    <t>56 7 2463 082</t>
  </si>
  <si>
    <t xml:space="preserve">
abastecimiento@saluddonihue.cl</t>
  </si>
  <si>
    <t>1057540-195-COT22</t>
  </si>
  <si>
    <t>Carolina Figueroa Escobar</t>
  </si>
  <si>
    <t>56 9 9886 3892</t>
  </si>
  <si>
    <t>carolina.figueroae@redsalud.gob.cl</t>
  </si>
  <si>
    <t>5061-241-COT22</t>
  </si>
  <si>
    <t>Adquisición de (7) oximetro de pulso, según especificaciones técnicas adjuntas</t>
  </si>
  <si>
    <t xml:space="preserve"> 69.190.700-7</t>
  </si>
  <si>
    <t>SERGIO BASTIDAS</t>
  </si>
  <si>
    <t>56 4 5237 6675</t>
  </si>
  <si>
    <t>sbastidas@temuco.cl</t>
  </si>
  <si>
    <t>4967-176-COT22</t>
  </si>
  <si>
    <t>FLUJOMETRO MINI WRIGGT ORIGINAL ESTANDAR ADULTO 60-800 L/m.</t>
  </si>
  <si>
    <t>Nibaldo Fuentes Velasco</t>
  </si>
  <si>
    <t>56 2 2759 066</t>
  </si>
  <si>
    <t>nibaldo.fuentes@redsalud.gov.cl</t>
  </si>
  <si>
    <t>1057420-105-COT22</t>
  </si>
  <si>
    <t>OXIMETRO DE PULSO PORTATIL</t>
  </si>
  <si>
    <t xml:space="preserve">
BELÉN NEIRA SEPÚLVEDA</t>
  </si>
  <si>
    <t>56 4 3232 585</t>
  </si>
  <si>
    <t>belen.neira@ssbiobio.cl</t>
  </si>
  <si>
    <t>3821-57-COT22</t>
  </si>
  <si>
    <t>ADQUISICION DE AEROCAMARA</t>
  </si>
  <si>
    <t>I MUNICIPALIDAD DE SANTA MARIA</t>
  </si>
  <si>
    <t xml:space="preserve"> 61.607.305-2</t>
  </si>
  <si>
    <t>BLANCA OLGUIN VEGA</t>
  </si>
  <si>
    <t>56 3 4250 8704</t>
  </si>
  <si>
    <t>b.olguin18@gmail.com</t>
  </si>
  <si>
    <t>1057539-409-COT22</t>
  </si>
  <si>
    <t>OXIMETRO SATUROMETRO ADULTO</t>
  </si>
  <si>
    <t xml:space="preserve"> 61.975.100-0</t>
  </si>
  <si>
    <t>JORGE AMOLEF GUTIERREZ</t>
  </si>
  <si>
    <t>56 9 6523 6287 7</t>
  </si>
  <si>
    <t>jamolef@ssdr.gob.cl</t>
  </si>
  <si>
    <t>1057531-65-COT22</t>
  </si>
  <si>
    <t>Saturómetro u oxímetro de pulso, debe incluir Carcasa de silicona transparente y cuerda de seguridad, Adjuntar ficha técnica para estimar oferta</t>
  </si>
  <si>
    <t>SERVICIO NACIONAL DE SALUD HOSPITAL DE RIO NEGRO</t>
  </si>
  <si>
    <t>61.602.262-8</t>
  </si>
  <si>
    <t>Carlos Canales</t>
  </si>
  <si>
    <t>56 6 4233 6832</t>
  </si>
  <si>
    <t>carlos.canales@redsalud.gob.cl</t>
  </si>
  <si>
    <t>4111-23-COT22</t>
  </si>
  <si>
    <t>COMPRA SATUROMETRO PEDIATRICO Y ADULTO PARA CESFAM JJA</t>
  </si>
  <si>
    <t>I MUNICIPALIDAD DE CALLE LARGA</t>
  </si>
  <si>
    <t xml:space="preserve"> 69.051.200-9</t>
  </si>
  <si>
    <t>Victoria Herrera Herrera</t>
  </si>
  <si>
    <t>56 3 4249 2601</t>
  </si>
  <si>
    <t xml:space="preserve">
victoria.herrera@saludcallelarga.cl</t>
  </si>
  <si>
    <t>1057551-63-COT22</t>
  </si>
  <si>
    <t>OXIMETRO DE PULSO ADULTO PEDIATRICO, MARCARILLA LATENGEA N°3,4,5, AGUJA IPODERMICA 19G, SONDA FOLEY 14 FR.3 LUMENES, 16FR 2 LUMENES, 16 FR 3 LUMENES, VENDA YESO 20CM.</t>
  </si>
  <si>
    <t>61.607.507-1</t>
  </si>
  <si>
    <t>VIVIANA ASENCIO</t>
  </si>
  <si>
    <t>56 6 3226 4222</t>
  </si>
  <si>
    <t>viviana.asencio@redsalud.gob.cl</t>
  </si>
  <si>
    <t>2080-188-COT22</t>
  </si>
  <si>
    <t>TENSIOMETRO Y OXIMETRO DE PULSO</t>
  </si>
  <si>
    <t>MARIA BELEN ROJAS GARCIA</t>
  </si>
  <si>
    <t>56 7 2298 2785</t>
  </si>
  <si>
    <t>mariabelen.rojas@redsalud.gov.cl</t>
  </si>
  <si>
    <t>1057503-444-COT22</t>
  </si>
  <si>
    <t>AEROCAMARA ADULTO</t>
  </si>
  <si>
    <t>61.958.500-3</t>
  </si>
  <si>
    <t>2069-472-COT22</t>
  </si>
  <si>
    <t>LGR-COTIZACION BOQUILLA DESECHABLE 3 MM DE CARTON PARA ESPIROMETRIA Y/O FLUJOMETRO</t>
  </si>
  <si>
    <t>3778-51-COT22</t>
  </si>
  <si>
    <t>REQUERIMIENTO PEDIDO 2812 CESFAM OCOA</t>
  </si>
  <si>
    <t>2710-168-COT22</t>
  </si>
  <si>
    <t>OTRAS, OI - 1169, JORGE JORDAN DOMIC, OXIMETRO</t>
  </si>
  <si>
    <t>3879-125-COT22</t>
  </si>
  <si>
    <t>OP034936 LICEO BICENTENARIO SANTA CRUZ DE LARQUI OXIMETRO Y FERULA DEDO</t>
  </si>
  <si>
    <t>I MUNICIPALIDAD DE BULNES</t>
  </si>
  <si>
    <t>69.141.200-8</t>
  </si>
  <si>
    <t>1057448-66-COT22</t>
  </si>
  <si>
    <t>ADQUISICION DE OXIMETRO DE PULSO PORTATIL - FR157</t>
  </si>
  <si>
    <t>5434-53-COT22</t>
  </si>
  <si>
    <t>Tensiómetro y Medidor de Signos vitales</t>
  </si>
  <si>
    <t>3905-27-COT22</t>
  </si>
  <si>
    <t>SATUROMETROS PARA SUR CESFAM PINTO</t>
  </si>
  <si>
    <t>1058078-35-COT22</t>
  </si>
  <si>
    <t>217-0016 AEROCAMARA P/INHALADOR ADULTO</t>
  </si>
  <si>
    <t>1989-10-COT22</t>
  </si>
  <si>
    <t>Tomador presión, oxímetro de pulso, dispensador alcohol gel con termómetro</t>
  </si>
  <si>
    <t xml:space="preserve">Monto Bajo </t>
  </si>
  <si>
    <t>1057439-170-COT22</t>
  </si>
  <si>
    <t>FLUJOMETRO DE AIRE EVALUACION RESPIRATORIA TIPO WRIGHT</t>
  </si>
  <si>
    <t>3905-19-COT22</t>
  </si>
  <si>
    <t>2710-110-COT22</t>
  </si>
  <si>
    <t>EQUIPAMIENTO SALA IRA PUESTA EN MARCHA III URBANO. PPTO GORE COQUIMBO</t>
  </si>
  <si>
    <t>5215-83-COT22</t>
  </si>
  <si>
    <t>1057441-122-COT22</t>
  </si>
  <si>
    <t>AEROCAMARA PEDIATRICA</t>
  </si>
  <si>
    <t>SERVICIO DE SALUD COQUIMBO HOSPITAL DE O</t>
  </si>
  <si>
    <t>1070620-631-COT22</t>
  </si>
  <si>
    <t>KJC ADQ CONCENTRADOR DE OXIGENO</t>
  </si>
  <si>
    <t>2258-378-COT22</t>
  </si>
  <si>
    <t>2125-308-COT22</t>
  </si>
  <si>
    <t>Compra de insumo clinico - aerocamara</t>
  </si>
  <si>
    <t>1057440-1045-COT22</t>
  </si>
  <si>
    <t>POLIGRAFO APNEA LINK AIR RESMED</t>
  </si>
  <si>
    <t>1003473-361-COT22</t>
  </si>
  <si>
    <t>AEROCAMARAS ADULTO Y PEDIÁTRICA</t>
  </si>
  <si>
    <t>1057439-371-COT22</t>
  </si>
  <si>
    <t>2710-282-COT22</t>
  </si>
  <si>
    <t>557639-820-COT22</t>
  </si>
  <si>
    <t>Compra de Oximetro - Colegio Aurora de Chile - Sep 95</t>
  </si>
  <si>
    <t>2908-29-COT22</t>
  </si>
  <si>
    <t>Adquisición de 200 válvulas unidireccional descartable y 200 boquillas espiroscout para Cesfam Malalhue.</t>
  </si>
  <si>
    <t xml:space="preserve">
2098-164-COT22</t>
  </si>
  <si>
    <t>Adquisición Kit descartable Medimix Plus</t>
  </si>
  <si>
    <t>2101-187-COT22</t>
  </si>
  <si>
    <t>SATUROMETRO</t>
  </si>
  <si>
    <t>Hospital Intercultural Kallvu Llanka</t>
  </si>
  <si>
    <t>5178-687-COT22</t>
  </si>
  <si>
    <t>SATUROMETRO DELUXE SP 836512 MH</t>
  </si>
  <si>
    <t>363-97-COT22</t>
  </si>
  <si>
    <t>OXÍMETRO DE PULSO DIGITAL DEDO</t>
  </si>
  <si>
    <t>1532-93-COT22</t>
  </si>
  <si>
    <t>OXIMETRO DE PULSO PEDIATRICO</t>
  </si>
  <si>
    <t>CENTRO REFERENCIAL DE SALUD DR SALVADOR ALLENDE GOSSENS</t>
  </si>
  <si>
    <t>4555-24-COT22</t>
  </si>
  <si>
    <t>Oxímetro de Pulso, de dedo.</t>
  </si>
  <si>
    <t>4817-212-COT22</t>
  </si>
  <si>
    <t>MASCARA FACIAL TOTAL FITLIFE PEQUEÑA CODO ESPIRATORIO Y ARNES P/BIPAP COMPATIBLE CON EQUIPO RESPIRONICS</t>
  </si>
  <si>
    <t>4817-211-COT22</t>
  </si>
  <si>
    <t>MASCARA FACIAL TOTAL FITLIFE GRANDE CODO ESPIRATORIO Y ARNES P/BIPAP RESPIRONICS</t>
  </si>
  <si>
    <t xml:space="preserve">
4817-209-COT22</t>
  </si>
  <si>
    <t>MASCARA DE BIPAP FACIAL TOTAL CON ARNES COMPATIBLE CON EQUIPO RESPIRONICS RESPIRONICS Modelo 1060804</t>
  </si>
  <si>
    <t>418-419-COT22</t>
  </si>
  <si>
    <t>AEROCAMARA ADULTO BIVALVULADA</t>
  </si>
  <si>
    <t>HOSPITAL DE PUERTO AYSEN</t>
  </si>
  <si>
    <t>2825-64-COT22</t>
  </si>
  <si>
    <t>1057509-854-COT22</t>
  </si>
  <si>
    <t>Oximetro de pulso adulto</t>
  </si>
  <si>
    <t>1057472-197-COT22</t>
  </si>
  <si>
    <t>1057472-196-COT22</t>
  </si>
  <si>
    <t xml:space="preserve">  </t>
  </si>
  <si>
    <t>1057468-54-COT22</t>
  </si>
  <si>
    <t>Mascarilla Oronasal</t>
  </si>
  <si>
    <t>1660-319-COT22</t>
  </si>
  <si>
    <t>ARRIENDO DE CONCENTRADOR DE OXIGENO HASTA 15 LTS POR MINUTO POR 3 MESES</t>
  </si>
  <si>
    <t>SERVICIO SALUD COQUIMBO HOSPITAL DE SALAMANCA</t>
  </si>
  <si>
    <t>843567-25-COT22</t>
  </si>
  <si>
    <t>Adquisición equipo CPAP</t>
  </si>
  <si>
    <t>SUBSECRETARIA DEL INTERIOR</t>
  </si>
  <si>
    <t>777304-894-COT22</t>
  </si>
  <si>
    <t>INS002030 Corrugado simple CPAP</t>
  </si>
  <si>
    <t>2111-783-COT22</t>
  </si>
  <si>
    <t>3473470090 FLUJOMETRO MINI-WRIGHT</t>
  </si>
  <si>
    <t>2111-778-COT22</t>
  </si>
  <si>
    <t>3765-72-COT22</t>
  </si>
  <si>
    <t>OXIMETROS</t>
  </si>
  <si>
    <t>HOSPITAL DE CHILE CHICO</t>
  </si>
  <si>
    <t>61.602.281-4</t>
  </si>
  <si>
    <t>1057501-2149-COT22</t>
  </si>
  <si>
    <t>SCE 323901 OXIMETRO</t>
  </si>
  <si>
    <t>924-76-COT22</t>
  </si>
  <si>
    <t>Aire sintético balanceado arriendo de cilindro contenedor.</t>
  </si>
  <si>
    <t>1155-470-COT22</t>
  </si>
  <si>
    <t>COMPRA INSUMOS EQUIPOS MÉDICOS</t>
  </si>
  <si>
    <t>1057495-219-COT22</t>
  </si>
  <si>
    <t>Interfase VMNI talla L, modelo facial (similar a Trilogy Respironics)</t>
  </si>
  <si>
    <t>1197-39-COT22</t>
  </si>
  <si>
    <t>ADQUISICIÓN DE 07 OXÍMETROS PARA PROMESAS CHILE ATACAMA</t>
  </si>
  <si>
    <t>INSTITUTO NACIONAL DE DEPORTES DE CHILE</t>
  </si>
  <si>
    <t>61.107.000-4</t>
  </si>
  <si>
    <t>1704-724-COT22</t>
  </si>
  <si>
    <t>COMPRA DE OXIMETRO DE PULSO</t>
  </si>
  <si>
    <t>SERVICIO DE SALUD VINA DEL MAR QUILLOTA</t>
  </si>
  <si>
    <t>61.606.608-0</t>
  </si>
  <si>
    <t xml:space="preserve"> 
2762-192-COT22</t>
  </si>
  <si>
    <t>ADQUISICIÓN DE AEROCÁMARA PEDIATRICA</t>
  </si>
  <si>
    <t>1002772-1044-COT22</t>
  </si>
  <si>
    <t>AEROCAMARA ADULTO USO EN AEROSOL (VALVULADA)</t>
  </si>
  <si>
    <t xml:space="preserve"> HOSPITAL DR FELIX BULNES CERDA</t>
  </si>
  <si>
    <t>1057501-2303-COT22</t>
  </si>
  <si>
    <t>20-225-100-158-00 AEROCAMARA ADULTO</t>
  </si>
  <si>
    <t>1057503-1020-COT22</t>
  </si>
  <si>
    <t>04107000 AEROCAMARA PEDIÁTRICA (ADJUNTAR IMAGEN, ICHA) INSUMO EVALUADO POR LA UNIDAD SOLICITANTE</t>
  </si>
  <si>
    <t>1057509-1116-COT22</t>
  </si>
  <si>
    <t>Mascaras Full Face similar a respironics Talla M / S</t>
  </si>
  <si>
    <t>Nicolas Correa Vera</t>
  </si>
  <si>
    <t>56 9 4225 8641 7</t>
  </si>
  <si>
    <t>carlos.jara.m@redsalud.gob.cl</t>
  </si>
  <si>
    <t>886954-295-COT22</t>
  </si>
  <si>
    <t>MACARILLAS NASALES INFANTILES CPAP</t>
  </si>
  <si>
    <t>1516-107-COT22</t>
  </si>
  <si>
    <t>ADQUSICIÓN MASCARILLAS EQUIPO RESPIRATORIO CPAP Mascara Nasal N5 talla S BMC/</t>
  </si>
  <si>
    <t>DELEGACIÓN PRESIDENCIAL PROVINCIAL DE CORDILLERA</t>
  </si>
  <si>
    <t>60.511.131-9</t>
  </si>
  <si>
    <t xml:space="preserve"> 
5215-463-COT22</t>
  </si>
  <si>
    <t>FLUJOMETRO PEDIÁTRICO</t>
  </si>
  <si>
    <t>363-172-COT22</t>
  </si>
  <si>
    <t>Oximetro de pulso digital dedo</t>
  </si>
  <si>
    <t xml:space="preserve"> 
2734-483-COT22</t>
  </si>
  <si>
    <t>Oxímetro de Pulso - Saturómetro Pediátrico</t>
  </si>
  <si>
    <t>MUNICIPALIDAD DE PEÑAFLOR</t>
  </si>
  <si>
    <t>69.071.700-K</t>
  </si>
  <si>
    <t>5215-483-COT22</t>
  </si>
  <si>
    <t>SATUROMETRO PEDIÁTRICO</t>
  </si>
  <si>
    <t>2766-210-COT22</t>
  </si>
  <si>
    <t>Adquisicion Oximetro de Pulso 5/188</t>
  </si>
  <si>
    <t>I MUNICIPALIDAD DE LA CISTERNA</t>
  </si>
  <si>
    <t>69.072.000-0</t>
  </si>
  <si>
    <t>777304-1370-COT22</t>
  </si>
  <si>
    <t>INS105302 MASCARILLA ORONASAL TALLA M DE Fisher &amp; Paykel</t>
  </si>
  <si>
    <t xml:space="preserve">
777304-1372-COT22</t>
  </si>
  <si>
    <t>MASCARILLA ORONASAL TALLA S Fisher &amp; Paykel</t>
  </si>
  <si>
    <t>1057547-1107-COT22</t>
  </si>
  <si>
    <t>EJERCITADOR MUSCULATURA RESPIRATORIA</t>
  </si>
  <si>
    <t>1063538-576-COT22</t>
  </si>
  <si>
    <t>SATUROMETRO PEDIATRICO</t>
  </si>
  <si>
    <t>1070620-1281-COT22</t>
  </si>
  <si>
    <t>PZM-MASCARILLA FULL FACE CON INTERFASE Y ARNES PARA CPAP</t>
  </si>
  <si>
    <t>1642-149-COT22</t>
  </si>
  <si>
    <t xml:space="preserve">
4999-64-COT22</t>
  </si>
  <si>
    <t>TOMA PRESION Y OXIMETRO PARA SERVICIO DE URGENCIA RURAL SPA</t>
  </si>
  <si>
    <t>1057439-720-COT22</t>
  </si>
  <si>
    <t>TUBO CONECTOR EVERFLO</t>
  </si>
  <si>
    <t>1070620-1364-COT22</t>
  </si>
  <si>
    <t>PZM-MASCARA ROSTRO COMPLETO CON INTERFASE</t>
  </si>
  <si>
    <t>3019-389-COT22</t>
  </si>
  <si>
    <t>mantencion y/o reparación de concentrador de oxigeno</t>
  </si>
  <si>
    <t>I MUNICIPALIDAD DE LOTA</t>
  </si>
  <si>
    <t>5349-289-COT22</t>
  </si>
  <si>
    <t>SATURÓMETRO PORTATIL ADULTO Y PEDIÁTRICO</t>
  </si>
  <si>
    <t>1057402-694-COT22</t>
  </si>
  <si>
    <t>699866-307-COT22</t>
  </si>
  <si>
    <t>MASCARA ORONASAL TALLA S</t>
  </si>
  <si>
    <t>1057486-57-COT22</t>
  </si>
  <si>
    <t>Compra de Interfase Oronasal para la Dirección Servicio de Salud Metropolitano Oriente</t>
  </si>
  <si>
    <t>699866-311-COT22</t>
  </si>
  <si>
    <t>MASCARA FULL FACE TALLA XS</t>
  </si>
  <si>
    <t>1063538-664-COT22</t>
  </si>
  <si>
    <t>ADQ. DE MASCARA TOTAL FACE PARA UPC PEDIATRICA DEL HBSJO</t>
  </si>
  <si>
    <t>699866-306-COT22</t>
  </si>
  <si>
    <t>MASCARILLA NASAL DISTINTAS TALLAS</t>
  </si>
  <si>
    <t>ROMINA LÓPEZ DÍAZ</t>
  </si>
  <si>
    <t>56 7 1274 7363</t>
  </si>
  <si>
    <t xml:space="preserve">
compradeinsumos@hospitaldetalca.cl</t>
  </si>
  <si>
    <t>1641-1211-COT22</t>
  </si>
  <si>
    <t>01-002-222-019 MASCARA BIPAP PERFORMAX XS son marca Philips respironic</t>
  </si>
  <si>
    <t>TERESA DIAZ PALMA</t>
  </si>
  <si>
    <t>56 2 5756 372</t>
  </si>
  <si>
    <t>TERESA.DIAZ@REDSALUD.GOV.CL</t>
  </si>
  <si>
    <t>1057554-1039-COT22</t>
  </si>
  <si>
    <t>[6714,6715,6712,6713] ARNES TIPO GORRO TALLA M,L, GORRO ARNES PARA BIPAP/UGC</t>
  </si>
  <si>
    <t>katherine Teuber</t>
  </si>
  <si>
    <t>BEATRIZ GALLEGUILLOS</t>
  </si>
  <si>
    <t>56 3 2236 4192</t>
  </si>
  <si>
    <t>beatriz.galleguillos@redsalud.gov.cl</t>
  </si>
  <si>
    <t>1057509-1386-COT22</t>
  </si>
  <si>
    <t>1704-930-COT22</t>
  </si>
  <si>
    <t>*VALVULA ENTRENAMIENTO MUSCULATURA INSPIRATORIA (REF. THRESHOLD IMTPHILLIPS RESPIRONICS)</t>
  </si>
  <si>
    <t>Marcelo Madrid Astudillo</t>
  </si>
  <si>
    <t>56 5 6332 2980 59</t>
  </si>
  <si>
    <t>iver.madrid@redsalud.gov.cl</t>
  </si>
  <si>
    <t>1070329-210-COT22</t>
  </si>
  <si>
    <t>CESFAM LIRQUEN</t>
  </si>
  <si>
    <t>61.980.370-1</t>
  </si>
  <si>
    <t>Carlos Taibo Diaz</t>
  </si>
  <si>
    <t>56 4 1268 8677</t>
  </si>
  <si>
    <t>carlos.taibo@redsalud.gob.cl</t>
  </si>
  <si>
    <t>1070329-211-COT22</t>
  </si>
  <si>
    <t>2281-1667-COT22</t>
  </si>
  <si>
    <t>Adquisición de Máquina CPAP Nocturno (Apnea del Sueño) para el Depto. Social</t>
  </si>
  <si>
    <t>Vivian Tapia</t>
  </si>
  <si>
    <t>56 9 3310 1716</t>
  </si>
  <si>
    <t>vtapia@munivaldivia.cl</t>
  </si>
  <si>
    <t>1057547-1508-COT22</t>
  </si>
  <si>
    <t>Repuestos para BipaP ResmEd</t>
  </si>
  <si>
    <t>Roberto Muñoz Mendoza</t>
  </si>
  <si>
    <t>56 6 3226 3336 6</t>
  </si>
  <si>
    <t>roberto.munozhbv@redsalud.gob.cl</t>
  </si>
  <si>
    <t>1288-167-COT22</t>
  </si>
  <si>
    <t>MÁSCARA ORONASAL PARA VENTILACION NO INVASIVA SIN APOYO EN TABIQUE NASAL</t>
  </si>
  <si>
    <t>SERVICIO SALUD METROPOLITANO OCCIDENTE</t>
  </si>
  <si>
    <t>61.608.200-0</t>
  </si>
  <si>
    <t>Beatriz Castillo Palma</t>
  </si>
  <si>
    <t>56 9 9895 3189</t>
  </si>
  <si>
    <t>beatriz.castillo@redsalud.gov.cl</t>
  </si>
  <si>
    <t>1288-166-COT22</t>
  </si>
  <si>
    <t>MÁSCARA ORONASAL PARA VENTILACIÓN NO INVASIVA (SIN APOYO FRONTAL)</t>
  </si>
  <si>
    <t>3983-336-COT22</t>
  </si>
  <si>
    <t>COMPRA IMPLEMENTACION ESTRATEGIAS REFUERZO EN APS</t>
  </si>
  <si>
    <t>I MUNICIPALIDAD DE PAREDONES</t>
  </si>
  <si>
    <t>69.090.900-6</t>
  </si>
  <si>
    <t>483-483-COT22</t>
  </si>
  <si>
    <t>YAANELA PEÑA FLORES</t>
  </si>
  <si>
    <t>56 4 1327 9395</t>
  </si>
  <si>
    <t>yaanela.h@gmail.com</t>
  </si>
  <si>
    <t>1057929-14-COT22</t>
  </si>
  <si>
    <t>ADQUISICION DE POLIGRAFO</t>
  </si>
  <si>
    <t>56 9 6523 6292 2</t>
  </si>
  <si>
    <t>575061-8-COT23</t>
  </si>
  <si>
    <t>GAS HELIO ULTRA PURO</t>
  </si>
  <si>
    <t>JENACRIM</t>
  </si>
  <si>
    <t>09/02/2023 10:24</t>
  </si>
  <si>
    <t>15/02/2023 00:00</t>
  </si>
  <si>
    <t>1057514-11-COT23</t>
  </si>
  <si>
    <t>REGULADOR DE OXIGENO COMPACTO VALVULA PIN</t>
  </si>
  <si>
    <t>Bienes y Servicios</t>
  </si>
  <si>
    <t>10/02/2023 15:35</t>
  </si>
  <si>
    <t>15/02/2023 15:33</t>
  </si>
  <si>
    <t>3348-8-COT23</t>
  </si>
  <si>
    <t xml:space="preserve">CONTRATACIÓN DEL SERVICIO DE ARRIENDO DE TUBOS DE OXIGENO CON RECARGA COMPLETA </t>
  </si>
  <si>
    <t>Centro Clínico Militar "Arica"</t>
  </si>
  <si>
    <t>10/02/2023 12:25</t>
  </si>
  <si>
    <t>27/02/2023 10:00</t>
  </si>
  <si>
    <t>1057514-9-COT23</t>
  </si>
  <si>
    <t xml:space="preserve">REGULADOR DE OXIGENO CON FLUJOMETRO VALVULA TUERCA </t>
  </si>
  <si>
    <t>10/02/2023 11:41</t>
  </si>
  <si>
    <t>15/02/2023 12:00</t>
  </si>
  <si>
    <t>608-1317-COT23</t>
  </si>
  <si>
    <t>AAA_INSUMOS CLINICOS FEBRERO NIPLE PLASTICO VERDE PARA CONEXION O2</t>
  </si>
  <si>
    <t>Hospital Dr. Gustavo Fricke</t>
  </si>
  <si>
    <t>13/02/2023 16:42</t>
  </si>
  <si>
    <t>14/02/2023 16:50</t>
  </si>
  <si>
    <t>1057417-884-COT23</t>
  </si>
  <si>
    <t>EZD HUMIDIFICADOR DE OXÍGENO</t>
  </si>
  <si>
    <t>13/02/2023 15:21</t>
  </si>
  <si>
    <t>1057429-274-COT23</t>
  </si>
  <si>
    <t>OXIMETRO DE PULSO YUWELL YX300</t>
  </si>
  <si>
    <t>14/02/2023 11:59</t>
  </si>
  <si>
    <t>15/02/2023 12:09</t>
  </si>
  <si>
    <t>16/03/2023</t>
  </si>
  <si>
    <t>2146-41-COT23</t>
  </si>
  <si>
    <t>COMPRA EQUIPO OXIGENOTERAPIA PARA HOSPITAL DE ANDACOLLO</t>
  </si>
  <si>
    <t>Hosp. Andacollo</t>
  </si>
  <si>
    <t>14/02/2023 11:46</t>
  </si>
  <si>
    <t>20/02/2023 11:00</t>
  </si>
  <si>
    <t>804962-21-COT23</t>
  </si>
  <si>
    <t xml:space="preserve">ADQUISICIÓN DE HABILITACIÓN E IMPLEMENTACIÓN RED OXIGENO MEDICINAL AMBULANCIAS </t>
  </si>
  <si>
    <t>DEPARTAMENTO DE SALUD MUNICIPAL</t>
  </si>
  <si>
    <t>14/02/2023 11:17</t>
  </si>
  <si>
    <t>16/02/2023 15:00</t>
  </si>
  <si>
    <t>1511-215-COT23</t>
  </si>
  <si>
    <t>OXIMETRO DE PULSO Y TOMAPRESION DIGITAL</t>
  </si>
  <si>
    <t>14/02/2023 10:49</t>
  </si>
  <si>
    <t>16/02/2023 12:00</t>
  </si>
  <si>
    <t>1057554-671-COT23</t>
  </si>
  <si>
    <t>(LER) SATUROMETRO PORTATIL PNH 9423</t>
  </si>
  <si>
    <t>14/02/2023 10:40</t>
  </si>
  <si>
    <t>15/02/2023 13:00</t>
  </si>
  <si>
    <t>1260057-104-COT23</t>
  </si>
  <si>
    <t>REPARACION DE FLUJOMETROS Y SALIDAS Y TOMAS DE OXIGENO</t>
  </si>
  <si>
    <t>14/02/2023 10:04</t>
  </si>
  <si>
    <t>1057429-268-COT23</t>
  </si>
  <si>
    <t>FRASCO HUMIDIFICADORES</t>
  </si>
  <si>
    <t>14/02/2023 09:10</t>
  </si>
  <si>
    <t>15/02/2023 09:15</t>
  </si>
  <si>
    <t>1549-989-COT23</t>
  </si>
  <si>
    <t xml:space="preserve">SE REQUIERE MANTENCION CORRECTIVA DE VENTILADOR MECANICO NO INVASIVO MARCA LOWENTEIN MEDICAL </t>
  </si>
  <si>
    <t>Hospital San  José</t>
  </si>
  <si>
    <t>14/02/2023 17:04</t>
  </si>
  <si>
    <t>16/02/2023 09:30</t>
  </si>
  <si>
    <t>2792-124-COT23</t>
  </si>
  <si>
    <t>FLUJOMETROS</t>
  </si>
  <si>
    <t>Iluste Municipalidad de Huechuraba</t>
  </si>
  <si>
    <t>15/02/2023 16:09</t>
  </si>
  <si>
    <t>17/02/2023 09:00</t>
  </si>
  <si>
    <t>4967-315-COT23</t>
  </si>
  <si>
    <t>MASCARILLAS ORONASAL</t>
  </si>
  <si>
    <t>FARMACIA INSUMOS</t>
  </si>
  <si>
    <t>15/02/2023 15:39</t>
  </si>
  <si>
    <t>17/02/2023 11:37</t>
  </si>
  <si>
    <t>1216088-30-COT23</t>
  </si>
  <si>
    <t>KIT DE OXIGENO</t>
  </si>
  <si>
    <t>CORPORACION MUNICIPAL DE DEPORTES DE PUENTE ALTO</t>
  </si>
  <si>
    <t>16/02/2023 09:31</t>
  </si>
  <si>
    <t>17/02/2023 15:00</t>
  </si>
  <si>
    <t>Nicolas Valdebenito</t>
  </si>
  <si>
    <t>1057547-599-COT23</t>
  </si>
  <si>
    <t>OXIMETRO PULSO DIGITAL DEDO 3400748</t>
  </si>
  <si>
    <t>16/02/2023 15:23</t>
  </si>
  <si>
    <t>17/02/2023 18:30</t>
  </si>
  <si>
    <t>1057503-620-COT23</t>
  </si>
  <si>
    <t xml:space="preserve"> CONEXIÓN UNIVERSAL OXIGENO RECTO (AC-5), PROG. FEBRERO</t>
  </si>
  <si>
    <t>16/02/2023 15:18</t>
  </si>
  <si>
    <t>17/02/2023 15:25</t>
  </si>
  <si>
    <t>1180740-59-COT23</t>
  </si>
  <si>
    <t>FLUJOMETRO DE WRIGTH - CESFAM VICTORIA</t>
  </si>
  <si>
    <t>16/02/2023 14:45</t>
  </si>
  <si>
    <t>03/03/2023 12:00</t>
  </si>
  <si>
    <t>1511-237-COT23</t>
  </si>
  <si>
    <t>OXIMETRO DE PULSO HOSPITALIZACION DOMICILIARIA</t>
  </si>
  <si>
    <t>16/02/2023 12:55</t>
  </si>
  <si>
    <t>20/02/2023 14:59</t>
  </si>
  <si>
    <t>2107-62-COT23</t>
  </si>
  <si>
    <t>VASO HUMIDIFICADOR Y CONECTOR</t>
  </si>
  <si>
    <t>16/02/2023 17:06</t>
  </si>
  <si>
    <t>20/02/2023 09:00</t>
  </si>
  <si>
    <t>1965-38-COT23</t>
  </si>
  <si>
    <t>D.R - RECARGA DE CILINDROS DE OXÍGENO SALUD PENITENCIARIA</t>
  </si>
  <si>
    <t>Dirección Regional de Gendarmeria - Pta. Arenas</t>
  </si>
  <si>
    <t>17/02/2023 15:46</t>
  </si>
  <si>
    <t>22/02/2023 21:00</t>
  </si>
  <si>
    <t>2102-72-COT23</t>
  </si>
  <si>
    <t>SOPORTE METALICO PARA CILINDROS DE OXIGENO MEDICINAL</t>
  </si>
  <si>
    <t>17/02/2023 14:42</t>
  </si>
  <si>
    <t>20/02/2023 12:44</t>
  </si>
  <si>
    <t>2258-364-COT23</t>
  </si>
  <si>
    <t>RECARGA DE GAS MEDICINAL HELIO PARA CILINDROS M6CGA930 DE 0,170M3</t>
  </si>
  <si>
    <t>17/02/2023 13:59</t>
  </si>
  <si>
    <t>20/02/2023 22:00</t>
  </si>
  <si>
    <t>3017-156-COT23</t>
  </si>
  <si>
    <t>MAQUINA CPAP (EQUIPO LOWENSTEIN AUTO-CPAP CON TUBO)</t>
  </si>
  <si>
    <t>17/02/2023 11:50</t>
  </si>
  <si>
    <t>21/02/2023 11:54</t>
  </si>
  <si>
    <t>1057440-939-COT23</t>
  </si>
  <si>
    <t>SATUROMETROS</t>
  </si>
  <si>
    <t>17/02/2023 10:25</t>
  </si>
  <si>
    <t>20/02/2023 10:00</t>
  </si>
  <si>
    <t>3934-2-COT23</t>
  </si>
  <si>
    <t>ADQUISICION DE OXIGENO MEDICINAL PARA ESTABLECIMIENTOS DE SALUD FREIRE</t>
  </si>
  <si>
    <t>17/02/2023 10:16</t>
  </si>
  <si>
    <t>21/02/2023 00:16</t>
  </si>
  <si>
    <t>1057503-677-COT23</t>
  </si>
  <si>
    <t xml:space="preserve"> BOQUILLAS CON FILTRO P/USO CON BALÓN DE OXIDO NITROSO</t>
  </si>
  <si>
    <t>19/02/2023 19:18</t>
  </si>
  <si>
    <t>22/02/2023 14:30</t>
  </si>
  <si>
    <t>1057503-675-COT23</t>
  </si>
  <si>
    <t>GAS OXIDO NITROSO TIPO MEDIMIX (UGCM)</t>
  </si>
  <si>
    <t>19/02/2023 18:45</t>
  </si>
  <si>
    <t>22/02/2023 15:40</t>
  </si>
  <si>
    <t>3184-7-COT23</t>
  </si>
  <si>
    <t>ADQUISICION DE CILINDRO DE NITROGENO DE 10 METROS CUBICOS MAS REGULADOR</t>
  </si>
  <si>
    <t>GOBERNACION MARITIMA DE HANGA ROA</t>
  </si>
  <si>
    <t>18/02/2023 07:12</t>
  </si>
  <si>
    <t>21/02/2023 10:00</t>
  </si>
  <si>
    <t>514847-133-COT23</t>
  </si>
  <si>
    <t>ADQUISICON DE  INSUMOS PARA OXIGENOTERAPIA CESFAM Y CECOSF PILLANLEBUN (MJ 384)</t>
  </si>
  <si>
    <t>20/02/2023 11:24</t>
  </si>
  <si>
    <t>22/02/2023 12:30</t>
  </si>
  <si>
    <t>1951-97-COT23</t>
  </si>
  <si>
    <t>REGULADOR DE OXÍGENO 15 LPM CON DISS</t>
  </si>
  <si>
    <t>Hospital Carahue</t>
  </si>
  <si>
    <t>20/02/2023 14:15</t>
  </si>
  <si>
    <t>24/02/2023 09:05</t>
  </si>
  <si>
    <t>1057429-359-COT23</t>
  </si>
  <si>
    <t>VALVULA THRESHOLD IMT</t>
  </si>
  <si>
    <t>21/02/2023 13:06</t>
  </si>
  <si>
    <t>22/02/2023 13:10</t>
  </si>
  <si>
    <t>1069417-55-COT23</t>
  </si>
  <si>
    <t xml:space="preserve"> BOQUILLAS FLUJOMETROS PARA  CESFAM SAN RAMON NONATO DEPENDIENTE DE LA DIRECCION DE SALUD MUNICIPAL DE CHILLAN</t>
  </si>
  <si>
    <t>Dirección  de Salud Municipal Chillán</t>
  </si>
  <si>
    <t>21/02/2023 11:20</t>
  </si>
  <si>
    <t>28/02/2023 11:18</t>
  </si>
  <si>
    <t>2284-192-COT23</t>
  </si>
  <si>
    <t>MANOMETROS CON FLUJOMETROS — SOLICITUD Nº 46445</t>
  </si>
  <si>
    <t>DPTO. DE SALUD MUNICIPAL DE VALDIVIA</t>
  </si>
  <si>
    <t>24/02/2023 17:25</t>
  </si>
  <si>
    <t>28/02/2023 22:00</t>
  </si>
  <si>
    <t>2424-784-COT23</t>
  </si>
  <si>
    <t>PED.4/706/CAC/MANIFOLD/</t>
  </si>
  <si>
    <t>I MUNICIPALIDAD DE VINA DEL MAR</t>
  </si>
  <si>
    <t>28/02/2023 11:47</t>
  </si>
  <si>
    <t>01/03/2023 18:26</t>
  </si>
  <si>
    <t>4115-16-COT23</t>
  </si>
  <si>
    <t>SERVICIO RECARGA OXIGENO GAS MEDICINAL</t>
  </si>
  <si>
    <t>28/02/2023 11:27</t>
  </si>
  <si>
    <t>02/03/2023 03:18</t>
  </si>
  <si>
    <t>1057429-418-COT23</t>
  </si>
  <si>
    <t>OXIMETRO PULSO YUWELL YX300</t>
  </si>
  <si>
    <t>28/02/2023 10:01</t>
  </si>
  <si>
    <t>01/03/2023 10:15</t>
  </si>
  <si>
    <t>2401-193-COT23</t>
  </si>
  <si>
    <t>OXIGENO - DGA</t>
  </si>
  <si>
    <t>I MUNICIPALIDAD DE RANCAGUA</t>
  </si>
  <si>
    <t>28/02/2023 08:44</t>
  </si>
  <si>
    <t>02/03/2023 12:06</t>
  </si>
  <si>
    <t>1643-938-COT23</t>
  </si>
  <si>
    <t>REGULADOR DE OXIGENO YUGO 50PSI, CON DESPACHO INCLUIDO PARA EL HOSPITAL DE TALAGANTE.</t>
  </si>
  <si>
    <t>01/03/2023 17:18</t>
  </si>
  <si>
    <t>04/03/2023 07:00</t>
  </si>
  <si>
    <t>1465-144-COT23</t>
  </si>
  <si>
    <t xml:space="preserve"> MANTENIMIENTO CORRECTIVO SISTEMA DE GASES CLINICOS</t>
  </si>
  <si>
    <t>01/03/2023 17:07</t>
  </si>
  <si>
    <t>03/03/2023 10:00</t>
  </si>
  <si>
    <t>1057775-17-COT23</t>
  </si>
  <si>
    <t>COMPRA DE OXIMETRO DE PULSO Y TERMOMETROS HIGROMETROS</t>
  </si>
  <si>
    <t>01/03/2023 16:38</t>
  </si>
  <si>
    <t>03/03/2023 11:44</t>
  </si>
  <si>
    <t>3191-339-COT23</t>
  </si>
  <si>
    <t>COT (MAT) REPUESTOS MANTENCION SALIDA DE GASES</t>
  </si>
  <si>
    <t>HOSPITAL NAVAL ALMIRANTE NEF</t>
  </si>
  <si>
    <t>01/03/2023 09:24</t>
  </si>
  <si>
    <t>03/03/2023 08:00</t>
  </si>
  <si>
    <t>1057540-396-COT23</t>
  </si>
  <si>
    <t xml:space="preserve">COMPRA SATUROMETRO DIGITAL </t>
  </si>
  <si>
    <t>02/03/2023 16:30</t>
  </si>
  <si>
    <t>06/03/2023 12:00</t>
  </si>
  <si>
    <t>3328-621-COT23</t>
  </si>
  <si>
    <t xml:space="preserve"> JAG/DAG/ MANTENIMIENTO VENTILADOR NO INVASIVO (B-29/23)</t>
  </si>
  <si>
    <t>HOSPITAL CLINICO DE LA FUERZA AEREA GRAL DR RAUL YAZIGI JAUREGUI</t>
  </si>
  <si>
    <t>02/03/2023 16:11</t>
  </si>
  <si>
    <t>06/03/2023 12:15</t>
  </si>
  <si>
    <t>1057541-193-COT23</t>
  </si>
  <si>
    <t xml:space="preserve">SATUROMETRO PORTATIL Y TERMOMETRO CLINICO DIGITAL </t>
  </si>
  <si>
    <t>02/03/2023 15:53</t>
  </si>
  <si>
    <t>03/03/2023 16:00</t>
  </si>
  <si>
    <t>2307-435-COT23</t>
  </si>
  <si>
    <t>SERVICIO DE RECARGA OXIGENO - CESFAM RAHUE ALTO (REQ. 280) AAL</t>
  </si>
  <si>
    <t>02/03/2023 15:29</t>
  </si>
  <si>
    <t>06/03/2023 10:00</t>
  </si>
  <si>
    <t>3881-39-COT23</t>
  </si>
  <si>
    <t>ADQUISICION DE 1 CONCENTRADOR DE OXIGENO</t>
  </si>
  <si>
    <t>02/03/2023 12:00</t>
  </si>
  <si>
    <t>06/03/2023 09:30</t>
  </si>
  <si>
    <t>1260057-130-COT23</t>
  </si>
  <si>
    <t>COMPRA REGULADORES DE PRESION DE OXIGENO Y AIRE MEDICINAL</t>
  </si>
  <si>
    <t>02/03/2023 12:01</t>
  </si>
  <si>
    <t>03/03/2023 14:00</t>
  </si>
  <si>
    <t>359-311-COT23</t>
  </si>
  <si>
    <t>FRASCO HUMIDIFICADOR POLICARBONATO Y CONEXIONES METALICAS (CGU:1001092)</t>
  </si>
  <si>
    <t>07/03/2023 15:51</t>
  </si>
  <si>
    <t>08/03/2023 16:00</t>
  </si>
  <si>
    <t>355-116-COT23</t>
  </si>
  <si>
    <t>NIPLE (CONECTOR OXIGENO) VERDE</t>
  </si>
  <si>
    <t>07/03/2023 14:29</t>
  </si>
  <si>
    <t>08/03/2023 15:28</t>
  </si>
  <si>
    <t>1057501-2163-COT23</t>
  </si>
  <si>
    <t xml:space="preserve">41-222-300-128-00 MASCARILLA MIRAGE  QUATTRO FULL FACE "M" RESMED 61202 </t>
  </si>
  <si>
    <t>07/03/2023 12:29</t>
  </si>
  <si>
    <t>09/03/2023 21:00</t>
  </si>
  <si>
    <t>1057501-2159-COT23</t>
  </si>
  <si>
    <t>07/03/2023 12:26</t>
  </si>
  <si>
    <t>1057439-737-COT23</t>
  </si>
  <si>
    <t xml:space="preserve"> OXIMETRO/SATUROMETRO DE PULSO DIGITAL PORTATIL TIPO FINGERTIP (DE DEDO)</t>
  </si>
  <si>
    <t>08/03/2023 16:52</t>
  </si>
  <si>
    <t>09/03/2023 16:55</t>
  </si>
  <si>
    <t>557974-272-COT23</t>
  </si>
  <si>
    <t>703/025 REPARACION DE 9 CILINDROS DE OXIGENO MEDICINAL</t>
  </si>
  <si>
    <t>08/03/2023 15:29</t>
  </si>
  <si>
    <t>16/03/2023 16:00</t>
  </si>
  <si>
    <t>2103-96-COT23</t>
  </si>
  <si>
    <t xml:space="preserve">REGULADOR DE OXIGENO </t>
  </si>
  <si>
    <t>Hospital  Lonquimay</t>
  </si>
  <si>
    <t>08/03/2023 15:26</t>
  </si>
  <si>
    <t>09/03/2023 16:00</t>
  </si>
  <si>
    <t>4817-226-COT23</t>
  </si>
  <si>
    <t xml:space="preserve">RECARGA DE OXIGENO MEDICINAL CILINDRO 0,7 MTS DE PROPIEDAD DE HOSPITAL DE LINARES </t>
  </si>
  <si>
    <t>08/03/2023 14:23</t>
  </si>
  <si>
    <t>09/03/2023 14:30</t>
  </si>
  <si>
    <t>4817-225-COT23</t>
  </si>
  <si>
    <t>PRUEBA HIDRÁULICA PARA CILINDRO 0,7 MTS DE PROPIEDAD DE HOSPITAL DE LINARES</t>
  </si>
  <si>
    <t>08/03/2023 14:19</t>
  </si>
  <si>
    <t>2188-89-COT23</t>
  </si>
  <si>
    <t xml:space="preserve">COMPRA DE OXIGENOS DE 10MTS 3 </t>
  </si>
  <si>
    <t>SERVICIO DE SALUD HOSPITAL COINCO</t>
  </si>
  <si>
    <t>09/03/2023 16:10</t>
  </si>
  <si>
    <t>13/03/2023 08:09</t>
  </si>
  <si>
    <t>2188-87-COT23</t>
  </si>
  <si>
    <t>COMPRA DE OXIGENOS DE 07 MTS 3 LOS CILINDROS DE 0.7 MTS SIN FLETE INLCUIDO EL FLETE CORRE POR PARTE DEL ESTABLECIMIENTO</t>
  </si>
  <si>
    <t>09/03/2023 16:09</t>
  </si>
  <si>
    <t>13/03/2023 08:05</t>
  </si>
  <si>
    <t>3905-44-COT23</t>
  </si>
  <si>
    <t>ADQUISCIÓN DE SATURÓMETROS PARA CESFAM PINTO</t>
  </si>
  <si>
    <t>Ilustre Municipalidad de Pinto Depto. de Salud</t>
  </si>
  <si>
    <t>09/03/2023 14:45</t>
  </si>
  <si>
    <t>13/03/2023 08:00</t>
  </si>
  <si>
    <t>1380-2721-COT23</t>
  </si>
  <si>
    <t>09/03/2023 14:38</t>
  </si>
  <si>
    <t>10/03/2023 15:00</t>
  </si>
  <si>
    <t>2744-138-COT23</t>
  </si>
  <si>
    <t>RECARGA DE OXIGENO.</t>
  </si>
  <si>
    <t>09/03/2023 13:25</t>
  </si>
  <si>
    <t>10/03/2023 17:30</t>
  </si>
  <si>
    <t>5061-253-COT23</t>
  </si>
  <si>
    <t>Adquisición de (10 unid) de flujómetro adulto, para  atención Sala IRA del Cesfam Pueblo Nuevo. Según especificaciones técnicas adjuntas</t>
  </si>
  <si>
    <t>09/03/2023 12:36</t>
  </si>
  <si>
    <t>10/03/2023 12:40</t>
  </si>
  <si>
    <t>1057440-1404-COT23</t>
  </si>
  <si>
    <t>REGULADOR DE OXIGENO DE PARED</t>
  </si>
  <si>
    <t>13/03/2023 15:13</t>
  </si>
  <si>
    <t>15/03/2023 09:00</t>
  </si>
  <si>
    <t>2952-116-COT23</t>
  </si>
  <si>
    <t>NITRÓGENO GASEOSO CON CAMBIO DE VÁLVULA</t>
  </si>
  <si>
    <t>Arsenal Naval Talcahuano</t>
  </si>
  <si>
    <t>13/03/2023 14:56</t>
  </si>
  <si>
    <t>15/03/2023 16:30</t>
  </si>
  <si>
    <t>1705-117-COT23</t>
  </si>
  <si>
    <t>FLUJOMETRO CUERPO CROMADO 7 LPM PARA OXIGENO MEDICINA</t>
  </si>
  <si>
    <t>HOSPITAL ADRIANA COUSINO DE QUINTERO</t>
  </si>
  <si>
    <t>13/03/2023 13:30</t>
  </si>
  <si>
    <t>16/03/2023 08:04</t>
  </si>
  <si>
    <t>2677-49-COT23</t>
  </si>
  <si>
    <t>FLUJOMETRO Y ASPIRADOR DE PARED</t>
  </si>
  <si>
    <t>13/03/2023 11:53</t>
  </si>
  <si>
    <t>20/03/2023 12:00</t>
  </si>
  <si>
    <t>1469-574-COT23</t>
  </si>
  <si>
    <t xml:space="preserve">Servicio de arriendo de Cilindro gases </t>
  </si>
  <si>
    <t>15/03/2023 12:00</t>
  </si>
  <si>
    <t>16/03/2023 12:15</t>
  </si>
  <si>
    <t>1950-168-COT23</t>
  </si>
  <si>
    <t>MANTENCION PREVENTIVA VENTILADORES</t>
  </si>
  <si>
    <t>15/03/2023 11:53</t>
  </si>
  <si>
    <t>17/03/2023 12:05</t>
  </si>
  <si>
    <t>2790-105-COT23</t>
  </si>
  <si>
    <t>27/03/2023 12:49</t>
  </si>
  <si>
    <t>28/03/2023 16:00</t>
  </si>
  <si>
    <t>1211839-217-COT23</t>
  </si>
  <si>
    <t>Recargas de gases varios para taller de Construcciones Metálicas, Liceo Industrial.</t>
  </si>
  <si>
    <t>27/03/2023 12:12</t>
  </si>
  <si>
    <t>30/03/2023 12:00</t>
  </si>
  <si>
    <t>1057551-197-COT23</t>
  </si>
  <si>
    <t>MANÓMETRO PARA OXÍGENO</t>
  </si>
  <si>
    <t>27/03/2023 12:06</t>
  </si>
  <si>
    <t>28/03/2023 12:10</t>
  </si>
  <si>
    <t>1488-209-COT23</t>
  </si>
  <si>
    <t>SUMINISTRO E INSTALACIÓN DE TOMAS PARA OXÍGENO Y VACÍO EN SERVICIO DE GINECOLOGÍA 4° PISO</t>
  </si>
  <si>
    <t>HOSPITAL HERNAN HENRIQUEZ ARAVENA - OPERACIONES</t>
  </si>
  <si>
    <t>06/04/2023 12:12</t>
  </si>
  <si>
    <t>12/04/2023 12:00</t>
  </si>
  <si>
    <t>30 UTM</t>
  </si>
  <si>
    <t>2201-294-COT23</t>
  </si>
  <si>
    <t>Recarga de cilindros tipo E, particulares, de Oxígeno medicinal (0,7 m3) válvula Din 477-6.</t>
  </si>
  <si>
    <t>Instituto Nac. de Rehabilitación Pedro Aguirre C.</t>
  </si>
  <si>
    <t>28/04/2023 16:24</t>
  </si>
  <si>
    <t>02/05/2023 15:30</t>
  </si>
  <si>
    <t>3964-16-COT23</t>
  </si>
  <si>
    <t xml:space="preserve">ADQUISICION DE NITROGENO LIQUIDO </t>
  </si>
  <si>
    <t>Dirección General de Fomento Equino y Remonta - DGFER</t>
  </si>
  <si>
    <t>28/04/2023 12:20</t>
  </si>
  <si>
    <t>04/05/2023 11:00</t>
  </si>
  <si>
    <t>3105-102-COT23</t>
  </si>
  <si>
    <t>Servicio de mantención y recarga de cilindros</t>
  </si>
  <si>
    <t>Regimiento IM 4 Cochrane</t>
  </si>
  <si>
    <t>4105-692-COT23</t>
  </si>
  <si>
    <t>ADQUISICION DE MANIFOLD.</t>
  </si>
  <si>
    <t>17/07/2023 17:02</t>
  </si>
  <si>
    <t>24/07/2023 10:06</t>
  </si>
  <si>
    <t>1057440-3002-COT23</t>
  </si>
  <si>
    <t>ADQUISICION REGULADORES DE OXIGENO</t>
  </si>
  <si>
    <t>17/07/2023 16:51</t>
  </si>
  <si>
    <t>19/07/2023 11:00</t>
  </si>
  <si>
    <t>1079516-347-COT23</t>
  </si>
  <si>
    <t>ADQUISICIÓN DE 02 CILINDROS DE GAS HELIO ELECTRÓNICO, GRADO 6.0, VOLUMEN 8,3 M3. EXISTEN 2 CILINDROS PARA DEVOLUCIÓN.  (REQ.326)</t>
  </si>
  <si>
    <t>SECCIÓN COMPRAS V ZONA</t>
  </si>
  <si>
    <t>17/07/2023 16:44</t>
  </si>
  <si>
    <t>19/07/2023 16:00</t>
  </si>
  <si>
    <t>547640-95-COT23</t>
  </si>
  <si>
    <t>RECARGAS OXÍGENO MEDICINAL SAR</t>
  </si>
  <si>
    <t>17/07/2023 15:53</t>
  </si>
  <si>
    <t>20/07/2023 12:01</t>
  </si>
  <si>
    <t>1172445-345-COT23</t>
  </si>
  <si>
    <t>MSA/ ADQUISICION DE EQUIPO OXIGENOTERAPIA/ LICEO MANUEL BLANCO ENCALADA.</t>
  </si>
  <si>
    <t>SERVICIO LOCAL DE EDUCACION PÚBLICA DE ATACAMA</t>
  </si>
  <si>
    <t>17/07/2023 15:56</t>
  </si>
  <si>
    <t>19/07/2023 16:04</t>
  </si>
  <si>
    <t>3752-178-COT23</t>
  </si>
  <si>
    <t>CILINDRO DE OXIGENO</t>
  </si>
  <si>
    <t>17/07/2023 15:36</t>
  </si>
  <si>
    <t>21/07/2023 13:00</t>
  </si>
  <si>
    <t>1540-1040-COT23</t>
  </si>
  <si>
    <t>INSUMOS CLINICO -  FRASCO HUMIDIFICADOR</t>
  </si>
  <si>
    <t>17/07/2023 14:54</t>
  </si>
  <si>
    <t>19/07/2023 07:05</t>
  </si>
  <si>
    <t>3905-166-COT23</t>
  </si>
  <si>
    <t>FLUJÓMETROS PARA SALA ERA</t>
  </si>
  <si>
    <t>18/07/2023 14:44</t>
  </si>
  <si>
    <t>19/07/2023 15:30</t>
  </si>
  <si>
    <t>4817-615-COT23</t>
  </si>
  <si>
    <t>RECARGAS DE OXIGENO MEDICINAL DE 6 M3</t>
  </si>
  <si>
    <t>18/07/2023 14:00</t>
  </si>
  <si>
    <t>19/07/2023 14:05</t>
  </si>
  <si>
    <t>3497-132-COT23</t>
  </si>
  <si>
    <t>ADQUISICION DE MASCARILLA ORONASAL FULL-FACE TALLA M</t>
  </si>
  <si>
    <t>I MUNICIPALIDAD DE COBQUECURA</t>
  </si>
  <si>
    <t>18/07/2023 12:24</t>
  </si>
  <si>
    <t>20/07/2023 08:00</t>
  </si>
  <si>
    <t>1499-541-COT23</t>
  </si>
  <si>
    <t>REGULADOR DE VACIO ADULTO</t>
  </si>
  <si>
    <t>18/07/2023 12:13</t>
  </si>
  <si>
    <t>21/07/2023 09:00</t>
  </si>
  <si>
    <t>3949-184-COT23</t>
  </si>
  <si>
    <t>ARRIENDO Y RECARGA DE CILINDROS DE OXIGENO CAG</t>
  </si>
  <si>
    <t>18/07/2023 11:46</t>
  </si>
  <si>
    <t>21/07/2023 11:00</t>
  </si>
  <si>
    <t>4329-284-COT23</t>
  </si>
  <si>
    <t>CONCENTRADOR DE OXIGENO SOL 1669</t>
  </si>
  <si>
    <t>I MUNICIPALIDAD DE NIQUEN</t>
  </si>
  <si>
    <t>18/07/2023 10:57</t>
  </si>
  <si>
    <t>21/07/2023 10:34</t>
  </si>
  <si>
    <t>3191-828-COT23</t>
  </si>
  <si>
    <t>COT (MAT) REPUESTOS MANTENCION GASES CLINICOS</t>
  </si>
  <si>
    <t>18/07/2023 10:43</t>
  </si>
  <si>
    <t>24/07/2023 09:00</t>
  </si>
  <si>
    <t>2415-154-COT23</t>
  </si>
  <si>
    <t>ADQUISICION DE CILINDROS DE GAS</t>
  </si>
  <si>
    <t>18/07/2023 10:41</t>
  </si>
  <si>
    <t>20/07/2023 14:00</t>
  </si>
  <si>
    <t>5586-1902-COT23</t>
  </si>
  <si>
    <t>HELIO ULTRA PURO</t>
  </si>
  <si>
    <t>18/07/2023 10:38</t>
  </si>
  <si>
    <t>19/07/2023 11:36</t>
  </si>
  <si>
    <t>2048-461-COT23</t>
  </si>
  <si>
    <t>ADABF009	ADAPTADOR EN Y PARA OXIGENO TERAPIA (CHIPERBARICA)</t>
  </si>
  <si>
    <t>Hospital de Ancud</t>
  </si>
  <si>
    <t>18/07/2023 09:55</t>
  </si>
  <si>
    <t>20/07/2023 09:00</t>
  </si>
  <si>
    <t>4283-75-COT23</t>
  </si>
  <si>
    <t>OXIMETROS DE PULSOS DE ADULTOS Y PEDIATRICOS</t>
  </si>
  <si>
    <t>I MUNICIPALIDAD DE CATEMU</t>
  </si>
  <si>
    <t>18/07/2023 17:48</t>
  </si>
  <si>
    <t>24/07/2023 10:10</t>
  </si>
  <si>
    <t>4283-71-COT23</t>
  </si>
  <si>
    <t xml:space="preserve">CARGA DE OXIGENO </t>
  </si>
  <si>
    <t>18/07/2023 17:05</t>
  </si>
  <si>
    <t>24/07/2023 10:03</t>
  </si>
  <si>
    <t>4351-1098-COT23</t>
  </si>
  <si>
    <t>Adquisición de cilindros vacíos.</t>
  </si>
  <si>
    <t>I MUNICIPALIDAD DE NACIMIENTO</t>
  </si>
  <si>
    <t>18/07/2023 16:54</t>
  </si>
  <si>
    <t>25/07/2023 09:50</t>
  </si>
  <si>
    <t>2832-460-COT23</t>
  </si>
  <si>
    <t>REQ. 848 - REGULADOR DE OXÍGENO MEDICINAL - CENTRO LA PALMA</t>
  </si>
  <si>
    <t>18/07/2023 16:38</t>
  </si>
  <si>
    <t>1382-200-COT23</t>
  </si>
  <si>
    <t>AEROCAMARA ADULTO BIVALVULADA 451 A 800 ML.</t>
  </si>
  <si>
    <t>CONSULTORIO MIRAFLORES</t>
  </si>
  <si>
    <t>18/07/2023 16:25</t>
  </si>
  <si>
    <t>24/07/2023 16:00</t>
  </si>
  <si>
    <t>2065-452-COT23</t>
  </si>
  <si>
    <t xml:space="preserve"> Recarga cilindros de oxígeno de 0,4 m3 y 0,7 m3 del Hospital de Puerto Saavedra</t>
  </si>
  <si>
    <t>SERV SALUD ARAUC SUR HOSP DR ARTURO HILLERNS LARRANAGA DE PTO SAAVEDRA</t>
  </si>
  <si>
    <t>18/07/2023 15:42</t>
  </si>
  <si>
    <t>1057440-3018-COT23</t>
  </si>
  <si>
    <t>MONOMETRO CON FLUJOMETRO PARA TRANSPORTE DE OXIGENO</t>
  </si>
  <si>
    <t>18/07/2023 15:11</t>
  </si>
  <si>
    <t>20/07/2023 15:30</t>
  </si>
  <si>
    <t>1171142-2311-COT23</t>
  </si>
  <si>
    <t>OXIMETRO DE PULSO ADULTO Y PEDIATRICO</t>
  </si>
  <si>
    <t>19/07/2023 16:40</t>
  </si>
  <si>
    <t>20/07/2023 16:45</t>
  </si>
  <si>
    <t>1274667-232-COT23</t>
  </si>
  <si>
    <t>MVF- FLUJOMETROS CAMPAÑA INVIERNO 2023</t>
  </si>
  <si>
    <t>CENTRO DE SALUD FAMILIAR PUERTO AYSÉN</t>
  </si>
  <si>
    <t>19/07/2023 16:21</t>
  </si>
  <si>
    <t>21/07/2023 09:59</t>
  </si>
  <si>
    <t>1069417-669-COT23</t>
  </si>
  <si>
    <t>RECARGA DE TUBOS DE OXIGENO MEDICINAL DEL CESFAM ULTRAESTACION DEPENDIENTE DE LA DIRECCION DE SALUD MUNICIPAL DE CHILLAN</t>
  </si>
  <si>
    <t>19/07/2023 15:06</t>
  </si>
  <si>
    <t>20/07/2023 16:25</t>
  </si>
  <si>
    <t>3674-320-COT23</t>
  </si>
  <si>
    <t>REGULADOR DE OXIGENO</t>
  </si>
  <si>
    <t>ILUSTRE MUNICIPALIDAD DE CHILLAN VIEJO</t>
  </si>
  <si>
    <t>19/07/2023 14:39</t>
  </si>
  <si>
    <t>21/07/2023 11:33</t>
  </si>
  <si>
    <t>2757-701-COT23</t>
  </si>
  <si>
    <t>Adquisición de cilindro de oxígeno para uso Cesfam Barrancas  de la red de salud Municipal</t>
  </si>
  <si>
    <t>19/07/2023 14:37</t>
  </si>
  <si>
    <t>1642-431-COT23</t>
  </si>
  <si>
    <t>OXIMETROS DE PULSO ADULTO</t>
  </si>
  <si>
    <t>19/07/2023 13:23</t>
  </si>
  <si>
    <t>20/07/2023 13:30</t>
  </si>
  <si>
    <t>1628-304-COT23</t>
  </si>
  <si>
    <t xml:space="preserve">COMPRA OXIMETRO SATURÓMETRO </t>
  </si>
  <si>
    <t>19/07/2023 12:21</t>
  </si>
  <si>
    <t>24/07/2023 12:08</t>
  </si>
  <si>
    <t>2366-418-COT23</t>
  </si>
  <si>
    <t>BALON DE OXIGENO CON MANOMETRO SC 646 CONVENIO PMI</t>
  </si>
  <si>
    <t>20/07/2023 17:10</t>
  </si>
  <si>
    <t>24/07/2023 10:00</t>
  </si>
  <si>
    <t>5349-699-COT23</t>
  </si>
  <si>
    <t>VÁLVULAS DE ÓXIDO NITROSO</t>
  </si>
  <si>
    <t>20/07/2023 16:54</t>
  </si>
  <si>
    <t>25/07/2023 09:00</t>
  </si>
  <si>
    <t>2366-419-COT23</t>
  </si>
  <si>
    <t>SATUROMETRO SC N°331 CONVENIO PMI</t>
  </si>
  <si>
    <t>20/07/2023 17:18</t>
  </si>
  <si>
    <t>1063538-1211-COT23</t>
  </si>
  <si>
    <t xml:space="preserve">REPARACION DE CPAP </t>
  </si>
  <si>
    <t>20/07/2023 16:50</t>
  </si>
  <si>
    <t>24/07/2023 21:00</t>
  </si>
  <si>
    <t>1384-1423-COT23</t>
  </si>
  <si>
    <t xml:space="preserve">SM 2212 SATUROMETRO ADULTO, BODEGA DE FÁRMACOS </t>
  </si>
  <si>
    <t>20/07/2023 16:12</t>
  </si>
  <si>
    <t>24/07/2023 08:30</t>
  </si>
  <si>
    <t>1079454-890-COT23</t>
  </si>
  <si>
    <t xml:space="preserve"> ADQUISICIÓN DEL SERVICIO DE PRUEBA HIDROSTÁTICA DE BOTELLAS DE OXIGENO DE GOPE CALAMA Y ANTOFAGASTA SEGÚN N.C.U.:182055562.</t>
  </si>
  <si>
    <t>SECCIÓN COMPRAS II ZONA</t>
  </si>
  <si>
    <t>20/07/2023 15:41</t>
  </si>
  <si>
    <t>24/07/2023 12:00</t>
  </si>
  <si>
    <t>David Cautin</t>
  </si>
  <si>
    <t>4817-619-COT23</t>
  </si>
  <si>
    <t>20/07/2023 15:19</t>
  </si>
  <si>
    <t>21/07/2023 15:25</t>
  </si>
  <si>
    <t>1058024-1763-COT23</t>
  </si>
  <si>
    <t xml:space="preserve"> RECARGA OXIGENO CILINDROS PROPIOS CAVRR</t>
  </si>
  <si>
    <t>20/07/2023 14:19</t>
  </si>
  <si>
    <t>21/07/2023 15:00</t>
  </si>
  <si>
    <t>799512-1319-COT23</t>
  </si>
  <si>
    <t>DAS REQUIERE Regulador Oxígeno medicinal con flujómetro 0 A 15 lpm</t>
  </si>
  <si>
    <t>Corporación Municipal de Valparaíso para el Desarrollo Social</t>
  </si>
  <si>
    <t>20/07/2023 13:34</t>
  </si>
  <si>
    <t>25/07/2023 13:30</t>
  </si>
  <si>
    <t>557639-1804-COT23</t>
  </si>
  <si>
    <t xml:space="preserve">364-83-OXIGENO CESFAM 5_SALUD </t>
  </si>
  <si>
    <t>21/07/2023 12:43</t>
  </si>
  <si>
    <t>2934-199-COT23</t>
  </si>
  <si>
    <t>RECARGAS DE OXIGENO</t>
  </si>
  <si>
    <t>I MUNICIPALIDAD DE ALHUE</t>
  </si>
  <si>
    <t>21/07/2023 12:00</t>
  </si>
  <si>
    <t>24/07/2023 12:30</t>
  </si>
  <si>
    <t>557639-1800-COT23</t>
  </si>
  <si>
    <t>379-104- OXIGENO MEDICO CESFAM 2</t>
  </si>
  <si>
    <t>21/07/2023 11:53</t>
  </si>
  <si>
    <t>1057492-524-COT23</t>
  </si>
  <si>
    <t>CONECTOR DE OXIGENO NIPLE</t>
  </si>
  <si>
    <t>21/07/2023 11:38</t>
  </si>
  <si>
    <t>24/07/2023 10:35</t>
  </si>
  <si>
    <t>2832-476-COT23</t>
  </si>
  <si>
    <t>21/07/2023 10:53</t>
  </si>
  <si>
    <t>1549-4326-COT23</t>
  </si>
  <si>
    <t>ADQUISICION DE TAPAS MURALES TOMAS DE OXIGENO BEACON MEDAES DIAMOND</t>
  </si>
  <si>
    <t>21/07/2023 10:29</t>
  </si>
  <si>
    <t>25/07/2023 10:00</t>
  </si>
  <si>
    <t>3377-391-COT23</t>
  </si>
  <si>
    <t xml:space="preserve">SOLICITUD DE COTIZACIÓN DE SERVICIO DE RECARGA DE OXIGENO, ACETILENO, CO2 PARA EL REGIMIENTO </t>
  </si>
  <si>
    <t>Ejercito de Chile</t>
  </si>
  <si>
    <t>24/07/2023 16:38</t>
  </si>
  <si>
    <t>26/07/2023 21:00</t>
  </si>
  <si>
    <t>2292-938-COT23</t>
  </si>
  <si>
    <t>FLUJÓMETROS CON MANÓMETRO Y VASO HUMIDIFICADOR ( REGULADOR DE OXIGENO)</t>
  </si>
  <si>
    <t>24/07/2023 15:28</t>
  </si>
  <si>
    <t>26/07/2023 09:00</t>
  </si>
  <si>
    <t>1057503-2459-COT23</t>
  </si>
  <si>
    <t xml:space="preserve"> CONEXIÓN UNIVERSAL OXIGENO RECTO (AC-5) (Prog. Julio) 2ª Publ.</t>
  </si>
  <si>
    <t>24/07/2023 14:17</t>
  </si>
  <si>
    <t>25/07/2023 14:20</t>
  </si>
  <si>
    <t>1057536-691-COT23</t>
  </si>
  <si>
    <t>SE REQUIERE ADQUISICION DE VENDAJE Y EQUIPO DE OXIGENOTERAPIA SC N°973-2023</t>
  </si>
  <si>
    <t>24/07/2023 12:44</t>
  </si>
  <si>
    <t>25/07/2023 15:00</t>
  </si>
  <si>
    <t>2658-888-COT23</t>
  </si>
  <si>
    <t>SERVICIO DE ARRIENDO DE CILINDROS Y OTROS</t>
  </si>
  <si>
    <t>25/07/2023 09:40</t>
  </si>
  <si>
    <t>01/08/2023 09:39</t>
  </si>
  <si>
    <t>2258-1194-COT23</t>
  </si>
  <si>
    <t>222-0253 MASCARILLAS OROS NASAL XS NEONATAL SILICONA</t>
  </si>
  <si>
    <t>25/07/2023 08:46</t>
  </si>
  <si>
    <t>27/07/2023 08:30</t>
  </si>
  <si>
    <t>1057536-715-COT23</t>
  </si>
  <si>
    <t>SE REQUIERE PORTA BALON DE OXIGENO SEGUN SC N°1143-2023</t>
  </si>
  <si>
    <t>26/07/2023 15:27</t>
  </si>
  <si>
    <t>28/07/2023 11:00</t>
  </si>
  <si>
    <t>5762-177-COT23</t>
  </si>
  <si>
    <t>Mantención preventiva y correctiva sistema de gases clínicos Simulador Campus San Felipe.</t>
  </si>
  <si>
    <t>26/07/2023 13:40</t>
  </si>
  <si>
    <t>27/07/2023 21:00</t>
  </si>
  <si>
    <t>2659-634-COT23</t>
  </si>
  <si>
    <t>PTR  M - 648  COMPRA DE CPAP COMPLETO</t>
  </si>
  <si>
    <t>26/07/2023 12:54</t>
  </si>
  <si>
    <t>28/07/2023 12:10</t>
  </si>
  <si>
    <t>578459-185-COT23</t>
  </si>
  <si>
    <t>TENSIOMETRO Y OXIMETRO - MEMO 31</t>
  </si>
  <si>
    <t>CORP MUNICIPAL DE ISLA DE MAIPO PARA L</t>
  </si>
  <si>
    <t>26/07/2023 12:06</t>
  </si>
  <si>
    <t>01/08/2023 12:39</t>
  </si>
  <si>
    <t>3328-1453-COT23</t>
  </si>
  <si>
    <t>BVS/ADQ. REGULADOR DE AIRE/DM/SOL.Nº46/637/3460</t>
  </si>
  <si>
    <t>27/07/2023 10:36</t>
  </si>
  <si>
    <t>31/07/2023 00:34</t>
  </si>
  <si>
    <t>3047-284-COT23</t>
  </si>
  <si>
    <t>RECARGA DE CILINDROS DE ACETILENO Y OXIGENO</t>
  </si>
  <si>
    <t>Academia Politécnica Naval</t>
  </si>
  <si>
    <t>27/07/2023 09:46</t>
  </si>
  <si>
    <t>31/07/2023 08:00</t>
  </si>
  <si>
    <t>3191-872-COT23</t>
  </si>
  <si>
    <t>COT (MAT) REPUESTOS MANTENCIÓN GASES CLÍNICOS</t>
  </si>
  <si>
    <t>27/07/2023 09:09</t>
  </si>
  <si>
    <t>02/08/2023 08:00</t>
  </si>
  <si>
    <t>1514-408-COT23</t>
  </si>
  <si>
    <t>CONECTOR NIPLE PARA OXIGENO</t>
  </si>
  <si>
    <t>Hospital de Castro</t>
  </si>
  <si>
    <t>27/07/2023 08:47</t>
  </si>
  <si>
    <t>28/07/2023 10:00</t>
  </si>
  <si>
    <t>872-405-COT23</t>
  </si>
  <si>
    <t>Mantención Anual de línea de gas nitrógeno del Laboratorio de Liofilizados</t>
  </si>
  <si>
    <t>27/07/2023 08:42</t>
  </si>
  <si>
    <t>31/07/2023 21:00</t>
  </si>
  <si>
    <t>1058024-1789-COT23</t>
  </si>
  <si>
    <t>RECARGA OXIGENO CILINDROS PROPIOS CAVRR</t>
  </si>
  <si>
    <t>27/07/2023 08:22</t>
  </si>
  <si>
    <t>28/07/2023 08:30</t>
  </si>
  <si>
    <t>1641-2519-COT23</t>
  </si>
  <si>
    <t xml:space="preserve"> amv/ FLUJOMETO DE OXIGENO 0-15 LT/MIN</t>
  </si>
  <si>
    <t>28/07/2023 17:27</t>
  </si>
  <si>
    <t>29/07/2023 17:41</t>
  </si>
  <si>
    <t>4690-242-COT23</t>
  </si>
  <si>
    <t>28/07/2023 16:20</t>
  </si>
  <si>
    <t>02/08/2023 23:00</t>
  </si>
  <si>
    <t>3632-193-COT23</t>
  </si>
  <si>
    <t>28/07/2023 14:54</t>
  </si>
  <si>
    <t>31/07/2023 11:00</t>
  </si>
  <si>
    <t>1069417-724-COT23</t>
  </si>
  <si>
    <t>MANTENCIÓN PREVENTIVA DE SALA DE GASES - CESFAM Sol de Oriente.</t>
  </si>
  <si>
    <t>28/07/2023 12:55</t>
  </si>
  <si>
    <t>31/07/2023 14:00</t>
  </si>
  <si>
    <t>3789-126-COT23</t>
  </si>
  <si>
    <t>ADQUISICION DE CONCENTRADOR DE OXIGENO  CONV.CPU</t>
  </si>
  <si>
    <t>28/07/2023 12:27</t>
  </si>
  <si>
    <t>31/07/2023 23:25</t>
  </si>
  <si>
    <t>608-6272-COT23</t>
  </si>
  <si>
    <t>NPS_INSUMOS_VALVULA ENTRENAMIENTO MUSCULAR INSPIRATORIO THERESHOLD/IMT</t>
  </si>
  <si>
    <t>28/07/2023 11:57</t>
  </si>
  <si>
    <t>31/07/2023 10:00</t>
  </si>
  <si>
    <t>4895-645-COT23</t>
  </si>
  <si>
    <t xml:space="preserve">COMPRA DE CARRO PORTA CILINDROS </t>
  </si>
  <si>
    <t>07/08/2023 13:50</t>
  </si>
  <si>
    <t>09/08/2023 12:00</t>
  </si>
  <si>
    <t>2914-182-COT23</t>
  </si>
  <si>
    <t>REGULADOR DE OXIGENO CON VALVULA Y TUERCA CES, SOL 422</t>
  </si>
  <si>
    <t>07/08/2023 13:33</t>
  </si>
  <si>
    <t>09/08/2023 04:59</t>
  </si>
  <si>
    <t>4817-644-COT23</t>
  </si>
  <si>
    <t>REPOSICIÓN REPUESTO VÁLVULA TIPO PIN, PARA TUBO OXIGENO DE PROPIEDAD DEL HOSPITAL</t>
  </si>
  <si>
    <t>08/08/2023 08:43</t>
  </si>
  <si>
    <t>09/08/2023 09:00</t>
  </si>
  <si>
    <t>4817-643-COT23</t>
  </si>
  <si>
    <t>REPOSICIÓN REPUESTO VÁLVULA TIPO H, PARA TUBO OXIGENO DE PROPIEDAD DEL HOSPITAL</t>
  </si>
  <si>
    <t>08/08/2023 08:40</t>
  </si>
  <si>
    <t>1171142-2501-COT23</t>
  </si>
  <si>
    <t>CORRUGADO DESECHABLES PARA VENTILADOR MECANICO. UD 1 UD INCLUYE FILTRO VIRAL-BACTERIANO V.M. PB980</t>
  </si>
  <si>
    <t>08/08/2023 08:27</t>
  </si>
  <si>
    <t>09/08/2023 08:36</t>
  </si>
  <si>
    <t>620332-108-COT23</t>
  </si>
  <si>
    <t>GAS HELIO HE60-16-2000</t>
  </si>
  <si>
    <t>10/08/2023 16:48</t>
  </si>
  <si>
    <t>14/08/2023 12:00</t>
  </si>
  <si>
    <t>1057554-2596-COT23</t>
  </si>
  <si>
    <t>VáLVULA UMBRAL PARA ENTRENAMIENTO MUSCULAR RESPIRATORIO (IMT)</t>
  </si>
  <si>
    <t>10/08/2023 16:29</t>
  </si>
  <si>
    <t>14/08/2023 09:00</t>
  </si>
  <si>
    <t>2825-190-COT23</t>
  </si>
  <si>
    <t>SUMINISTRO DE OXIGENO PARA EL SAR</t>
  </si>
  <si>
    <t>10/08/2023 16:19</t>
  </si>
  <si>
    <t>11/08/2023 16:30</t>
  </si>
  <si>
    <t>3030-611-COT23</t>
  </si>
  <si>
    <t>SET DE REGULADOR DE OXIGENO Y ACCESORIOS PARA CECOSF CAMELIAS</t>
  </si>
  <si>
    <t>ILUSTRE MUNICIPALIDAD DE RETIRO</t>
  </si>
  <si>
    <t>10/08/2023 15:47</t>
  </si>
  <si>
    <t>14/08/2023 15:34</t>
  </si>
  <si>
    <t>3019-1025-COT23</t>
  </si>
  <si>
    <t>INSUMOS OXIGENOTERAPIA, SOLICITUD 181, CPU</t>
  </si>
  <si>
    <t>I.MUNICIPALIDAD DE LOTA - SALUD</t>
  </si>
  <si>
    <t>10/08/2023 15:35</t>
  </si>
  <si>
    <t>11/08/2023 16:00</t>
  </si>
  <si>
    <t>3905-191-COT23</t>
  </si>
  <si>
    <t>SATURÓMETRO Y ESFIGMOMANÓMETRO CERTIFICADO</t>
  </si>
  <si>
    <t>10/08/2023 15:14</t>
  </si>
  <si>
    <t>14/08/2023 08:00</t>
  </si>
  <si>
    <t>777304-4410-COT23</t>
  </si>
  <si>
    <t>INS105338	MASCARILLA RESPIRONICS FITLIFE L</t>
  </si>
  <si>
    <t>10/08/2023 14:59</t>
  </si>
  <si>
    <t>11/08/2023 15:10</t>
  </si>
  <si>
    <t>1380-6616-COT23</t>
  </si>
  <si>
    <t>VALVULA RESPIRATORIA THRESHOLD IMT</t>
  </si>
  <si>
    <t>10/08/2023 14:10</t>
  </si>
  <si>
    <t>12/08/2023 08:00</t>
  </si>
  <si>
    <t>5489-129-COT23</t>
  </si>
  <si>
    <t>ADQUISICIÓN DE RECARGA DE OXÍGENO MEDICINAL Y NITRÓGENO PARA MANTENIMIENTO DE AERONAVES DE LA UNIDAD</t>
  </si>
  <si>
    <t>FUERZA AERONAVAL Nº 2</t>
  </si>
  <si>
    <t>10/08/2023 11:13</t>
  </si>
  <si>
    <t>15/08/2023 11:10</t>
  </si>
  <si>
    <t>1660-619-COT23</t>
  </si>
  <si>
    <t>REGULADORES CONEXION PIN</t>
  </si>
  <si>
    <t>SERVICIO SALUD COQUIMBO HOSP DE SALAMANC</t>
  </si>
  <si>
    <t>11/08/2023 14:33</t>
  </si>
  <si>
    <t>16/08/2023 08:00</t>
  </si>
  <si>
    <t>608-6777-COT23</t>
  </si>
  <si>
    <t>NPS_INSUMOS AGOSTO_VALVULA ENTRENAMIENTO MUSCULAR INSPIRATORIO THERESHOLD/IMT</t>
  </si>
  <si>
    <t>11/08/2023 14:18</t>
  </si>
  <si>
    <t>2790-250-COT23</t>
  </si>
  <si>
    <t>CILINDROS DE OXÍGENO CON SUS RESPECTIVOS ACCESORIOS</t>
  </si>
  <si>
    <t>11/08/2023 13:44</t>
  </si>
  <si>
    <t>14/08/2023 10:00</t>
  </si>
  <si>
    <t>4817-648-COT23</t>
  </si>
  <si>
    <t xml:space="preserve">MASCARA NASOBUCAL PARA VENTILACIÓN NO INVASIVA CON VALVULA Y ORIFICIOS DE VENTILACION (CPAP/BPAP) </t>
  </si>
  <si>
    <t>11/08/2023 13:41</t>
  </si>
  <si>
    <t>14/08/2023 13:45</t>
  </si>
  <si>
    <t>5178-2961-COT23</t>
  </si>
  <si>
    <t>NITROGENO SP 901103 DSM</t>
  </si>
  <si>
    <t>11/08/2023 12:16</t>
  </si>
  <si>
    <t>12/08/2023 18:00</t>
  </si>
  <si>
    <t>1057440-3344-COT23</t>
  </si>
  <si>
    <t>ADQUISICION DE MANOMETRO DE OXIGENO</t>
  </si>
  <si>
    <t>11/08/2023 11:35</t>
  </si>
  <si>
    <t>14/08/2023 11:30</t>
  </si>
  <si>
    <t>557639-1894-COT23</t>
  </si>
  <si>
    <t xml:space="preserve">138-427-OXIGENO SAR 1 </t>
  </si>
  <si>
    <t>21/08/2023 16:11</t>
  </si>
  <si>
    <t>22/08/2023 16:20</t>
  </si>
  <si>
    <t>2777-603-COT23</t>
  </si>
  <si>
    <t>CARGA DE 4 UNIDADES DE AIRE COMPRIMIDOS DE 10 M3 Y 9M3 PARA EL SAR DE RENGO ( 2 UNIDADES DE 10M3 Y 2 UNIDADES DE 9M3)</t>
  </si>
  <si>
    <t>22/08/2023 10:58</t>
  </si>
  <si>
    <t>23/08/2023 13:00</t>
  </si>
  <si>
    <t>1057554-2674-COT23</t>
  </si>
  <si>
    <t>(LER) SATUROMETRO DE DEDO PNH 9911</t>
  </si>
  <si>
    <t>22/08/2023 10:28</t>
  </si>
  <si>
    <t>23/08/2023 10:40</t>
  </si>
  <si>
    <t>1057514-255-COT23</t>
  </si>
  <si>
    <t>OXIMETRO DE PULSO INFANTIL</t>
  </si>
  <si>
    <t>SERVICIO DE SALUD NUBLE HOSPITAL DE EL C</t>
  </si>
  <si>
    <t>22/08/2023 09:17</t>
  </si>
  <si>
    <t>24/08/2023 15:45</t>
  </si>
  <si>
    <t>1057501-8009-COT23</t>
  </si>
  <si>
    <t>20-225-100-259-00 AEROCAMARA BI-VALVULADA PEDIÁTRICA CON MASCARILLA</t>
  </si>
  <si>
    <t>22/08/2023 09:21</t>
  </si>
  <si>
    <t>23/08/2023 09:30</t>
  </si>
  <si>
    <t>2069-3387-COT23</t>
  </si>
  <si>
    <t xml:space="preserve"> DGP-COT-INSUMOS PARA RED DE OXIGENO</t>
  </si>
  <si>
    <t>22/08/2023 09:18</t>
  </si>
  <si>
    <t>23/08/2023 09:25</t>
  </si>
  <si>
    <t>4329-358-COT23</t>
  </si>
  <si>
    <t>RECARGA DE CILINDROS DE OXIGENO SOL 1770</t>
  </si>
  <si>
    <t>24/08/2023 12:51</t>
  </si>
  <si>
    <t>28/08/2023 09:51</t>
  </si>
  <si>
    <t>3200-357-COT23</t>
  </si>
  <si>
    <t xml:space="preserve">concentrador de oxigeno </t>
  </si>
  <si>
    <t>24/08/2023 11:44</t>
  </si>
  <si>
    <t>28/08/2023 09:41</t>
  </si>
  <si>
    <t>564162-1061-COT23</t>
  </si>
  <si>
    <t>CILINDRO DE HELIO</t>
  </si>
  <si>
    <t>24/08/2023 10:18</t>
  </si>
  <si>
    <t>25/08/2023 12:00</t>
  </si>
  <si>
    <t>4476-113-COT23</t>
  </si>
  <si>
    <t>MANTENCIÓN DE REDES Y EQUIPOS DE GASES CLINICOS DEL CENTRO DE SALUD FAMILIAR DE ROMERAL</t>
  </si>
  <si>
    <t>25/08/2023 12:24</t>
  </si>
  <si>
    <t>29/08/2023 14:22</t>
  </si>
  <si>
    <t>4357-245-COT23</t>
  </si>
  <si>
    <t>ADQUISICION DE CONCENTRADOR DE OXÍGENO PARA USO EN PROGRAMA CUIDADOS PALIATIVOS UNIVERSALES</t>
  </si>
  <si>
    <t>I MUNICIPALIDAD DE FREIRINA</t>
  </si>
  <si>
    <t>25/08/2023 11:25</t>
  </si>
  <si>
    <t>31/08/2023 08:00</t>
  </si>
  <si>
    <t>418-1192-COT23</t>
  </si>
  <si>
    <t xml:space="preserve">NVB - CONCENTRADOR DE OXIGENO PORTATIL </t>
  </si>
  <si>
    <t>25/08/2023 11:28</t>
  </si>
  <si>
    <t>28/08/2023 08:00</t>
  </si>
  <si>
    <t>999-26-COT23</t>
  </si>
  <si>
    <t>RECARGA BOTELLAS DE OXIGENO</t>
  </si>
  <si>
    <t>MINISTERIO DE OBRAS PUBLICAS DIREC CION GRAL DE OO PP DCYF</t>
  </si>
  <si>
    <t>28/08/2023 16:56</t>
  </si>
  <si>
    <t>30/08/2023 22:25</t>
  </si>
  <si>
    <t>4256-172-COT23</t>
  </si>
  <si>
    <t xml:space="preserve">OXIMETRO DE PULSO DE MANO </t>
  </si>
  <si>
    <t>28/08/2023 16:15</t>
  </si>
  <si>
    <t>31/08/2023 21:13</t>
  </si>
  <si>
    <t>4256-170-COT23</t>
  </si>
  <si>
    <t>28/08/2023 16:01</t>
  </si>
  <si>
    <t>31/08/2023 21:58</t>
  </si>
  <si>
    <t>5575-163-COT23</t>
  </si>
  <si>
    <t>I MUNICIPALIDAD DE COYHAIQUE</t>
  </si>
  <si>
    <t>28/08/2023 15:58</t>
  </si>
  <si>
    <t>01/09/2023 11:00</t>
  </si>
  <si>
    <t>3786-108-COT23</t>
  </si>
  <si>
    <t>Recargas de tubos de oxigeno según necesidad del Depto. de Salud.</t>
  </si>
  <si>
    <t>I MUNICIPALIDAD DE COELEMU</t>
  </si>
  <si>
    <t>28/08/2023 15:11</t>
  </si>
  <si>
    <t>30/08/2023 09:30</t>
  </si>
  <si>
    <t>1171142-2783-COT23</t>
  </si>
  <si>
    <t>RECARGA DE NITROGENO LIQUIDO, GACES MEDICINALES A CILINDROS DEL CAPLC</t>
  </si>
  <si>
    <t>28/08/2023 14:53</t>
  </si>
  <si>
    <t>30/08/2023 10:51</t>
  </si>
  <si>
    <t>5489-134-COT23</t>
  </si>
  <si>
    <t>ADQUISICIÓN DE RECARGA DE OXÍGENO MEDICINAL</t>
  </si>
  <si>
    <t>28/08/2023 13:42</t>
  </si>
  <si>
    <t>31/08/2023 14:34</t>
  </si>
  <si>
    <t>1057429-1532-COT23</t>
  </si>
  <si>
    <t xml:space="preserve"> CONCENTRADOR DE OXÍGENO</t>
  </si>
  <si>
    <t>30/08/2023 15:46</t>
  </si>
  <si>
    <t>01/09/2023 00:00</t>
  </si>
  <si>
    <t>30-09-2023</t>
  </si>
  <si>
    <t>1080094-129-COT23</t>
  </si>
  <si>
    <t>REVISION/REPARACION OXIGENO EN AMBULANCIAS ID 5779</t>
  </si>
  <si>
    <t>30/08/2023 14:53</t>
  </si>
  <si>
    <t>04/09/2023 09:00</t>
  </si>
  <si>
    <t>1057404-945-COT23</t>
  </si>
  <si>
    <t>SATUROMETROS  SERV. KINESIOLOGIA - SC N° 763</t>
  </si>
  <si>
    <t>SERVICIO DE SALUD ARAUCO HOSPITAL DE ARAUCO</t>
  </si>
  <si>
    <t>30/08/2023 12:35</t>
  </si>
  <si>
    <t>01/09/2023 11:05</t>
  </si>
  <si>
    <t>2910-299-COT23</t>
  </si>
  <si>
    <t>RECARGA DE BALONES DE OXIGENO MEDICINAL SEGÚN SPI (2046/2023 y 2122/2023)</t>
  </si>
  <si>
    <t>01/09/2023 15:30</t>
  </si>
  <si>
    <t>02/09/2023 16:00</t>
  </si>
  <si>
    <t>547640-153-COT23</t>
  </si>
  <si>
    <t>RECARGAS OXIGENO SAR</t>
  </si>
  <si>
    <t>01/09/2023 14:31</t>
  </si>
  <si>
    <t>06/09/2023 16:00</t>
  </si>
  <si>
    <t>2085-558-COT23</t>
  </si>
  <si>
    <t xml:space="preserve">AEROCAMARA PET BIVALVULADA PEDIATRICA 6 A 9 AÑOS HOSPITAL TRAIGUEN </t>
  </si>
  <si>
    <t>SERVICIO DE SALUD ARAUCANIA HOSPITAL DE TRAIGUEN</t>
  </si>
  <si>
    <t>01/09/2023 12:23</t>
  </si>
  <si>
    <t>04/09/2023 08:00</t>
  </si>
  <si>
    <t>3766-140-COT23</t>
  </si>
  <si>
    <t>Mantención preventiva Red de Oxigeno, aire y vacío CESFAM</t>
  </si>
  <si>
    <t>01/09/2023 12:03</t>
  </si>
  <si>
    <t>04/09/2023 11:55</t>
  </si>
  <si>
    <t>4357-253-COT23</t>
  </si>
  <si>
    <t>ADQUISICION DE SATUROMETRO PARA USO EN PROGRAMA ELIGE VIDA SANA</t>
  </si>
  <si>
    <t>04/09/2023 16:44</t>
  </si>
  <si>
    <t>11/09/2023 08:00</t>
  </si>
  <si>
    <t>1057440-3627-COT23</t>
  </si>
  <si>
    <t>04/09/2023 15:46</t>
  </si>
  <si>
    <t>3495-163-COT23</t>
  </si>
  <si>
    <t xml:space="preserve">RECARGAS DE OXIGENO MEDICINAL </t>
  </si>
  <si>
    <t>I MUNICIPALIDAD DE VILCUN</t>
  </si>
  <si>
    <t>04/09/2023 12:44</t>
  </si>
  <si>
    <t>05/09/2023 13:00</t>
  </si>
  <si>
    <t>2777-652-COT23</t>
  </si>
  <si>
    <t>CARGAS DE CILINDROS OXIGENO DE 9M3 PARA EL SAR DE RENGO</t>
  </si>
  <si>
    <t>05/09/2023 15:49</t>
  </si>
  <si>
    <t>07/09/2023 08:00</t>
  </si>
  <si>
    <t>3806-118-COT23</t>
  </si>
  <si>
    <t>I MUNICIPALIDAD DE EMPEDRADO</t>
  </si>
  <si>
    <t>05/09/2023 14:58</t>
  </si>
  <si>
    <t>06/09/2023 15:00</t>
  </si>
  <si>
    <t>4457-343-COT23</t>
  </si>
  <si>
    <t>KIT DE OXIGENOTERAPIA DE PROGRAMA CUIDADOS PALIATIVOS UNIVERSALES</t>
  </si>
  <si>
    <t>I MUNICIPALIDAD DE HUALQUI DEPARTAMENTO DE SALUD</t>
  </si>
  <si>
    <t>05/09/2023 14:27</t>
  </si>
  <si>
    <t>07/09/2023 09:00</t>
  </si>
  <si>
    <t>3747-396-COT23</t>
  </si>
  <si>
    <t>CONCENTRADORES DE OXIGENO PORTATILES PARA CESFAM SAN IGNACIO POR PROGRAMA CUIDADOS PALIATIVOS AÑO 2023. (ADJUNTAR FICHA TECNICA E INDICAR CONDICIONES DE ENVIO).</t>
  </si>
  <si>
    <t>06/09/2023 16:09</t>
  </si>
  <si>
    <t>08/09/2023 10:00</t>
  </si>
  <si>
    <t>5178-3328-COT23</t>
  </si>
  <si>
    <t>NITROGENO LIQUIDO/SP 906161/JL</t>
  </si>
  <si>
    <t>06/09/2023 14:52</t>
  </si>
  <si>
    <t>1552-298-COT23</t>
  </si>
  <si>
    <t>VÁLVULA UMBRAL PARA ENTRENAMIENTO MUSCULAR INSPIRATORIO</t>
  </si>
  <si>
    <t>06/09/2023 13:20</t>
  </si>
  <si>
    <t>11/09/2023 13:00</t>
  </si>
  <si>
    <t>1079967-512-COT23</t>
  </si>
  <si>
    <t>ADQUISICIÓN DE OXIGENO Y NITROGENO PARA AERONAVES DE LA SECCION AEREA IQUIQUE</t>
  </si>
  <si>
    <t>SECCIÓN COMPRAS I ZONA</t>
  </si>
  <si>
    <t>08/09/2023 14:49</t>
  </si>
  <si>
    <t>11/09/2023 23:00</t>
  </si>
  <si>
    <t>5061-1143-COT23</t>
  </si>
  <si>
    <t xml:space="preserve">SPED 1451 Servicio de mantenimiento preventivo y correctivo para la central de gases clínicos, para Cesfam Pedro de Valdivia. Según Bases Técnicas adjuntas. </t>
  </si>
  <si>
    <t>08/09/2023 13:48</t>
  </si>
  <si>
    <t>11/09/2023 15:00</t>
  </si>
  <si>
    <t>1976-223-COT23</t>
  </si>
  <si>
    <t>DISPOSITIVO CPAP PARA CASO SOCIAL</t>
  </si>
  <si>
    <t>DELEGACIÓN PRESIDENCIAL PROVINCIAL DEL BIOBÍO</t>
  </si>
  <si>
    <t>08/09/2023 13:25</t>
  </si>
  <si>
    <t>09/09/2023 13:30</t>
  </si>
  <si>
    <t>1621-220-COT23</t>
  </si>
  <si>
    <t>Arriendo de cilindros de oxigeno</t>
  </si>
  <si>
    <t>SERVICIO DE SALUD HOSPITAL DE MARCHIGUE</t>
  </si>
  <si>
    <t>08/09/2023 12:52</t>
  </si>
  <si>
    <t>12/09/2023 12:29</t>
  </si>
  <si>
    <t>1003473-3197-COT23</t>
  </si>
  <si>
    <t xml:space="preserve"> "MASCARILLA BBCPAP GRANDE FISHER &amp; PAYKEL FPBC802 (SIMILAR O EQUIVALENTE)</t>
  </si>
  <si>
    <t>08/09/2023 11:49</t>
  </si>
  <si>
    <t>11/09/2023 11:03</t>
  </si>
  <si>
    <t>1621-221-COT23</t>
  </si>
  <si>
    <t xml:space="preserve">Arriendo de cilindros de Oxigeno </t>
  </si>
  <si>
    <t>20/09/2023 11:51</t>
  </si>
  <si>
    <t>26/09/2023 09:30</t>
  </si>
  <si>
    <t>640840-119-COT23</t>
  </si>
  <si>
    <t xml:space="preserve">131-2023 CONCENTRADORES DE OXIGENO </t>
  </si>
  <si>
    <t>I MUNICIPALIDAD DE QUINTERO</t>
  </si>
  <si>
    <t>20/09/2023 11:05</t>
  </si>
  <si>
    <t>22/09/2023 11:00</t>
  </si>
  <si>
    <t>5178-3387-COT23</t>
  </si>
  <si>
    <t>OXIGENO GASEOSO MEDICINAL/ SP 906620/KPJU</t>
  </si>
  <si>
    <t>20/09/2023 10:29</t>
  </si>
  <si>
    <t>21/09/2023 10:40</t>
  </si>
  <si>
    <t>2773-631-COT23</t>
  </si>
  <si>
    <t>MANTENCION CORRECTIVA REDDE OXIGENO SAR</t>
  </si>
  <si>
    <t>20/09/2023 10:24</t>
  </si>
  <si>
    <t>21/09/2023 10:36</t>
  </si>
  <si>
    <t>883-235-COT23</t>
  </si>
  <si>
    <t>SERVICIO DE PRUEBA HIDROSTATICA Y RECARGA DE CILINDROS DE NITROGENO PARA EL SERVICIO SSEI DEL AEROPUERTO ARTURO MERINO BENITEZ</t>
  </si>
  <si>
    <t>20/09/2023 10:20</t>
  </si>
  <si>
    <t>27/09/2023 10:00</t>
  </si>
  <si>
    <t>1660-706-COT23</t>
  </si>
  <si>
    <t xml:space="preserve"> RECARGA DE OXÍGENOS</t>
  </si>
  <si>
    <t>21/09/2023 15:36</t>
  </si>
  <si>
    <t>26/09/2023 08:00</t>
  </si>
  <si>
    <t>1057503-2968-COT23</t>
  </si>
  <si>
    <t>OP_MI GASES CLINICOS 6° PISO</t>
  </si>
  <si>
    <t>21/09/2023 15:25</t>
  </si>
  <si>
    <t>27/09/2023 12:00</t>
  </si>
  <si>
    <t>1709-593-COT23</t>
  </si>
  <si>
    <t>SUMINISTRO DE OXIGENO MEDICINAL, CON PAGO MENSUAL PARA TODOS LOS CENTROS DE SALUD DEPENDIENTES DEL DEPARTAMENTO DE SALUD CAUQUENES</t>
  </si>
  <si>
    <t>21/09/2023 14:38</t>
  </si>
  <si>
    <t>22/09/2023 15:37</t>
  </si>
  <si>
    <t>1057440-3678-COT23</t>
  </si>
  <si>
    <t>VALVULA UMBRAL PARA ENTRENAMIENTO MUSCULAR THRESHOLD IMT</t>
  </si>
  <si>
    <t>21/09/2023 14:35</t>
  </si>
  <si>
    <t>22/09/2023 14:45</t>
  </si>
  <si>
    <t>2989-440-COT23</t>
  </si>
  <si>
    <t xml:space="preserve">FLUJOMETRO DE OXIGENO </t>
  </si>
  <si>
    <t>21/09/2023 12:39</t>
  </si>
  <si>
    <t>22/09/2023 21:36</t>
  </si>
  <si>
    <t>5350-433-COT23</t>
  </si>
  <si>
    <t xml:space="preserve">INSUMOS REHABILITACION COVID - VALVULA DE ENTRENAMIENTO (IMT) - INCENTIVADORES VOLUMETRICOS </t>
  </si>
  <si>
    <t>25/09/2023 15:00</t>
  </si>
  <si>
    <t>29/09/2023 16:00</t>
  </si>
  <si>
    <t>3158-172-COT23</t>
  </si>
  <si>
    <t>COTIZACIÓN DE SERVICIO DE RECARGA OXIGENO MEDICINAL</t>
  </si>
  <si>
    <t>SUB BASE NAVAL ISLA DAWSON</t>
  </si>
  <si>
    <t>25/09/2023 13:40</t>
  </si>
  <si>
    <t>27/09/2023 21:00</t>
  </si>
  <si>
    <t>5178-3459-COT23</t>
  </si>
  <si>
    <t>ARRIENDO CILINDRO DE OXIGENO MEDICINAL SP 906538 MH</t>
  </si>
  <si>
    <t>25/09/2023 13:36</t>
  </si>
  <si>
    <t>26/09/2023 14:00</t>
  </si>
  <si>
    <t>1003473-3276-COT23</t>
  </si>
  <si>
    <t>PROG TRANSV / AEROCAMARA PEDIÁTRICA CON VÁLVULA INTERIOR</t>
  </si>
  <si>
    <t>25/09/2023 12:43</t>
  </si>
  <si>
    <t>26/09/2023 12:45</t>
  </si>
  <si>
    <t>4401-94-COT23</t>
  </si>
  <si>
    <t>SC 915 Adquisición concentradores de oxígeno para Programa Cuidados Paliativos</t>
  </si>
  <si>
    <t>26/09/2023 15:27</t>
  </si>
  <si>
    <t>03/10/2023 23:00</t>
  </si>
  <si>
    <t>3086-1119-COT23</t>
  </si>
  <si>
    <t>RECARGA DE ACETILENO Y OXIGENO (SOLCOM 159194 / LY)</t>
  </si>
  <si>
    <t>CENTRO DE ABASTECIMIENTO (V)</t>
  </si>
  <si>
    <t>26/09/2023 15:14</t>
  </si>
  <si>
    <t>29/09/2023 10:00</t>
  </si>
  <si>
    <t>2102-415-COT23</t>
  </si>
  <si>
    <t>SATURÓMETRO OXIGENO PEDIATRICO</t>
  </si>
  <si>
    <t>26/09/2023 14:20</t>
  </si>
  <si>
    <t>28/09/2023 11:00</t>
  </si>
  <si>
    <t>2069-3735-COT23</t>
  </si>
  <si>
    <t>DGP-COT-CONECTOR DE OXIGENO PARA VENTILADOR NO INVASIVO (REF RESMED STELLAR 100 COD 24971)</t>
  </si>
  <si>
    <t>27/09/2023 17:12</t>
  </si>
  <si>
    <t>28/09/2023 17:15</t>
  </si>
  <si>
    <t>1079967-546-COT23</t>
  </si>
  <si>
    <t>27/09/2023 15:26</t>
  </si>
  <si>
    <t>29/09/2023 22:59</t>
  </si>
  <si>
    <t>2102-418-COT23</t>
  </si>
  <si>
    <t xml:space="preserve"> AEROCAMARA PEDIÁTRICA (6 A 9 AÑOS) BIVALVULADA</t>
  </si>
  <si>
    <t>27/09/2023 14:44</t>
  </si>
  <si>
    <t>29/09/2023 15:00</t>
  </si>
  <si>
    <t>883-240-COT23</t>
  </si>
  <si>
    <t>SERVICIO DE PRUEBA HIDROSTATICA Y RECARGA DE CILINDROS DE NITRÓGENO PARA EL SERVICIO SSEI DEL AEROPUERTO ARTURO MERINO BENITEZ</t>
  </si>
  <si>
    <t>27/09/2023 13:39</t>
  </si>
  <si>
    <t>04/10/2023 10:00</t>
  </si>
  <si>
    <t>3926-424-COT23</t>
  </si>
  <si>
    <t>OXIGENO MEDICINAL PARA DPTO. DE SALUD SAN JUAN DE LA COSTA.</t>
  </si>
  <si>
    <t>28/09/2023 12:45</t>
  </si>
  <si>
    <t>03/10/2023 09:01</t>
  </si>
  <si>
    <t>2910-335-COT23</t>
  </si>
  <si>
    <t>RECARGA DE BALONES DE OXIGENO MEDICINAL SEGÚN SPI (2377/2023)</t>
  </si>
  <si>
    <t>29/09/2023 16:01</t>
  </si>
  <si>
    <t>02/10/2023 11:00</t>
  </si>
  <si>
    <t>5178-3530-COT23</t>
  </si>
  <si>
    <t>TANQUE DE NITROGENO DE 124 MT3 / SP. 905743 - CJ</t>
  </si>
  <si>
    <t>29/09/2023 14:29</t>
  </si>
  <si>
    <t>03/10/2023 09:00</t>
  </si>
  <si>
    <t>3495-187-COT23</t>
  </si>
  <si>
    <t xml:space="preserve"> RECARGA OXIGENO MEDICINAL SAR CAJÓN, P. SERVICIO DE ATENCIÓN PRIMARIA DE URGENCIA DE ALTA RESOLUCIÓN SAR</t>
  </si>
  <si>
    <t>29/09/2023 13:00</t>
  </si>
  <si>
    <t>02/10/2023 09:00</t>
  </si>
  <si>
    <t>3086-1136-COT23</t>
  </si>
  <si>
    <t>RECARGA DE ACETILENO Y OXIGENO (SOLCOM 159194 / LY</t>
  </si>
  <si>
    <t>29/09/2023 12:16</t>
  </si>
  <si>
    <t>02/10/2023 21:00</t>
  </si>
  <si>
    <t>1709-718-COT23</t>
  </si>
  <si>
    <t>OXIMETRO DE PULSO ADULTO Y PEDIATRICO - SERVICIO ALTA RESOLUTIVIDAD DR. JUAN SAAVEDRA MACAYA</t>
  </si>
  <si>
    <t>30/10/2023 17:12</t>
  </si>
  <si>
    <t>31/10/2023 18:15</t>
  </si>
  <si>
    <t>3864-463-COT23</t>
  </si>
  <si>
    <t>Compra de servicio suministro de gases clínicos para usuarios del SAR</t>
  </si>
  <si>
    <t>30/10/2023 17:05</t>
  </si>
  <si>
    <t>31/10/2023 17:30</t>
  </si>
  <si>
    <t>2927-308-COT23</t>
  </si>
  <si>
    <t>CARGA DE NITROGENO LIQUIDO</t>
  </si>
  <si>
    <t>I MUNICIPALIDAD DE QUELLON</t>
  </si>
  <si>
    <t>30/10/2023 16:34</t>
  </si>
  <si>
    <t>31/10/2023 17:09</t>
  </si>
  <si>
    <t>1057495-743-COT23</t>
  </si>
  <si>
    <t>SUMINISTRO Y ARRIENDO DE CILINDROS DE OXÍGENO 10 M3</t>
  </si>
  <si>
    <t>SERVICIO DE SALUD SUR HOSPITAL LUCIO CORDOVA</t>
  </si>
  <si>
    <t>30/10/2023 15:50</t>
  </si>
  <si>
    <t>31/10/2023 16:00</t>
  </si>
  <si>
    <t>1062448-652-COT23</t>
  </si>
  <si>
    <t>COMPRA DE INSUMOS MEDICOS: OXIMETROS DE PULSO</t>
  </si>
  <si>
    <t>CONSULTORIO GENERAL URBANO VIOLETA PARRA</t>
  </si>
  <si>
    <t>30/10/2023 15:01</t>
  </si>
  <si>
    <t>02/11/2023 10:00</t>
  </si>
  <si>
    <t>1463-565-COT23</t>
  </si>
  <si>
    <t>OXIMETRO IRA-ERA</t>
  </si>
  <si>
    <t>31/10/2023 09:10</t>
  </si>
  <si>
    <t>03/11/2023 14:00</t>
  </si>
  <si>
    <t>1463-562-COT23</t>
  </si>
  <si>
    <t>FLUJOMETRO IRA-ERA</t>
  </si>
  <si>
    <t>31/10/2023 08:57</t>
  </si>
  <si>
    <t>1463-560-COT23</t>
  </si>
  <si>
    <t>INCENTIVADOR Y VALVULAS IRA-ERA</t>
  </si>
  <si>
    <t>31/10/2023 08:51</t>
  </si>
  <si>
    <t>5215-1105-COT23</t>
  </si>
  <si>
    <t>08/11/2023 17:07</t>
  </si>
  <si>
    <t>09/11/2023 17:30</t>
  </si>
  <si>
    <t>1709-739-COT23</t>
  </si>
  <si>
    <t>OXIMETRO DE PULSO ADULTO , OXIMETRO DE PULSO, PEDIATRICO, FONENDOSCOPIO / FORTALECIMIENTO RRHH APS</t>
  </si>
  <si>
    <t>08/11/2023 15:17</t>
  </si>
  <si>
    <t>09/11/2023 16:04</t>
  </si>
  <si>
    <t>3087-291-COT23</t>
  </si>
  <si>
    <t>TANQUE DE OXIGENO TIP H CON REGULADOR (1140585053000000) Q°F°</t>
  </si>
  <si>
    <t>I MUNICIPALIDAD DE PANQUEHUE</t>
  </si>
  <si>
    <t>08/11/2023 15:37</t>
  </si>
  <si>
    <t>13/11/2023 08:28</t>
  </si>
  <si>
    <t>2101-809-COT23</t>
  </si>
  <si>
    <t>08/11/2023 14:47</t>
  </si>
  <si>
    <t>13/11/2023 12:00</t>
  </si>
  <si>
    <t>1057430-1426-COT23</t>
  </si>
  <si>
    <t>Válvula IMT Threshold</t>
  </si>
  <si>
    <t>SERVICIO NACIONAL DE SALUD HOSPITAL DE LOTA</t>
  </si>
  <si>
    <t>09/11/2023 17:00</t>
  </si>
  <si>
    <t>13/11/2023 09:00</t>
  </si>
  <si>
    <t>5215-1114-COT23</t>
  </si>
  <si>
    <t>OXIMETRO ADULTO</t>
  </si>
  <si>
    <t>09/11/2023 16:34</t>
  </si>
  <si>
    <t>10/11/2023 16:36</t>
  </si>
  <si>
    <t>2380-1158-COT23</t>
  </si>
  <si>
    <t>ADQUISICION DE BPAP BUCONASAL CON PARAMETRO, HUMIDIFICADOR Y TOMA DE OXIGENO PARA CASO SOCIAL</t>
  </si>
  <si>
    <t>09/11/2023 16:31</t>
  </si>
  <si>
    <t>10/11/2023 17:00</t>
  </si>
  <si>
    <t>3905-288-COT23</t>
  </si>
  <si>
    <t>VALVULAS THRESHOLD IMT</t>
  </si>
  <si>
    <t>15/11/2023 12:15</t>
  </si>
  <si>
    <t>17/11/2023 08:59</t>
  </si>
  <si>
    <t>564162-1540-COT23</t>
  </si>
  <si>
    <t>Arriendo de cilindro y su carga de argón.</t>
  </si>
  <si>
    <t>15/11/2023 10:56</t>
  </si>
  <si>
    <t>16/11/2023 11:00</t>
  </si>
  <si>
    <t>3334-488-COT23</t>
  </si>
  <si>
    <t>15/11/2023 10:49</t>
  </si>
  <si>
    <t>2942-338-COT23</t>
  </si>
  <si>
    <t>I.Municipalidad de San Pablo -Salud</t>
  </si>
  <si>
    <t>15/11/2023 09:51</t>
  </si>
  <si>
    <t>21/11/2023 09:31</t>
  </si>
  <si>
    <t>2942-337-COT23</t>
  </si>
  <si>
    <t>15/11/2023 09:47</t>
  </si>
  <si>
    <t>20/11/2023 09:30</t>
  </si>
  <si>
    <t>968521-147-COT23</t>
  </si>
  <si>
    <t>NIPLE CONECTOR UNIVERSAL PARA SALIDAS DE OXIGENO</t>
  </si>
  <si>
    <t>15/11/2023 09:42</t>
  </si>
  <si>
    <t>16/11/2023 10:30</t>
  </si>
  <si>
    <t>2080-1118-COT23</t>
  </si>
  <si>
    <t>SERVICIO DE MANTENCION PREVENTIVA Y REPARATIVA DE CONCENTRADOR DE OXIGENO SERV-0333</t>
  </si>
  <si>
    <t>17/11/2023 16:07</t>
  </si>
  <si>
    <t>23/11/2023 12:00</t>
  </si>
  <si>
    <t>3718-197-COT23</t>
  </si>
  <si>
    <t>regulador de oxigeno con flujometro+ vaso humidificador programa de apoyo a los Cuidados Paliativos</t>
  </si>
  <si>
    <t>I MUNICIPALIDAD DE PUMANQUE</t>
  </si>
  <si>
    <t>17/11/2023 15:50</t>
  </si>
  <si>
    <t>20/11/2023 09:00</t>
  </si>
  <si>
    <t>1465-685-COT23</t>
  </si>
  <si>
    <t>17/11/2023 15:47</t>
  </si>
  <si>
    <t>21/11/2023 15:00</t>
  </si>
  <si>
    <t>1108338-374-COT23</t>
  </si>
  <si>
    <t>RECARGA DE TUBOS DE OXIGENO DE 10 M3 CON REGULADOR RECAMBIO EN TERRENO</t>
  </si>
  <si>
    <t>CONSULTORIO GENERAL N°2 DE LOS ANDES</t>
  </si>
  <si>
    <t>17/11/2023 15:30</t>
  </si>
  <si>
    <t>21/11/2023 09:00</t>
  </si>
  <si>
    <t>1057417-4161-COT23</t>
  </si>
  <si>
    <t xml:space="preserve"> fsq Microflujometro de oxigeno conexion Central Unic</t>
  </si>
  <si>
    <t>17/11/2023 14:44</t>
  </si>
  <si>
    <t>20/11/2023 20:05</t>
  </si>
  <si>
    <t>2292-1406-COT23</t>
  </si>
  <si>
    <t>OXIMETROS SATUROMETROS ADULTOS Y PEDIATRICOS - SALUD FAMILIAR  CESFAM BICENTENARIO Y CECOSF CARLOS TRUPP</t>
  </si>
  <si>
    <t>21/11/2023 16:44</t>
  </si>
  <si>
    <t>23/11/2023 17:00</t>
  </si>
  <si>
    <t>2452-432-COT23</t>
  </si>
  <si>
    <t>I MUNICIPALIDAD DE SANTIAGO</t>
  </si>
  <si>
    <t>21/11/2023 15:01</t>
  </si>
  <si>
    <t>24/11/2023 10:00</t>
  </si>
  <si>
    <t>2381-848-COT23</t>
  </si>
  <si>
    <t>ADQUISICION CONCENTRADOR DE OXIGENO PARA LOS CUIDADOS PALIATIVOS</t>
  </si>
  <si>
    <t>22/11/2023 10:25</t>
  </si>
  <si>
    <t>27/11/2023 08:00</t>
  </si>
  <si>
    <t>620332-148-COT23</t>
  </si>
  <si>
    <t>10  cilindros de Nitrógeno 5.0 UHP (99,999% pureza, Cilindro 10M3) (CC3076)</t>
  </si>
  <si>
    <t>22/11/2023 10:03</t>
  </si>
  <si>
    <t>24/11/2023 00:00</t>
  </si>
  <si>
    <t>1165649-283-COT23</t>
  </si>
  <si>
    <t>SATURÓMETROS sol 708</t>
  </si>
  <si>
    <t>I MUNICIPALIDAD DE LIMACHE</t>
  </si>
  <si>
    <t>22/11/2023 09:50</t>
  </si>
  <si>
    <t>23/11/2023 10:00</t>
  </si>
  <si>
    <t>4075-265-COT23</t>
  </si>
  <si>
    <t xml:space="preserve">COMPRA DE CONCENTRADORES DE OXIGENO POR PROGRAMA CUIDADOS PALIATIVOS  </t>
  </si>
  <si>
    <t>Ilustre Municipalidad de Yumbel - Depto. Salud</t>
  </si>
  <si>
    <t>23/11/2023 17:05</t>
  </si>
  <si>
    <t>29/11/2023 12:00</t>
  </si>
  <si>
    <t>2859-1084-COT23</t>
  </si>
  <si>
    <t>Adquisición de recarga de gas con cilindro y regulador</t>
  </si>
  <si>
    <t>23/11/2023 16:51</t>
  </si>
  <si>
    <t>24/11/2023 16:55</t>
  </si>
  <si>
    <t>3983-551-COT23</t>
  </si>
  <si>
    <t>INSUMOS OXIGENOTERAPIA PARA CUIDADOS PALIATIVOS</t>
  </si>
  <si>
    <t>23/11/2023 15:39</t>
  </si>
  <si>
    <t>24/11/2023 20:24</t>
  </si>
  <si>
    <t>1079967-749-COT23</t>
  </si>
  <si>
    <t>ADQUISICIÓN DE RECARGA DE RECARGA DE CILINDRO NITRÓGENO UHP PARA LA SECCIÓN CRIMINALÍSTICA IQUIQUE.</t>
  </si>
  <si>
    <t>23/11/2023 15:03</t>
  </si>
  <si>
    <t>28/11/2023 09:00</t>
  </si>
  <si>
    <t>Año completo</t>
  </si>
  <si>
    <t>Todos</t>
  </si>
  <si>
    <t>Area</t>
  </si>
  <si>
    <t>Informadas</t>
  </si>
  <si>
    <t>Participadas</t>
  </si>
  <si>
    <t>Adjudicadas</t>
  </si>
  <si>
    <t>Total</t>
  </si>
  <si>
    <t>% Informadas</t>
  </si>
  <si>
    <t>% Participadas</t>
  </si>
  <si>
    <t>% Adjudicadas</t>
  </si>
  <si>
    <t>% Desierta (o art. 3 ó 9 Ley 19.886)</t>
  </si>
  <si>
    <t>% Cerrada</t>
  </si>
  <si>
    <t>% Revocada</t>
  </si>
  <si>
    <t>% Readjudicada</t>
  </si>
  <si>
    <t>% Publicada</t>
  </si>
  <si>
    <t>Columna1</t>
  </si>
  <si>
    <t>$ Participado</t>
  </si>
  <si>
    <t>$ Adjudicado</t>
  </si>
  <si>
    <t>$ Desierto</t>
  </si>
  <si>
    <t>$ Cerrado</t>
  </si>
  <si>
    <t>$ Revocado</t>
  </si>
  <si>
    <t>$ Readjudicado</t>
  </si>
  <si>
    <t>Total Adjudicadas</t>
  </si>
  <si>
    <t>RESPILIFE</t>
  </si>
  <si>
    <t>$ LINDE GAS CHILE S.A.</t>
  </si>
  <si>
    <t>$ AIRLIQUIDE</t>
  </si>
  <si>
    <t>$ INDURA</t>
  </si>
  <si>
    <t>$ MESSER</t>
  </si>
  <si>
    <t>$ INTERNATIONAL</t>
  </si>
  <si>
    <t>$ RESPILIFE</t>
  </si>
  <si>
    <t>$ OTRO</t>
  </si>
  <si>
    <t>No participadas</t>
  </si>
  <si>
    <t>IVA</t>
  </si>
  <si>
    <t>Goferta</t>
  </si>
  <si>
    <t>Terreno</t>
  </si>
  <si>
    <t>Venta</t>
  </si>
  <si>
    <t>Muestra</t>
  </si>
  <si>
    <t>Empresa</t>
  </si>
  <si>
    <t>Documento</t>
  </si>
  <si>
    <t>Vigente</t>
  </si>
  <si>
    <t>NO</t>
  </si>
  <si>
    <t>En prórroga</t>
  </si>
  <si>
    <t>No aplica</t>
  </si>
  <si>
    <t>Terminado</t>
  </si>
  <si>
    <t>OXIPUR</t>
  </si>
  <si>
    <t>Claudio Gúzman</t>
  </si>
  <si>
    <t>Rodrigo Borquez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</si>
</sst>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_(* \(#,##0.00\);_(* &quot;-&quot;??_);_(@_)"/>
    <numFmt numFmtId="165" formatCode="_(&quot;$&quot;* #,##0_);_(&quot;$&quot;* \(#,##0\);_(&quot;$&quot;* &quot;-&quot;_);_(@_)"/>
    <numFmt numFmtId="166" formatCode="_ &quot;$&quot;* #,##0_ ;_ &quot;$&quot;* \-#,##0_ ;_ &quot;$&quot;* &quot;-&quot;_ ;_ @_ "/>
    <numFmt numFmtId="167" formatCode="_ * #,##0_ ;_ * \-#,##0_ ;_ * &quot;-&quot;_ ;_ @_ "/>
    <numFmt numFmtId="168" formatCode="_ [$$-340A]* #,##0_ ;_ [$$-340A]* \-#,##0_ ;_ [$$-340A]* &quot;-&quot;_ ;_ @_ "/>
    <numFmt numFmtId="169" formatCode="_-* #,##0_-;\-* #,##0_-;_-* &quot;-&quot;??_-;_-@_-"/>
    <numFmt numFmtId="170" formatCode="_-* #,##0.0_-;\-* #,##0.0_-;_-* &quot;-&quot;??_-;_-@_-"/>
  </numFmts>
  <fonts count="16" x14ac:knownFonts="1">
    <font>
      <sz val="11"/>
      <color theme="1"/>
      <name val="Calibri"/>
      <family val="2"/>
      <scheme val="minor"/>
    </font>
    <font>
      <sz val="11"/>
      <color theme="1"/>
      <name val="Calibri"/>
      <family val="2"/>
      <scheme val="minor"/>
    </font>
    <font>
      <b/>
      <sz val="8"/>
      <color rgb="FF000000"/>
      <name val="Calibri"/>
      <family val="2"/>
      <scheme val="minor"/>
    </font>
    <font>
      <sz val="8"/>
      <color rgb="FF000000"/>
      <name val="Calibri"/>
      <family val="2"/>
      <scheme val="minor"/>
    </font>
    <font>
      <sz val="11"/>
      <color rgb="FF000000"/>
      <name val="Calibri"/>
      <family val="2"/>
      <scheme val="minor"/>
    </font>
    <font>
      <sz val="8"/>
      <name val="Calibri"/>
      <family val="2"/>
      <scheme val="minor"/>
    </font>
    <font>
      <u/>
      <sz val="8"/>
      <color rgb="FF0563C1"/>
      <name val="Calibri"/>
      <family val="2"/>
      <scheme val="minor"/>
    </font>
    <font>
      <u/>
      <sz val="11"/>
      <color theme="10"/>
      <name val="Calibri"/>
      <family val="2"/>
      <scheme val="minor"/>
    </font>
    <font>
      <b/>
      <sz val="8"/>
      <name val="Calibri"/>
      <family val="2"/>
      <scheme val="minor"/>
    </font>
    <font>
      <sz val="8"/>
      <color theme="1"/>
      <name val="Calibri"/>
      <family val="2"/>
      <scheme val="minor"/>
    </font>
    <font>
      <u/>
      <sz val="8"/>
      <color theme="10"/>
      <name val="Calibri"/>
      <family val="2"/>
      <scheme val="minor"/>
    </font>
    <font>
      <sz val="8"/>
      <color rgb="FF333333"/>
      <name val="Calibri"/>
      <family val="2"/>
      <scheme val="minor"/>
    </font>
    <font>
      <b/>
      <sz val="72"/>
      <color theme="1"/>
      <name val="Calibri"/>
      <family val="2"/>
      <scheme val="minor"/>
    </font>
    <font>
      <sz val="16"/>
      <color theme="1"/>
      <name val="Calibri"/>
      <family val="2"/>
      <scheme val="minor"/>
    </font>
    <font>
      <b/>
      <sz val="22"/>
      <color theme="1"/>
      <name val="Calibri"/>
      <family val="2"/>
      <scheme val="minor"/>
    </font>
    <font>
      <sz val="8"/>
      <color rgb="FF000000"/>
      <name val="Verdana"/>
      <family val="2"/>
    </font>
  </fonts>
  <fills count="12">
    <fill>
      <patternFill patternType="none"/>
    </fill>
    <fill>
      <patternFill patternType="gray125"/>
    </fill>
    <fill>
      <patternFill patternType="solid">
        <fgColor rgb="FFC6E0B4"/>
        <bgColor rgb="FF000000"/>
      </patternFill>
    </fill>
    <fill>
      <patternFill patternType="solid">
        <fgColor rgb="FFBDD7EE"/>
        <bgColor rgb="FF000000"/>
      </patternFill>
    </fill>
    <fill>
      <patternFill patternType="solid">
        <fgColor theme="4" tint="0.79998168889431442"/>
        <bgColor theme="4" tint="0.79998168889431442"/>
      </patternFill>
    </fill>
    <fill>
      <patternFill patternType="solid">
        <fgColor theme="9" tint="0.59999389629810485"/>
        <bgColor rgb="FF000000"/>
      </patternFill>
    </fill>
    <fill>
      <patternFill patternType="solid">
        <fgColor theme="8" tint="0.59999389629810485"/>
        <bgColor rgb="FF000000"/>
      </patternFill>
    </fill>
    <fill>
      <patternFill patternType="solid">
        <fgColor theme="7" tint="0.59999389629810485"/>
        <bgColor rgb="FF000000"/>
      </patternFill>
    </fill>
    <fill>
      <patternFill patternType="solid">
        <fgColor theme="5" tint="0.59999389629810485"/>
        <bgColor rgb="FF000000"/>
      </patternFill>
    </fill>
    <fill>
      <patternFill patternType="solid">
        <fgColor theme="6" tint="0.59999389629810485"/>
        <bgColor rgb="FF000000"/>
      </patternFill>
    </fill>
    <fill>
      <patternFill patternType="solid">
        <fgColor theme="4" tint="0.59999389629810485"/>
        <bgColor rgb="FF000000"/>
      </patternFill>
    </fill>
    <fill>
      <patternFill patternType="solid">
        <fgColor theme="3" tint="0.59999389629810485"/>
        <bgColor rgb="FF000000"/>
      </patternFill>
    </fill>
  </fills>
  <borders count="3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bottom style="medium">
        <color indexed="64"/>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n">
        <color indexed="64"/>
      </left>
      <right/>
      <top/>
      <bottom/>
      <diagonal/>
    </border>
    <border>
      <left/>
      <right style="thin">
        <color indexed="64"/>
      </right>
      <top/>
      <bottom style="thin">
        <color indexed="64"/>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style="thin">
        <color theme="4" tint="0.39997558519241921"/>
      </left>
      <right style="thin">
        <color theme="4" tint="0.39997558519241921"/>
      </right>
      <top/>
      <bottom style="thin">
        <color theme="4" tint="0.39997558519241921"/>
      </bottom>
      <diagonal/>
    </border>
    <border>
      <left style="thin">
        <color theme="4" tint="0.39997558519241921"/>
      </left>
      <right/>
      <top/>
      <bottom style="thin">
        <color theme="4" tint="0.39997558519241921"/>
      </bottom>
      <diagonal/>
    </border>
  </borders>
  <cellStyleXfs count="6">
    <xf numFmtId="0" fontId="0" fillId="0" borderId="0"/>
    <xf numFmtId="167"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xf numFmtId="164" fontId="1" fillId="0" borderId="0" applyFont="0" applyFill="0" applyBorder="0" applyAlignment="0" applyProtection="0"/>
  </cellStyleXfs>
  <cellXfs count="268">
    <xf numFmtId="0" fontId="0" fillId="0" borderId="0" xfId="0"/>
    <xf numFmtId="0" fontId="2" fillId="2" borderId="5" xfId="0" applyFont="1" applyFill="1" applyBorder="1" applyAlignment="1">
      <alignment vertical="center"/>
    </xf>
    <xf numFmtId="14" fontId="3" fillId="0" borderId="7" xfId="0" applyNumberFormat="1" applyFont="1" applyBorder="1" applyAlignment="1">
      <alignment horizontal="left"/>
    </xf>
    <xf numFmtId="0" fontId="4" fillId="0" borderId="0" xfId="0" applyFont="1"/>
    <xf numFmtId="9" fontId="0" fillId="0" borderId="0" xfId="0" applyNumberFormat="1"/>
    <xf numFmtId="14" fontId="3" fillId="0" borderId="0" xfId="0" applyNumberFormat="1" applyFont="1" applyAlignment="1">
      <alignment horizontal="left"/>
    </xf>
    <xf numFmtId="14" fontId="3" fillId="0" borderId="7" xfId="0" applyNumberFormat="1" applyFont="1" applyBorder="1" applyAlignment="1">
      <alignment horizontal="left" wrapText="1"/>
    </xf>
    <xf numFmtId="0" fontId="0" fillId="0" borderId="0" xfId="0" applyAlignment="1">
      <alignment wrapText="1"/>
    </xf>
    <xf numFmtId="0" fontId="2" fillId="3" borderId="13" xfId="0" applyFont="1" applyFill="1" applyBorder="1" applyAlignment="1">
      <alignment vertical="center"/>
    </xf>
    <xf numFmtId="0" fontId="2" fillId="2" borderId="16" xfId="0" applyFont="1" applyFill="1" applyBorder="1" applyAlignment="1">
      <alignment vertical="center"/>
    </xf>
    <xf numFmtId="0" fontId="2" fillId="5" borderId="5" xfId="0" applyFont="1" applyFill="1" applyBorder="1" applyAlignment="1">
      <alignment vertical="center"/>
    </xf>
    <xf numFmtId="14" fontId="2" fillId="2" borderId="5" xfId="0" applyNumberFormat="1" applyFont="1" applyFill="1" applyBorder="1" applyAlignment="1">
      <alignment vertical="center"/>
    </xf>
    <xf numFmtId="14" fontId="3" fillId="0" borderId="8" xfId="0" applyNumberFormat="1" applyFont="1" applyBorder="1" applyAlignment="1">
      <alignment horizontal="left"/>
    </xf>
    <xf numFmtId="0" fontId="2" fillId="6" borderId="5" xfId="0" applyFont="1" applyFill="1" applyBorder="1" applyAlignment="1">
      <alignment vertical="center"/>
    </xf>
    <xf numFmtId="0" fontId="2" fillId="7" borderId="5" xfId="0" applyFont="1" applyFill="1" applyBorder="1" applyAlignment="1">
      <alignment vertical="center"/>
    </xf>
    <xf numFmtId="166" fontId="2" fillId="7" borderId="5" xfId="2" applyFont="1" applyFill="1" applyBorder="1" applyAlignment="1">
      <alignment vertical="center"/>
    </xf>
    <xf numFmtId="0" fontId="2" fillId="7" borderId="5" xfId="0" applyFont="1" applyFill="1" applyBorder="1" applyAlignment="1">
      <alignment vertical="center" wrapText="1"/>
    </xf>
    <xf numFmtId="0" fontId="2" fillId="9" borderId="13" xfId="0" applyFont="1" applyFill="1" applyBorder="1" applyAlignment="1">
      <alignment vertical="center"/>
    </xf>
    <xf numFmtId="0" fontId="3" fillId="0" borderId="7" xfId="0" applyFont="1" applyBorder="1" applyAlignment="1">
      <alignment horizontal="right"/>
    </xf>
    <xf numFmtId="0" fontId="3" fillId="0" borderId="9" xfId="0" applyFont="1" applyBorder="1" applyAlignment="1">
      <alignment horizontal="right"/>
    </xf>
    <xf numFmtId="0" fontId="2" fillId="10" borderId="14" xfId="0" applyFont="1" applyFill="1" applyBorder="1" applyAlignment="1">
      <alignment vertical="center"/>
    </xf>
    <xf numFmtId="0" fontId="2" fillId="10" borderId="13" xfId="0" applyFont="1" applyFill="1" applyBorder="1" applyAlignment="1">
      <alignment vertical="center"/>
    </xf>
    <xf numFmtId="0" fontId="3" fillId="0" borderId="12" xfId="0" applyFont="1" applyBorder="1"/>
    <xf numFmtId="0" fontId="3" fillId="0" borderId="7" xfId="0" applyFont="1" applyBorder="1"/>
    <xf numFmtId="0" fontId="3" fillId="0" borderId="7" xfId="0" applyFont="1" applyBorder="1" applyAlignment="1">
      <alignment horizontal="left"/>
    </xf>
    <xf numFmtId="0" fontId="3" fillId="0" borderId="7" xfId="0" applyFont="1" applyBorder="1" applyAlignment="1">
      <alignment horizontal="center"/>
    </xf>
    <xf numFmtId="14" fontId="3" fillId="0" borderId="7" xfId="0" applyNumberFormat="1" applyFont="1" applyBorder="1" applyAlignment="1">
      <alignment horizontal="right"/>
    </xf>
    <xf numFmtId="166" fontId="3" fillId="0" borderId="7" xfId="2" applyFont="1" applyFill="1" applyBorder="1" applyAlignment="1">
      <alignment horizontal="left"/>
    </xf>
    <xf numFmtId="166" fontId="3" fillId="0" borderId="7" xfId="2" applyFont="1" applyFill="1" applyBorder="1"/>
    <xf numFmtId="14" fontId="3" fillId="0" borderId="7" xfId="0" applyNumberFormat="1" applyFont="1" applyBorder="1"/>
    <xf numFmtId="0" fontId="3" fillId="0" borderId="4" xfId="0" applyFont="1" applyBorder="1"/>
    <xf numFmtId="3" fontId="3" fillId="0" borderId="7" xfId="0" applyNumberFormat="1" applyFont="1" applyBorder="1"/>
    <xf numFmtId="0" fontId="3" fillId="0" borderId="8" xfId="0" applyFont="1" applyBorder="1"/>
    <xf numFmtId="9" fontId="3" fillId="0" borderId="7" xfId="0" applyNumberFormat="1" applyFont="1" applyBorder="1"/>
    <xf numFmtId="0" fontId="3" fillId="0" borderId="7" xfId="0" applyFont="1" applyBorder="1" applyAlignment="1">
      <alignment vertical="center"/>
    </xf>
    <xf numFmtId="0" fontId="5" fillId="0" borderId="12" xfId="0" applyFont="1" applyBorder="1"/>
    <xf numFmtId="0" fontId="3" fillId="0" borderId="15" xfId="0" applyFont="1" applyBorder="1"/>
    <xf numFmtId="0" fontId="3" fillId="0" borderId="9" xfId="0" applyFont="1" applyBorder="1"/>
    <xf numFmtId="0" fontId="3" fillId="0" borderId="9" xfId="0" applyFont="1" applyBorder="1" applyAlignment="1">
      <alignment horizontal="left"/>
    </xf>
    <xf numFmtId="0" fontId="3" fillId="0" borderId="9" xfId="0" applyFont="1" applyBorder="1" applyAlignment="1">
      <alignment horizontal="center"/>
    </xf>
    <xf numFmtId="14" fontId="3" fillId="0" borderId="9" xfId="0" applyNumberFormat="1" applyFont="1" applyBorder="1" applyAlignment="1">
      <alignment horizontal="left"/>
    </xf>
    <xf numFmtId="14" fontId="3" fillId="0" borderId="9" xfId="0" applyNumberFormat="1" applyFont="1" applyBorder="1" applyAlignment="1">
      <alignment horizontal="right"/>
    </xf>
    <xf numFmtId="166" fontId="3" fillId="0" borderId="9" xfId="2" applyFont="1" applyFill="1" applyBorder="1" applyAlignment="1">
      <alignment horizontal="left"/>
    </xf>
    <xf numFmtId="166" fontId="3" fillId="0" borderId="9" xfId="2" applyFont="1" applyFill="1" applyBorder="1"/>
    <xf numFmtId="0" fontId="3" fillId="0" borderId="10" xfId="0" applyFont="1" applyBorder="1"/>
    <xf numFmtId="0" fontId="3" fillId="0" borderId="0" xfId="0" applyFont="1"/>
    <xf numFmtId="0" fontId="3" fillId="0" borderId="0" xfId="0" applyFont="1" applyAlignment="1">
      <alignment horizontal="left"/>
    </xf>
    <xf numFmtId="0" fontId="3" fillId="0" borderId="0" xfId="0" applyFont="1" applyAlignment="1">
      <alignment horizontal="center"/>
    </xf>
    <xf numFmtId="0" fontId="6" fillId="0" borderId="7" xfId="0" applyFont="1" applyBorder="1"/>
    <xf numFmtId="0" fontId="6" fillId="0" borderId="9" xfId="0" applyFont="1" applyBorder="1"/>
    <xf numFmtId="14" fontId="3" fillId="0" borderId="9" xfId="0" applyNumberFormat="1" applyFont="1" applyBorder="1"/>
    <xf numFmtId="9" fontId="3" fillId="0" borderId="9" xfId="0" applyNumberFormat="1" applyFont="1" applyBorder="1"/>
    <xf numFmtId="0" fontId="5" fillId="0" borderId="7" xfId="0" applyFont="1" applyBorder="1" applyAlignment="1">
      <alignment horizontal="left"/>
    </xf>
    <xf numFmtId="0" fontId="5" fillId="0" borderId="7" xfId="0" applyFont="1" applyBorder="1" applyAlignment="1">
      <alignment horizontal="center"/>
    </xf>
    <xf numFmtId="14" fontId="5" fillId="0" borderId="7" xfId="0" applyNumberFormat="1" applyFont="1" applyBorder="1" applyAlignment="1">
      <alignment horizontal="left"/>
    </xf>
    <xf numFmtId="0" fontId="3" fillId="0" borderId="9" xfId="0" applyFont="1" applyBorder="1" applyAlignment="1">
      <alignment vertical="center"/>
    </xf>
    <xf numFmtId="14" fontId="3" fillId="0" borderId="0" xfId="0" applyNumberFormat="1" applyFont="1" applyAlignment="1">
      <alignment horizontal="right"/>
    </xf>
    <xf numFmtId="0" fontId="5" fillId="0" borderId="7" xfId="0" applyFont="1" applyBorder="1"/>
    <xf numFmtId="0" fontId="5" fillId="0" borderId="7" xfId="0" applyFont="1" applyBorder="1" applyAlignment="1">
      <alignment vertical="center"/>
    </xf>
    <xf numFmtId="166" fontId="3" fillId="0" borderId="7" xfId="2" applyFont="1" applyFill="1" applyBorder="1" applyAlignment="1"/>
    <xf numFmtId="0" fontId="3" fillId="0" borderId="4" xfId="0" applyFont="1" applyBorder="1" applyAlignment="1">
      <alignment horizontal="left"/>
    </xf>
    <xf numFmtId="0" fontId="3" fillId="0" borderId="4" xfId="0" applyFont="1" applyBorder="1" applyAlignment="1">
      <alignment horizontal="center"/>
    </xf>
    <xf numFmtId="14" fontId="3" fillId="0" borderId="4" xfId="0" applyNumberFormat="1" applyFont="1" applyBorder="1" applyAlignment="1">
      <alignment horizontal="left"/>
    </xf>
    <xf numFmtId="14" fontId="3" fillId="0" borderId="12" xfId="0" applyNumberFormat="1" applyFont="1" applyBorder="1" applyAlignment="1">
      <alignment horizontal="left"/>
    </xf>
    <xf numFmtId="166" fontId="3" fillId="0" borderId="9" xfId="2" applyFont="1" applyFill="1" applyBorder="1" applyAlignment="1">
      <alignment wrapText="1"/>
    </xf>
    <xf numFmtId="0" fontId="3" fillId="0" borderId="9" xfId="0" applyFont="1" applyBorder="1" applyAlignment="1">
      <alignment wrapText="1"/>
    </xf>
    <xf numFmtId="0" fontId="3" fillId="0" borderId="9" xfId="0" applyFont="1" applyBorder="1" applyAlignment="1">
      <alignment vertical="center" wrapText="1"/>
    </xf>
    <xf numFmtId="166" fontId="3" fillId="0" borderId="7" xfId="2" applyFont="1" applyFill="1" applyBorder="1" applyAlignment="1">
      <alignment wrapText="1"/>
    </xf>
    <xf numFmtId="0" fontId="3" fillId="0" borderId="7" xfId="0" applyFont="1" applyBorder="1" applyAlignment="1">
      <alignment wrapText="1"/>
    </xf>
    <xf numFmtId="0" fontId="3" fillId="0" borderId="7" xfId="0" applyFont="1" applyBorder="1" applyAlignment="1">
      <alignment vertical="center" wrapText="1"/>
    </xf>
    <xf numFmtId="166" fontId="3" fillId="0" borderId="9" xfId="2" applyFont="1" applyFill="1" applyBorder="1" applyAlignment="1"/>
    <xf numFmtId="0" fontId="9" fillId="0" borderId="0" xfId="0" applyFont="1" applyAlignment="1">
      <alignment vertical="center"/>
    </xf>
    <xf numFmtId="0" fontId="2" fillId="3" borderId="17" xfId="0" applyFont="1" applyFill="1" applyBorder="1" applyAlignment="1">
      <alignment vertical="center"/>
    </xf>
    <xf numFmtId="0" fontId="9" fillId="0" borderId="0" xfId="0" applyFont="1"/>
    <xf numFmtId="0" fontId="10" fillId="0" borderId="7" xfId="4" applyFont="1" applyFill="1" applyBorder="1"/>
    <xf numFmtId="0" fontId="3" fillId="0" borderId="6" xfId="0" applyFont="1" applyBorder="1"/>
    <xf numFmtId="0" fontId="11" fillId="0" borderId="7" xfId="0" applyFont="1" applyBorder="1"/>
    <xf numFmtId="0" fontId="11" fillId="0" borderId="7" xfId="0" applyFont="1" applyBorder="1" applyAlignment="1">
      <alignment vertical="center"/>
    </xf>
    <xf numFmtId="0" fontId="3" fillId="0" borderId="11" xfId="0" applyFont="1" applyBorder="1"/>
    <xf numFmtId="14" fontId="9" fillId="0" borderId="0" xfId="0" applyNumberFormat="1" applyFont="1"/>
    <xf numFmtId="166" fontId="9" fillId="0" borderId="0" xfId="2" applyFont="1" applyFill="1"/>
    <xf numFmtId="0" fontId="2" fillId="11" borderId="13" xfId="0" applyFont="1" applyFill="1" applyBorder="1" applyAlignment="1">
      <alignment vertical="center"/>
    </xf>
    <xf numFmtId="0" fontId="2" fillId="11" borderId="13" xfId="0" applyFont="1" applyFill="1" applyBorder="1" applyAlignment="1">
      <alignment vertical="center" wrapText="1"/>
    </xf>
    <xf numFmtId="0" fontId="0" fillId="4" borderId="24" xfId="0" applyFill="1" applyBorder="1"/>
    <xf numFmtId="0" fontId="3" fillId="0" borderId="4" xfId="0" applyFont="1" applyBorder="1" applyAlignment="1">
      <alignment vertical="center"/>
    </xf>
    <xf numFmtId="14" fontId="3" fillId="0" borderId="7" xfId="0" applyNumberFormat="1" applyFont="1" applyBorder="1" applyAlignment="1">
      <alignment horizontal="center"/>
    </xf>
    <xf numFmtId="167" fontId="3" fillId="0" borderId="7" xfId="1" applyFont="1" applyFill="1" applyBorder="1" applyAlignment="1">
      <alignment horizontal="left"/>
    </xf>
    <xf numFmtId="167" fontId="3" fillId="0" borderId="7" xfId="1" applyFont="1" applyFill="1" applyBorder="1"/>
    <xf numFmtId="167" fontId="3" fillId="0" borderId="9" xfId="1" applyFont="1" applyFill="1" applyBorder="1"/>
    <xf numFmtId="167" fontId="3" fillId="0" borderId="7" xfId="1" applyFont="1" applyFill="1" applyBorder="1" applyAlignment="1"/>
    <xf numFmtId="167" fontId="3" fillId="0" borderId="9" xfId="1" applyFont="1" applyFill="1" applyBorder="1" applyAlignment="1">
      <alignment wrapText="1"/>
    </xf>
    <xf numFmtId="167" fontId="3" fillId="0" borderId="7" xfId="1" applyFont="1" applyFill="1" applyBorder="1" applyAlignment="1">
      <alignment wrapText="1"/>
    </xf>
    <xf numFmtId="167" fontId="3" fillId="0" borderId="9" xfId="1" applyFont="1" applyFill="1" applyBorder="1" applyAlignment="1"/>
    <xf numFmtId="167" fontId="9" fillId="0" borderId="0" xfId="1" applyFont="1" applyFill="1"/>
    <xf numFmtId="0" fontId="4" fillId="4" borderId="24" xfId="0" applyFont="1" applyFill="1" applyBorder="1"/>
    <xf numFmtId="0" fontId="4" fillId="0" borderId="25" xfId="0" applyFont="1" applyBorder="1"/>
    <xf numFmtId="0" fontId="0" fillId="0" borderId="25" xfId="0" applyBorder="1"/>
    <xf numFmtId="166" fontId="3" fillId="0" borderId="4" xfId="2" applyFont="1" applyFill="1" applyBorder="1"/>
    <xf numFmtId="166" fontId="2" fillId="8" borderId="22" xfId="2" applyFont="1" applyFill="1" applyBorder="1" applyAlignment="1">
      <alignment vertical="center"/>
    </xf>
    <xf numFmtId="167" fontId="2" fillId="8" borderId="21" xfId="1" applyFont="1" applyFill="1" applyBorder="1" applyAlignment="1">
      <alignment vertical="center"/>
    </xf>
    <xf numFmtId="167" fontId="3" fillId="0" borderId="4" xfId="1" applyFont="1" applyFill="1" applyBorder="1"/>
    <xf numFmtId="167" fontId="2" fillId="10" borderId="13" xfId="1" applyFont="1" applyFill="1" applyBorder="1" applyAlignment="1">
      <alignment vertical="center"/>
    </xf>
    <xf numFmtId="167" fontId="3" fillId="0" borderId="7" xfId="1" applyFont="1" applyFill="1" applyBorder="1" applyAlignment="1">
      <alignment horizontal="right"/>
    </xf>
    <xf numFmtId="0" fontId="9" fillId="0" borderId="7" xfId="0" applyFont="1" applyBorder="1" applyProtection="1">
      <protection locked="0"/>
    </xf>
    <xf numFmtId="14" fontId="3" fillId="0" borderId="4" xfId="0" applyNumberFormat="1" applyFont="1" applyBorder="1" applyAlignment="1">
      <alignment horizontal="right"/>
    </xf>
    <xf numFmtId="0" fontId="3" fillId="0" borderId="4" xfId="1" applyNumberFormat="1" applyFont="1" applyFill="1" applyBorder="1"/>
    <xf numFmtId="166" fontId="2" fillId="10" borderId="13" xfId="2" applyFont="1" applyFill="1" applyBorder="1" applyAlignment="1">
      <alignment vertical="center"/>
    </xf>
    <xf numFmtId="0" fontId="3" fillId="0" borderId="7" xfId="1" applyNumberFormat="1" applyFont="1" applyFill="1" applyBorder="1" applyAlignment="1"/>
    <xf numFmtId="0" fontId="3" fillId="0" borderId="7" xfId="4" applyFont="1" applyFill="1" applyBorder="1" applyAlignment="1"/>
    <xf numFmtId="9" fontId="0" fillId="0" borderId="0" xfId="3" applyFont="1"/>
    <xf numFmtId="167" fontId="0" fillId="0" borderId="0" xfId="1" applyFont="1"/>
    <xf numFmtId="167" fontId="2" fillId="7" borderId="5" xfId="1" applyFont="1" applyFill="1" applyBorder="1" applyAlignment="1">
      <alignment vertical="center" wrapText="1"/>
    </xf>
    <xf numFmtId="167" fontId="3" fillId="0" borderId="9" xfId="1" applyFont="1" applyFill="1" applyBorder="1" applyAlignment="1">
      <alignment horizontal="right"/>
    </xf>
    <xf numFmtId="167" fontId="3" fillId="0" borderId="0" xfId="1" applyFont="1" applyFill="1" applyAlignment="1">
      <alignment horizontal="right"/>
    </xf>
    <xf numFmtId="167" fontId="11" fillId="0" borderId="7" xfId="1" applyFont="1" applyFill="1" applyBorder="1"/>
    <xf numFmtId="167" fontId="3" fillId="0" borderId="7" xfId="1" applyFont="1" applyFill="1" applyBorder="1" applyAlignment="1">
      <alignment horizontal="center"/>
    </xf>
    <xf numFmtId="167" fontId="2" fillId="2" borderId="5" xfId="1" applyFont="1" applyFill="1" applyBorder="1" applyAlignment="1">
      <alignment vertical="center"/>
    </xf>
    <xf numFmtId="0" fontId="3" fillId="0" borderId="16" xfId="0" applyFont="1" applyBorder="1"/>
    <xf numFmtId="0" fontId="3" fillId="0" borderId="5" xfId="0" applyFont="1" applyBorder="1"/>
    <xf numFmtId="0" fontId="3" fillId="0" borderId="5" xfId="0" applyFont="1" applyBorder="1" applyAlignment="1">
      <alignment vertical="center"/>
    </xf>
    <xf numFmtId="14" fontId="3" fillId="0" borderId="9" xfId="0" applyNumberFormat="1" applyFont="1" applyBorder="1" applyAlignment="1">
      <alignment horizontal="center"/>
    </xf>
    <xf numFmtId="0" fontId="3" fillId="0" borderId="5" xfId="0" applyFont="1" applyBorder="1" applyAlignment="1">
      <alignment horizontal="left"/>
    </xf>
    <xf numFmtId="0" fontId="3" fillId="0" borderId="5" xfId="0" applyFont="1" applyBorder="1" applyAlignment="1">
      <alignment horizontal="right"/>
    </xf>
    <xf numFmtId="167" fontId="3" fillId="0" borderId="5" xfId="1" applyFont="1" applyFill="1" applyBorder="1" applyAlignment="1">
      <alignment horizontal="right"/>
    </xf>
    <xf numFmtId="0" fontId="3" fillId="0" borderId="26" xfId="0" applyFont="1" applyBorder="1"/>
    <xf numFmtId="14" fontId="3" fillId="0" borderId="5" xfId="1" applyNumberFormat="1" applyFont="1" applyFill="1" applyBorder="1" applyAlignment="1">
      <alignment horizontal="right"/>
    </xf>
    <xf numFmtId="166" fontId="3" fillId="0" borderId="5" xfId="2" applyFont="1" applyFill="1" applyBorder="1"/>
    <xf numFmtId="0" fontId="3" fillId="0" borderId="4" xfId="0" applyFont="1" applyBorder="1" applyAlignment="1">
      <alignment horizontal="right"/>
    </xf>
    <xf numFmtId="0" fontId="3" fillId="0" borderId="8" xfId="0" applyFont="1" applyBorder="1" applyProtection="1">
      <protection locked="0"/>
    </xf>
    <xf numFmtId="0" fontId="3" fillId="0" borderId="10" xfId="0" applyFont="1" applyBorder="1" applyProtection="1">
      <protection locked="0"/>
    </xf>
    <xf numFmtId="14" fontId="3" fillId="0" borderId="15" xfId="0" applyNumberFormat="1" applyFont="1" applyBorder="1" applyAlignment="1">
      <alignment horizontal="left"/>
    </xf>
    <xf numFmtId="167" fontId="3" fillId="0" borderId="8" xfId="1" applyFont="1" applyFill="1" applyBorder="1" applyAlignment="1">
      <alignment horizontal="left"/>
    </xf>
    <xf numFmtId="167" fontId="3" fillId="0" borderId="10" xfId="1" applyFont="1" applyFill="1" applyBorder="1" applyAlignment="1">
      <alignment horizontal="left"/>
    </xf>
    <xf numFmtId="14" fontId="3" fillId="0" borderId="12" xfId="0" applyNumberFormat="1" applyFont="1" applyBorder="1" applyAlignment="1">
      <alignment horizontal="center"/>
    </xf>
    <xf numFmtId="168" fontId="2" fillId="7" borderId="5" xfId="2" applyNumberFormat="1" applyFont="1" applyFill="1" applyBorder="1" applyAlignment="1">
      <alignment vertical="center"/>
    </xf>
    <xf numFmtId="168" fontId="3" fillId="0" borderId="7" xfId="0" applyNumberFormat="1" applyFont="1" applyBorder="1" applyAlignment="1">
      <alignment horizontal="left"/>
    </xf>
    <xf numFmtId="168" fontId="3" fillId="0" borderId="7" xfId="0" applyNumberFormat="1" applyFont="1" applyBorder="1" applyAlignment="1">
      <alignment wrapText="1"/>
    </xf>
    <xf numFmtId="168" fontId="3" fillId="0" borderId="9" xfId="0" applyNumberFormat="1" applyFont="1" applyBorder="1" applyAlignment="1">
      <alignment horizontal="left"/>
    </xf>
    <xf numFmtId="168" fontId="3" fillId="0" borderId="9" xfId="0" applyNumberFormat="1" applyFont="1" applyBorder="1" applyAlignment="1">
      <alignment wrapText="1"/>
    </xf>
    <xf numFmtId="168" fontId="9" fillId="0" borderId="0" xfId="0" applyNumberFormat="1" applyFont="1"/>
    <xf numFmtId="168" fontId="2" fillId="8" borderId="22" xfId="2" applyNumberFormat="1" applyFont="1" applyFill="1" applyBorder="1" applyAlignment="1">
      <alignment vertical="center"/>
    </xf>
    <xf numFmtId="168" fontId="2" fillId="8" borderId="23" xfId="0" applyNumberFormat="1" applyFont="1" applyFill="1" applyBorder="1" applyAlignment="1">
      <alignment vertical="center"/>
    </xf>
    <xf numFmtId="168" fontId="3" fillId="0" borderId="7" xfId="1" applyNumberFormat="1" applyFont="1" applyFill="1" applyBorder="1" applyAlignment="1">
      <alignment wrapText="1"/>
    </xf>
    <xf numFmtId="168" fontId="3" fillId="0" borderId="9" xfId="1" applyNumberFormat="1" applyFont="1" applyFill="1" applyBorder="1" applyAlignment="1">
      <alignment wrapText="1"/>
    </xf>
    <xf numFmtId="168" fontId="9" fillId="0" borderId="0" xfId="1" applyNumberFormat="1" applyFont="1" applyFill="1"/>
    <xf numFmtId="14" fontId="3" fillId="0" borderId="5" xfId="0" applyNumberFormat="1" applyFont="1" applyBorder="1"/>
    <xf numFmtId="14" fontId="3" fillId="0" borderId="5" xfId="0" applyNumberFormat="1" applyFont="1" applyBorder="1" applyAlignment="1">
      <alignment vertical="center"/>
    </xf>
    <xf numFmtId="22" fontId="3" fillId="0" borderId="5" xfId="0" applyNumberFormat="1" applyFont="1" applyBorder="1" applyAlignment="1">
      <alignment horizontal="left"/>
    </xf>
    <xf numFmtId="22" fontId="3" fillId="0" borderId="9" xfId="0" applyNumberFormat="1" applyFont="1" applyBorder="1" applyAlignment="1">
      <alignment horizontal="right"/>
    </xf>
    <xf numFmtId="14" fontId="3" fillId="0" borderId="5" xfId="0" applyNumberFormat="1" applyFont="1" applyBorder="1" applyAlignment="1">
      <alignment horizontal="right"/>
    </xf>
    <xf numFmtId="0" fontId="3" fillId="0" borderId="7" xfId="0" applyFont="1" applyBorder="1" applyProtection="1">
      <protection locked="0"/>
    </xf>
    <xf numFmtId="0" fontId="3" fillId="0" borderId="9" xfId="0" applyFont="1" applyBorder="1" applyProtection="1">
      <protection locked="0"/>
    </xf>
    <xf numFmtId="167" fontId="3" fillId="0" borderId="9" xfId="1" applyFont="1" applyFill="1" applyBorder="1" applyAlignment="1">
      <alignment horizontal="left"/>
    </xf>
    <xf numFmtId="0" fontId="3" fillId="0" borderId="27" xfId="0" applyFont="1" applyBorder="1"/>
    <xf numFmtId="167" fontId="3" fillId="0" borderId="4" xfId="1" applyFont="1" applyFill="1" applyBorder="1" applyAlignment="1">
      <alignment horizontal="right"/>
    </xf>
    <xf numFmtId="14" fontId="3" fillId="0" borderId="4" xfId="0" applyNumberFormat="1" applyFont="1" applyBorder="1"/>
    <xf numFmtId="9" fontId="3" fillId="0" borderId="7" xfId="0" applyNumberFormat="1" applyFont="1" applyBorder="1" applyAlignment="1">
      <alignment wrapText="1"/>
    </xf>
    <xf numFmtId="14" fontId="3" fillId="0" borderId="7" xfId="0" applyNumberFormat="1" applyFont="1" applyBorder="1" applyAlignment="1">
      <alignment wrapText="1"/>
    </xf>
    <xf numFmtId="0" fontId="3" fillId="0" borderId="7" xfId="4" applyFont="1" applyFill="1" applyBorder="1" applyAlignment="1">
      <alignment wrapText="1"/>
    </xf>
    <xf numFmtId="14" fontId="3" fillId="0" borderId="4" xfId="1" applyNumberFormat="1" applyFont="1" applyFill="1" applyBorder="1" applyAlignment="1">
      <alignment horizontal="right"/>
    </xf>
    <xf numFmtId="22" fontId="3" fillId="0" borderId="4" xfId="0" applyNumberFormat="1" applyFont="1" applyBorder="1" applyAlignment="1">
      <alignment horizontal="left"/>
    </xf>
    <xf numFmtId="22" fontId="3" fillId="0" borderId="7" xfId="0" applyNumberFormat="1" applyFont="1" applyBorder="1" applyAlignment="1">
      <alignment horizontal="right"/>
    </xf>
    <xf numFmtId="14" fontId="2" fillId="9" borderId="17" xfId="0" applyNumberFormat="1" applyFont="1" applyFill="1" applyBorder="1" applyAlignment="1">
      <alignment vertical="center"/>
    </xf>
    <xf numFmtId="165" fontId="2" fillId="8" borderId="23" xfId="0" applyNumberFormat="1" applyFont="1" applyFill="1" applyBorder="1" applyAlignment="1">
      <alignment vertical="center"/>
    </xf>
    <xf numFmtId="165" fontId="3" fillId="0" borderId="4" xfId="2" applyNumberFormat="1" applyFont="1" applyFill="1" applyBorder="1"/>
    <xf numFmtId="165" fontId="3" fillId="0" borderId="4" xfId="2" applyNumberFormat="1" applyFont="1" applyFill="1" applyBorder="1" applyAlignment="1"/>
    <xf numFmtId="165" fontId="3" fillId="0" borderId="7" xfId="2" applyNumberFormat="1" applyFont="1" applyFill="1" applyBorder="1" applyAlignment="1">
      <alignment wrapText="1"/>
    </xf>
    <xf numFmtId="165" fontId="3" fillId="0" borderId="9" xfId="2" applyNumberFormat="1" applyFont="1" applyFill="1" applyBorder="1" applyAlignment="1">
      <alignment wrapText="1"/>
    </xf>
    <xf numFmtId="165" fontId="3" fillId="0" borderId="9" xfId="0" applyNumberFormat="1" applyFont="1" applyBorder="1" applyAlignment="1">
      <alignment wrapText="1"/>
    </xf>
    <xf numFmtId="165" fontId="3" fillId="0" borderId="7" xfId="0" applyNumberFormat="1" applyFont="1" applyBorder="1" applyAlignment="1">
      <alignment wrapText="1"/>
    </xf>
    <xf numFmtId="167" fontId="3" fillId="0" borderId="4" xfId="1" applyFont="1" applyFill="1" applyBorder="1" applyAlignment="1">
      <alignment horizontal="left"/>
    </xf>
    <xf numFmtId="167" fontId="3" fillId="0" borderId="4" xfId="1" applyFont="1" applyBorder="1" applyAlignment="1">
      <alignment horizontal="left"/>
    </xf>
    <xf numFmtId="14" fontId="3" fillId="0" borderId="7" xfId="1" applyNumberFormat="1" applyFont="1" applyFill="1" applyBorder="1" applyAlignment="1">
      <alignment horizontal="right"/>
    </xf>
    <xf numFmtId="0" fontId="0" fillId="4" borderId="28" xfId="0" applyFill="1" applyBorder="1"/>
    <xf numFmtId="0" fontId="0" fillId="0" borderId="28" xfId="0" applyBorder="1"/>
    <xf numFmtId="0" fontId="0" fillId="0" borderId="29" xfId="0" applyBorder="1"/>
    <xf numFmtId="9" fontId="0" fillId="0" borderId="30" xfId="3" applyFont="1" applyBorder="1"/>
    <xf numFmtId="9" fontId="0" fillId="0" borderId="25" xfId="3" applyFont="1" applyBorder="1"/>
    <xf numFmtId="9" fontId="0" fillId="0" borderId="31" xfId="3" applyFont="1" applyBorder="1"/>
    <xf numFmtId="166" fontId="3" fillId="0" borderId="9" xfId="2" applyFont="1" applyBorder="1" applyAlignment="1">
      <alignment horizontal="left"/>
    </xf>
    <xf numFmtId="165" fontId="3" fillId="0" borderId="7" xfId="2" applyNumberFormat="1" applyFont="1" applyFill="1" applyBorder="1"/>
    <xf numFmtId="14" fontId="3" fillId="0" borderId="9" xfId="0" applyNumberFormat="1" applyFont="1" applyBorder="1" applyAlignment="1">
      <alignment wrapText="1"/>
    </xf>
    <xf numFmtId="0" fontId="3" fillId="0" borderId="7" xfId="0" applyFont="1" applyBorder="1" applyAlignment="1">
      <alignment horizontal="left" wrapText="1"/>
    </xf>
    <xf numFmtId="0" fontId="0" fillId="0" borderId="0" xfId="0" pivotButton="1"/>
    <xf numFmtId="0" fontId="0" fillId="0" borderId="0" xfId="0" applyAlignment="1">
      <alignment horizontal="left"/>
    </xf>
    <xf numFmtId="167" fontId="0" fillId="0" borderId="0" xfId="0" applyNumberFormat="1"/>
    <xf numFmtId="167" fontId="0" fillId="0" borderId="0" xfId="1" applyFont="1" applyBorder="1"/>
    <xf numFmtId="0" fontId="0" fillId="0" borderId="1" xfId="0" applyBorder="1"/>
    <xf numFmtId="0" fontId="0" fillId="0" borderId="2" xfId="0" applyBorder="1"/>
    <xf numFmtId="0" fontId="13" fillId="0" borderId="0" xfId="0" applyFont="1" applyAlignment="1">
      <alignment horizontal="left" vertical="top" wrapText="1"/>
    </xf>
    <xf numFmtId="0" fontId="13" fillId="0" borderId="0" xfId="0" applyFont="1" applyAlignment="1">
      <alignment horizontal="left" vertical="top"/>
    </xf>
    <xf numFmtId="166" fontId="3" fillId="0" borderId="5" xfId="2" applyFont="1" applyFill="1" applyBorder="1" applyAlignment="1">
      <alignment horizontal="right"/>
    </xf>
    <xf numFmtId="165" fontId="3" fillId="0" borderId="9" xfId="1" applyNumberFormat="1" applyFont="1" applyFill="1" applyBorder="1" applyAlignment="1">
      <alignment wrapText="1"/>
    </xf>
    <xf numFmtId="166" fontId="3" fillId="0" borderId="4" xfId="2" applyFont="1" applyFill="1" applyBorder="1" applyAlignment="1">
      <alignment horizontal="right"/>
    </xf>
    <xf numFmtId="165" fontId="3" fillId="0" borderId="7" xfId="1" applyNumberFormat="1" applyFont="1" applyFill="1" applyBorder="1" applyAlignment="1">
      <alignment wrapText="1"/>
    </xf>
    <xf numFmtId="9" fontId="3" fillId="0" borderId="9" xfId="0" applyNumberFormat="1" applyFont="1" applyBorder="1" applyAlignment="1">
      <alignment wrapText="1"/>
    </xf>
    <xf numFmtId="167" fontId="3" fillId="0" borderId="9" xfId="1" applyFont="1" applyBorder="1" applyAlignment="1">
      <alignment horizontal="left"/>
    </xf>
    <xf numFmtId="167" fontId="3" fillId="0" borderId="9" xfId="1" applyFont="1" applyBorder="1" applyAlignment="1">
      <alignment wrapText="1"/>
    </xf>
    <xf numFmtId="166" fontId="3" fillId="0" borderId="9" xfId="2" applyFont="1" applyBorder="1" applyAlignment="1">
      <alignment wrapText="1"/>
    </xf>
    <xf numFmtId="166" fontId="3" fillId="0" borderId="5" xfId="2" applyFont="1" applyBorder="1" applyAlignment="1">
      <alignment horizontal="right"/>
    </xf>
    <xf numFmtId="167" fontId="3" fillId="0" borderId="5" xfId="1" applyFont="1" applyBorder="1" applyAlignment="1">
      <alignment horizontal="right"/>
    </xf>
    <xf numFmtId="165" fontId="3" fillId="0" borderId="9" xfId="1" applyNumberFormat="1" applyFont="1" applyBorder="1" applyAlignment="1">
      <alignment wrapText="1"/>
    </xf>
    <xf numFmtId="166" fontId="3" fillId="0" borderId="5" xfId="2" applyFont="1" applyBorder="1"/>
    <xf numFmtId="14" fontId="3" fillId="0" borderId="7" xfId="0" applyNumberFormat="1" applyFont="1" applyBorder="1" applyAlignment="1">
      <alignment horizontal="left"/>
    </xf>
    <xf numFmtId="14" fontId="3" fillId="0" borderId="7" xfId="0" applyNumberFormat="1" applyFont="1" applyBorder="1" applyAlignment="1">
      <alignment horizontal="right"/>
    </xf>
    <xf numFmtId="14" fontId="3" fillId="0" borderId="7" xfId="0" applyNumberFormat="1" applyFont="1" applyBorder="1" applyAlignment="1">
      <alignment horizontal="center"/>
    </xf>
    <xf numFmtId="14" fontId="3" fillId="0" borderId="9" xfId="0" applyNumberFormat="1" applyFont="1" applyBorder="1" applyAlignment="1">
      <alignment horizontal="left"/>
    </xf>
    <xf numFmtId="14" fontId="3" fillId="0" borderId="9" xfId="0" applyNumberFormat="1" applyFont="1" applyBorder="1" applyAlignment="1">
      <alignment horizontal="center"/>
    </xf>
    <xf numFmtId="164" fontId="3" fillId="0" borderId="7" xfId="5" applyFont="1" applyFill="1" applyBorder="1" applyAlignment="1">
      <alignment horizontal="left"/>
    </xf>
    <xf numFmtId="169" fontId="3" fillId="0" borderId="7" xfId="5" applyNumberFormat="1" applyFont="1" applyFill="1" applyBorder="1" applyAlignment="1">
      <alignment wrapText="1"/>
    </xf>
    <xf numFmtId="169" fontId="3" fillId="0" borderId="7" xfId="5" applyNumberFormat="1" applyFont="1" applyFill="1" applyBorder="1" applyAlignment="1">
      <alignment horizontal="left"/>
    </xf>
    <xf numFmtId="14" fontId="3" fillId="0" borderId="9" xfId="0" applyNumberFormat="1" applyFont="1" applyBorder="1" applyAlignment="1">
      <alignment horizontal="right"/>
    </xf>
    <xf numFmtId="164" fontId="3" fillId="0" borderId="9" xfId="5" applyFont="1" applyFill="1" applyBorder="1" applyAlignment="1">
      <alignment horizontal="left"/>
    </xf>
    <xf numFmtId="170" fontId="3" fillId="0" borderId="9" xfId="5" applyNumberFormat="1" applyFont="1" applyFill="1" applyBorder="1" applyAlignment="1">
      <alignment wrapText="1"/>
    </xf>
    <xf numFmtId="169" fontId="3" fillId="0" borderId="9" xfId="5" applyNumberFormat="1" applyFont="1" applyFill="1" applyBorder="1" applyAlignment="1">
      <alignment wrapText="1"/>
    </xf>
    <xf numFmtId="169" fontId="3" fillId="0" borderId="9" xfId="5" applyNumberFormat="1" applyFont="1" applyFill="1" applyBorder="1" applyAlignment="1">
      <alignment horizontal="left"/>
    </xf>
    <xf numFmtId="14" fontId="2" fillId="10" borderId="13" xfId="0" applyNumberFormat="1" applyFont="1" applyFill="1" applyBorder="1" applyAlignment="1">
      <alignment vertical="center"/>
    </xf>
    <xf numFmtId="14" fontId="3" fillId="0" borderId="9" xfId="1" applyNumberFormat="1" applyFont="1" applyFill="1" applyBorder="1" applyAlignment="1">
      <alignment wrapText="1"/>
    </xf>
    <xf numFmtId="14" fontId="3" fillId="0" borderId="7" xfId="1" applyNumberFormat="1" applyFont="1" applyFill="1" applyBorder="1" applyAlignment="1">
      <alignment wrapText="1"/>
    </xf>
    <xf numFmtId="14" fontId="3" fillId="0" borderId="9" xfId="1" applyNumberFormat="1" applyFont="1" applyBorder="1" applyAlignment="1">
      <alignment wrapText="1"/>
    </xf>
    <xf numFmtId="14" fontId="9" fillId="0" borderId="0" xfId="1" applyNumberFormat="1" applyFont="1" applyFill="1"/>
    <xf numFmtId="14" fontId="2" fillId="10" borderId="13" xfId="1" applyNumberFormat="1" applyFont="1" applyFill="1" applyBorder="1" applyAlignment="1">
      <alignment vertical="center"/>
    </xf>
    <xf numFmtId="22" fontId="3" fillId="0" borderId="7" xfId="0" applyNumberFormat="1" applyFont="1" applyBorder="1" applyAlignment="1">
      <alignment horizontal="left"/>
    </xf>
    <xf numFmtId="164" fontId="3" fillId="0" borderId="4" xfId="5" applyFont="1" applyFill="1" applyBorder="1" applyAlignment="1">
      <alignment horizontal="right"/>
    </xf>
    <xf numFmtId="169" fontId="3" fillId="0" borderId="4" xfId="5" applyNumberFormat="1" applyFont="1" applyFill="1" applyBorder="1" applyAlignment="1">
      <alignment horizontal="right"/>
    </xf>
    <xf numFmtId="14" fontId="3" fillId="0" borderId="5" xfId="0" applyNumberFormat="1" applyFont="1" applyBorder="1" applyAlignment="1">
      <alignment horizontal="left"/>
    </xf>
    <xf numFmtId="0" fontId="15" fillId="0" borderId="0" xfId="0" applyFont="1"/>
    <xf numFmtId="169" fontId="3" fillId="0" borderId="7" xfId="5" applyNumberFormat="1" applyFont="1" applyBorder="1" applyAlignment="1">
      <alignment horizontal="left"/>
    </xf>
    <xf numFmtId="169" fontId="3" fillId="0" borderId="7" xfId="5" applyNumberFormat="1" applyFont="1" applyBorder="1" applyAlignment="1">
      <alignment wrapText="1"/>
    </xf>
    <xf numFmtId="164" fontId="3" fillId="0" borderId="9" xfId="0" applyNumberFormat="1" applyFont="1" applyBorder="1" applyAlignment="1">
      <alignment wrapText="1"/>
    </xf>
    <xf numFmtId="169" fontId="3" fillId="0" borderId="9" xfId="5" applyNumberFormat="1" applyFont="1" applyBorder="1" applyAlignment="1">
      <alignment horizontal="left"/>
    </xf>
    <xf numFmtId="169" fontId="3" fillId="0" borderId="9" xfId="5" applyNumberFormat="1" applyFont="1" applyBorder="1" applyAlignment="1">
      <alignment wrapText="1"/>
    </xf>
    <xf numFmtId="167" fontId="2" fillId="0" borderId="5" xfId="1" applyFont="1" applyFill="1" applyBorder="1" applyAlignment="1">
      <alignment horizontal="right"/>
    </xf>
    <xf numFmtId="9" fontId="3" fillId="0" borderId="5" xfId="0" applyNumberFormat="1" applyFont="1" applyBorder="1" applyAlignment="1">
      <alignment horizontal="right"/>
    </xf>
    <xf numFmtId="22" fontId="3" fillId="0" borderId="7" xfId="0" applyNumberFormat="1" applyFont="1" applyBorder="1"/>
    <xf numFmtId="14" fontId="2" fillId="0" borderId="7" xfId="0" applyNumberFormat="1" applyFont="1" applyBorder="1" applyAlignment="1">
      <alignment horizontal="center"/>
    </xf>
    <xf numFmtId="14" fontId="3" fillId="0" borderId="7" xfId="0" applyNumberFormat="1" applyFont="1" applyBorder="1"/>
    <xf numFmtId="14" fontId="3" fillId="0" borderId="9" xfId="0" applyNumberFormat="1" applyFont="1" applyBorder="1"/>
    <xf numFmtId="9" fontId="3" fillId="0" borderId="4" xfId="0" applyNumberFormat="1" applyFont="1" applyBorder="1" applyAlignment="1">
      <alignment horizontal="right"/>
    </xf>
    <xf numFmtId="170" fontId="3" fillId="0" borderId="9" xfId="5" applyNumberFormat="1" applyFont="1" applyFill="1" applyBorder="1" applyAlignment="1">
      <alignment horizontal="left"/>
    </xf>
    <xf numFmtId="0" fontId="13" fillId="0" borderId="0" xfId="0" applyFont="1" applyAlignment="1">
      <alignment horizontal="left" vertical="top" wrapText="1"/>
    </xf>
    <xf numFmtId="0" fontId="13" fillId="0" borderId="0" xfId="0" applyFont="1" applyAlignment="1">
      <alignment horizontal="left" vertical="top"/>
    </xf>
    <xf numFmtId="0" fontId="14" fillId="0" borderId="0" xfId="0" applyFont="1" applyAlignment="1">
      <alignment horizontal="center" vertical="top" wrapText="1"/>
    </xf>
    <xf numFmtId="0" fontId="14" fillId="0" borderId="0" xfId="0" applyFont="1" applyAlignment="1">
      <alignment horizontal="center" wrapText="1"/>
    </xf>
    <xf numFmtId="0" fontId="14" fillId="0" borderId="0" xfId="0" applyFont="1" applyAlignment="1">
      <alignment horizontal="center" vertical="top"/>
    </xf>
    <xf numFmtId="0" fontId="12" fillId="0" borderId="2"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13" fillId="0" borderId="19" xfId="0" applyFont="1" applyBorder="1" applyAlignment="1">
      <alignment horizontal="left" vertical="top" wrapText="1"/>
    </xf>
    <xf numFmtId="0" fontId="13" fillId="0" borderId="19" xfId="0" applyFont="1" applyBorder="1" applyAlignment="1">
      <alignment horizontal="left" vertical="top"/>
    </xf>
    <xf numFmtId="0" fontId="14" fillId="0" borderId="0" xfId="0" applyFont="1" applyAlignment="1">
      <alignment horizontal="center"/>
    </xf>
    <xf numFmtId="0" fontId="8" fillId="2" borderId="1" xfId="0" applyFont="1" applyFill="1" applyBorder="1" applyAlignment="1">
      <alignment horizontal="center" vertical="center"/>
    </xf>
    <xf numFmtId="0" fontId="8" fillId="2" borderId="2" xfId="0" applyFont="1" applyFill="1" applyBorder="1" applyAlignment="1">
      <alignment horizontal="center" vertical="center"/>
    </xf>
    <xf numFmtId="0" fontId="8" fillId="2" borderId="3" xfId="0" applyFont="1" applyFill="1" applyBorder="1" applyAlignment="1">
      <alignment horizontal="center" vertical="center"/>
    </xf>
    <xf numFmtId="0" fontId="8" fillId="11" borderId="1" xfId="0" applyFont="1" applyFill="1" applyBorder="1" applyAlignment="1">
      <alignment horizontal="center" vertical="center" wrapText="1"/>
    </xf>
    <xf numFmtId="0" fontId="8" fillId="11" borderId="2" xfId="0" applyFont="1" applyFill="1" applyBorder="1" applyAlignment="1">
      <alignment horizontal="center" vertical="center"/>
    </xf>
    <xf numFmtId="0" fontId="8" fillId="6" borderId="1"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7" borderId="1" xfId="0" applyFont="1" applyFill="1" applyBorder="1" applyAlignment="1">
      <alignment horizontal="center" vertical="center"/>
    </xf>
    <xf numFmtId="168" fontId="8" fillId="7" borderId="2" xfId="0" applyNumberFormat="1" applyFont="1" applyFill="1" applyBorder="1" applyAlignment="1">
      <alignment horizontal="center" vertical="center"/>
    </xf>
    <xf numFmtId="168" fontId="8" fillId="7" borderId="3" xfId="0" applyNumberFormat="1" applyFont="1" applyFill="1" applyBorder="1" applyAlignment="1">
      <alignment horizontal="center" vertical="center"/>
    </xf>
    <xf numFmtId="0" fontId="2" fillId="8" borderId="18" xfId="0" applyFont="1" applyFill="1" applyBorder="1" applyAlignment="1">
      <alignment horizontal="center" vertical="center" wrapText="1"/>
    </xf>
    <xf numFmtId="168" fontId="2" fillId="8" borderId="19" xfId="0" applyNumberFormat="1" applyFont="1" applyFill="1" applyBorder="1" applyAlignment="1">
      <alignment horizontal="center" vertical="center"/>
    </xf>
    <xf numFmtId="168" fontId="2" fillId="8" borderId="20" xfId="0" applyNumberFormat="1" applyFont="1" applyFill="1" applyBorder="1" applyAlignment="1">
      <alignment horizontal="center" vertical="center"/>
    </xf>
    <xf numFmtId="0" fontId="2" fillId="10" borderId="1" xfId="0" applyFont="1" applyFill="1" applyBorder="1" applyAlignment="1">
      <alignment horizontal="center" vertical="center" wrapText="1"/>
    </xf>
    <xf numFmtId="0" fontId="2" fillId="10" borderId="2" xfId="0" applyFont="1" applyFill="1" applyBorder="1" applyAlignment="1">
      <alignment horizontal="center" vertical="center"/>
    </xf>
    <xf numFmtId="0" fontId="2" fillId="10" borderId="3" xfId="0" applyFont="1" applyFill="1" applyBorder="1" applyAlignment="1">
      <alignment horizontal="center" vertical="center"/>
    </xf>
  </cellXfs>
  <cellStyles count="6">
    <cellStyle name="Comma" xfId="5" builtinId="3"/>
    <cellStyle name="Comma [0]" xfId="1" builtinId="6"/>
    <cellStyle name="Currency [0]" xfId="2" builtinId="7"/>
    <cellStyle name="Hyperlink" xfId="4" builtinId="8"/>
    <cellStyle name="Normal" xfId="0" builtinId="0"/>
    <cellStyle name="Percent" xfId="3" builtinId="5"/>
  </cellStyles>
  <dxfs count="127">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border outline="0">
        <bottom style="thin">
          <color theme="4" tint="0.39997558519241921"/>
        </bottom>
      </border>
    </dxf>
    <dxf>
      <border outline="0">
        <bottom style="thin">
          <color theme="4" tint="0.39997558519241921"/>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border diagonalUp="0" diagonalDown="0">
        <left style="thin">
          <color theme="4" tint="0.39997558519241921"/>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4" tint="0.39997558519241921"/>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4" tint="0.39997558519241921"/>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4" tint="0.39997558519241921"/>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4" tint="0.39997558519241921"/>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4" tint="0.39997558519241921"/>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4" tint="0.39997558519241921"/>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4" tint="0.39997558519241921"/>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4" tint="0.39997558519241921"/>
        </left>
        <right/>
        <top style="thin">
          <color theme="4" tint="0.39997558519241921"/>
        </top>
        <bottom style="thin">
          <color theme="4" tint="0.39997558519241921"/>
        </bottom>
        <vertical/>
        <horizontal/>
      </border>
    </dxf>
    <dxf>
      <border outline="0">
        <bottom style="thin">
          <color theme="4" tint="0.39997558519241921"/>
        </bottom>
      </border>
    </dxf>
    <dxf>
      <font>
        <b val="0"/>
        <i val="0"/>
        <strike val="0"/>
        <condense val="0"/>
        <extend val="0"/>
        <outline val="0"/>
        <shadow val="0"/>
        <u val="none"/>
        <vertAlign val="baseline"/>
        <sz val="11"/>
        <color theme="1"/>
        <name val="Calibri"/>
        <family val="2"/>
        <scheme val="minor"/>
      </font>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8"/>
        <color rgb="FF000000"/>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fill>
        <patternFill patternType="none">
          <fgColor indexed="64"/>
          <bgColor indexed="65"/>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rgb="FF000000"/>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rgb="FF000000"/>
        <name val="Calibri"/>
        <family val="2"/>
        <scheme val="minor"/>
      </font>
      <fill>
        <patternFill patternType="none">
          <bgColor auto="1"/>
        </patternFill>
      </fill>
      <alignment horizontal="righ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8"/>
        <color rgb="FF000000"/>
        <name val="Calibri"/>
        <family val="2"/>
        <scheme val="minor"/>
      </font>
      <fill>
        <patternFill patternType="none">
          <fgColor indexed="64"/>
          <bgColor indexed="65"/>
        </patternFill>
      </fill>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8"/>
        <color rgb="FF000000"/>
        <name val="Calibri"/>
        <family val="2"/>
        <scheme val="minor"/>
      </font>
      <fill>
        <patternFill patternType="none">
          <fgColor rgb="FF000000"/>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rgb="FF000000"/>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numFmt numFmtId="0" formatCode="General"/>
      <fill>
        <patternFill patternType="none">
          <fgColor indexed="64"/>
          <bgColor indexed="65"/>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fill>
        <patternFill patternType="none">
          <fgColor rgb="FF000000"/>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rgb="FF000000"/>
        <name val="Calibri"/>
        <family val="2"/>
        <scheme val="minor"/>
      </font>
      <fill>
        <patternFill patternType="none">
          <bgColor auto="1"/>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rgb="FF000000"/>
        <name val="Calibri"/>
        <family val="2"/>
        <scheme val="minor"/>
      </font>
      <fill>
        <patternFill patternType="none">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rgb="FF000000"/>
        <name val="Calibri"/>
        <family val="2"/>
        <scheme val="minor"/>
      </font>
      <numFmt numFmtId="171" formatCode="m/d/yyyy"/>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numFmt numFmtId="171" formatCode="m/d/yyyy"/>
      <fill>
        <patternFill patternType="none">
          <bgColor auto="1"/>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rgb="FF000000"/>
        <name val="Calibri"/>
        <family val="2"/>
        <scheme val="minor"/>
      </font>
      <numFmt numFmtId="171" formatCode="m/d/yyyy"/>
      <fill>
        <patternFill patternType="none">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rgb="FF000000"/>
        <name val="Calibri"/>
        <family val="2"/>
        <scheme val="minor"/>
      </font>
      <numFmt numFmtId="171" formatCode="m/d/yyyy"/>
      <fill>
        <patternFill patternType="none">
          <fgColor indexed="64"/>
          <bgColor indexed="65"/>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fill>
        <patternFill patternType="none">
          <fgColor indexed="64"/>
          <bgColor indexed="65"/>
        </patternFill>
      </fill>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8"/>
        <color rgb="FF000000"/>
        <name val="Calibri"/>
        <family val="2"/>
        <scheme val="minor"/>
      </font>
      <fill>
        <patternFill patternType="none">
          <fgColor indexed="64"/>
          <bgColor indexed="65"/>
        </patternFill>
      </fill>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8"/>
        <color rgb="FF000000"/>
        <name val="Calibri"/>
        <family val="2"/>
        <scheme val="minor"/>
      </font>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8"/>
        <color rgb="FF000000"/>
        <name val="Calibri"/>
        <family val="2"/>
        <scheme val="minor"/>
      </font>
      <fill>
        <patternFill patternType="none">
          <bgColor auto="1"/>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rgb="FF000000"/>
        <name val="Calibri"/>
        <family val="2"/>
        <scheme val="minor"/>
      </font>
      <numFmt numFmtId="171" formatCode="m/d/yyyy"/>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z val="8"/>
        <color rgb="FF000000"/>
      </font>
      <numFmt numFmtId="171" formatCode="m/d/yyyy"/>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8"/>
        <color rgb="FF000000"/>
        <name val="Calibri"/>
        <family val="2"/>
        <scheme val="minor"/>
      </font>
      <fill>
        <patternFill patternType="none">
          <fgColor indexed="64"/>
          <bgColor indexed="65"/>
        </patternFill>
      </fill>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8"/>
        <color rgb="FF000000"/>
        <name val="Calibri"/>
        <family val="2"/>
        <scheme val="minor"/>
      </font>
      <fill>
        <patternFill patternType="none">
          <bgColor auto="1"/>
        </patternFill>
      </fill>
      <border diagonalUp="0" diagonalDown="0">
        <left style="thin">
          <color indexed="64"/>
        </left>
        <right style="thin">
          <color indexed="64"/>
        </right>
        <top style="thin">
          <color indexed="64"/>
        </top>
        <bottom style="thin">
          <color indexed="64"/>
        </bottom>
        <vertical/>
        <horizontal/>
      </border>
      <protection locked="0" hidden="0"/>
    </dxf>
    <dxf>
      <border outline="0">
        <left style="thin">
          <color rgb="FF000000"/>
        </left>
        <right style="thin">
          <color rgb="FF000000"/>
        </right>
        <top style="medium">
          <color rgb="FF000000"/>
        </top>
        <bottom style="thin">
          <color rgb="FF000000"/>
        </bottom>
      </border>
    </dxf>
    <dxf>
      <font>
        <b val="0"/>
        <i val="0"/>
        <strike val="0"/>
        <condense val="0"/>
        <extend val="0"/>
        <outline val="0"/>
        <shadow val="0"/>
        <u val="none"/>
        <vertAlign val="baseline"/>
        <sz val="8"/>
        <color rgb="FF000000"/>
        <name val="Calibri"/>
        <family val="2"/>
        <scheme val="none"/>
      </font>
      <fill>
        <patternFill patternType="none">
          <bgColor auto="1"/>
        </patternFill>
      </fill>
    </dxf>
    <dxf>
      <font>
        <b/>
        <i val="0"/>
        <strike val="0"/>
        <condense val="0"/>
        <extend val="0"/>
        <outline val="0"/>
        <shadow val="0"/>
        <u val="none"/>
        <vertAlign val="baseline"/>
        <sz val="8"/>
        <color rgb="FF000000"/>
        <name val="Calibri"/>
        <family val="2"/>
        <scheme val="minor"/>
      </font>
      <fill>
        <patternFill patternType="solid">
          <fgColor rgb="FF000000"/>
          <bgColor rgb="FFBDD7EE"/>
        </patternFill>
      </fill>
      <alignment horizontal="general"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rgb="FF000000"/>
        <name val="Calibri"/>
        <family val="2"/>
        <scheme val="minor"/>
      </font>
      <fill>
        <patternFill patternType="none">
          <bgColor auto="1"/>
        </patternFill>
      </fill>
      <border diagonalUp="0" diagonalDown="0" outline="0">
        <left style="thin">
          <color indexed="64"/>
        </left>
        <right/>
        <top/>
        <bottom style="thin">
          <color indexed="64"/>
        </bottom>
      </border>
    </dxf>
    <dxf>
      <font>
        <b val="0"/>
        <i val="0"/>
        <strike val="0"/>
        <condense val="0"/>
        <extend val="0"/>
        <outline val="0"/>
        <shadow val="0"/>
        <u val="none"/>
        <vertAlign val="baseline"/>
        <sz val="8"/>
        <color rgb="FF000000"/>
        <name val="Calibri"/>
        <family val="2"/>
        <scheme val="minor"/>
      </font>
      <fill>
        <patternFill patternType="none">
          <bgColor auto="1"/>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8"/>
        <color rgb="FF000000"/>
        <name val="Calibri"/>
        <family val="2"/>
        <scheme val="minor"/>
      </font>
      <fill>
        <patternFill patternType="none">
          <bgColor auto="1"/>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8"/>
        <color rgb="FF000000"/>
        <name val="Calibri"/>
        <family val="2"/>
        <scheme val="minor"/>
      </font>
      <fill>
        <patternFill patternType="none">
          <bgColor auto="1"/>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8"/>
        <color rgb="FF000000"/>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fill>
        <patternFill patternType="none">
          <fgColor rgb="FF000000"/>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rgb="FF000000"/>
        <name val="Calibri"/>
        <family val="2"/>
        <scheme val="minor"/>
      </font>
      <fill>
        <patternFill patternType="none">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rgb="FF000000"/>
        <name val="Calibri"/>
        <family val="2"/>
        <scheme val="minor"/>
      </font>
      <fill>
        <patternFill patternType="none">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rgb="FF000000"/>
        <name val="Calibri"/>
        <family val="2"/>
        <scheme val="minor"/>
      </font>
      <fill>
        <patternFill patternType="none">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rgb="FF000000"/>
        <name val="Calibri"/>
        <family val="2"/>
        <scheme val="minor"/>
      </font>
      <fill>
        <patternFill patternType="none">
          <fgColor rgb="FF000000"/>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rgb="FF000000"/>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numFmt numFmtId="172" formatCode="d/m/yyyy"/>
      <fill>
        <patternFill patternType="none">
          <fgColor indexed="64"/>
          <bgColor indexed="65"/>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rgb="FF000000"/>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rgb="FF000000"/>
        <name val="Calibri"/>
        <family val="2"/>
        <scheme val="minor"/>
      </font>
      <numFmt numFmtId="172" formatCode="d/m/yyyy"/>
      <fill>
        <patternFill patternType="none">
          <fgColor rgb="FF000000"/>
          <bgColor auto="1"/>
        </patternFill>
      </fill>
      <alignment horizontal="right" vertical="bottom" textRotation="0" wrapText="0" indent="0" justifyLastLine="0" shrinkToFit="0" readingOrder="0"/>
      <border diagonalUp="0" diagonalDown="0">
        <left style="thin">
          <color indexed="64"/>
        </left>
        <right style="thin">
          <color indexed="64"/>
        </right>
        <top/>
        <bottom style="thin">
          <color indexed="64"/>
        </bottom>
      </border>
    </dxf>
    <dxf>
      <font>
        <b val="0"/>
        <i val="0"/>
        <strike val="0"/>
        <condense val="0"/>
        <extend val="0"/>
        <outline val="0"/>
        <shadow val="0"/>
        <u val="none"/>
        <vertAlign val="baseline"/>
        <sz val="8"/>
        <color rgb="FF000000"/>
        <name val="Calibri"/>
        <family val="2"/>
        <scheme val="minor"/>
      </font>
      <numFmt numFmtId="172" formatCode="d/m/yyyy"/>
      <fill>
        <patternFill patternType="none">
          <bgColor auto="1"/>
        </patternFill>
      </fill>
      <alignment horizontal="right" vertical="bottom" textRotation="0" wrapText="0" indent="0" justifyLastLine="0" shrinkToFit="0" readingOrder="0"/>
      <border diagonalUp="0" diagonalDown="0">
        <left style="thin">
          <color indexed="64"/>
        </left>
        <right style="thin">
          <color indexed="64"/>
        </right>
        <top/>
        <bottom style="thin">
          <color indexed="64"/>
        </bottom>
      </border>
    </dxf>
    <dxf>
      <font>
        <b val="0"/>
        <i val="0"/>
        <strike val="0"/>
        <condense val="0"/>
        <extend val="0"/>
        <outline val="0"/>
        <shadow val="0"/>
        <u val="none"/>
        <vertAlign val="baseline"/>
        <sz val="8"/>
        <color rgb="FF000000"/>
        <name val="Calibri"/>
        <family val="2"/>
        <scheme val="minor"/>
      </font>
      <fill>
        <patternFill patternType="none">
          <bgColor auto="1"/>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8"/>
        <color rgb="FF000000"/>
        <name val="Calibri"/>
        <family val="2"/>
        <scheme val="minor"/>
      </font>
      <numFmt numFmtId="165" formatCode="_(&quot;$&quot;* #,##0_);_(&quot;$&quot;* \(#,##0\);_(&quot;$&quot;* &quot;-&quot;_);_(@_)"/>
      <fill>
        <patternFill patternType="none">
          <fgColor rgb="FF000000"/>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rgb="FF000000"/>
        <name val="Calibri"/>
        <family val="2"/>
        <scheme val="minor"/>
      </font>
      <fill>
        <patternFill patternType="none">
          <fgColor rgb="FF000000"/>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rgb="FF000000"/>
        <name val="Calibri"/>
        <family val="2"/>
        <scheme val="minor"/>
      </font>
      <fill>
        <patternFill patternType="none">
          <fgColor rgb="FF000000"/>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rgb="FF000000"/>
        <name val="Calibri"/>
        <family val="2"/>
        <scheme val="minor"/>
      </font>
      <numFmt numFmtId="171" formatCode="m/d/yyyy"/>
      <fill>
        <patternFill patternType="none">
          <fgColor rgb="FF000000"/>
          <bgColor auto="1"/>
        </patternFill>
      </fill>
      <border diagonalUp="0" diagonalDown="0">
        <left style="thin">
          <color indexed="64"/>
        </left>
        <right style="thin">
          <color indexed="64"/>
        </right>
        <top/>
        <bottom style="thin">
          <color indexed="64"/>
        </bottom>
      </border>
    </dxf>
    <dxf>
      <font>
        <b val="0"/>
        <i val="0"/>
        <strike val="0"/>
        <condense val="0"/>
        <extend val="0"/>
        <outline val="0"/>
        <shadow val="0"/>
        <u val="none"/>
        <vertAlign val="baseline"/>
        <sz val="8"/>
        <color rgb="FF000000"/>
        <name val="Calibri"/>
        <family val="2"/>
        <scheme val="minor"/>
      </font>
      <fill>
        <patternFill patternType="none">
          <bgColor auto="1"/>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8"/>
        <color rgb="FF000000"/>
        <name val="Calibri"/>
        <family val="2"/>
        <scheme val="minor"/>
      </font>
      <fill>
        <patternFill patternType="none">
          <bgColor auto="1"/>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8"/>
        <color rgb="FF000000"/>
        <name val="Calibri"/>
        <family val="2"/>
        <scheme val="minor"/>
      </font>
      <fill>
        <patternFill patternType="none">
          <bgColor auto="1"/>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8"/>
        <color rgb="FF000000"/>
        <name val="Calibri"/>
        <family val="2"/>
        <scheme val="minor"/>
      </font>
      <fill>
        <patternFill patternType="none">
          <bgColor auto="1"/>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8"/>
        <color rgb="FF000000"/>
        <name val="Calibri"/>
        <family val="2"/>
        <scheme val="minor"/>
      </font>
      <fill>
        <patternFill patternType="none">
          <bgColor auto="1"/>
        </patternFill>
      </fill>
      <alignment horizontal="righ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8"/>
        <color rgb="FF000000"/>
        <name val="Calibri"/>
        <family val="2"/>
        <scheme val="minor"/>
      </font>
      <fill>
        <patternFill patternType="none">
          <bgColor auto="1"/>
        </patternFill>
      </fill>
      <alignment horizontal="righ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8"/>
        <color rgb="FF000000"/>
        <name val="Calibri"/>
        <family val="2"/>
        <scheme val="minor"/>
      </font>
      <fill>
        <patternFill patternType="none">
          <bgColor auto="1"/>
        </patternFill>
      </fill>
      <alignment horizontal="righ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8"/>
        <color rgb="FF000000"/>
        <name val="Calibri"/>
        <family val="2"/>
        <scheme val="minor"/>
      </font>
      <fill>
        <patternFill patternType="none">
          <bgColor auto="1"/>
        </patternFill>
      </fill>
      <alignment horizontal="righ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8"/>
        <color rgb="FF000000"/>
        <name val="Calibri"/>
        <family val="2"/>
        <scheme val="minor"/>
      </font>
      <fill>
        <patternFill patternType="none">
          <fgColor rgb="FF000000"/>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rgb="FF000000"/>
        <name val="Calibri"/>
        <family val="2"/>
        <scheme val="minor"/>
      </font>
      <fill>
        <patternFill patternType="none">
          <fgColor rgb="FF000000"/>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rgb="FF000000"/>
        <name val="Calibri"/>
        <family val="2"/>
        <scheme val="minor"/>
      </font>
      <fill>
        <patternFill patternType="none">
          <bgColor auto="1"/>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rgb="FF000000"/>
        <name val="Calibri"/>
        <family val="2"/>
        <scheme val="minor"/>
      </font>
      <fill>
        <patternFill patternType="none">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rgb="FF000000"/>
        <name val="Calibri"/>
        <family val="2"/>
        <scheme val="minor"/>
      </font>
      <fill>
        <patternFill patternType="none">
          <bgColor auto="1"/>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8"/>
        <color rgb="FF000000"/>
        <name val="Calibri"/>
        <family val="2"/>
        <scheme val="minor"/>
      </font>
      <fill>
        <patternFill patternType="none">
          <bgColor auto="1"/>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8"/>
        <color rgb="FF000000"/>
        <name val="Calibri"/>
        <family val="2"/>
        <scheme val="minor"/>
      </font>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numFmt numFmtId="171" formatCode="m/d/yyyy"/>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numFmt numFmtId="171" formatCode="m/d/yyyy"/>
      <fill>
        <patternFill patternType="none">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rgb="FF000000"/>
        <name val="Calibri"/>
        <family val="2"/>
        <scheme val="minor"/>
      </font>
      <numFmt numFmtId="171" formatCode="m/d/yyyy"/>
      <fill>
        <patternFill patternType="none">
          <fgColor indexed="64"/>
          <bgColor indexed="6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rgb="FF000000"/>
        <name val="Calibri"/>
        <family val="2"/>
        <scheme val="minor"/>
      </font>
      <numFmt numFmtId="171" formatCode="m/d/yyyy"/>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rgb="FF000000"/>
        <name val="Calibri"/>
        <family val="2"/>
        <scheme val="minor"/>
      </font>
      <numFmt numFmtId="0" formatCode="General"/>
      <alignment horizontal="left" vertical="bottom"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8"/>
        <color rgb="FF000000"/>
        <name val="Calibri"/>
        <family val="2"/>
        <scheme val="minor"/>
      </font>
      <numFmt numFmtId="0" formatCode="General"/>
      <alignment horizontal="left" vertical="bottom" textRotation="0" wrapText="0" indent="0" justifyLastLine="0" shrinkToFit="0" readingOrder="0"/>
      <border diagonalUp="0" diagonalDown="0">
        <left style="thin">
          <color indexed="64"/>
        </left>
        <right style="thin">
          <color indexed="64"/>
        </right>
        <top style="thin">
          <color indexed="64"/>
        </top>
        <bottom/>
        <vertical/>
        <horizontal/>
      </border>
    </dxf>
    <dxf>
      <font>
        <sz val="8"/>
        <color rgb="FF000000"/>
      </font>
      <numFmt numFmtId="171" formatCode="m/d/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fill>
        <patternFill patternType="none">
          <bgColor auto="1"/>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8"/>
        <color rgb="FF000000"/>
        <name val="Calibri"/>
        <family val="2"/>
        <scheme val="minor"/>
      </font>
      <fill>
        <patternFill patternType="none">
          <bgColor auto="1"/>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8"/>
        <color rgb="FF000000"/>
        <name val="Calibri"/>
        <family val="2"/>
        <scheme val="minor"/>
      </font>
      <fill>
        <patternFill patternType="none">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rgb="FF000000"/>
        <name val="Calibri"/>
        <family val="2"/>
        <scheme val="minor"/>
      </font>
      <fill>
        <patternFill patternType="none">
          <bgColor auto="1"/>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rgb="FF000000"/>
        <name val="Calibri"/>
        <family val="2"/>
        <scheme val="minor"/>
      </font>
      <fill>
        <patternFill patternType="none">
          <bgColor auto="1"/>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8"/>
        <color rgb="FF000000"/>
        <name val="Calibri"/>
        <family val="2"/>
        <scheme val="minor"/>
      </font>
      <fill>
        <patternFill patternType="none">
          <bgColor auto="1"/>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8"/>
        <color rgb="FF000000"/>
        <name val="Calibri"/>
        <family val="2"/>
        <scheme val="minor"/>
      </font>
      <fill>
        <patternFill patternType="none">
          <bgColor auto="1"/>
        </patternFill>
      </fill>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8"/>
        <color rgb="FF000000"/>
        <name val="Calibri"/>
        <family val="2"/>
        <scheme val="minor"/>
      </font>
      <fill>
        <patternFill patternType="none">
          <bgColor auto="1"/>
        </patternFill>
      </fill>
      <border diagonalUp="0" diagonalDown="0" outline="0">
        <left/>
        <right style="thin">
          <color indexed="64"/>
        </right>
        <top/>
        <bottom style="thin">
          <color indexed="64"/>
        </bottom>
      </border>
    </dxf>
    <dxf>
      <border outline="0">
        <left style="thin">
          <color indexed="64"/>
        </left>
        <right style="thin">
          <color indexed="64"/>
        </right>
        <top style="medium">
          <color indexed="64"/>
        </top>
        <bottom style="thin">
          <color indexed="64"/>
        </bottom>
      </border>
    </dxf>
    <dxf>
      <font>
        <b val="0"/>
        <i val="0"/>
        <strike val="0"/>
        <condense val="0"/>
        <extend val="0"/>
        <outline val="0"/>
        <shadow val="0"/>
        <u val="none"/>
        <vertAlign val="baseline"/>
        <sz val="8"/>
        <color rgb="FF000000"/>
        <name val="Calibri"/>
        <family val="2"/>
        <scheme val="minor"/>
      </font>
      <fill>
        <patternFill patternType="none">
          <bgColor auto="1"/>
        </patternFill>
      </fill>
    </dxf>
    <dxf>
      <font>
        <b/>
        <i val="0"/>
        <strike val="0"/>
        <condense val="0"/>
        <extend val="0"/>
        <outline val="0"/>
        <shadow val="0"/>
        <u val="none"/>
        <vertAlign val="baseline"/>
        <sz val="8"/>
        <color rgb="FF000000"/>
        <name val="Calibri"/>
        <family val="2"/>
        <scheme val="minor"/>
      </font>
      <fill>
        <patternFill patternType="solid">
          <fgColor rgb="FF000000"/>
          <bgColor rgb="FFBDD7EE"/>
        </patternFill>
      </fill>
      <alignment horizontal="general" vertical="center" textRotation="0" wrapText="0" indent="0" justifyLastLine="0" shrinkToFit="0" readingOrder="0"/>
      <border diagonalUp="0" diagonalDown="0" outline="0">
        <left style="thin">
          <color indexed="64"/>
        </left>
        <right style="thin">
          <color indexed="64"/>
        </right>
        <top/>
        <bottom/>
      </border>
    </dxf>
    <dxf>
      <numFmt numFmtId="167" formatCode="_ * #,##0_ ;_ * \-#,##0_ ;_ * &quot;-&quot;_ ;_ @_ "/>
    </dxf>
    <dxf>
      <numFmt numFmtId="167" formatCode="_ * #,##0_ ;_ * \-#,##0_ ;_ * &quot;-&quot;_ ;_ @_ "/>
    </dxf>
    <dxf>
      <numFmt numFmtId="0" formatCode="General"/>
    </dxf>
    <dxf>
      <numFmt numFmtId="13" formatCode="0%"/>
    </dxf>
    <dxf>
      <numFmt numFmtId="167" formatCode="_ * #,##0_ ;_ * \-#,##0_ ;_ * &quot;-&quot;_ ;_ @_ "/>
    </dxf>
    <dxf>
      <numFmt numFmtId="13" formatCode="0%"/>
    </dxf>
    <dxf>
      <numFmt numFmtId="13" formatCode="0%"/>
    </dxf>
    <dxf>
      <numFmt numFmtId="14" formatCode="0.00%"/>
    </dxf>
    <dxf>
      <numFmt numFmtId="13" formatCode="0%"/>
    </dxf>
    <dxf>
      <numFmt numFmtId="14" formatCode="0.00%"/>
    </dxf>
    <dxf>
      <numFmt numFmtId="0" formatCode="General"/>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0</xdr:row>
      <xdr:rowOff>47625</xdr:rowOff>
    </xdr:from>
    <xdr:to>
      <xdr:col>3</xdr:col>
      <xdr:colOff>682625</xdr:colOff>
      <xdr:row>0</xdr:row>
      <xdr:rowOff>1133475</xdr:rowOff>
    </xdr:to>
    <xdr:pic>
      <xdr:nvPicPr>
        <xdr:cNvPr id="3" name="Picture 1">
          <a:extLst>
            <a:ext uri="{FF2B5EF4-FFF2-40B4-BE49-F238E27FC236}">
              <a16:creationId xmlns:a16="http://schemas.microsoft.com/office/drawing/2014/main" id="{C0C182EC-D251-0B96-8D95-DFE28C2D8E52}"/>
            </a:ext>
          </a:extLst>
        </xdr:cNvPr>
        <xdr:cNvPicPr>
          <a:picLocks noChangeAspect="1"/>
        </xdr:cNvPicPr>
      </xdr:nvPicPr>
      <xdr:blipFill>
        <a:blip xmlns:r="http://schemas.openxmlformats.org/officeDocument/2006/relationships" r:embed="rId1"/>
        <a:stretch>
          <a:fillRect/>
        </a:stretch>
      </xdr:blipFill>
      <xdr:spPr>
        <a:xfrm>
          <a:off x="63500" y="47625"/>
          <a:ext cx="3933825" cy="108585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Katherine Teuber" id="{912CA5FE-681D-41B3-95C5-57F9EE22E81D}" userId="S::cl10c5@linde.com::c9ac7f50-a2c0-4b92-b423-b52b7592b071"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herine Teuber" refreshedDate="45016.842947685182" createdVersion="8" refreshedVersion="8" minRefreshableVersion="3" recordCount="704" xr:uid="{3B5D6063-10C9-4BBD-8D1E-0F97F0F4457D}">
  <cacheSource type="worksheet">
    <worksheetSource ref="A1:BB1048576" sheet="Licitaciones"/>
  </cacheSource>
  <cacheFields count="54">
    <cacheField name="Número" numFmtId="0">
      <sharedItems containsBlank="1"/>
    </cacheField>
    <cacheField name="Nombre" numFmtId="0">
      <sharedItems containsBlank="1"/>
    </cacheField>
    <cacheField name="Descripción" numFmtId="0">
      <sharedItems containsBlank="1" longText="1"/>
    </cacheField>
    <cacheField name="Demandante" numFmtId="0">
      <sharedItems containsBlank="1" longText="1"/>
    </cacheField>
    <cacheField name="Producto" numFmtId="0">
      <sharedItems containsBlank="1"/>
    </cacheField>
    <cacheField name="Unidades" numFmtId="0">
      <sharedItems containsString="0" containsBlank="1" containsNumber="1" containsInteger="1" minValue="1" maxValue="310000"/>
    </cacheField>
    <cacheField name="AREA" numFmtId="0">
      <sharedItems containsBlank="1" count="10">
        <s v="Sueño"/>
        <s v="Oxido Nítrico"/>
        <s v="Hospital"/>
        <s v="Oxígeno"/>
        <s v="Instalaciones"/>
        <s v="Mant. Prev. y/o Correctiva"/>
        <s v="Gases Especiales"/>
        <s v="Helio"/>
        <s v="Equipamiento"/>
        <m/>
      </sharedItems>
    </cacheField>
    <cacheField name="Responsable" numFmtId="0">
      <sharedItems containsBlank="1" count="19">
        <s v="Katherine Teuber"/>
        <s v="Viviana Elchiver"/>
        <s v="Nicolás Valdebenito"/>
        <s v="José Fernando Saéz"/>
        <s v="Roberto Concha"/>
        <s v="Michelle Lara"/>
        <s v="Carlos Yañez"/>
        <s v="Boris Contreras"/>
        <s v="Gabriela Cardenas"/>
        <s v="Rogelio Garcia"/>
        <s v="Myriam Mc Manus"/>
        <s v="Lautaro Bernal"/>
        <m/>
        <s v="Christian Sanhueza"/>
        <s v="David Cautín"/>
        <s v="olindo carvajal"/>
        <s v="Paola Ojeda"/>
        <s v="Alex Rivera"/>
        <s v="Matias Carrasco"/>
      </sharedItems>
    </cacheField>
    <cacheField name="Publicación" numFmtId="14">
      <sharedItems containsNonDate="0" containsDate="1" containsString="0" containsBlank="1" minDate="2021-07-12T17:54:37" maxDate="2023-03-30T16:31:49"/>
    </cacheField>
    <cacheField name="Mes" numFmtId="0">
      <sharedItems containsString="0" containsBlank="1" containsNumber="1" containsInteger="1" minValue="1" maxValue="12" count="13">
        <n v="10"/>
        <n v="11"/>
        <n v="12"/>
        <n v="7"/>
        <n v="1"/>
        <n v="2"/>
        <n v="3"/>
        <n v="4"/>
        <n v="5"/>
        <n v="6"/>
        <n v="8"/>
        <n v="9"/>
        <m/>
      </sharedItems>
    </cacheField>
    <cacheField name="Año" numFmtId="0">
      <sharedItems containsString="0" containsBlank="1" containsNumber="1" containsInteger="1" minValue="2021" maxValue="2023" count="4">
        <n v="2021"/>
        <n v="2022"/>
        <n v="2023"/>
        <m/>
      </sharedItems>
    </cacheField>
    <cacheField name="Cierre" numFmtId="14">
      <sharedItems containsNonDate="0" containsDate="1" containsString="0" containsBlank="1" minDate="2021-11-02T15:47:00" maxDate="2023-04-24T17:30:00"/>
    </cacheField>
    <cacheField name="Notificación" numFmtId="0">
      <sharedItems containsNonDate="0" containsDate="1" containsString="0" containsBlank="1" minDate="2021-01-07T00:00:00" maxDate="2023-04-01T00:00:00"/>
    </cacheField>
    <cacheField name="Participa" numFmtId="0">
      <sharedItems containsBlank="1" count="3">
        <s v="No"/>
        <s v="Si"/>
        <m/>
      </sharedItems>
    </cacheField>
    <cacheField name="Motivo" numFmtId="0">
      <sharedItems containsBlank="1" count="13">
        <s v="Monto Bajo"/>
        <m/>
        <s v="Comercial no responde"/>
        <s v="Fuera del Presupuesto"/>
        <s v="No cumple requerimientos técnicos"/>
        <s v="Tiempo reducido para ofertar"/>
        <s v="Sin stock"/>
        <s v="Sin cobertura"/>
        <s v="No se presenta a la visita a terreno"/>
        <s v="No se alcanza a presentar boleta"/>
        <s v="No comercializamos"/>
        <s v="No suben las Bases"/>
        <s v="No se suben preguntas"/>
      </sharedItems>
    </cacheField>
    <cacheField name="Seguimiento" numFmtId="0">
      <sharedItems containsBlank="1"/>
    </cacheField>
    <cacheField name="Preguntas" numFmtId="0">
      <sharedItems containsDate="1" containsBlank="1" containsMixedTypes="1" minDate="2021-03-12T15:07:00" maxDate="2023-04-04T15:00:00"/>
    </cacheField>
    <cacheField name="Respuestas " numFmtId="0">
      <sharedItems containsDate="1" containsBlank="1" containsMixedTypes="1" minDate="2021-07-12T18:00:00" maxDate="2023-04-05T16:00:00"/>
    </cacheField>
    <cacheField name="Adjudicación" numFmtId="0">
      <sharedItems containsNonDate="0" containsDate="1" containsString="0" containsBlank="1" minDate="2021-11-09T14:48:00" maxDate="2023-08-14T15:00:00"/>
    </cacheField>
    <cacheField name="PPTO" numFmtId="0">
      <sharedItems containsString="0" containsBlank="1" containsNumber="1" minValue="0" maxValue="816630000"/>
    </cacheField>
    <cacheField name="PPTO Neto" numFmtId="0">
      <sharedItems containsString="0" containsBlank="1" containsNumber="1" minValue="0" maxValue="686243697.47899163"/>
    </cacheField>
    <cacheField name="Plazo Pago" numFmtId="0">
      <sharedItems containsString="0" containsBlank="1" containsNumber="1" containsInteger="1" minValue="30" maxValue="45"/>
    </cacheField>
    <cacheField name="Garantía Oferta" numFmtId="0">
      <sharedItems containsBlank="1"/>
    </cacheField>
    <cacheField name="Monto garantía" numFmtId="0">
      <sharedItems containsString="0" containsBlank="1" containsNumber="1" minValue="0" maxValue="62184320"/>
    </cacheField>
    <cacheField name="Vigencia" numFmtId="0">
      <sharedItems containsDate="1" containsBlank="1" containsMixedTypes="1" minDate="2019-06-01T00:00:00" maxDate="2023-10-20T00:00:00"/>
    </cacheField>
    <cacheField name="Visita Terreno" numFmtId="0">
      <sharedItems containsBlank="1"/>
    </cacheField>
    <cacheField name="Tipo Venta" numFmtId="0">
      <sharedItems containsBlank="1"/>
    </cacheField>
    <cacheField name="Duración (meses)" numFmtId="0">
      <sharedItems containsString="0" containsBlank="1" containsNumber="1" containsInteger="1" minValue="8" maxValue="60"/>
    </cacheField>
    <cacheField name="Envío Muestra" numFmtId="0">
      <sharedItems containsBlank="1"/>
    </cacheField>
    <cacheField name="Vigencia Oferta (días)" numFmtId="0">
      <sharedItems containsString="0" containsBlank="1" containsNumber="1" containsInteger="1" minValue="30" maxValue="180"/>
    </cacheField>
    <cacheField name="Fecha Vigencia" numFmtId="0">
      <sharedItems containsNonDate="0" containsDate="1" containsString="0" containsBlank="1" minDate="2021-11-02T15:47:00" maxDate="2023-09-19T16:00:00"/>
    </cacheField>
    <cacheField name="Unidades2" numFmtId="0">
      <sharedItems containsString="0" containsBlank="1" containsNumber="1" containsInteger="1" minValue="1" maxValue="21240"/>
    </cacheField>
    <cacheField name="Precio Unitario" numFmtId="0">
      <sharedItems containsString="0" containsBlank="1" containsNumber="1" containsInteger="1" minValue="1500" maxValue="7852985"/>
    </cacheField>
    <cacheField name="Total Ofertado" numFmtId="0">
      <sharedItems containsString="0" containsBlank="1" containsNumber="1" containsInteger="1" minValue="0" maxValue="306719710" count="54">
        <n v="0"/>
        <n v="7935840"/>
        <n v="125580"/>
        <n v="127100"/>
        <n v="3872400"/>
        <n v="169542"/>
        <n v="4003680"/>
        <n v="243190"/>
        <n v="1243680"/>
        <n v="1177881"/>
        <n v="418720"/>
        <n v="83040"/>
        <n v="422052"/>
        <n v="527565"/>
        <n v="79689"/>
        <n v="9945492"/>
        <n v="1909390"/>
        <n v="440960"/>
        <n v="14520996"/>
        <n v="4561112"/>
        <n v="7852985"/>
        <n v="1702032"/>
        <n v="4353000"/>
        <n v="103521"/>
        <n v="858950"/>
        <n v="15654000"/>
        <n v="1728108"/>
        <n v="1974826"/>
        <n v="4978653"/>
        <n v="2931037"/>
        <n v="1499648"/>
        <n v="97660"/>
        <n v="116550"/>
        <n v="5154000"/>
        <n v="5710200"/>
        <n v="234380"/>
        <n v="218187578"/>
        <n v="101385921"/>
        <n v="306719710"/>
        <n v="127382311"/>
        <n v="98786282"/>
        <n v="2057852"/>
        <n v="306400"/>
        <n v="345720"/>
        <n v="201776"/>
        <n v="1970808"/>
        <n v="410585"/>
        <n v="1918224"/>
        <n v="657810"/>
        <n v="3274800"/>
        <m/>
        <n v="4200000"/>
        <n v="4846574"/>
        <n v="1306760"/>
      </sharedItems>
    </cacheField>
    <cacheField name="Estado" numFmtId="0">
      <sharedItems containsBlank="1" count="7">
        <s v="Adjudicada"/>
        <s v="Desierta (o art. 3 ó 9 Ley 19.886)"/>
        <s v="Cerrada"/>
        <s v="Revocada"/>
        <m/>
        <s v="Readjudicada"/>
        <s v="Publicada"/>
      </sharedItems>
    </cacheField>
    <cacheField name="Real Adjudicación" numFmtId="0">
      <sharedItems containsNonDate="0" containsDate="1" containsString="0" containsBlank="1" minDate="2021-01-12T00:00:00" maxDate="2023-08-03T00:00:00"/>
    </cacheField>
    <cacheField name="Vigente Oferta" numFmtId="0">
      <sharedItems containsDate="1" containsString="0" containsBlank="1" containsMixedTypes="1" minDate="1900-01-03T03:50:12" maxDate="1899-12-30T00:00:00"/>
    </cacheField>
    <cacheField name="EMPRESA" numFmtId="0">
      <sharedItems containsBlank="1" count="8">
        <s v="OTRO"/>
        <s v="LINDE GAS CHILE S.A."/>
        <s v="INDURA"/>
        <m/>
        <s v="MESSER"/>
        <s v="ANDOVER ALIANZA MÉDICA S.A."/>
        <s v="AIRLIQUIDE"/>
        <s v="MEDIPLEX S.A."/>
      </sharedItems>
    </cacheField>
    <cacheField name="Precio Adjudicado" numFmtId="167">
      <sharedItems containsBlank="1" containsMixedTypes="1" containsNumber="1" containsInteger="1" minValue="246" maxValue="3223807600"/>
    </cacheField>
    <cacheField name="Inicio Contrato" numFmtId="0">
      <sharedItems containsDate="1" containsBlank="1" containsMixedTypes="1" minDate="2021-01-11T00:00:00" maxDate="2023-03-21T00:00:00"/>
    </cacheField>
    <cacheField name="Témino Contrato" numFmtId="0">
      <sharedItems containsDate="1" containsBlank="1" containsMixedTypes="1" minDate="2023-01-11T00:00:00" maxDate="2025-03-18T00:00:00"/>
    </cacheField>
    <cacheField name="Tipo Documento" numFmtId="0">
      <sharedItems containsBlank="1"/>
    </cacheField>
    <cacheField name="RUT" numFmtId="0">
      <sharedItems containsBlank="1"/>
    </cacheField>
    <cacheField name="Boleta Fiel Cumplimiento" numFmtId="0">
      <sharedItems containsBlank="1"/>
    </cacheField>
    <cacheField name="Monto4" numFmtId="0">
      <sharedItems containsBlank="1" containsMixedTypes="1" containsNumber="1" minValue="0" maxValue="8700000"/>
    </cacheField>
    <cacheField name="Vigencia5" numFmtId="0">
      <sharedItems containsDate="1" containsBlank="1" containsMixedTypes="1" minDate="2021-02-08T00:00:00" maxDate="2028-05-20T00:00:00"/>
    </cacheField>
    <cacheField name="Resp. Contrato" numFmtId="0">
      <sharedItems containsBlank="1"/>
    </cacheField>
    <cacheField name="Mail Resp. Contrato" numFmtId="0">
      <sharedItems containsBlank="1"/>
    </cacheField>
    <cacheField name="Contacto Pago" numFmtId="0">
      <sharedItems containsBlank="1"/>
    </cacheField>
    <cacheField name="Mail pago" numFmtId="0">
      <sharedItems containsBlank="1"/>
    </cacheField>
    <cacheField name="Prorroga" numFmtId="0">
      <sharedItems containsBlank="1"/>
    </cacheField>
    <cacheField name="Monto6" numFmtId="0">
      <sharedItems containsNonDate="0" containsString="0" containsBlank="1"/>
    </cacheField>
    <cacheField name="Plazo" numFmtId="0">
      <sharedItems containsNonDate="0" containsString="0" containsBlank="1"/>
    </cacheField>
    <cacheField name="Estado Contrato"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4">
  <r>
    <s v="2917-96-L121"/>
    <s v="Equipamiento e instrumental clínico Posta Huilma"/>
    <s v="Equipamiento e instrumental clínico Posta Huilma Programa Equidad Rural"/>
    <s v="I. Municipalidad de Río Negro"/>
    <m/>
    <m/>
    <x v="0"/>
    <x v="0"/>
    <d v="2021-10-26T15:01:00"/>
    <x v="0"/>
    <x v="0"/>
    <d v="2021-11-02T15:47:00"/>
    <d v="2021-10-27T11:55:00"/>
    <x v="0"/>
    <x v="0"/>
    <s v="No"/>
    <d v="2021-10-26T16:47:00"/>
    <d v="2021-10-29T16:47:00"/>
    <d v="2021-11-09T14:48:00"/>
    <n v="0"/>
    <n v="0"/>
    <m/>
    <s v="No"/>
    <n v="0"/>
    <m/>
    <s v="No"/>
    <m/>
    <m/>
    <m/>
    <m/>
    <d v="2021-11-02T15:47:00"/>
    <m/>
    <m/>
    <x v="0"/>
    <x v="0"/>
    <d v="2021-12-13T00:00:00"/>
    <n v="-40.34236111111386"/>
    <x v="0"/>
    <n v="66000"/>
    <m/>
    <m/>
    <m/>
    <s v="69.210.302-5"/>
    <s v="No"/>
    <m/>
    <m/>
    <m/>
    <m/>
    <s v="Alejandra Vilugron"/>
    <s v="contabilidadsalud@rionegrochile.cl"/>
    <m/>
    <m/>
    <m/>
    <m/>
  </r>
  <r>
    <s v="5209-92-LQ21"/>
    <s v="SUMINISTRO TERAPIA DE OXIDO NITRICO"/>
    <s v="La Universidad de Chile, para su Hospital Clínico de la Universidad de Chile, en adelante e indistintamente el “Hospital Clínico”, establecimiento docente-asistencial de medicina de alta complejidad, llama a licitación pública para la contratación de suministro de terapia con óxido nítrico por inhalación, en adelante los servicios, la cual se regulará por las presentes Bases. El mandante de esta licitación es la Universidad de Chile para su Hospital Clínico de la Universidad de Chile, cuyo domicilio para todos los efectos legales de esta convocatoria es calle Dr. Carlos Lorca Tobar (Ex Santos Dumont) Nº999, comuna de Independencia, Santiago de Chile, representado por su Directora General, en adelante la Directora."/>
    <s v="UNIVERSIDAD DE CHILE"/>
    <m/>
    <m/>
    <x v="1"/>
    <x v="1"/>
    <d v="2021-10-12T12:03:48"/>
    <x v="0"/>
    <x v="0"/>
    <d v="2021-11-03T16:00:00"/>
    <d v="2021-10-27T11:55:00"/>
    <x v="1"/>
    <x v="1"/>
    <s v="Si"/>
    <d v="2021-10-13T10:00:00"/>
    <d v="2021-10-27T18:00:00"/>
    <d v="2022-05-04T18:00:00"/>
    <n v="0"/>
    <n v="0"/>
    <m/>
    <s v="Si"/>
    <n v="500000"/>
    <d v="2022-09-05T00:00:00"/>
    <s v="No"/>
    <m/>
    <m/>
    <s v="No"/>
    <m/>
    <d v="2021-11-03T16:00:00"/>
    <m/>
    <m/>
    <x v="0"/>
    <x v="0"/>
    <d v="2022-03-29T00:00:00"/>
    <n v="-145.33333333333576"/>
    <x v="1"/>
    <n v="109239400"/>
    <m/>
    <m/>
    <m/>
    <s v="60.910.000-1"/>
    <s v="Si"/>
    <n v="0.05"/>
    <d v="2025-03-06T00:00:00"/>
    <m/>
    <m/>
    <s v="NANCY MIRANDA"/>
    <s v="nmiranda@hcuch.cl"/>
    <m/>
    <m/>
    <m/>
    <m/>
  </r>
  <r>
    <s v="1058024-19-LQ21"/>
    <s v="CONVENIO SUMINISTRO GASES CLÍNICOS (nvc)"/>
    <s v="El Complejo Asistencial &quot;Dr. Víctor Ríos Ruiz&quot; Los Ángeles mediante el área técnica de equipos Industriales y Electricidad llama a Licitación Pública a través del Portal Web Mercado Público, por &quot;Convenio Suministro Gases Clínicos&quot; por 36 meses. Se deberá proveer a través de cilindros con gases clínicos comprimidos a todos los centros de costo del Complejo Asistencial mediante el abastecimiento en centro de acopio designado, manteniendo niveles mínimos de stock por cada uno de los tipos de gases con aprovisionamiento o reabastecimiento periódico semanal considerando todas las medidas de seguridad pertinentes."/>
    <s v="COMPLEJO ASISTENCIAL DR.VICTOR RIOS RUIZ"/>
    <m/>
    <m/>
    <x v="2"/>
    <x v="2"/>
    <d v="2021-10-12T08:37:38"/>
    <x v="0"/>
    <x v="0"/>
    <d v="2021-11-03T17:00:00"/>
    <d v="2021-10-27T11:55:00"/>
    <x v="0"/>
    <x v="2"/>
    <s v="No"/>
    <d v="2021-10-18T14:15:00"/>
    <d v="2021-10-21T18:00:00"/>
    <d v="2022-01-24T17:00:00"/>
    <n v="0"/>
    <n v="0"/>
    <m/>
    <s v="Si"/>
    <n v="200000"/>
    <d v="2022-02-11T00:00:00"/>
    <s v="No"/>
    <m/>
    <m/>
    <m/>
    <m/>
    <d v="2021-11-03T17:00:00"/>
    <m/>
    <m/>
    <x v="0"/>
    <x v="0"/>
    <d v="2021-11-30T00:00:00"/>
    <n v="-26.291666666664241"/>
    <x v="2"/>
    <n v="189347588"/>
    <m/>
    <m/>
    <m/>
    <s v="61.607.301-K"/>
    <s v="Si"/>
    <n v="0.05"/>
    <d v="2025-06-04T00:00:00"/>
    <m/>
    <m/>
    <s v="RODOLFO GONZALEZ"/>
    <s v="RODOLFO.GONZALEZ@SSBIOBIO.CL"/>
    <m/>
    <m/>
    <m/>
    <m/>
  </r>
  <r>
    <s v="4476-32-L121"/>
    <s v="EQUIPOS MENORES MAIS"/>
    <s v="Adquisición de equipos menores para dar Cum´plimiento al plan de mejora MAIS De las Postas de la Comuna"/>
    <s v="I.MUNICIPALIDAD DE ROMERAL"/>
    <m/>
    <m/>
    <x v="0"/>
    <x v="0"/>
    <d v="2021-10-26T18:04:28"/>
    <x v="0"/>
    <x v="0"/>
    <d v="2021-11-03T17:30:00"/>
    <d v="2021-10-27T10:58:00"/>
    <x v="1"/>
    <x v="1"/>
    <s v="Si"/>
    <d v="2021-10-26T19:49:00"/>
    <d v="2021-11-02T16:51:00"/>
    <d v="2021-11-12T00:00:00"/>
    <n v="0"/>
    <n v="0"/>
    <m/>
    <s v="No"/>
    <n v="0"/>
    <m/>
    <s v="No"/>
    <m/>
    <m/>
    <s v="No"/>
    <m/>
    <d v="2021-11-03T17:30:00"/>
    <m/>
    <m/>
    <x v="0"/>
    <x v="0"/>
    <d v="2021-11-15T10:23:55"/>
    <n v="-11.704108796300716"/>
    <x v="0"/>
    <n v="24200"/>
    <m/>
    <m/>
    <m/>
    <s v="69.100.200-4"/>
    <s v="No"/>
    <m/>
    <s v="No"/>
    <m/>
    <m/>
    <s v="RODOLFO GONZALEZ"/>
    <s v="SALUDFINANZAS@MUNIROMERAL.CL"/>
    <m/>
    <m/>
    <m/>
    <m/>
  </r>
  <r>
    <s v="1057509-302-LE21"/>
    <s v="CONVENIO ANALGESIA DEL PARTO (50% DE O2 + 50% DE N2O), 2°LLAMADO (lbl)"/>
    <s v="El Hospital Clínico Herminda Martín de Chillán llama a Licitación Pública a través del Portal Mercado Público, para suscribir “CONVENIO ANALGESIA DEL PARTO (50% DE O2 + 50% DE N2O)” de acuerdo a requerimientos especificados en Bases Administrativas y Técnicas de la presente licitación. Se pretende obtener la mejor calidad y oportunidad en la adquisición delos servicios a un precio conveniente."/>
    <s v="HOSPITAL CLINICO HERMINDA MARTIN"/>
    <m/>
    <m/>
    <x v="2"/>
    <x v="2"/>
    <d v="2021-10-29T12:41:38"/>
    <x v="0"/>
    <x v="0"/>
    <d v="2021-11-04T09:00:00"/>
    <d v="2021-10-29T15:22:00"/>
    <x v="1"/>
    <x v="1"/>
    <s v="Si"/>
    <d v="2021-10-29T13:01:00"/>
    <d v="2021-11-02T17:00:00"/>
    <d v="2021-11-24T15:11:00"/>
    <n v="0"/>
    <n v="0"/>
    <m/>
    <s v="No"/>
    <n v="0"/>
    <m/>
    <s v="No"/>
    <m/>
    <m/>
    <s v="No"/>
    <m/>
    <d v="2021-11-04T09:00:00"/>
    <m/>
    <m/>
    <x v="0"/>
    <x v="1"/>
    <d v="2021-11-17T10:58:36"/>
    <n v="-13.082361111111823"/>
    <x v="3"/>
    <m/>
    <m/>
    <m/>
    <m/>
    <s v="61.607.001-0"/>
    <s v="No"/>
    <n v="0"/>
    <s v="No"/>
    <m/>
    <m/>
    <s v="tgr"/>
    <s v="www.tgr.cl"/>
    <m/>
    <m/>
    <m/>
    <m/>
  </r>
  <r>
    <s v="1380-230-LQ21"/>
    <s v="Propuesta Pública Nº 349-21 denominada “CONTRATACIÓN SERVICIO DE SUMINISTRO DE GASES MEDICINALES PARA EL HOSPITAL”"/>
    <s v="Se requiere la “CONTRATACIÓN SERVICIO DE SUMINISTRO DE GASES MEDICINALES PARA EL HOSPITAL”, en adelante; “el servicio”, con una vigencia de 36 meses, acorde a las condiciones definidas en estas bases. La contratación del servicio se realizará en concordancia con la legislación vigente y las Bases Administrativas, Especificaciones Técnicas y Anexos que constituyen el referido llamado a Licitación, con equipamiento y personal necesario para realizar los trabajos."/>
    <s v="HOSPITAL DOCTOR HERNAN HENRIQUEZ ARAVENA"/>
    <m/>
    <m/>
    <x v="2"/>
    <x v="3"/>
    <d v="2021-10-19T15:22:50"/>
    <x v="0"/>
    <x v="0"/>
    <d v="2021-11-04T15:00:00"/>
    <d v="2021-10-20T16:45:00"/>
    <x v="0"/>
    <x v="2"/>
    <s v="No"/>
    <d v="2021-10-19T15:30:00"/>
    <d v="2021-11-03T14:30:00"/>
    <d v="2022-01-04T18:00:00"/>
    <n v="0"/>
    <n v="0"/>
    <m/>
    <s v="No"/>
    <n v="0"/>
    <s v=" "/>
    <s v="No"/>
    <m/>
    <m/>
    <m/>
    <m/>
    <d v="2021-11-04T15:00:00"/>
    <m/>
    <m/>
    <x v="0"/>
    <x v="0"/>
    <d v="2021-12-07T00:00:00"/>
    <n v="-32.375"/>
    <x v="2"/>
    <n v="168396159"/>
    <m/>
    <m/>
    <m/>
    <s v="61.602.232-6"/>
    <s v="Si"/>
    <n v="0.05"/>
    <d v="2025-04-04T00:00:00"/>
    <m/>
    <m/>
    <s v="EUGENIA ACUÑA"/>
    <s v="eugenia.acuna@asur.cl"/>
    <m/>
    <m/>
    <m/>
    <m/>
  </r>
  <r>
    <s v="1057545-79-LE21"/>
    <s v="Insumos Programa Fortalecimiento APS"/>
    <s v="El Servicio de salud Valdivia necesita adquirir insumos para desarrollo del programa de Fortalecimiento del recurso humano APS, de acuerdo al articulo cuarto de las Bases Administrativas."/>
    <s v="SERVICIO DE SALUD VALDIVIA"/>
    <m/>
    <m/>
    <x v="0"/>
    <x v="0"/>
    <d v="2021-10-25T17:42:08"/>
    <x v="0"/>
    <x v="0"/>
    <d v="2021-11-04T16:38:00"/>
    <d v="2021-10-26T13:08:00"/>
    <x v="1"/>
    <x v="1"/>
    <s v="Si"/>
    <d v="2021-10-25T19:50:00"/>
    <d v="2021-11-02T19:50:00"/>
    <d v="2022-01-25T16:39:00"/>
    <n v="0"/>
    <n v="0"/>
    <m/>
    <s v="No"/>
    <n v="0"/>
    <s v=" "/>
    <s v="No"/>
    <m/>
    <m/>
    <s v="No"/>
    <m/>
    <d v="2021-11-04T16:38:00"/>
    <m/>
    <m/>
    <x v="0"/>
    <x v="0"/>
    <d v="2021-11-24T12:19:39"/>
    <n v="-19.820590277777228"/>
    <x v="0"/>
    <n v="380000"/>
    <m/>
    <m/>
    <m/>
    <s v="61.607.500-4"/>
    <s v="No"/>
    <m/>
    <m/>
    <m/>
    <m/>
    <s v="Carmen Roldan Saldivia"/>
    <s v="carmen.roldanssv@redsalud.gob.cl"/>
    <m/>
    <m/>
    <m/>
    <m/>
  </r>
  <r>
    <s v="3334-52-LE21"/>
    <s v="CONTRATO SUMINSITRO OXIGENO Y AIRE MEDICINAL DESAM"/>
    <s v="La contratación de los Servicios de Suministro de arriendo de cilindros gases medicinales, tiene como objetivo garantizar la existencia de este suministro clínico en las atenciones de los establecimientos dependientes del DESAM La Unión tales como; Cesfam Los Tineos, Cesfam Padre Hurtado y SAR La Unión, así como en cualquier otra dependencia o programa que lo solicite."/>
    <s v="I MUNICIPALIDAD DE LA UNION"/>
    <m/>
    <m/>
    <x v="2"/>
    <x v="3"/>
    <d v="2021-10-26T13:11:15"/>
    <x v="0"/>
    <x v="0"/>
    <d v="2021-11-05T10:05:00"/>
    <d v="2021-10-26T15:53:00"/>
    <x v="0"/>
    <x v="2"/>
    <s v="No"/>
    <d v="2021-10-26T16:55:00"/>
    <d v="2021-10-26T16:55:00"/>
    <d v="2022-01-04T10:06:00"/>
    <n v="0"/>
    <n v="0"/>
    <m/>
    <s v="No"/>
    <n v="0"/>
    <m/>
    <s v="No"/>
    <m/>
    <m/>
    <m/>
    <m/>
    <d v="2021-11-05T10:05:00"/>
    <m/>
    <m/>
    <x v="0"/>
    <x v="1"/>
    <m/>
    <n v="44505.420138888891"/>
    <x v="3"/>
    <m/>
    <m/>
    <m/>
    <m/>
    <s v="69.200.800-6"/>
    <s v="No"/>
    <m/>
    <m/>
    <m/>
    <m/>
    <s v="JEANNETE ARAVENA F"/>
    <s v="jeannettearavenaf@gmail.com"/>
    <m/>
    <m/>
    <m/>
    <m/>
  </r>
  <r>
    <s v="2963-48-LE21"/>
    <s v="SERVICIO DE OXIGENO DASM LA GRANJA"/>
    <s v="Las presentes Bases están referidas a la propuesta pública denominada SERVICIO MANTENCIÓN, ARRIENDO, LLENADO Y TRASLADO DE SUMINISTRO DE OXÍGENO PARA LAS UNIDADES DEPENDIENTES DEL DEPARTAMENTO DE ADMINISTRACIÓN DE SALUD MUNICIPAL”"/>
    <s v="I MUNICIPALIDAD DE LA GRANJA"/>
    <m/>
    <m/>
    <x v="2"/>
    <x v="4"/>
    <d v="2021-10-22T14:08:12"/>
    <x v="0"/>
    <x v="0"/>
    <d v="2021-11-08T15:30:00"/>
    <d v="2021-10-25T11:44:00"/>
    <x v="0"/>
    <x v="2"/>
    <s v="No"/>
    <d v="2021-10-22T14:31:00"/>
    <d v="2021-11-03T18:00:00"/>
    <d v="2021-12-07T18:00:00"/>
    <n v="0"/>
    <n v="0"/>
    <m/>
    <s v="No"/>
    <n v="0"/>
    <s v=" "/>
    <s v="No"/>
    <m/>
    <m/>
    <m/>
    <m/>
    <d v="2021-11-08T15:30:00"/>
    <m/>
    <m/>
    <x v="0"/>
    <x v="0"/>
    <d v="2021-12-02T15:04:43"/>
    <n v="-23.982442129628907"/>
    <x v="0"/>
    <n v="25000000"/>
    <m/>
    <m/>
    <m/>
    <s v="69.072.400-6"/>
    <s v="Si"/>
    <n v="1250000"/>
    <d v="2025-04-11T00:00:00"/>
    <m/>
    <m/>
    <s v="OSCAR PEYRIN KOSSEN"/>
    <s v="FINANZAS@MLAGRANJA.CL"/>
    <m/>
    <m/>
    <m/>
    <m/>
  </r>
  <r>
    <s v="1057554-265-LE21"/>
    <s v="Suministro de Oxígeno a Domicilio"/>
    <s v="Las presentes Bases Administrativas tienen por objeto regular el llamado a Propuesta Pública para contratar el suministro de oxígeno a domicilio para pacientes del Programa de Cuidados Paliativos la que se singulariza en las Bases Administrativas y en las Bases Técnicas de la Propuesta."/>
    <s v="SERVICIO NACIONAL DE SALUD HOSPITAL CARLOS VAN BUREN"/>
    <m/>
    <m/>
    <x v="3"/>
    <x v="5"/>
    <d v="2021-10-27T09:48:05"/>
    <x v="0"/>
    <x v="0"/>
    <d v="2021-11-08T17:00:00"/>
    <d v="2021-10-28T08:45:00"/>
    <x v="0"/>
    <x v="3"/>
    <s v="No"/>
    <d v="2021-10-27T10:01:00"/>
    <d v="2021-11-03T18:00:00"/>
    <d v="2021-11-09T18:45:00"/>
    <n v="0"/>
    <n v="0"/>
    <m/>
    <s v="No"/>
    <n v="0"/>
    <m/>
    <s v="No"/>
    <s v="Contrato"/>
    <m/>
    <s v="No"/>
    <m/>
    <d v="2021-11-08T17:00:00"/>
    <m/>
    <m/>
    <x v="0"/>
    <x v="1"/>
    <m/>
    <n v="44508.708333333336"/>
    <x v="3"/>
    <m/>
    <m/>
    <m/>
    <m/>
    <s v="61.602.054-4"/>
    <s v="Si"/>
    <n v="0.05"/>
    <m/>
    <m/>
    <m/>
    <s v="javier olea"/>
    <s v="javier.oleatorres@redsalu.gov.cl"/>
    <m/>
    <m/>
    <m/>
    <m/>
  </r>
  <r>
    <s v="3611-47-LE21"/>
    <s v="Adquisición y Recarga de Oxigeno Médico 3.0"/>
    <s v="Adquisición y Recarga de Oxigeno Médico 3.0"/>
    <s v="I MUNICIPALIDAD DE SAAVEDRA"/>
    <m/>
    <m/>
    <x v="2"/>
    <x v="3"/>
    <d v="2021-10-27T13:30:20"/>
    <x v="0"/>
    <x v="0"/>
    <d v="2021-11-08T19:54:00"/>
    <d v="2021-10-28T08:53:00"/>
    <x v="1"/>
    <x v="1"/>
    <s v="Si"/>
    <d v="2021-10-27T17:23:00"/>
    <d v="2021-10-31T17:23:00"/>
    <d v="2021-11-29T19:55:00"/>
    <n v="0"/>
    <n v="0"/>
    <m/>
    <s v="No"/>
    <n v="0"/>
    <m/>
    <s v="No"/>
    <m/>
    <m/>
    <s v="No"/>
    <m/>
    <d v="2021-11-08T19:54:00"/>
    <m/>
    <m/>
    <x v="0"/>
    <x v="0"/>
    <d v="2021-11-09T00:00:00"/>
    <n v="-0.17083333332993789"/>
    <x v="1"/>
    <n v="157810"/>
    <d v="2021-01-11T00:00:00"/>
    <d v="2023-01-11T00:00:00"/>
    <m/>
    <s v="69.190.600-0"/>
    <s v="No"/>
    <n v="0"/>
    <s v="No"/>
    <m/>
    <m/>
    <s v="Nicol Torres Torres"/>
    <s v="unidadcontabledsmsaavedra@gmail.com"/>
    <m/>
    <m/>
    <m/>
    <m/>
  </r>
  <r>
    <s v="948354-204-LQ21"/>
    <s v="CONTRATACIÓN DE SERVICIO DE SUMINISTRO DE GASES CLÍNICOS PARA EL HOSPITAL DIPRECA"/>
    <s v="El Hospital de la Dirección de Previsión de Carabineros de Chile, ubicado en Vital Apoquindo N°1.200, Comuna de Las Condes, Región Metropolitana, en adelante “EL HOSPITAL”, llama a licitación pública para la Contratación de Servicio de Suministro de Gases Clínicos, en adelante “EL SERVICIO”, para un período de 24 meses, para el referido Centro Asistencial, cuyas características y requisitos técnicos constan en las Bases Administrativas y Técnicas de esta Licitación con sus respectivos anexos."/>
    <s v="FUERZA AEREA DE CHILE COMANDO LOGISTICO"/>
    <m/>
    <m/>
    <x v="2"/>
    <x v="4"/>
    <d v="2021-10-20T16:48:22"/>
    <x v="0"/>
    <x v="0"/>
    <d v="2021-11-09T16:00:00"/>
    <d v="2021-10-22T17:03:00"/>
    <x v="0"/>
    <x v="2"/>
    <s v="No"/>
    <d v="2021-10-20T17:00:00"/>
    <d v="2021-11-03T17:00:00"/>
    <d v="2022-02-02T18:00:00"/>
    <n v="0"/>
    <n v="0"/>
    <m/>
    <s v="Si"/>
    <n v="1000000"/>
    <d v="2022-03-18T00:00:00"/>
    <s v="Si"/>
    <m/>
    <m/>
    <m/>
    <m/>
    <d v="2021-11-09T16:00:00"/>
    <m/>
    <m/>
    <x v="0"/>
    <x v="0"/>
    <d v="2021-12-29T00:00:00"/>
    <n v="-49.333333333335759"/>
    <x v="4"/>
    <n v="512172"/>
    <m/>
    <m/>
    <m/>
    <s v="61.513.003-6"/>
    <s v="Si"/>
    <n v="0.1"/>
    <d v="2024-07-31T00:00:00"/>
    <m/>
    <m/>
    <s v="VIRGINIA ESQUIVEL"/>
    <s v="tesoreria1@hospitaldipreca.cl"/>
    <m/>
    <m/>
    <m/>
    <m/>
  </r>
  <r>
    <s v="1978-79-LE21"/>
    <s v="COMPRA DE ISNUMOS PARA PACIENTES PROGRAMA AVNIA"/>
    <s v="Esta licitación tiene por objeto dar cobertura a las necesidades de los usuarios del Programa de Asistencia Ventilatoria no Invasiva en Personas de 20 años y más AVNIA mediante la compra de insumos"/>
    <s v="SERVICIO DE SALUD DEL MAULE"/>
    <m/>
    <m/>
    <x v="0"/>
    <x v="0"/>
    <d v="2021-11-02T11:05:03"/>
    <x v="1"/>
    <x v="0"/>
    <d v="2021-11-09T17:30:00"/>
    <d v="2021-11-04T10:50:00"/>
    <x v="1"/>
    <x v="1"/>
    <s v="Si"/>
    <d v="2021-11-02T12:01:00"/>
    <d v="2021-11-08T15:00:00"/>
    <d v="2021-12-09T17:30:00"/>
    <n v="0"/>
    <n v="0"/>
    <m/>
    <s v="No"/>
    <m/>
    <s v=" "/>
    <s v="No"/>
    <m/>
    <m/>
    <s v="No"/>
    <n v="90"/>
    <d v="2022-02-07T17:30:00"/>
    <m/>
    <m/>
    <x v="0"/>
    <x v="0"/>
    <d v="2021-12-07T00:00:00"/>
    <n v="62.729166666664241"/>
    <x v="1"/>
    <n v="570461"/>
    <m/>
    <m/>
    <m/>
    <s v="61.606.900-4"/>
    <s v="No"/>
    <m/>
    <m/>
    <m/>
    <m/>
    <s v="Tesorería"/>
    <s v="proveedores@ssmaule.cl"/>
    <m/>
    <m/>
    <m/>
    <m/>
  </r>
  <r>
    <s v="1057492-110-LP21"/>
    <s v="MANTENCIÓN PREVENTIVA Y CORRECTIVA DE VENTILADOR MECÁNICO PHILIPS RESPIRONICS"/>
    <s v="MANTENCIÓN PREVENTIVA Y CORRECTIVA DE VENTILADOR MECÁNICO PHILIPS RESPIRONICS"/>
    <s v="HOSPITAL ORIENTE DR LUIS TISNE BROUSSE"/>
    <m/>
    <m/>
    <x v="0"/>
    <x v="0"/>
    <d v="2021-10-20T10:41:15"/>
    <x v="0"/>
    <x v="0"/>
    <d v="2021-11-12T15:00:00"/>
    <d v="2021-10-22T20:17:00"/>
    <x v="0"/>
    <x v="4"/>
    <s v="No"/>
    <d v="2021-10-20T15:00:00"/>
    <d v="2021-11-03T15:00:00"/>
    <d v="2021-12-01T00:00:00"/>
    <n v="0"/>
    <n v="0"/>
    <m/>
    <s v="No"/>
    <n v="0"/>
    <s v=" "/>
    <s v="No"/>
    <m/>
    <m/>
    <m/>
    <m/>
    <d v="2021-11-12T15:00:00"/>
    <m/>
    <m/>
    <x v="0"/>
    <x v="0"/>
    <d v="2021-11-29T00:00:00"/>
    <n v="-16.375"/>
    <x v="5"/>
    <n v="44191332"/>
    <m/>
    <m/>
    <m/>
    <s v="61.959.800-8"/>
    <s v="Si"/>
    <n v="0.05"/>
    <d v="2025-04-05T00:00:00"/>
    <m/>
    <m/>
    <s v="SR. JOSE OVALLE"/>
    <s v="pagos@hsoriente.cl"/>
    <m/>
    <m/>
    <m/>
    <m/>
  </r>
  <r>
    <s v="2332-72-LE21"/>
    <s v="SUMINISTRO E INSTALACION DE MANIFOLD DE OXIGENO Y TOMAS MURALES PARA SAPU PADRE HURTADO DEL DEPARTAMENTO DE SALUD MUNICIPAL DE PUERTO MONTT"/>
    <s v="El Departamento de Salud Municipal de Puerto Montt, dentro de su estrategia de compra, llama a participar en la Licitación Pública bajo la modalidad de “SUMINISTRO E INSTALACION DE MANIFOLD DE OXIGENO Y TOMAS MURALES PARA SAPU PADRE HURTADO DEL DEPARTAMENTO DE SALUD MUNICIPAL DE PUERTO MONTT”, con el objeto de mantener el correcto funcionamiento los equipos clínicos que operan en el recinto y que sirven para la prestación de servicios a la comunidad"/>
    <s v="I MUNICIPALIDAD DE PUERTO MONTT"/>
    <m/>
    <m/>
    <x v="4"/>
    <x v="6"/>
    <d v="2021-11-05T16:20:11"/>
    <x v="1"/>
    <x v="0"/>
    <d v="2021-11-15T15:00:00"/>
    <d v="2021-11-09T12:37:00"/>
    <x v="0"/>
    <x v="2"/>
    <s v="No"/>
    <d v="2021-11-05T18:01:00"/>
    <d v="2021-11-11T18:02:00"/>
    <d v="2022-02-15T16:21:00"/>
    <n v="0"/>
    <n v="0"/>
    <m/>
    <s v="No"/>
    <m/>
    <s v=" "/>
    <s v="No"/>
    <m/>
    <m/>
    <m/>
    <m/>
    <d v="2021-11-15T15:00:00"/>
    <m/>
    <m/>
    <x v="0"/>
    <x v="0"/>
    <d v="2021-11-23T00:00:00"/>
    <n v="-7.375"/>
    <x v="0"/>
    <n v="6447276"/>
    <m/>
    <m/>
    <m/>
    <s v="69.220.100-0"/>
    <s v="No"/>
    <m/>
    <m/>
    <m/>
    <m/>
    <s v="Michael Wigstrom"/>
    <s v="michael.wigstrom@saludpm.cl"/>
    <m/>
    <m/>
    <m/>
    <m/>
  </r>
  <r>
    <s v="4407-86-L121"/>
    <s v="INSUMOS MÉDICOS ATENCIÓN DOMICILIARIA REFUERZO COVID-19"/>
    <s v="SE REQUIERE LA COMPRA DE INSUMOS MÉDICOS PARA LA ATENCIÓN DOMICILIARIA QUE REALIZA EL CESFAM LUMACO. SEGÚN S.C.M. N°335, CON CARGO AL PROGRAMA REFUERZO COVID-19."/>
    <s v="Ilustre Municipalidad de Lumaco"/>
    <m/>
    <m/>
    <x v="0"/>
    <x v="0"/>
    <d v="2021-11-09T10:25:15"/>
    <x v="1"/>
    <x v="0"/>
    <d v="2021-11-15T16:00:00"/>
    <d v="2021-11-10T12:25:00"/>
    <x v="0"/>
    <x v="5"/>
    <s v="No"/>
    <d v="2021-11-09T10:31:00"/>
    <d v="2021-11-13T18:00:00"/>
    <d v="2021-11-22T17:45:22"/>
    <n v="0"/>
    <n v="0"/>
    <m/>
    <s v="No"/>
    <m/>
    <s v=" "/>
    <s v="No"/>
    <m/>
    <m/>
    <m/>
    <m/>
    <d v="2021-11-15T16:00:00"/>
    <m/>
    <m/>
    <x v="0"/>
    <x v="0"/>
    <d v="2021-11-22T17:45:00"/>
    <n v="-7.0729166666715173"/>
    <x v="0"/>
    <n v="79000"/>
    <m/>
    <m/>
    <m/>
    <s v="69.180.800-9"/>
    <s v="No"/>
    <m/>
    <m/>
    <m/>
    <m/>
    <s v="Elías Ferreira Llano"/>
    <s v="consultoriolumaco@gmail.com"/>
    <m/>
    <m/>
    <m/>
    <m/>
  </r>
  <r>
    <s v="1057390-49-LR21"/>
    <s v="CONV. SUMINISTRO GASES CLINICOS E INDUSTRIALES"/>
    <s v="CONV. SUMINISTRO GASES CLINICOS E INDUSTRIALES 2021"/>
    <s v="SERVICIO DE SALUD ARAUCANIA NORTE"/>
    <m/>
    <m/>
    <x v="2"/>
    <x v="3"/>
    <d v="2021-10-15T15:36:12"/>
    <x v="0"/>
    <x v="0"/>
    <d v="2021-11-15T16:00:00"/>
    <d v="2021-10-18T11:35:00"/>
    <x v="0"/>
    <x v="2"/>
    <s v="No"/>
    <d v="2021-10-15T16:05:00"/>
    <d v="2021-11-05T18:00:00"/>
    <d v="2021-11-24T15:42:49"/>
    <n v="0"/>
    <n v="0"/>
    <m/>
    <s v="Si"/>
    <n v="1800000"/>
    <d v="2022-03-30T00:00:00"/>
    <s v="No"/>
    <m/>
    <m/>
    <m/>
    <m/>
    <d v="2021-11-15T16:00:00"/>
    <m/>
    <m/>
    <x v="0"/>
    <x v="0"/>
    <d v="2021-11-24T15:42:49"/>
    <n v="-8.9880671296341461"/>
    <x v="2"/>
    <n v="174000000"/>
    <m/>
    <m/>
    <m/>
    <s v="61.955.100-1"/>
    <s v="Si"/>
    <n v="8700000"/>
    <d v="2023-03-31T00:00:00"/>
    <m/>
    <m/>
    <s v="Paula Quijada Fuentes"/>
    <s v="paula.quijada@araucanianorte.cl"/>
    <m/>
    <m/>
    <m/>
    <m/>
  </r>
  <r>
    <s v="2284-308-L121"/>
    <s v="MANTENIMIENTO CORRECTIVO DE RED Y CENTRAL DE GASES CLINICOS - SOLICITUD Nº 44214"/>
    <s v="EL SERVICIO REQUERIDO SE ENCUENTRA DETALLADO EN BASES TECNICAS ADJUNTAS AL PROCESO. SE SOLICITA ANALIZAR BASES, EN CASO DE TENER ALGUNA DUDA O CONSULTA, SE DEBE REALIZAR MEDIANTE EL FORO. DE FORMA OBLIGATORIA. LA OFERTA SE DEBE PRESENTAR EN LOS FORMULARIOS ADJUNTOS AL PROCESO."/>
    <s v="I MUNICIPALIDAD VALDIVIA"/>
    <m/>
    <m/>
    <x v="5"/>
    <x v="6"/>
    <d v="2021-11-11T12:37:16"/>
    <x v="1"/>
    <x v="0"/>
    <d v="2021-11-16T16:00:00"/>
    <d v="2021-11-15T17:28:00"/>
    <x v="0"/>
    <x v="0"/>
    <s v="No"/>
    <d v="2021-11-11T12:37:16"/>
    <d v="2021-11-13T18:00:00"/>
    <d v="2021-11-29T12:45:12"/>
    <n v="0"/>
    <n v="0"/>
    <m/>
    <s v="No"/>
    <m/>
    <s v=" "/>
    <s v="No"/>
    <m/>
    <m/>
    <m/>
    <m/>
    <d v="2021-11-16T16:00:00"/>
    <m/>
    <m/>
    <x v="0"/>
    <x v="0"/>
    <d v="2021-11-29T12:45:00"/>
    <n v="-12.864583333335759"/>
    <x v="0"/>
    <n v="2611513"/>
    <m/>
    <m/>
    <m/>
    <s v="69.200.100-1"/>
    <s v="No"/>
    <m/>
    <m/>
    <m/>
    <m/>
    <m/>
    <m/>
    <m/>
    <m/>
    <m/>
    <m/>
  </r>
  <r>
    <s v="1077908-7-LE21"/>
    <s v="SUMINISTRO DE GASES CLINICOS PARA EL CON"/>
    <s v="Disponer de un convenio de provisión de oxígeno y oxido nitroso en forma de gases de uso clínico, que permita de manera oportuna, segura y confiable, resolver la demanda asistencial en las diversas áreas clínicas del Centro Oncológico del Norte."/>
    <s v="CENTRO ONCOLOGICO DEL NORTE"/>
    <m/>
    <m/>
    <x v="2"/>
    <x v="7"/>
    <d v="2021-11-05T11:17:00"/>
    <x v="1"/>
    <x v="0"/>
    <d v="2021-11-17T10:00:00"/>
    <d v="2021-11-09T22:46:00"/>
    <x v="0"/>
    <x v="2"/>
    <s v="No"/>
    <d v="2021-11-05T18:01:00"/>
    <d v="2021-11-11T18:02:00"/>
    <d v="2022-02-15T16:21:00"/>
    <n v="0"/>
    <n v="0"/>
    <m/>
    <s v="No"/>
    <m/>
    <s v=" "/>
    <s v="No"/>
    <m/>
    <m/>
    <m/>
    <m/>
    <d v="2021-11-17T10:00:00"/>
    <m/>
    <m/>
    <x v="0"/>
    <x v="0"/>
    <d v="2021-12-16T00:00:00"/>
    <n v="-28.583333333335759"/>
    <x v="2"/>
    <n v="52500000"/>
    <m/>
    <m/>
    <m/>
    <s v="62.000.380-8"/>
    <s v="No"/>
    <m/>
    <m/>
    <m/>
    <m/>
    <s v="Michael Wigstrom"/>
    <s v="michael.wigstrom@saludpm.cl"/>
    <m/>
    <m/>
    <m/>
    <m/>
  </r>
  <r>
    <s v="2111-254-LE21"/>
    <s v="COMPLEJIZACIÓN TOMAS MURALES DE GASES CLÍNICOS"/>
    <s v="ADQUISICIÓN DEL SERVICIO DE RENOVACIÓN Y COMPLEJIZACIÓN DE TOMAS MURALES DE GASES CLÍNICOS"/>
    <s v="HOSPITAL DE URGENCIA ASISTENCIA PUBLICA DR ALEJANDRO DEL RIO"/>
    <m/>
    <m/>
    <x v="2"/>
    <x v="4"/>
    <d v="2021-11-05T15:57:12"/>
    <x v="1"/>
    <x v="0"/>
    <d v="2021-11-17T15:00:00"/>
    <d v="2021-11-09T13:12:00"/>
    <x v="0"/>
    <x v="2"/>
    <s v="No"/>
    <d v="2021-11-05T16:31:00"/>
    <d v="2021-11-15T18:00:00"/>
    <d v="2021-11-26T15:11:01"/>
    <n v="0"/>
    <n v="0"/>
    <m/>
    <s v="No"/>
    <m/>
    <s v=" "/>
    <s v="Si"/>
    <m/>
    <m/>
    <m/>
    <m/>
    <d v="2021-11-17T15:00:00"/>
    <m/>
    <m/>
    <x v="0"/>
    <x v="0"/>
    <d v="2021-11-26T15:11:00"/>
    <n v="-9.007638888891961"/>
    <x v="0"/>
    <n v="5490312"/>
    <m/>
    <m/>
    <m/>
    <s v="61.608.602-2"/>
    <s v="Si"/>
    <n v="0.1"/>
    <d v="2023-04-07T00:00:00"/>
    <m/>
    <m/>
    <s v="Jorge Heredia"/>
    <s v="jorge.heredia@redsalud.gov.cl"/>
    <m/>
    <m/>
    <m/>
    <m/>
  </r>
  <r>
    <s v="2694-33-LE21"/>
    <s v="EQUIPAMIENTO COVID-19"/>
    <s v="EQUIPAMIENTO MEDICO Y NO MEDICO"/>
    <s v="MUNICIPALIDAD DE CARTAGENA"/>
    <m/>
    <m/>
    <x v="0"/>
    <x v="0"/>
    <d v="2021-11-08T09:21:09"/>
    <x v="1"/>
    <x v="0"/>
    <d v="2021-11-17T15:30:00"/>
    <d v="2021-11-09T11:48:00"/>
    <x v="1"/>
    <x v="1"/>
    <s v="Si"/>
    <d v="2021-11-08T23:59:00"/>
    <d v="2021-11-12T23:59:00"/>
    <d v="2021-12-10T10:14:00"/>
    <n v="0"/>
    <n v="0"/>
    <m/>
    <s v="No"/>
    <m/>
    <s v=" "/>
    <s v="No"/>
    <m/>
    <m/>
    <s v="No"/>
    <m/>
    <d v="2021-11-17T15:30:00"/>
    <m/>
    <m/>
    <x v="0"/>
    <x v="0"/>
    <d v="2021-12-07T00:00:00"/>
    <n v="-19.354166666664241"/>
    <x v="1"/>
    <n v="396880"/>
    <m/>
    <m/>
    <m/>
    <s v="69.073.600-4"/>
    <s v="No"/>
    <m/>
    <m/>
    <m/>
    <m/>
    <s v="LORETO SERRANO GARCIA"/>
    <s v="loretosg@live.cl"/>
    <m/>
    <m/>
    <m/>
    <m/>
  </r>
  <r>
    <s v="2102-86-L121"/>
    <s v="Monitores de Saturación Adulto y Pedriatricos HSIL"/>
    <s v="Hospital Santa Isabel de Lebu llama a licitación Publica para la adquisición de monitores de saturación adultos y pediatricos"/>
    <s v="SERVICIO NACIONAL DE SALUD HOSPITAL DE LEBU"/>
    <m/>
    <m/>
    <x v="0"/>
    <x v="0"/>
    <d v="2021-11-15T18:25:58"/>
    <x v="1"/>
    <x v="0"/>
    <d v="2021-11-22T15:00:00"/>
    <d v="2021-11-16T10:23:00"/>
    <x v="0"/>
    <x v="4"/>
    <s v="No"/>
    <d v="2021-11-15T18:25:58"/>
    <d v="2021-11-18T20:00:00"/>
    <d v="2021-11-26T17:00:00"/>
    <n v="0"/>
    <n v="0"/>
    <m/>
    <s v="No"/>
    <m/>
    <s v=" "/>
    <s v="No"/>
    <m/>
    <m/>
    <m/>
    <m/>
    <d v="2021-11-22T15:00:00"/>
    <m/>
    <m/>
    <x v="0"/>
    <x v="0"/>
    <d v="2021-12-06T00:00:00"/>
    <n v="-13.375"/>
    <x v="0"/>
    <n v="900000"/>
    <m/>
    <m/>
    <m/>
    <s v="61.602.212-1"/>
    <s v="No"/>
    <m/>
    <m/>
    <m/>
    <m/>
    <m/>
    <m/>
    <m/>
    <m/>
    <m/>
    <m/>
  </r>
  <r>
    <s v="1057448-90-L121"/>
    <s v="INSTRUMENTOS DE DIAGNOSTICO PARA SALAS RESPIRATORIAS PROGRAMA IRA"/>
    <s v="Que, por razones de buen servicio y en cumplimiento del Plan Anual de Compras del Servicio de Salud Iquique, la presente contratación tiene por objeto contar con Instrumentos de Diagnóstico para Salas Respiratorias programa IRA de la Subdirección de Gestión Asistencial del Servicio de Salud Iquique"/>
    <s v="SERVICIO DE SALUD IQUIQUE"/>
    <m/>
    <m/>
    <x v="0"/>
    <x v="0"/>
    <d v="2021-11-15T15:15:36"/>
    <x v="1"/>
    <x v="0"/>
    <d v="2021-11-22T15:00:00"/>
    <d v="2021-11-16T11:08:00"/>
    <x v="0"/>
    <x v="6"/>
    <s v="No"/>
    <d v="2021-11-15T15:15:36"/>
    <d v="2021-11-18T18:00:00"/>
    <d v="2021-11-30T12:36:39"/>
    <n v="0"/>
    <n v="0"/>
    <m/>
    <s v="No"/>
    <m/>
    <s v=" "/>
    <s v="No"/>
    <m/>
    <m/>
    <m/>
    <m/>
    <d v="2021-11-22T15:00:00"/>
    <m/>
    <m/>
    <x v="0"/>
    <x v="1"/>
    <m/>
    <n v="44522.625"/>
    <x v="3"/>
    <m/>
    <m/>
    <m/>
    <m/>
    <s v="61.606.100-3"/>
    <s v="No"/>
    <m/>
    <m/>
    <m/>
    <m/>
    <m/>
    <m/>
    <m/>
    <m/>
    <m/>
    <m/>
  </r>
  <r>
    <s v="729-418-LE21"/>
    <s v="CAMILLA RÍGIDA / SILLA JOIN / TUBO OXIGENO C/CARGA / MESA KILLIAN (5-3350 MVV)"/>
    <s v="Se requieren ofertas que cumplan con las especificaciones técnicas solicitadas (Solo una oferta por proveedor), es de suma importancia adjuntar Fichas técnicas es obligatoria o de lo contrario queda fuera del proceso, Plazos de entrega, Formulario PEP firmado cuando sea mayor a 1000 UF, declaración de vínculos obligatorio e indicar plazo de entrega en días hábiles bancarios. Se recuerda que la única Orden de Compra válida es la emitida por Metro S.A. La adjudicación será notificada por Gestor de Compras mediante correo electrónico, cabe destacar además que las fichas o información técnica deben ser subidas o de lo contrario quedara fuera del proceso, ojalá esta debe venir en un solo archivo mencionando el ítem. “PARA LOS REPUESTOS QUE NO SE FABRIQUEN Y NO SE COMERCIALICEN EN EL MERCADO NACIONAL, SE ACEPTARAN COTIZACIONES EN OTRAS MONEDAS, EL TIPO DE CAMBIO PARA EFECTOS DE COMPARACIÓN, CORRESPONDERÁ AL DÍA DE LA APERTURA ECONÓMICA”."/>
    <s v="METRO S.A."/>
    <m/>
    <m/>
    <x v="2"/>
    <x v="4"/>
    <d v="2021-11-10T09:40:54"/>
    <x v="1"/>
    <x v="0"/>
    <d v="2021-11-22T19:50:00"/>
    <d v="2021-11-15T20:41:00"/>
    <x v="0"/>
    <x v="2"/>
    <s v="No"/>
    <d v="2021-11-10T13:37:00"/>
    <d v="2021-11-14T13:37:00"/>
    <d v="2021-11-23T19:51:00"/>
    <n v="0"/>
    <n v="0"/>
    <m/>
    <s v="No"/>
    <m/>
    <s v=" "/>
    <s v="No"/>
    <m/>
    <m/>
    <m/>
    <m/>
    <d v="2021-11-22T19:50:00"/>
    <m/>
    <m/>
    <x v="0"/>
    <x v="2"/>
    <m/>
    <n v="44522.826388888891"/>
    <x v="3"/>
    <m/>
    <m/>
    <m/>
    <m/>
    <s v="61.219.000-3"/>
    <s v="No"/>
    <m/>
    <m/>
    <m/>
    <m/>
    <s v="MAURICIO VARGAS VELASCO"/>
    <s v="MVARGAS@METRO.CL"/>
    <m/>
    <m/>
    <m/>
    <m/>
  </r>
  <r>
    <s v="5586-278-LE21"/>
    <s v="“CONTRATO DE SUMINISTRO GASES CON CERTIFICACIÓN”"/>
    <s v="se requiere de licitación pública para contrato de suministro Gases con Certificación para Laboratorios de Agroindustria de la Universidad de la Frontera."/>
    <s v="UNIVERSIDAD DE LA FRONTERA"/>
    <m/>
    <m/>
    <x v="2"/>
    <x v="3"/>
    <d v="2021-11-10T11:29:05"/>
    <x v="1"/>
    <x v="0"/>
    <d v="2021-11-23T09:00:00"/>
    <d v="2021-11-15T12:45:00"/>
    <x v="0"/>
    <x v="2"/>
    <s v="No"/>
    <d v="2021-11-10T19:00:00"/>
    <d v="2021-11-17T19:00:00"/>
    <d v="2021-12-02T22:46:14"/>
    <n v="0"/>
    <n v="0"/>
    <m/>
    <s v="No"/>
    <m/>
    <s v=" "/>
    <s v="No"/>
    <m/>
    <m/>
    <m/>
    <m/>
    <d v="2021-11-23T09:00:00"/>
    <m/>
    <m/>
    <x v="0"/>
    <x v="1"/>
    <m/>
    <n v="44523.375"/>
    <x v="3"/>
    <m/>
    <m/>
    <m/>
    <m/>
    <s v="87.912.900-1"/>
    <s v="Si"/>
    <n v="0.05"/>
    <d v="2025-03-25T00:00:00"/>
    <m/>
    <m/>
    <s v="Luis Torralbo"/>
    <s v="luis.torralbo@ufrontera.cl"/>
    <m/>
    <m/>
    <m/>
    <m/>
  </r>
  <r>
    <s v="3332-37-L121"/>
    <s v="ADQUISICION DE INSUMOS CORRESPONDIENTE A CONVENIO"/>
    <s v="ADQUISICION DE INSUMOS CORRESPONDIENTE A CONVENIO IMPLEMENTACION DE ESTRATEGIA TESTEO TRAZABILIDAD Y AISLAMIENTO EN APS"/>
    <s v="ILUSTRE MUNICIPALIDAD DE ALTO DEL CARMEN"/>
    <m/>
    <m/>
    <x v="0"/>
    <x v="0"/>
    <d v="2021-11-16T15:12:09"/>
    <x v="1"/>
    <x v="0"/>
    <d v="2021-11-24T11:00:00"/>
    <d v="2021-11-17T18:29:00"/>
    <x v="1"/>
    <x v="1"/>
    <s v="Si"/>
    <d v="2021-11-16T19:02:00"/>
    <d v="2021-11-22T15:00:00"/>
    <d v="2021-11-30T15:00:00"/>
    <n v="0"/>
    <n v="0"/>
    <m/>
    <s v="No"/>
    <m/>
    <s v=" "/>
    <s v="No"/>
    <m/>
    <m/>
    <s v="No"/>
    <m/>
    <d v="2021-11-24T11:00:00"/>
    <m/>
    <m/>
    <x v="0"/>
    <x v="0"/>
    <d v="2021-12-01T00:00:00"/>
    <n v="-6.5416666666642413"/>
    <x v="0"/>
    <n v="110000"/>
    <m/>
    <m/>
    <m/>
    <s v="69.251.900-0"/>
    <s v="No"/>
    <m/>
    <m/>
    <m/>
    <m/>
    <s v="IVAN RIOS HINOJOSA"/>
    <s v="ADQUISICIONES.SALUD@MUNIALTODELCARMEN.CL"/>
    <m/>
    <m/>
    <m/>
    <m/>
  </r>
  <r>
    <s v="5061-142-L121"/>
    <s v="S558 Servicio de provisión de gases clínicos y arriendo de cilindros para establecimientos de Salud Municipal."/>
    <s v="Servicio de suministro de oxigeno medico, aire medicinal y arriendo de cilindros, para establecimientos de Salud Municipal."/>
    <s v="I MUNICIPALIDAD DE TEMUCO"/>
    <m/>
    <m/>
    <x v="2"/>
    <x v="3"/>
    <d v="2021-11-16T17:35:42"/>
    <x v="1"/>
    <x v="0"/>
    <d v="2021-11-24T19:00:00"/>
    <d v="2021-11-17T11:22:00"/>
    <x v="1"/>
    <x v="1"/>
    <s v="Si"/>
    <d v="2021-11-16T17:35:42"/>
    <d v="2021-11-19T18:00:00"/>
    <d v="2021-12-02T16:19:38"/>
    <n v="0"/>
    <n v="0"/>
    <m/>
    <s v="No"/>
    <m/>
    <s v=" "/>
    <s v="No"/>
    <m/>
    <m/>
    <s v="No"/>
    <m/>
    <d v="2021-11-24T19:00:00"/>
    <m/>
    <m/>
    <x v="0"/>
    <x v="0"/>
    <d v="2021-12-02T16:19:00"/>
    <n v="-7.8881944444437977"/>
    <x v="1"/>
    <n v="2500000"/>
    <m/>
    <m/>
    <m/>
    <s v="69.190.700-7"/>
    <s v="No"/>
    <m/>
    <m/>
    <m/>
    <m/>
    <m/>
    <m/>
    <m/>
    <m/>
    <m/>
    <m/>
  </r>
  <r>
    <s v="1656-32-LE21"/>
    <s v="SERVICIO DE SUMINISTRO DE GASES PARA LABORATORIO"/>
    <s v="Realizar la compra oportuna y planificada de Gases especiales para el funcionamiento de equipos del Laboratorio de Salud Pública, la cual se define como el convenio de suministro proporcionado por proveedores de estos insumos descritos en las Bases Técnicas."/>
    <s v="SUBSECRETARIA DE SALUD PUBLICA"/>
    <m/>
    <m/>
    <x v="6"/>
    <x v="8"/>
    <d v="2021-11-15T16:21:26"/>
    <x v="1"/>
    <x v="0"/>
    <d v="2021-11-25T15:00:00"/>
    <d v="2021-11-15T19:23:00"/>
    <x v="0"/>
    <x v="2"/>
    <s v="No"/>
    <d v="2021-11-15T19:00:00"/>
    <d v="2021-11-19T17:00:00"/>
    <d v="2021-12-28T17:00:00"/>
    <n v="0"/>
    <n v="0"/>
    <m/>
    <s v="No"/>
    <m/>
    <s v=" "/>
    <s v="No"/>
    <m/>
    <m/>
    <m/>
    <m/>
    <d v="2021-11-25T15:00:00"/>
    <m/>
    <m/>
    <x v="0"/>
    <x v="1"/>
    <m/>
    <n v="44525.625"/>
    <x v="3"/>
    <m/>
    <m/>
    <m/>
    <m/>
    <s v="61.601.000-K"/>
    <s v="No"/>
    <m/>
    <m/>
    <m/>
    <m/>
    <s v="CESAR GALVEZ"/>
    <s v="CLAUDIO.LIRA@REDSALUD.GOB.CL"/>
    <m/>
    <m/>
    <m/>
    <m/>
  </r>
  <r>
    <s v="2410-186-LE21"/>
    <s v="SUMINISTRO, TRASLADO Y ARRIENDO DE CILINDROS DE OXIGENO MEDICINAL Y AIRE COMPRIMIDO MEDICINAL"/>
    <s v="Considera el abastecimiento de oxígeno medicinal y aire comprimido medicinal para los establecimientos de atención primaria, ambulancias y puntos de vacunación de la comuna de Los Ángeles, de acuerdo a Bases técnicas adjuntas."/>
    <s v="I MUNICIPALIDAD DE LOS ANGELES"/>
    <m/>
    <m/>
    <x v="2"/>
    <x v="2"/>
    <d v="2021-11-16T17:04:43"/>
    <x v="1"/>
    <x v="0"/>
    <d v="2021-11-26T09:00:00"/>
    <d v="2021-11-17T11:11:00"/>
    <x v="0"/>
    <x v="2"/>
    <s v="No"/>
    <d v="2021-11-16T18:00:00"/>
    <d v="2021-11-23T16:00:00"/>
    <d v="2021-12-31T17:00:00"/>
    <n v="0"/>
    <n v="0"/>
    <m/>
    <s v="No"/>
    <m/>
    <s v=" "/>
    <s v="No"/>
    <m/>
    <m/>
    <m/>
    <m/>
    <d v="2021-11-26T09:00:00"/>
    <m/>
    <m/>
    <x v="0"/>
    <x v="0"/>
    <d v="2021-12-30T00:00:00"/>
    <n v="-33.625"/>
    <x v="0"/>
    <n v="509502"/>
    <m/>
    <m/>
    <m/>
    <s v="69.170.102-6"/>
    <s v="Si"/>
    <n v="0.05"/>
    <d v="2023-06-30T00:00:00"/>
    <m/>
    <m/>
    <s v="Oscar Oliva San Martin"/>
    <s v="oscar.oliva@ssbiobio.cl"/>
    <s v="No se adjudicó el item"/>
    <m/>
    <m/>
    <m/>
  </r>
  <r>
    <s v="1057418-27-LE21"/>
    <s v="CONVENIO SUMINISTRO MANTENCIÓN PREVENTIVA Y REPARATIVA PARA EQUIPAMIENTO INDUSTRIAL, RED DE OXÍGENO Y OTROS DEL HOSPITAL DE MULCHÉN"/>
    <s v="CONVENIO SUMINISTRO MANTENCIÓN PREVENTIVA Y REPARATIVA PARA EQUIPAMIENTO INDUSTRIAL, RED DE OXÍGENO Y OTROS DEL HOSPITAL DE MULCHÉN"/>
    <s v="Hospital de Mulchén"/>
    <m/>
    <m/>
    <x v="5"/>
    <x v="6"/>
    <d v="2021-11-12T16:26:00"/>
    <x v="1"/>
    <x v="0"/>
    <d v="2021-11-26T12:14:00"/>
    <d v="2021-11-12T21:12:00"/>
    <x v="0"/>
    <x v="2"/>
    <s v="No"/>
    <d v="2021-11-12T20:16:00"/>
    <d v="2021-11-19T20:16:00"/>
    <d v="2021-12-02T15:50:26"/>
    <n v="0"/>
    <n v="0"/>
    <m/>
    <s v="No"/>
    <m/>
    <s v=" "/>
    <s v="No"/>
    <m/>
    <m/>
    <m/>
    <m/>
    <d v="2021-11-26T12:14:00"/>
    <m/>
    <m/>
    <x v="0"/>
    <x v="1"/>
    <m/>
    <n v="44526.509722222225"/>
    <x v="3"/>
    <m/>
    <m/>
    <m/>
    <m/>
    <s v="61.607.302-8"/>
    <s v="Si"/>
    <n v="0.05"/>
    <d v="2024-03-28T00:00:00"/>
    <m/>
    <m/>
    <s v="VIVIANA PUENTES"/>
    <s v="VIVIANA.PUESTES@SSBIOBIO.CL"/>
    <m/>
    <m/>
    <m/>
    <m/>
  </r>
  <r>
    <s v="1057049-368-LQ21"/>
    <s v="CSC - Suministro Oxígeno Líquido a granel"/>
    <s v="El objetivo de la Propuesta es la Contratación del Suministro Oxigeno Liquido a Granel para el Hospital Clínico San Borja Arriarán, de acuerdo a lo solicitado en las Especificaciones Técnicas, en concordancia con las Bases Administrativas, Técnicas, Formularios, Anexos, Aclaraciones y otros documentos que pudieran formularse en el transcurso de la licitación. Se entenderá que todo proveedor conoce y acepta irrevocablemente el contenido de estas Bases, por el solo hecho de presentar ofertas en este proceso de licitación."/>
    <s v="SERV SALUD METROPOLITANO CENTRAL HOSPITAL CLINICO SAN BORJA ARRIARAN"/>
    <m/>
    <m/>
    <x v="2"/>
    <x v="4"/>
    <d v="2021-11-18T17:13:46"/>
    <x v="1"/>
    <x v="0"/>
    <d v="2021-11-29T15:30:00"/>
    <d v="2021-11-22T18:12:00"/>
    <x v="1"/>
    <x v="1"/>
    <s v="Si"/>
    <d v="2021-11-18T17:31:00"/>
    <d v="2021-11-26T17:00:00"/>
    <d v="2021-11-22T18:12:00"/>
    <n v="0"/>
    <n v="0"/>
    <m/>
    <s v="Si"/>
    <n v="200000"/>
    <d v="2022-02-27T00:00:00"/>
    <s v="No"/>
    <m/>
    <m/>
    <s v="No"/>
    <m/>
    <d v="2021-11-29T15:30:00"/>
    <m/>
    <m/>
    <x v="0"/>
    <x v="1"/>
    <m/>
    <n v="44529.645833333336"/>
    <x v="3"/>
    <m/>
    <m/>
    <m/>
    <m/>
    <s v="61.608.604-9"/>
    <s v="Si"/>
    <n v="0.05"/>
    <d v="2025-04-10T00:00:00"/>
    <m/>
    <m/>
    <s v="Silvana Aceto Cassi"/>
    <s v="silvana.aceto@redsalud.gob.cl"/>
    <m/>
    <m/>
    <m/>
    <m/>
  </r>
  <r>
    <s v="1057049-366-LQ21"/>
    <s v="PCV - Instalación de Redes de Gases Clínicos"/>
    <s v="El objetivo de la Propuesta, es la “Instalación de Redes de Gases Clínicos en Módulos de Atención de Pacientes del Hospital Clínico San Borja Arriarán”, solicitados en las especificaciones técnicas, en concordancia con las Bases Administrativas, técnicas, formularios, aclaraciones y otros documentos que pudieran formularse en el transcurso de la licitación. Se entenderá que todo proveedor conoce y acepta irrevocablemente el contenido de estas Bases, por el solo hecho de presentar ofertas en este proceso de licitación."/>
    <s v="SERV SALUD METROPOLITANO CENTRAL HOSPITAL CLINICO SAN BORJA ARRIARAN"/>
    <m/>
    <m/>
    <x v="4"/>
    <x v="4"/>
    <d v="2021-11-16T19:00:33"/>
    <x v="1"/>
    <x v="0"/>
    <d v="2021-11-29T15:30:00"/>
    <d v="2021-11-17T17:04:00"/>
    <x v="0"/>
    <x v="2"/>
    <s v="No"/>
    <d v="2021-11-16T23:59:00"/>
    <d v="2021-11-24T13:00:00"/>
    <d v="2022-01-03T16:20:00"/>
    <n v="0"/>
    <n v="0"/>
    <m/>
    <s v="No"/>
    <m/>
    <s v=" "/>
    <s v="Si"/>
    <m/>
    <m/>
    <m/>
    <n v="90"/>
    <d v="2022-02-27T15:30:00"/>
    <m/>
    <m/>
    <x v="0"/>
    <x v="0"/>
    <d v="2021-12-13T00:00:00"/>
    <n v="76.645833333335759"/>
    <x v="0"/>
    <n v="105637756"/>
    <m/>
    <m/>
    <m/>
    <s v="61.608.604-9"/>
    <s v="Si"/>
    <n v="0.05"/>
    <m/>
    <m/>
    <m/>
    <s v="Silvana Aceto Cassi"/>
    <s v="silvana.aceto@redsalud.gov.cl"/>
    <m/>
    <m/>
    <m/>
    <m/>
  </r>
  <r>
    <s v="1057402-299-LR21"/>
    <s v="INSUMOS MÉDICOS PARA UPC 2022-2023"/>
    <s v="El propósito de la licitación es contar con contratos de suministro de “INSUMOS MÉDICOS PARA UPC 2022-2023”, que permitan el aprovisionamiento oportuno de los productos necesarios en la atención de los usuarios del Hospital para los años 2022 - 2023, en las circunstancias que estos productos no fueran provistos por la Central Nacional de Abastecimiento de los Servicios de Salud, ni se encuentren disponibles en catálogos electrónicos del Convenio Marco o en las Compras Coordinadas yo Conjuntas del Ministerio de Salud, o bien su adquisición sea desventajosa respecto al resultado de la presente licitación, cuyas condiciones más ventajosas serán informadas en la oportunidad correspondiente a la Dirección de Compras, en conformidad con lo dispuesto en el artículo 15 del D.S. Nº 250, de 2004, del Ministerio de Hacienda. El contrato de suministro anteriormente indicado se hará efectivo cada vez que sea necesario, a través de la emisión de órdenes de compra enviadas al proveedor adjudicado mediante la plataforma www.mercadopublico.cl. Sin perjuicio de lo anterior, durante todo el periodo de vigencia del contrato, los productos serán solicitados en la oportunidad del mes que el Hospital estime pertinente, comprometiéndose el oferente adjudicado a difundir esta modalidad de compra a todas las instancias que participan en su proceso de ventas."/>
    <s v="HOSPITAL CLINICO DE MAGALLANES DR. LAUTARO NAVARRO AVARIA"/>
    <m/>
    <m/>
    <x v="0"/>
    <x v="0"/>
    <d v="2021-10-28T17:28:42"/>
    <x v="0"/>
    <x v="0"/>
    <d v="2021-11-29T16:00:00"/>
    <d v="2021-11-04T11:44:00"/>
    <x v="1"/>
    <x v="1"/>
    <s v="Si"/>
    <d v="2021-10-29T08:00:00"/>
    <d v="2021-11-08T20:00:00"/>
    <d v="2022-04-01T20:00:00"/>
    <n v="0"/>
    <n v="0"/>
    <m/>
    <s v="Si"/>
    <n v="200000"/>
    <d v="2022-04-29T00:00:00"/>
    <s v="No"/>
    <m/>
    <m/>
    <s v="No"/>
    <m/>
    <d v="2021-11-29T16:00:00"/>
    <m/>
    <m/>
    <x v="0"/>
    <x v="0"/>
    <d v="2022-05-09T00:00:00"/>
    <n v="-160.33333333333576"/>
    <x v="5"/>
    <n v="7557512"/>
    <m/>
    <m/>
    <m/>
    <s v="61.607.901-8"/>
    <s v="Si"/>
    <n v="0.05"/>
    <d v="2024-07-01T00:00:00"/>
    <m/>
    <m/>
    <s v="TESORERIA GENERAL DE LA REPUBLICA"/>
    <s v="www.tgr.cl"/>
    <m/>
    <m/>
    <m/>
    <m/>
  </r>
  <r>
    <s v="4030-41-L121"/>
    <s v="ADQUISICION DE CONCENTRACIÓN DE OXIGENO"/>
    <s v="ADQUISICION DE CONCENTRACION DE OXIGENO PARA LA COMUNA DE CAMIÑA"/>
    <s v="ILUSTRE MUNICIPALIDAD DE CAMINA"/>
    <m/>
    <m/>
    <x v="0"/>
    <x v="0"/>
    <d v="2021-11-20T20:25:00"/>
    <x v="1"/>
    <x v="0"/>
    <d v="2021-11-30T15:00:00"/>
    <d v="2021-11-25T08:39:00"/>
    <x v="0"/>
    <x v="7"/>
    <s v="No"/>
    <d v="2021-11-20T20:28:00"/>
    <d v="2021-11-25T18:00:00"/>
    <d v="2021-11-30T18:00:00"/>
    <n v="0"/>
    <n v="0"/>
    <m/>
    <s v="No"/>
    <m/>
    <s v=" "/>
    <s v="No"/>
    <m/>
    <m/>
    <m/>
    <m/>
    <d v="2021-11-30T15:00:00"/>
    <m/>
    <m/>
    <x v="0"/>
    <x v="0"/>
    <d v="2021-12-07T00:00:00"/>
    <n v="-6.375"/>
    <x v="0"/>
    <n v="8400000"/>
    <m/>
    <m/>
    <m/>
    <s v="69.251.100-K"/>
    <s v="No"/>
    <m/>
    <m/>
    <m/>
    <m/>
    <s v="DEPARTAMENTO DE SALUD"/>
    <s v="MAGDADEPTOSALUD@GMAIL.COM"/>
    <m/>
    <m/>
    <m/>
    <m/>
  </r>
  <r>
    <s v="2026-284-LQ21"/>
    <s v="ARRIENDO, TRANSPORTE Y RECARGA DE OXIGENO QUINTERO"/>
    <s v="Las presentes bases rigen la propuesta pública que tiene por objeto contratar los servicios de arriendo de cilindro, transporte y recarga de oxígeno medicinal para Red de Gases Clinicos y uso dimiciliario, destinado a pacientes de Hospital AdrianaCosuiño de Quintero Por tanto, mediante la presente licitación se pretende contratar, la adqusición bajo contrato de suministro, del arriendo y recarga, por establecimiento, que se detalla más adelante. Durante el período los cupos podrán sufrir modificaciones aumentos los que serán informados con la debida antelación."/>
    <s v="SERVICIO SALUD VINA DEL MAR QUILLOTA"/>
    <m/>
    <m/>
    <x v="2"/>
    <x v="9"/>
    <d v="2021-11-09T15:24:18"/>
    <x v="1"/>
    <x v="0"/>
    <d v="2021-11-30T16:00:00"/>
    <d v="2021-11-15T12:38:00"/>
    <x v="0"/>
    <x v="8"/>
    <s v="No"/>
    <d v="2021-11-09T16:01:00"/>
    <d v="2021-11-23T18:00:00"/>
    <d v="2022-01-31T18:00:00"/>
    <n v="0"/>
    <n v="0"/>
    <m/>
    <s v="No"/>
    <m/>
    <s v=" "/>
    <s v="Si"/>
    <m/>
    <m/>
    <m/>
    <m/>
    <d v="2021-11-30T16:00:00"/>
    <m/>
    <m/>
    <x v="0"/>
    <x v="1"/>
    <m/>
    <n v="44530.666666666664"/>
    <x v="3"/>
    <m/>
    <m/>
    <m/>
    <m/>
    <s v="61.606.600-5"/>
    <s v="Si"/>
    <n v="0.05"/>
    <d v="2024-02-29T00:00:00"/>
    <m/>
    <m/>
    <s v="HUMBERTO SEGOVIA SEGOVIA"/>
    <s v="HUMBERTO.SEGOVIA@REDSALUD.GOV.CL"/>
    <m/>
    <m/>
    <m/>
    <m/>
  </r>
  <r>
    <s v="2859-97-L121"/>
    <s v="ADQUISICIÓN DE GASES DE LABORATORIO"/>
    <s v="ADQUISICIÓN DE GASES DE LABORATORIO EN MARCO DEL PROYECTO DENOMINADO &quot;RECUPERACIÓN DE RENIO A PARTIR DE UNA SOLUCIÓN ACUOSA UTILIZANDO LÍQUIDOS IÓNICOS&quot; DE LA UNIVERSIDAD DE ATACAMA."/>
    <s v="UNIVERSIDAD DE ATACAMA"/>
    <m/>
    <m/>
    <x v="2"/>
    <x v="7"/>
    <d v="2021-11-25T12:17:15"/>
    <x v="1"/>
    <x v="0"/>
    <d v="2021-11-30T16:13:00"/>
    <d v="2021-11-26T17:38:00"/>
    <x v="0"/>
    <x v="2"/>
    <s v="No"/>
    <d v="2021-11-25T12:17:15"/>
    <d v="2021-11-27T16:13:00"/>
    <d v="2021-12-02T16:13:00"/>
    <n v="0"/>
    <n v="0"/>
    <m/>
    <s v="No"/>
    <m/>
    <s v=" "/>
    <s v="No"/>
    <m/>
    <m/>
    <m/>
    <m/>
    <d v="2021-11-30T16:13:00"/>
    <m/>
    <m/>
    <x v="0"/>
    <x v="1"/>
    <m/>
    <n v="44530.675694444442"/>
    <x v="3"/>
    <m/>
    <m/>
    <m/>
    <m/>
    <s v="71.236.700-8"/>
    <s v="No"/>
    <m/>
    <m/>
    <m/>
    <m/>
    <m/>
    <m/>
    <m/>
    <m/>
    <m/>
    <m/>
  </r>
  <r>
    <s v="584146-34-L121"/>
    <s v="EQUIPAMIENTO MEDICO UNIDAD OTORRINO - CESFAM"/>
    <s v="EQUIPAMIENTO MEDICO PARA UNIDADD OTORRINO - CESFAM PURRANQUE."/>
    <s v="I MUNICIPALIDAD DE PURRANQUE"/>
    <m/>
    <m/>
    <x v="0"/>
    <x v="0"/>
    <d v="2021-11-25T12:13:47"/>
    <x v="1"/>
    <x v="0"/>
    <d v="2021-12-01T15:00:00"/>
    <d v="2021-11-26T21:07:00"/>
    <x v="0"/>
    <x v="6"/>
    <s v="No"/>
    <d v="2021-11-25T15:00:00"/>
    <d v="2021-11-29T16:00:00"/>
    <d v="2021-12-30T17:00:00"/>
    <n v="0"/>
    <n v="0"/>
    <m/>
    <s v="No"/>
    <m/>
    <s v=" "/>
    <s v="No"/>
    <m/>
    <m/>
    <m/>
    <m/>
    <d v="2021-12-01T15:00:00"/>
    <m/>
    <m/>
    <x v="0"/>
    <x v="1"/>
    <d v="2021-12-16T00:00:00"/>
    <n v="-14.375"/>
    <x v="3"/>
    <m/>
    <m/>
    <m/>
    <m/>
    <s v="69.210.500-1"/>
    <s v="No"/>
    <m/>
    <m/>
    <m/>
    <m/>
    <s v="DIRECCION DE CESFAM"/>
    <s v="pagoproveedores@cesfampurranque.cl"/>
    <m/>
    <m/>
    <m/>
    <m/>
  </r>
  <r>
    <s v="1075963-291-LR21"/>
    <s v="CONVENIO DE SUMINISTROS DE DISPOSITIVOS MEDICOS COVID"/>
    <s v="SE DEBEN ADJUNTAR TODOS LOS ANEXOS CON SUS RESPECTIVAS FIRMAS DEL REPRESENTANTE LEGAL. SEGÚN LO INDICADO EN BASES ADMINISTRATIVA ART N°13: DE LA PRESENTACIÓN DE LA PROPUESTA. ADEMAS, ADJUNTAR COPIA DE LA BOLETA DE SERIEDAD DE LA OFERTA EN LOS ARCHIVO ADJUNTOS Y LA ESCRITURA DE CONSTITUCIÓN DE LA SOCIEDAD ACTUALIZADA EN LA CUAL ESTÉN LOS REPRESENTANTE LEGALES. EN EL CASO DE QUE LA BOLETA DE GARANTÍA DE SERIEDAD DE LA OFERTA SEA EMITIDA EN FORMA ELECTRÓNICA, ESTA DEBERÁ SER ENVIADA A LOS SIGUIENTES CORREOS: teresa.romero@hjnc.cl, rodrigo.soriano@hjnc.cl, herman.geraldo@hjnc.cl, daniel.sepulveda@hjnc.cl, pamela.donoso@hjnc.cl."/>
    <s v="SERVICIO DE SALUD ARICA HOSP DR JUAN NOE CREVANI"/>
    <m/>
    <m/>
    <x v="0"/>
    <x v="0"/>
    <d v="2021-11-02T17:28:00"/>
    <x v="1"/>
    <x v="0"/>
    <d v="2021-12-02T18:00:00"/>
    <d v="2021-11-04T10:14:00"/>
    <x v="1"/>
    <x v="1"/>
    <s v="Si"/>
    <d v="2021-11-02T18:00:00"/>
    <d v="2021-11-15T12:00:00"/>
    <d v="2022-01-11T18:00:00"/>
    <n v="0"/>
    <n v="0"/>
    <m/>
    <s v="Si"/>
    <n v="100000"/>
    <d v="2022-04-11T00:00:00"/>
    <s v="No"/>
    <m/>
    <m/>
    <s v="No"/>
    <m/>
    <d v="2021-12-02T18:00:00"/>
    <m/>
    <m/>
    <x v="0"/>
    <x v="0"/>
    <d v="2022-01-24T00:00:00"/>
    <n v="-52.25"/>
    <x v="5"/>
    <n v="10000"/>
    <m/>
    <m/>
    <m/>
    <s v="61.606.001-5"/>
    <s v="Si"/>
    <n v="0.05"/>
    <d v="2024-04-04T00:00:00"/>
    <m/>
    <m/>
    <s v="PAULINA ASTORGA DIAZ"/>
    <s v="paulina.astorga@hjnc.cl"/>
    <m/>
    <m/>
    <m/>
    <m/>
  </r>
  <r>
    <s v="1979-144-LE21"/>
    <s v="143.21 CONVENIO SUMINISTRO DE NITROGENO LIQUIDO; PARA HOSPITAL DE NUEVA IMPERIAL"/>
    <s v="El Hospital de Nueva Imperial, consecuente con la política de mejorar la oportunidad y la calidad de atención a los usuarios del sistema público de salud de la comuna de Nueva Imperial, ha denominado convocar a la presente licitación para asegurar el suministro de NITROGENO LIQUIDO, para procedimientos dermatológicos, la recarga de termo con nitrógeno líquido será por un periodo aproximado de 18 meses o hasta que los fondos disponibles para la licitación se hubiesen agotado o extinguidos pudiendo ser renovada por una sola vez y hasta por seis meses más de acuerdo al siguiente detalle"/>
    <s v="SERVICIO DE SALUD ARAUCANIA SUR HOSPITAL DE NUEVA IMPERIAL"/>
    <m/>
    <m/>
    <x v="2"/>
    <x v="3"/>
    <d v="2021-11-25T12:16:07"/>
    <x v="1"/>
    <x v="0"/>
    <d v="2021-12-06T15:00:00"/>
    <d v="2021-11-26T21:38:00"/>
    <x v="0"/>
    <x v="2"/>
    <s v="No"/>
    <d v="2021-11-25T19:01:00"/>
    <d v="2021-12-02T18:00:00"/>
    <d v="2022-01-21T20:00:00"/>
    <n v="0"/>
    <n v="0"/>
    <m/>
    <s v="No"/>
    <m/>
    <s v=" "/>
    <s v="No"/>
    <m/>
    <m/>
    <m/>
    <m/>
    <d v="2021-12-06T15:00:00"/>
    <m/>
    <m/>
    <x v="0"/>
    <x v="1"/>
    <m/>
    <n v="44536.625"/>
    <x v="3"/>
    <m/>
    <m/>
    <m/>
    <m/>
    <s v="61.607.401-6"/>
    <s v="No"/>
    <m/>
    <m/>
    <m/>
    <m/>
    <s v="rocio pizarro"/>
    <s v="rocio.pizarro@asur.cl"/>
    <m/>
    <m/>
    <m/>
    <m/>
  </r>
  <r>
    <s v="956-135-LE21"/>
    <s v="Insumos para el programa imágenes diagnósticas."/>
    <s v="La necesidad de adquirir insumos para el programa imágenes diagnósticas."/>
    <s v="SERVICIO DE SALUD VALPARAISO SAN ANTONIO"/>
    <m/>
    <m/>
    <x v="0"/>
    <x v="0"/>
    <d v="2021-11-25T12:06:36"/>
    <x v="1"/>
    <x v="0"/>
    <d v="2021-12-06T16:00:00"/>
    <d v="2021-11-26T21:14:00"/>
    <x v="1"/>
    <x v="1"/>
    <s v="Si"/>
    <d v="2021-11-25T17:15:00"/>
    <d v="2021-12-02T15:00:00"/>
    <d v="2022-01-05T16:00:00"/>
    <n v="0"/>
    <n v="0"/>
    <m/>
    <s v="No"/>
    <m/>
    <s v=" "/>
    <s v="No"/>
    <m/>
    <m/>
    <s v="No"/>
    <m/>
    <d v="2021-12-06T16:00:00"/>
    <m/>
    <m/>
    <x v="0"/>
    <x v="0"/>
    <d v="2022-01-04T00:00:00"/>
    <n v="-28.333333333335759"/>
    <x v="1"/>
    <n v="1284300"/>
    <m/>
    <m/>
    <m/>
    <s v="61.606.500-9"/>
    <s v="No"/>
    <m/>
    <m/>
    <m/>
    <m/>
    <s v="MANUEL HORACIO LOPEZ ROJAS"/>
    <s v="horacio.lopez@redsalud.gov.cl"/>
    <m/>
    <m/>
    <m/>
    <m/>
  </r>
  <r>
    <s v="2189-130-LE21"/>
    <s v="ADQUISICION EQUIPOS OXIGENOTERAPIA (NUEVO LLAMADO) - HOSPITAL DE CURICO"/>
    <s v="Adquisición de equipos de oxigenoterapia para el Hospital de Curico, segun bases de licitación y demas documentos adjuntos a la licitación."/>
    <s v="SERVICIO DE SALUD DEL MAULE"/>
    <m/>
    <m/>
    <x v="0"/>
    <x v="0"/>
    <d v="2021-11-22T12:56:11"/>
    <x v="1"/>
    <x v="0"/>
    <d v="2021-12-06T16:00:00"/>
    <d v="2021-11-23T14:58:00"/>
    <x v="0"/>
    <x v="0"/>
    <s v="No"/>
    <d v="2021-11-22T16:01:00"/>
    <d v="2021-11-30T16:00:00"/>
    <d v="2022-03-03T16:00:00"/>
    <n v="0"/>
    <n v="0"/>
    <m/>
    <s v="No"/>
    <m/>
    <s v=" "/>
    <s v="No"/>
    <m/>
    <m/>
    <m/>
    <m/>
    <d v="2021-12-06T16:00:00"/>
    <m/>
    <m/>
    <x v="0"/>
    <x v="3"/>
    <m/>
    <n v="44536.666666666664"/>
    <x v="3"/>
    <m/>
    <m/>
    <m/>
    <m/>
    <s v="61.606.900-4"/>
    <s v="Si"/>
    <n v="0.05"/>
    <d v="2026-02-26T00:00:00"/>
    <m/>
    <m/>
    <s v="Alicia Caceres"/>
    <s v="acacerest@ssmaule.cl"/>
    <m/>
    <m/>
    <m/>
    <m/>
  </r>
  <r>
    <s v="1080093-22-LE21"/>
    <s v="INSUMOS PARA ATENCIÓN DOMICILIARIA DE PACIENTES"/>
    <s v="El propósito de la presente licitación es la compra de insumos para la atención domiciliaria de pacientes con dependencia severa y moderada en especial en el área de rehabilitación integral para el año 2021"/>
    <s v="SERVICIO DE SALUD MAGALLANES"/>
    <m/>
    <m/>
    <x v="0"/>
    <x v="0"/>
    <d v="2021-11-24T11:43:00"/>
    <x v="1"/>
    <x v="0"/>
    <d v="2021-12-06T17:45:00"/>
    <d v="2021-11-25T18:08:00"/>
    <x v="1"/>
    <x v="1"/>
    <s v="Si"/>
    <d v="2021-11-24T20:14:00"/>
    <d v="2021-12-02T20:14:00"/>
    <d v="2022-01-07T17:46:00"/>
    <n v="0"/>
    <n v="0"/>
    <m/>
    <s v="No"/>
    <m/>
    <s v=" "/>
    <s v="No"/>
    <m/>
    <m/>
    <s v="No"/>
    <m/>
    <d v="2021-12-06T17:45:00"/>
    <m/>
    <m/>
    <x v="0"/>
    <x v="2"/>
    <m/>
    <d v="2021-12-06T17:45:00"/>
    <x v="3"/>
    <m/>
    <m/>
    <m/>
    <m/>
    <s v="61.607.900-k"/>
    <s v="No"/>
    <m/>
    <m/>
    <m/>
    <m/>
    <s v="Carolina Ojeda Aguilar"/>
    <s v="tesoreria.dssm@redsalud.gov.cl"/>
    <m/>
    <m/>
    <m/>
    <m/>
  </r>
  <r>
    <s v="4967-28-LE21"/>
    <s v="Recarga de Cilindros de Oxigeno Gaseoso Medicinal"/>
    <s v="Las presentes Bases de licitación orientan, fijan y determinan las normas y procedimientos por las que deben regirse las personas naturales o jurídicas interesadas en participar en el llamado a licitación para la contratación de CONVENIO DE RECARGA DE OXIGENO MEDICINAL GASEOSO CON VALVULA PIN Y ESTÁNDAR por un periodo de 36 meses, de manera de satisfacer permanente, continua, adecuada, oportuna y eficientemente la labor asistencial encomendada al establecimiento."/>
    <s v="Hospital Quilpué"/>
    <m/>
    <m/>
    <x v="2"/>
    <x v="9"/>
    <d v="2021-11-25T12:35:59"/>
    <x v="1"/>
    <x v="0"/>
    <d v="2021-12-06T19:53:00"/>
    <d v="2021-11-26T21:46:00"/>
    <x v="0"/>
    <x v="2"/>
    <s v="No"/>
    <d v="2021-11-25T13:06:00"/>
    <d v="2021-12-01T16:06:00"/>
    <d v="2022-02-07T19:54:00"/>
    <n v="0"/>
    <n v="0"/>
    <m/>
    <s v="No"/>
    <m/>
    <s v=" "/>
    <s v="Si"/>
    <m/>
    <m/>
    <m/>
    <m/>
    <d v="2021-12-06T19:53:00"/>
    <m/>
    <m/>
    <x v="0"/>
    <x v="0"/>
    <d v="2021-12-23T00:00:00"/>
    <n v="-16.171527777776646"/>
    <x v="0"/>
    <n v="10980000"/>
    <m/>
    <m/>
    <m/>
    <s v="61.606.604-8"/>
    <s v="Si"/>
    <n v="0.05"/>
    <d v="2025-05-05T00:00:00"/>
    <m/>
    <m/>
    <s v="Héctor Bastías"/>
    <s v="hector.bastias@redsalud.gov.cl"/>
    <m/>
    <m/>
    <m/>
    <m/>
  </r>
  <r>
    <s v="1398-120-L121"/>
    <s v="INSUMOS PROGRAMA VENTILACION MECANICA AVNIA"/>
    <s v="COMPRA DE INSUMOS PARA USUARIOS CON VENTILACION MECANICA NO INVASIVA ASOCIADOS A PROGRAMA AVNIA"/>
    <s v="SERVICIO DE SALUD LIBERTADOR BDO OHIGGINS"/>
    <m/>
    <m/>
    <x v="0"/>
    <x v="0"/>
    <d v="2021-11-29T08:39:49"/>
    <x v="1"/>
    <x v="0"/>
    <d v="2021-12-06T20:05:00"/>
    <d v="2021-12-02T11:34:00"/>
    <x v="1"/>
    <x v="1"/>
    <s v="Si"/>
    <d v="2021-11-26T12:01:00"/>
    <d v="2021-12-01T20:05:00"/>
    <d v="2021-12-08T20:05:00"/>
    <n v="0"/>
    <n v="0"/>
    <m/>
    <s v="No"/>
    <m/>
    <s v=" "/>
    <s v="No"/>
    <m/>
    <m/>
    <s v="No"/>
    <m/>
    <d v="2021-12-06T20:05:00"/>
    <m/>
    <m/>
    <x v="0"/>
    <x v="0"/>
    <d v="2021-12-16T00:00:00"/>
    <n v="-9.1631944444452529"/>
    <x v="1"/>
    <n v="2944950"/>
    <m/>
    <m/>
    <m/>
    <s v="61.606.800-8"/>
    <s v="No"/>
    <m/>
    <m/>
    <m/>
    <m/>
    <s v="Paula Sepulveda"/>
    <s v="psepulveda@calvomackenna.cl"/>
    <m/>
    <m/>
    <m/>
    <m/>
  </r>
  <r>
    <s v="1719-22-L121"/>
    <s v="SUMINISTRO DE OXIGENO"/>
    <s v="Suministro de oxigeno desde Enero a Diciembre 2022, según bases de decreto N 5775.-"/>
    <s v="ILUSTRE MUNICIPALIDAD DE SAGRADA FAMILIA"/>
    <m/>
    <m/>
    <x v="2"/>
    <x v="4"/>
    <d v="2021-12-01T10:27:39"/>
    <x v="2"/>
    <x v="0"/>
    <d v="2021-12-07T11:06:00"/>
    <d v="2021-12-02T18:51:00"/>
    <x v="0"/>
    <x v="2"/>
    <s v="No"/>
    <d v="2021-12-01T11:07:00"/>
    <d v="2021-12-03T11:17:00"/>
    <d v="2021-12-14T15:07:00"/>
    <n v="0"/>
    <n v="0"/>
    <m/>
    <s v="No"/>
    <m/>
    <s v=" "/>
    <s v="No"/>
    <m/>
    <m/>
    <m/>
    <m/>
    <d v="2021-12-07T11:06:00"/>
    <m/>
    <m/>
    <x v="0"/>
    <x v="1"/>
    <m/>
    <n v="44537.462500000001"/>
    <x v="3"/>
    <m/>
    <m/>
    <m/>
    <m/>
    <s v="69.110.200-9"/>
    <s v="No"/>
    <m/>
    <m/>
    <m/>
    <m/>
    <s v="Viviana Riquelme"/>
    <s v="vriquelme@sagradafamilia.cl"/>
    <s v="Sin adjudicación el item"/>
    <m/>
    <m/>
    <m/>
  </r>
  <r>
    <s v="1057390-47-LQ21"/>
    <s v="CONVENIO DE SUMINISTRO PGM MINISTERIALES 2021-2023"/>
    <s v="La necesidad de suscribir convenios de suministros, necesarios para la gestión de la red asistencial del Servicio de Salud Araucanía Norte y la de sus establecimientos dependientes, con el objeto de poder cumplir a cabalidad con los tratamientos farmacológicos de pacientes beneficiarios del programa ministeriales (PM), para la demanda asistencial de la Provincia de Malleco."/>
    <s v="SERVICIO DE SALUD ARAUCANIA NORTE"/>
    <m/>
    <m/>
    <x v="0"/>
    <x v="0"/>
    <d v="2021-11-17T15:11:05"/>
    <x v="1"/>
    <x v="0"/>
    <d v="2021-12-07T15:00:00"/>
    <d v="2021-11-19T10:06:00"/>
    <x v="0"/>
    <x v="4"/>
    <s v="No"/>
    <d v="2021-11-17T16:30:00"/>
    <d v="2021-12-01T18:00:00"/>
    <d v="2021-12-27T18:00:00"/>
    <n v="0"/>
    <n v="0"/>
    <m/>
    <s v="No"/>
    <m/>
    <s v=" "/>
    <s v="No"/>
    <m/>
    <m/>
    <m/>
    <m/>
    <d v="2021-12-07T15:00:00"/>
    <m/>
    <m/>
    <x v="0"/>
    <x v="0"/>
    <d v="2022-01-28T00:00:00"/>
    <n v="-51.375"/>
    <x v="0"/>
    <n v="10727"/>
    <m/>
    <m/>
    <m/>
    <s v="61.955.100-1"/>
    <s v="Si"/>
    <n v="1000000"/>
    <d v="2024-03-01T00:00:00"/>
    <m/>
    <m/>
    <s v="Jaime Jimenez"/>
    <s v="jjimenezortiz@araucanianorte.cl"/>
    <m/>
    <m/>
    <m/>
    <m/>
  </r>
  <r>
    <s v="1058078-18-LQ21"/>
    <s v="CONTRATACION GAS MEDICINAL"/>
    <s v="CONTRATACIÓN DEL SERVICIO DE RECARGA, MANTENCION PREVENTIVA, REPARATIVA Y ACCESORIOS DE GASES MEDICINALES PARA PACIENTES DEL HOSPITAL SAN JOSE DE MELIPILLA RESOLUCIÓN EXENTA N°742 CON FECHA 17/11/2021"/>
    <s v="Hospital de Melipilla"/>
    <m/>
    <m/>
    <x v="2"/>
    <x v="4"/>
    <d v="2021-11-17T15:50:00"/>
    <x v="1"/>
    <x v="0"/>
    <d v="2021-12-07T17:00:00"/>
    <d v="2021-11-18T18:19:00"/>
    <x v="0"/>
    <x v="2"/>
    <s v="No"/>
    <d v="2021-11-17T16:49:00"/>
    <d v="2021-11-30T17:00:00"/>
    <d v="2022-01-03T17:00:00"/>
    <n v="0"/>
    <n v="0"/>
    <m/>
    <s v="No"/>
    <m/>
    <s v=" "/>
    <s v="No"/>
    <m/>
    <m/>
    <m/>
    <m/>
    <d v="2021-12-07T17:00:00"/>
    <m/>
    <m/>
    <x v="0"/>
    <x v="0"/>
    <d v="2022-01-04T00:00:00"/>
    <n v="-27.291666666664241"/>
    <x v="2"/>
    <n v="108018756"/>
    <m/>
    <m/>
    <m/>
    <s v="61.602.123-0"/>
    <s v="Si"/>
    <n v="0.05"/>
    <d v="2023-10-02T00:00:00"/>
    <m/>
    <m/>
    <s v="Luis Farias"/>
    <s v="luis.farias@redsalud.gov.cl"/>
    <m/>
    <m/>
    <m/>
    <m/>
  </r>
  <r>
    <s v="1509-68-LE21"/>
    <s v="SUMINISTRO DE GASES CLÍNICOS PARA HCTT."/>
    <s v="EL HOSPITAL DE TIL TIL REQUIERE CONTRATAR SUMINISTRO DE GASES CLÍNICOS PARA HCTT.VER RESOLUCIÓN N°148 DE FECHA 29 DE NOVIEMBRE DE 2021, APRUEBA BASES DE LICITACIÓN."/>
    <s v="SERVICIO DE SALUD METROPOLITANO NORTE HOSPITAL DE TIL TIL"/>
    <m/>
    <m/>
    <x v="2"/>
    <x v="4"/>
    <d v="2021-11-30T12:37:49"/>
    <x v="1"/>
    <x v="0"/>
    <d v="2021-12-10T13:21:00"/>
    <d v="2021-11-30T14:44:00"/>
    <x v="0"/>
    <x v="2"/>
    <s v="No"/>
    <d v="2021-11-30T16:32:00"/>
    <d v="2021-12-06T16:32:00"/>
    <d v="2021-12-28T13:22:00"/>
    <n v="0"/>
    <n v="0"/>
    <m/>
    <s v="No"/>
    <m/>
    <s v=" "/>
    <s v="No"/>
    <m/>
    <m/>
    <m/>
    <m/>
    <d v="2021-12-10T13:21:00"/>
    <m/>
    <m/>
    <x v="0"/>
    <x v="0"/>
    <d v="2021-12-14T00:00:00"/>
    <n v="-3.4437499999985448"/>
    <x v="2"/>
    <n v="15293400"/>
    <m/>
    <m/>
    <m/>
    <s v="61.608.006-7"/>
    <s v="No"/>
    <m/>
    <m/>
    <m/>
    <m/>
    <s v="VERONICA ORTEGA NARANJO"/>
    <s v="VERONICA.ORTEGA@REDSALUD.GOV.CL"/>
    <m/>
    <m/>
    <m/>
    <m/>
  </r>
  <r>
    <s v="1624-54-L121"/>
    <s v="OXIGENO MEDICO"/>
    <s v="Reposición de Oxigeno Médico CONVENIO DE SUMINISTRO DE RECARGA DE GASES CLINICOS, FLETE Y ARRIENDO DE CILINDROS PARA EL HOSPITAL DE NANCAGUA El Presente"/>
    <s v="Hospital de Nancagua"/>
    <m/>
    <m/>
    <x v="2"/>
    <x v="4"/>
    <d v="2021-12-06T16:16:00"/>
    <x v="2"/>
    <x v="0"/>
    <d v="2021-12-13T15:00:00"/>
    <d v="2021-12-09T20:18:00"/>
    <x v="0"/>
    <x v="2"/>
    <s v="No"/>
    <d v="2021-12-06T16:16:19"/>
    <d v="2021-12-08T15:40:00"/>
    <d v="2021-12-23T15:40:00"/>
    <n v="0"/>
    <n v="0"/>
    <m/>
    <s v="No"/>
    <m/>
    <s v=" "/>
    <s v="No"/>
    <m/>
    <m/>
    <m/>
    <m/>
    <d v="2021-12-13T15:00:00"/>
    <m/>
    <m/>
    <x v="0"/>
    <x v="1"/>
    <m/>
    <n v="44543.625"/>
    <x v="3"/>
    <m/>
    <m/>
    <m/>
    <m/>
    <s v="61.602.147-8"/>
    <s v="No"/>
    <m/>
    <m/>
    <m/>
    <m/>
    <m/>
    <m/>
    <m/>
    <m/>
    <m/>
    <m/>
  </r>
  <r>
    <s v="617807-48-LE21"/>
    <s v="ADQUISICION DEL CONVENIO DE SUMINISTRO DE ACCESORIOS SECUNDARIOS PARA GASES CLINICOS DEL HOSPITAL SAN JUAN DE DIOS DE LOS ANDES"/>
    <s v="Las presentes Bases Administrativas y Bases Técnicas tienen por objeto la “ADQUISICION DEL CONVENIO DE SUMINISTRO DE ACCESORIOS SECUNDARIOS PARA GASES CLINICOS DEL HOSPITAL SAN JUAN DE DIOS DE LOS ANDES” Para estos efectos, y a partir de las presentes Bases de Licitación, se establecen las disposiciones que regirán este proceso concursal."/>
    <s v="SERV NAC SALUD HOSPITAL DE LOS ANDES"/>
    <m/>
    <m/>
    <x v="2"/>
    <x v="9"/>
    <d v="2021-11-25T15:29:00"/>
    <x v="1"/>
    <x v="0"/>
    <d v="2021-12-13T15:00:00"/>
    <d v="2021-11-26T22:17:00"/>
    <x v="0"/>
    <x v="2"/>
    <s v="No"/>
    <d v="2021-11-25T19:01:00"/>
    <d v="2021-12-03T15:00:00"/>
    <d v="2021-12-20T19:00:00"/>
    <n v="0"/>
    <n v="0"/>
    <m/>
    <s v="No"/>
    <m/>
    <s v=" "/>
    <s v="No"/>
    <m/>
    <m/>
    <m/>
    <m/>
    <d v="2021-12-13T15:00:00"/>
    <m/>
    <m/>
    <x v="0"/>
    <x v="0"/>
    <d v="2022-01-06T00:00:00"/>
    <n v="-23.375"/>
    <x v="2"/>
    <n v="5400000"/>
    <m/>
    <m/>
    <m/>
    <s v="61.602.036-6"/>
    <s v="No"/>
    <m/>
    <m/>
    <m/>
    <m/>
    <s v="SEBASTIAN GORDON ESCUTI"/>
    <s v="sebastian.gordon@redsalud.gov.cl"/>
    <m/>
    <m/>
    <m/>
    <m/>
  </r>
  <r>
    <s v="162-53-LE21"/>
    <s v="Provisión de Gases Especiales a Laboratorios"/>
    <s v="Provisión Gases Especiales, para Lab de Osorno y Puerto Montt y los Lab de Marea Roja de Castro y Quellón. Esto para la puesta en marcha de Equipo Espectrofotómetro de Absorción Atómica y Cromatógrafo Gaseoso de Laboratorio Osorno; además para cumplimiento a los Programas de Fiscalización de Agua y Alimento del Laboratorio Puerto Montt y como parte de aplicación de nuevas técnicas Bioterios Lab."/>
    <s v="SUBSECRETARIA DE SALUD PUBLICA"/>
    <m/>
    <m/>
    <x v="6"/>
    <x v="3"/>
    <d v="2021-11-30T09:52:34"/>
    <x v="1"/>
    <x v="0"/>
    <d v="2021-12-13T15:05:00"/>
    <d v="2021-11-30T14:19:00"/>
    <x v="0"/>
    <x v="2"/>
    <s v="No"/>
    <d v="2021-11-30T10:00:00"/>
    <d v="2021-12-03T15:00:00"/>
    <d v="2021-12-31T18:00:00"/>
    <n v="0"/>
    <n v="0"/>
    <m/>
    <s v="No"/>
    <m/>
    <s v=" "/>
    <s v="No"/>
    <m/>
    <m/>
    <m/>
    <m/>
    <d v="2021-12-13T15:05:00"/>
    <m/>
    <m/>
    <x v="0"/>
    <x v="1"/>
    <m/>
    <n v="44543.628472222219"/>
    <x v="3"/>
    <m/>
    <m/>
    <m/>
    <m/>
    <s v="61.601.000-K"/>
    <s v="No"/>
    <m/>
    <m/>
    <m/>
    <m/>
    <s v="Jose Pizarro Peña"/>
    <s v="jose.pizarrop@redsalud.gov.cl"/>
    <m/>
    <m/>
    <m/>
    <m/>
  </r>
  <r>
    <s v="1057418-28-LE21"/>
    <s v="CONVENIO SUMINISTRO MANTENCIÓN PREVENTIVA Y REPARATIVA PARA EQUIPAMIENTO INDUSTRIAL, RED DE OXÍGENO Y OTROS DEL HOSPITAL DE MULCHÉN"/>
    <s v="CONVENIO SUMINISTRO MANTENCIÓN PREVENTIVA Y REPARATIVA PARA EQUIPAMIENTO INDUSTRIAL, RED DE OXÍGENO Y OTROS DEL HOSPITAL DE MULCHÉN"/>
    <s v="Hospital de la Familia y Comunidad de Mulchén"/>
    <m/>
    <m/>
    <x v="2"/>
    <x v="2"/>
    <d v="2021-12-03T16:55:29"/>
    <x v="2"/>
    <x v="0"/>
    <d v="2021-12-13T15:09:00"/>
    <d v="2021-12-09T19:11:00"/>
    <x v="0"/>
    <x v="2"/>
    <s v="No"/>
    <d v="2021-12-03T20:19:00"/>
    <d v="2021-12-07T20:19:00"/>
    <d v="2021-12-21T15:10:00"/>
    <n v="0"/>
    <n v="0"/>
    <m/>
    <s v="No"/>
    <m/>
    <s v=" "/>
    <s v="No"/>
    <m/>
    <m/>
    <m/>
    <m/>
    <d v="2021-12-13T15:09:00"/>
    <m/>
    <m/>
    <x v="0"/>
    <x v="0"/>
    <d v="2021-12-30T00:00:00"/>
    <n v="-16.368750000001455"/>
    <x v="0"/>
    <n v="24000000"/>
    <m/>
    <m/>
    <m/>
    <s v="61.607.302-8"/>
    <s v="Si"/>
    <n v="0.05"/>
    <d v="2024-03-28T00:00:00"/>
    <m/>
    <m/>
    <s v="VIVIANA PUENTES"/>
    <s v="VIVIANA.PUESTES@SSBIOBIO.CL"/>
    <m/>
    <m/>
    <m/>
    <m/>
  </r>
  <r>
    <s v="1057049-396-LE21"/>
    <s v="SMG. ADQUISICION DE INSUMOS PARA VENTILACION Y OTROS INSUMOS PARA LOS SERVICIOS CLINICOS"/>
    <s v="El objetivo de la Propuesta es la adquisición de Insumos Para Ventilación y Otros Insumos Para Los Servicios Clínicos del Hospital Clínico San Borja Arriarán, solicitados en las especificaciones técnicas, en concordancia con las Bases Administrativas, Técnicas, Formularios, aclaraciones y otros documentos que pudieran formularse en el transcurso de la licitación. Se entenderá que todo proveedor conoce y acepta irrevocablemente el contenido de estas Bases, por el solo hecho de presentar ofertas en este proceso de licitación."/>
    <s v="HOSPITAL CLINICO SAN BORJA ARRIARAN"/>
    <m/>
    <m/>
    <x v="0"/>
    <x v="0"/>
    <d v="2021-07-12T17:54:37"/>
    <x v="3"/>
    <x v="0"/>
    <d v="2021-12-13T15:30:00"/>
    <d v="2021-09-12T00:00:00"/>
    <x v="1"/>
    <x v="1"/>
    <s v="Si"/>
    <d v="2021-12-07T21:28:00"/>
    <d v="2021-12-09T16:00:00"/>
    <d v="2022-01-19T18:51:00"/>
    <n v="0"/>
    <n v="0"/>
    <n v="30"/>
    <s v="No"/>
    <m/>
    <s v=" "/>
    <s v="No"/>
    <s v="Contrato"/>
    <n v="24"/>
    <s v="No"/>
    <n v="120"/>
    <d v="2022-04-12T15:30:00"/>
    <n v="180"/>
    <n v="44088"/>
    <x v="1"/>
    <x v="0"/>
    <d v="2022-02-16T00:00:00"/>
    <n v="55.645833333335759"/>
    <x v="1"/>
    <n v="44088"/>
    <m/>
    <m/>
    <m/>
    <s v="61.608.604-9"/>
    <s v="No"/>
    <m/>
    <m/>
    <s v="dipresrecepcion@custodium.com"/>
    <m/>
    <s v="SILVANA ACETO CASSI"/>
    <s v="silvana.aceto@redsalud.gov.cl"/>
    <m/>
    <m/>
    <m/>
    <m/>
  </r>
  <r>
    <s v="1057494-87-LQ21"/>
    <s v="SUMINISTRO DE OXIGENO LIQUIDO"/>
    <s v="SUMINISTRO DE OXIGENO LIQUIDO HOSPITAL EXEQUIEL GONZALEZ CORTES"/>
    <s v="SERVICIO DE SALUD SUR HOSPITAL EXEQUIEL"/>
    <m/>
    <m/>
    <x v="2"/>
    <x v="4"/>
    <d v="2021-11-22T15:40:58"/>
    <x v="1"/>
    <x v="0"/>
    <d v="2021-12-13T16:00:00"/>
    <d v="2021-11-22T18:28:00"/>
    <x v="1"/>
    <x v="1"/>
    <s v="Si"/>
    <d v="2021-11-22T17:01:00"/>
    <d v="2021-12-07T17:00:00"/>
    <d v="2022-01-21T16:00:00"/>
    <n v="0"/>
    <n v="0"/>
    <m/>
    <s v="No"/>
    <m/>
    <s v=" "/>
    <s v="No"/>
    <m/>
    <m/>
    <s v="No"/>
    <m/>
    <d v="2021-12-13T16:00:00"/>
    <m/>
    <m/>
    <x v="0"/>
    <x v="0"/>
    <d v="2022-03-04T00:00:00"/>
    <n v="-80.333333333335759"/>
    <x v="4"/>
    <n v="246"/>
    <m/>
    <m/>
    <m/>
    <s v="61.608.102-0"/>
    <s v="Si"/>
    <n v="0.05"/>
    <d v="2027-06-04T00:00:00"/>
    <m/>
    <m/>
    <s v="Ignacio Diaz Castañeda"/>
    <s v="ignacio.diaz@redsalud.gov.cl"/>
    <m/>
    <m/>
    <m/>
    <m/>
  </r>
  <r>
    <s v="1057499-48-LR21"/>
    <s v="OXIGENOTERAPIA PARA HOSPITALIZACIÓN DOMICILIARIA"/>
    <s v="El Servicio de Salud Metropolitano Sur, ubicado en Avenida Santa Rosa N.º 3453, Comuna de San Miguel, llama a través de su Departamento de Abastecimiento, a licitación pública para la contratación de “OXIGENOTERAPIA PARA HOSPITALIZACIÓN DOMICILIARIA” para la atención de pacientes con problemas respiratorios en las personas mayores o pacientes inmunocomprometidos, que requieren oxigenoterapia y su principal función es evitar hospitalizaciones, los cuales son de carácter necesario para la buena utilización de los recursos y el seguimiento del paciente en su residencia, esto se encuentra en el marco del programa de Hospitalización Domiciliaria."/>
    <s v="SERVICIO DE SALUD SUR UNIDAD HOSPITALARI"/>
    <m/>
    <m/>
    <x v="3"/>
    <x v="5"/>
    <d v="2021-11-12T10:40:53"/>
    <x v="1"/>
    <x v="0"/>
    <d v="2021-12-13T16:00:00"/>
    <d v="2021-11-12T17:48:00"/>
    <x v="0"/>
    <x v="6"/>
    <s v="No"/>
    <d v="2021-11-12T11:00:00"/>
    <d v="2021-12-02T23:00:00"/>
    <d v="2022-01-19T23:00:00"/>
    <n v="336000000"/>
    <n v="282352941.17647058"/>
    <m/>
    <s v="Si"/>
    <n v="1000000"/>
    <d v="2022-04-12T00:00:00"/>
    <s v="No"/>
    <s v="Contrato"/>
    <n v="24"/>
    <s v="No"/>
    <m/>
    <d v="2021-12-13T16:00:00"/>
    <m/>
    <m/>
    <x v="0"/>
    <x v="0"/>
    <d v="2021-12-30T00:00:00"/>
    <n v="-16.333333333335759"/>
    <x v="6"/>
    <n v="325680000"/>
    <m/>
    <m/>
    <m/>
    <s v="61.608.108-K"/>
    <s v="Si"/>
    <n v="0.1"/>
    <d v="2024-04-28T00:00:00"/>
    <m/>
    <m/>
    <s v="Rodrigo Gonzalez"/>
    <s v="rodrigo.gonzalez@redsalud.gov.cl"/>
    <m/>
    <m/>
    <m/>
    <m/>
  </r>
  <r>
    <s v="1057387-33-LE21"/>
    <s v="SUMINISTRO OXIGENO LIQUIDO Y ESTANQUE CRIOGENICO"/>
    <s v="La presente licitación tiene como objetivo el suministro continuo de oxigeno liquido con provisión de estanque criogénico, para el Hospital de Collipulli, conforme a la propuesta más ventajosa para el Establecimiento."/>
    <s v="SERVICIO SALUD ARAUCANIA HOSPITAL DE COLLIPULLI"/>
    <m/>
    <m/>
    <x v="2"/>
    <x v="3"/>
    <d v="2021-12-02T08:55:07"/>
    <x v="2"/>
    <x v="0"/>
    <d v="2021-12-13T17:00:00"/>
    <d v="2021-12-03T15:48:00"/>
    <x v="1"/>
    <x v="1"/>
    <s v="Si"/>
    <d v="2021-12-02T12:45:00"/>
    <d v="2021-12-10T15:45:00"/>
    <d v="2021-12-23T16:18:00"/>
    <n v="0"/>
    <n v="0"/>
    <m/>
    <s v="No"/>
    <m/>
    <s v=" "/>
    <s v="Si"/>
    <m/>
    <m/>
    <s v="No"/>
    <m/>
    <d v="2021-12-13T17:00:00"/>
    <m/>
    <m/>
    <x v="0"/>
    <x v="1"/>
    <d v="2022-02-01T16:32:50"/>
    <n v="-49.981134259258397"/>
    <x v="3"/>
    <m/>
    <m/>
    <m/>
    <m/>
    <s v="61.602.223-7"/>
    <s v="Si"/>
    <n v="0.08"/>
    <d v="2024-02-08T00:00:00"/>
    <m/>
    <m/>
    <s v="Mercedes Cofre Fermandois"/>
    <s v="mercedes.cofre@araucanianorte.cl"/>
    <m/>
    <m/>
    <m/>
    <m/>
  </r>
  <r>
    <s v="1079650-31-LR21"/>
    <s v="AMPLIACIÓN RED DE GASES CLÍNICOS Y ELÉCTRICAS MONOBLOCK HGGB"/>
    <s v="AMPLIACIÓN RED DE GASES CLÍNICOS Y ELÉCTRICAS MONOBLOCK HGGB, SEGÚN DOCUMENTOS ADJUNTOS"/>
    <s v="SERVICIO DE SALUD CONCEPCION"/>
    <m/>
    <m/>
    <x v="4"/>
    <x v="6"/>
    <d v="2021-11-11T11:00:25"/>
    <x v="1"/>
    <x v="0"/>
    <d v="2021-12-13T17:00:00"/>
    <d v="2021-12-01T09:53:00"/>
    <x v="1"/>
    <x v="1"/>
    <s v="Si"/>
    <d v="2021-11-11T15:00:00"/>
    <d v="2021-12-01T15:00:00"/>
    <d v="2022-02-09T17:01:00"/>
    <n v="0"/>
    <n v="0"/>
    <m/>
    <s v="Si"/>
    <n v="3000000"/>
    <d v="2022-04-12T00:00:00"/>
    <s v="Si"/>
    <m/>
    <m/>
    <s v="No"/>
    <m/>
    <d v="2021-12-13T17:00:00"/>
    <m/>
    <m/>
    <x v="0"/>
    <x v="1"/>
    <m/>
    <n v="44543.708333333336"/>
    <x v="3"/>
    <m/>
    <m/>
    <m/>
    <m/>
    <s v="61.607.100-9"/>
    <s v="Si"/>
    <n v="0.1"/>
    <d v="2022-07-10T00:00:00"/>
    <m/>
    <m/>
    <s v="GOBIERNO REGIONAL"/>
    <s v="YSAEZ@GOREBIOBIO.CL"/>
    <m/>
    <m/>
    <m/>
    <m/>
  </r>
  <r>
    <s v="1736-404-LE21"/>
    <s v="ADQUISICION Y SERVICIO DE CAMBIO DE MANIFOLD AGA/MEMO N° 1368-1644"/>
    <s v="SE REQUIERE PARA REPARACION DE FILTRACION DE OXIGENO"/>
    <s v="I MUNICIPALIDAD DE LA COMUNA DE EL BOSQUE"/>
    <m/>
    <m/>
    <x v="2"/>
    <x v="4"/>
    <d v="2021-12-03T16:55:29"/>
    <x v="2"/>
    <x v="0"/>
    <d v="2021-12-13T17:30:00"/>
    <d v="2021-12-09T18:42:00"/>
    <x v="0"/>
    <x v="2"/>
    <s v="No"/>
    <d v="2021-03-12T15:07:00"/>
    <d v="2021-07-12T18:00:00"/>
    <d v="2022-01-31T17:31:00"/>
    <n v="0"/>
    <n v="0"/>
    <m/>
    <s v="No"/>
    <m/>
    <s v=" "/>
    <s v="No"/>
    <m/>
    <m/>
    <m/>
    <m/>
    <d v="2021-12-13T17:30:00"/>
    <m/>
    <m/>
    <x v="0"/>
    <x v="1"/>
    <m/>
    <n v="44543.729166666664"/>
    <x v="3"/>
    <m/>
    <m/>
    <m/>
    <m/>
    <s v="69.255.300-4"/>
    <s v="No"/>
    <m/>
    <m/>
    <m/>
    <m/>
    <s v="ROSE LARENAS MEZA"/>
    <s v="gestionpagooportuno@MUNICIPALIDADELBOSQUE.CL"/>
    <m/>
    <m/>
    <m/>
    <m/>
  </r>
  <r>
    <s v="5594-23-LQ21"/>
    <s v="Servicios Oxigenoterapia Domiciliaria"/>
    <s v="Contratar servicios de oxigenoterapia domiciliaria para los beneficiarios del sistema de salud Fuerza Aérea de Chile a nivel nacional."/>
    <s v="FUERZA AEREA DE CHILE COMANDO LOGISTICO"/>
    <m/>
    <m/>
    <x v="3"/>
    <x v="5"/>
    <d v="2021-11-23T15:30:09"/>
    <x v="1"/>
    <x v="0"/>
    <d v="2021-12-13T18:41:00"/>
    <d v="2021-11-23T17:04:00"/>
    <x v="0"/>
    <x v="0"/>
    <s v="No"/>
    <d v="2021-11-23T20:30:00"/>
    <d v="2021-12-02T17:00:00"/>
    <d v="2022-01-19T17:00:00"/>
    <n v="0"/>
    <n v="0"/>
    <m/>
    <s v="No"/>
    <m/>
    <s v=" "/>
    <s v="No"/>
    <s v="Contrato"/>
    <m/>
    <s v="No"/>
    <m/>
    <d v="2021-12-13T18:41:00"/>
    <m/>
    <m/>
    <x v="0"/>
    <x v="0"/>
    <d v="2022-01-20T00:00:00"/>
    <n v="-37.221527777779556"/>
    <x v="6"/>
    <n v="175000000"/>
    <m/>
    <m/>
    <m/>
    <s v="61.103.005-3"/>
    <s v="Si"/>
    <n v="0.05"/>
    <d v="2027-07-05T00:00:00"/>
    <m/>
    <m/>
    <s v="ALBERTO BAEZA PIZARRO"/>
    <s v="abaezap@fach.mil.cl"/>
    <m/>
    <m/>
    <m/>
    <m/>
  </r>
  <r>
    <s v="2111-255-LQ21"/>
    <s v="ACCESORIOS Y REPUESTOS PARA OXIGENOTERAPIA"/>
    <s v="CONVENIO DE SUMINISTRO DE ACCESORIOS Y REPUESTOS PARA OXIGENOTERAPIA"/>
    <s v="HOSPITAL DE URGENCIA ASISTENCIA PUBLICA DR ALEJANDRO DEL RIO"/>
    <m/>
    <m/>
    <x v="2"/>
    <x v="4"/>
    <d v="2021-12-01T16:50:40"/>
    <x v="2"/>
    <x v="0"/>
    <d v="2021-12-14T15:00:00"/>
    <d v="2021-12-03T14:52:00"/>
    <x v="0"/>
    <x v="2"/>
    <s v="No"/>
    <d v="2021-12-01T17:01:00"/>
    <d v="2021-12-10T18:00:00"/>
    <d v="2022-01-03T15:06:00"/>
    <n v="0"/>
    <n v="0"/>
    <m/>
    <s v="No"/>
    <m/>
    <s v=" "/>
    <s v="No"/>
    <m/>
    <m/>
    <m/>
    <m/>
    <d v="2021-12-14T15:00:00"/>
    <m/>
    <m/>
    <x v="0"/>
    <x v="0"/>
    <d v="2022-03-14T00:00:00"/>
    <n v="-89.375"/>
    <x v="0"/>
    <n v="158800000"/>
    <m/>
    <m/>
    <m/>
    <s v="61.608.602-2"/>
    <s v="Si"/>
    <n v="0.1"/>
    <d v="2024-06-10T00:00:00"/>
    <m/>
    <m/>
    <s v="FELIPE LABRAÑA"/>
    <s v="felipe.labrana@redsalud.gob.cl"/>
    <m/>
    <m/>
    <m/>
    <m/>
  </r>
  <r>
    <s v="1655-65-LE21"/>
    <s v="INSTRUMENTAL DE ENTRENAMIENTO RESPIRATORIO"/>
    <s v="Contar con el Instrumental adecuado para la ejercitación musculatoria a pacientes con enfermedades respiratorias de los Centros de Salud Familiar de la Dirección de Atención Primaria del Servicio de Salud Metropolitano Central."/>
    <s v="SERVICIO DE SALUD METROPOLITANO CENTRAL "/>
    <m/>
    <m/>
    <x v="0"/>
    <x v="0"/>
    <d v="2021-12-07T11:08:45"/>
    <x v="2"/>
    <x v="0"/>
    <d v="2021-12-15T13:02:00"/>
    <d v="2021-09-12T00:00:00"/>
    <x v="1"/>
    <x v="1"/>
    <s v="Si"/>
    <d v="2021-12-07T12:01:00"/>
    <d v="2021-12-13T13:02:00"/>
    <d v="2022-01-17T15:35:00"/>
    <n v="33000000"/>
    <n v="27731092.43697479"/>
    <n v="45"/>
    <s v="No"/>
    <m/>
    <s v=" "/>
    <s v="No"/>
    <s v="Spot"/>
    <m/>
    <s v="No"/>
    <n v="90"/>
    <d v="2022-03-15T13:02:00"/>
    <n v="500"/>
    <m/>
    <x v="0"/>
    <x v="0"/>
    <d v="2022-04-29T00:00:00"/>
    <n v="-44.456944444442343"/>
    <x v="1"/>
    <n v="6322000"/>
    <m/>
    <m/>
    <m/>
    <s v="61.608.605-7"/>
    <s v="No"/>
    <m/>
    <m/>
    <s v="dipresrecepcion@custodium.com"/>
    <m/>
    <s v="Sergio Adriazola"/>
    <s v="sergio.adriazola@redsalud.gob.cl"/>
    <m/>
    <m/>
    <m/>
    <m/>
  </r>
  <r>
    <s v="1057491-175-LQ21"/>
    <s v="SERVICIO DE PROVISION DE GASES MEDICINALES, ARRIENDO DE CILINDROS, Y MANTENCIÓN PREVENTIVA Y CORRECTIVA DE INSTALACIONES DE GASES CLINICOS"/>
    <s v="El Hospital Luis Calvo Mackenna requiere contar con la ADQUISICIÓN, POR SISTEMA DE SUMINISTRO, DEL SERVICIO DE PROVISION DE GASES MEDICINALES, ARRIENDO DE CILINDROS, Y MANTENCIÓN PREVENTIVA Y CORRECTIVA DE INSTALACIONES DE GASES CLINICOS, PARA EL HOSPITAL LUIS CALVO MACKENNA, necesarios para el óptimo desempeño de las dependencias del Hospital."/>
    <s v="SERVICIO DE SALUD ORIENTE HOSPITAL LUIS CALVO MACKENNA"/>
    <m/>
    <m/>
    <x v="2"/>
    <x v="10"/>
    <d v="2021-11-26T11:54:24"/>
    <x v="1"/>
    <x v="0"/>
    <d v="2021-12-17T15:02:00"/>
    <d v="2021-11-29T14:33:00"/>
    <x v="1"/>
    <x v="1"/>
    <s v="Si"/>
    <d v="2021-11-26T12:01:00"/>
    <d v="2021-12-09T18:00:00"/>
    <d v="2022-01-25T10:02:00"/>
    <n v="0"/>
    <n v="0"/>
    <m/>
    <s v="No"/>
    <m/>
    <s v=" "/>
    <s v="Si"/>
    <m/>
    <m/>
    <s v="No"/>
    <m/>
    <d v="2021-12-17T15:02:00"/>
    <m/>
    <m/>
    <x v="0"/>
    <x v="0"/>
    <d v="2021-12-27T00:00:00"/>
    <n v="-9.3736111111138598"/>
    <x v="6"/>
    <n v="140440508"/>
    <m/>
    <m/>
    <m/>
    <s v="61.608.408-9"/>
    <s v="Si"/>
    <n v="0.05"/>
    <d v="2025-08-25T00:00:00"/>
    <m/>
    <m/>
    <s v="Paula Sepulveda"/>
    <s v="psepulveda@calvomackenna.cl"/>
    <m/>
    <m/>
    <m/>
    <m/>
  </r>
  <r>
    <s v="3690-48-L121"/>
    <s v="Insumos y Equipos Prog. Campana de Invierno"/>
    <s v="requiere la compra de Insumos y Equipos Programa Campaña de Invierno, en el contexto de pandemia COVID 19, debido al riesgo de contagio de esta enfermedad respiratoria y para prevención, es necesario la utilización de medidas de barrera y protección para los funcionarios y los ambientes de uso diario, por lo que el uso de EPP junto con filtros bacteriales para procedimientos de pruebas de función pulmonar se hace imprescindible además, contar con implementos de rehabilitación respiratoria para la correcta rehabilitación de pacientes secuelados por esta enfermedad."/>
    <s v="I MUNICIPALIDAD DE LAS CABRAS"/>
    <m/>
    <m/>
    <x v="0"/>
    <x v="0"/>
    <d v="2021-12-14T09:29:42"/>
    <x v="2"/>
    <x v="0"/>
    <d v="2021-12-20T15:00:00"/>
    <m/>
    <x v="0"/>
    <x v="2"/>
    <s v="No"/>
    <d v="2021-12-14T12:45:00"/>
    <d v="2021-12-17T09:00:00"/>
    <d v="2021-12-31T10:24:59"/>
    <n v="0"/>
    <n v="0"/>
    <m/>
    <s v="No"/>
    <m/>
    <s v=" "/>
    <s v="No"/>
    <m/>
    <m/>
    <m/>
    <m/>
    <d v="2021-12-20T15:00:00"/>
    <m/>
    <m/>
    <x v="0"/>
    <x v="0"/>
    <d v="2021-12-30T00:00:00"/>
    <n v="-9.375"/>
    <x v="5"/>
    <n v="32000"/>
    <m/>
    <m/>
    <m/>
    <s v="69.080.800-5"/>
    <s v="No"/>
    <m/>
    <m/>
    <m/>
    <m/>
    <s v="Johanna Poblete"/>
    <s v="finanzas.saludlascabras@gmail.com"/>
    <m/>
    <m/>
    <m/>
    <m/>
  </r>
  <r>
    <s v="4193-59-LE21"/>
    <s v="Contrato Suministro Oxigeno Medico Año 2022"/>
    <s v="Suscribir Contrato Suministro de Oxigeno Medico y Otros para Año 2022 para CESFAM de Caldera."/>
    <s v="I MUNICIPALIDAD DE CALDERA"/>
    <m/>
    <m/>
    <x v="2"/>
    <x v="11"/>
    <d v="2021-12-09T11:48:36"/>
    <x v="2"/>
    <x v="0"/>
    <d v="2021-12-20T15:00:00"/>
    <d v="2021-12-14T00:00:00"/>
    <x v="0"/>
    <x v="2"/>
    <s v="No"/>
    <d v="2021-12-09T12:01:00"/>
    <d v="2021-12-14T20:00:00"/>
    <d v="2021-12-27T17:01:38"/>
    <n v="0"/>
    <n v="0"/>
    <m/>
    <s v="No"/>
    <m/>
    <s v=" "/>
    <s v="No"/>
    <m/>
    <m/>
    <m/>
    <m/>
    <d v="2021-12-20T15:00:00"/>
    <m/>
    <m/>
    <x v="0"/>
    <x v="0"/>
    <d v="2021-12-21T00:00:00"/>
    <n v="-0.375"/>
    <x v="0"/>
    <n v="96171"/>
    <m/>
    <m/>
    <m/>
    <s v="69.030.300-0"/>
    <s v="Si"/>
    <n v="0.05"/>
    <d v="2022-12-31T00:00:00"/>
    <m/>
    <m/>
    <s v="Adelinda Vergara Godoy"/>
    <s v="a.vergara@cesfamcaldera.cl"/>
    <m/>
    <m/>
    <m/>
    <m/>
  </r>
  <r>
    <s v="4123-19-LE21"/>
    <s v="Compra de Equipamiento Clínico para Cesfam de Ninh"/>
    <m/>
    <s v="I MUNICIPALIDAD DE NINHUE"/>
    <m/>
    <m/>
    <x v="0"/>
    <x v="0"/>
    <d v="2021-12-14T09:11:13"/>
    <x v="2"/>
    <x v="0"/>
    <d v="2021-12-20T15:01:00"/>
    <d v="2021-12-16T08:39:00"/>
    <x v="0"/>
    <x v="2"/>
    <s v="No"/>
    <d v="2021-12-14T09:32:00"/>
    <d v="2021-12-17T10:05:00"/>
    <d v="2021-12-24T11:08:17"/>
    <n v="0"/>
    <n v="0"/>
    <m/>
    <s v="No"/>
    <m/>
    <s v=" "/>
    <s v="No"/>
    <m/>
    <m/>
    <m/>
    <m/>
    <d v="2021-12-20T15:01:00"/>
    <m/>
    <m/>
    <x v="0"/>
    <x v="0"/>
    <d v="2021-12-23T00:00:00"/>
    <n v="-2.3743055555532919"/>
    <x v="0"/>
    <n v="270000"/>
    <m/>
    <m/>
    <m/>
    <s v="69.140.302-5"/>
    <s v="No"/>
    <m/>
    <m/>
    <m/>
    <m/>
    <s v="Juan Rodríguez Jara"/>
    <s v="saludninhue@gmail.com"/>
    <m/>
    <m/>
    <m/>
    <m/>
  </r>
  <r>
    <s v="2274-119-L121"/>
    <s v="Adquisicion carga oxigeno cesfam dec.2566"/>
    <s v="cesfam comuna de la pintana"/>
    <s v="I MUNICIPALIDAD DE LA PINTANA"/>
    <m/>
    <m/>
    <x v="2"/>
    <x v="4"/>
    <d v="2021-12-13T09:59:02"/>
    <x v="2"/>
    <x v="0"/>
    <d v="2021-12-20T15:44:00"/>
    <d v="2021-12-15T00:00:00"/>
    <x v="0"/>
    <x v="2"/>
    <s v="No"/>
    <d v="2021-12-13T15:45:00"/>
    <d v="2021-12-16T18:44:00"/>
    <d v="2022-03-24T15:45:00"/>
    <n v="0"/>
    <n v="0"/>
    <m/>
    <s v="No"/>
    <m/>
    <s v=" "/>
    <s v="No"/>
    <m/>
    <m/>
    <m/>
    <m/>
    <d v="2021-12-20T15:44:00"/>
    <m/>
    <m/>
    <x v="0"/>
    <x v="3"/>
    <m/>
    <n v="44550.655555555553"/>
    <x v="3"/>
    <m/>
    <m/>
    <m/>
    <m/>
    <s v="69.253.800-5"/>
    <s v="No"/>
    <m/>
    <m/>
    <m/>
    <m/>
    <s v="DEPARTAMENTO DE TESORERIA"/>
    <s v="tesoreria.lapintana@gmail.com"/>
    <m/>
    <m/>
    <m/>
    <m/>
  </r>
  <r>
    <s v="4375-206-LQ21"/>
    <s v="CONVENIO SUMINISTRO OXÍGENO LÍQUIDO MEDICINAL CRIOGÉNICO"/>
    <s v="El HGGB necesita contar con convenio suministro de oxigeno liquido medicinal, para todo el complejo hospitalario, por un periodo de 36 meses. Solicitado por Profesional de Departamento de Desarrollo Industrial mediante requerimiento N° 16692"/>
    <s v="HOSPITAL GUILLERMO GRANT BENAVENTE DE CO"/>
    <m/>
    <m/>
    <x v="2"/>
    <x v="2"/>
    <d v="2021-11-30T16:22:11"/>
    <x v="1"/>
    <x v="0"/>
    <d v="2021-12-20T16:00:00"/>
    <d v="2021-12-01T08:47:00"/>
    <x v="1"/>
    <x v="1"/>
    <s v="Si"/>
    <d v="2021-11-30T18:00:00"/>
    <d v="2021-12-13T16:00:00"/>
    <d v="2022-02-21T18:47:00"/>
    <n v="0"/>
    <n v="0"/>
    <m/>
    <s v="No"/>
    <m/>
    <s v=" "/>
    <s v="Si"/>
    <m/>
    <m/>
    <s v="No"/>
    <m/>
    <d v="2021-12-20T16:00:00"/>
    <m/>
    <m/>
    <x v="0"/>
    <x v="0"/>
    <d v="2022-02-08T00:00:00"/>
    <n v="-49.333333333335759"/>
    <x v="2"/>
    <n v="213000000"/>
    <m/>
    <m/>
    <m/>
    <s v="61.602.189-3"/>
    <s v="Si"/>
    <n v="0.1"/>
    <d v="2025-12-30T00:00:00"/>
    <m/>
    <m/>
    <s v="Loreto Rodriguez Neira"/>
    <s v="lrodriguezn@ssconcepcion.cl"/>
    <m/>
    <m/>
    <m/>
    <m/>
  </r>
  <r>
    <s v="1624-55-L121"/>
    <s v="OXIGENO MEDICO"/>
    <m/>
    <s v="HOSPITAL DE NANCAGUA"/>
    <m/>
    <m/>
    <x v="2"/>
    <x v="4"/>
    <d v="2021-12-15T17:09:50"/>
    <x v="2"/>
    <x v="0"/>
    <d v="2021-12-20T16:45:00"/>
    <d v="2021-12-17T00:00:00"/>
    <x v="0"/>
    <x v="2"/>
    <s v="No"/>
    <d v="2021-12-15T17:09:50"/>
    <d v="2021-12-17T16:45:00"/>
    <d v="2022-01-06T16:45:00"/>
    <n v="0"/>
    <n v="0"/>
    <m/>
    <s v="No"/>
    <m/>
    <s v=" "/>
    <s v="No"/>
    <m/>
    <m/>
    <m/>
    <m/>
    <d v="2021-12-20T16:45:00"/>
    <m/>
    <m/>
    <x v="0"/>
    <x v="1"/>
    <d v="2021-12-22T16:49:01"/>
    <n v="-2.002789351856336"/>
    <x v="3"/>
    <m/>
    <m/>
    <m/>
    <m/>
    <s v="61.602.147-8"/>
    <m/>
    <m/>
    <m/>
    <m/>
    <m/>
    <m/>
    <m/>
    <m/>
    <m/>
    <m/>
    <m/>
  </r>
  <r>
    <s v="1979-154-LE21"/>
    <s v="155.21 CONVENIO SUMINISTRO DE NITROGENO LIQUIDO; PARA HOSPITAL DE NUEVA IMPERIAL."/>
    <s v="El Hospital de Nueva Imperial, consecuente con la política de mejorar la oportunidad y la calidad de atención a los usuarios del sistema público de salud de la comuna de Nueva Imperial, ha denominado convocar a la presente licitación para asegurar el suministro de NITROGENO LIQUIDO, para procedimientos dermatológicos, la recarga de termo con nitrógeno líquido será por un periodo aproximado de 18 meses o hasta que los fondos disponibles para la licitación se hubiesen agotado o extinguidos pudiendo ser renovada por una sola vez y hasta por seis meses"/>
    <s v="HOSPITAL DE NUEVA IMPERIAL"/>
    <m/>
    <m/>
    <x v="2"/>
    <x v="3"/>
    <d v="2021-12-10T16:40:59"/>
    <x v="2"/>
    <x v="0"/>
    <d v="2021-12-21T10:00:00"/>
    <d v="2021-12-13T00:00:00"/>
    <x v="0"/>
    <x v="2"/>
    <s v="No"/>
    <d v="2021-12-10T19:01:00"/>
    <d v="2021-12-17T18:00:00"/>
    <d v="2021-12-29T14:56:27"/>
    <n v="0"/>
    <n v="0"/>
    <m/>
    <s v="No"/>
    <m/>
    <s v=" "/>
    <s v="No"/>
    <m/>
    <m/>
    <m/>
    <m/>
    <d v="2021-12-21T10:00:00"/>
    <m/>
    <m/>
    <x v="0"/>
    <x v="0"/>
    <d v="2021-12-29T00:00:00"/>
    <n v="-7.5833333333357587"/>
    <x v="0"/>
    <n v="2880000"/>
    <m/>
    <m/>
    <m/>
    <s v="61.607.401-6"/>
    <s v="No"/>
    <m/>
    <m/>
    <m/>
    <m/>
    <s v="rocio pizarro"/>
    <s v="rocio.pizarro@asur.cl"/>
    <m/>
    <m/>
    <m/>
    <m/>
  </r>
  <r>
    <s v="2688-42-L121"/>
    <s v="ADQUISICION CARGAS DE OXIGENO Y PRESTAMO ANUAL"/>
    <s v="USO: ADQUISICION CARGAS DE OXIGENO PARA CESFAM ALGARROBO Y PRESTAMO ANUAL DE 2 TUBOS DE OXIGENO 10 M3"/>
    <s v="I MUNICIPALIDAD DE ALGARROBO"/>
    <m/>
    <m/>
    <x v="2"/>
    <x v="9"/>
    <d v="2021-12-14T17:53:18"/>
    <x v="2"/>
    <x v="0"/>
    <d v="2021-12-21T15:00:00"/>
    <d v="2021-12-15T00:00:00"/>
    <x v="0"/>
    <x v="2"/>
    <s v="No"/>
    <d v="2021-12-15T08:30:00"/>
    <d v="2021-12-20T12:00:00"/>
    <d v="2021-12-30T16:55:32"/>
    <n v="0"/>
    <n v="0"/>
    <m/>
    <s v="No"/>
    <m/>
    <s v=" "/>
    <s v="No"/>
    <m/>
    <m/>
    <m/>
    <m/>
    <d v="2021-12-21T15:00:00"/>
    <m/>
    <m/>
    <x v="0"/>
    <x v="0"/>
    <d v="2021-12-22T00:00:00"/>
    <n v="-0.375"/>
    <x v="0"/>
    <n v="1495000"/>
    <m/>
    <m/>
    <m/>
    <s v="69.061.600-9"/>
    <s v="No"/>
    <m/>
    <m/>
    <m/>
    <m/>
    <s v="SRTA. NATALY AZOCAR"/>
    <s v="NAZOCAR@MUNICIPALIDADALGARROBO.CL"/>
    <m/>
    <m/>
    <m/>
    <m/>
  </r>
  <r>
    <s v="1057547-361-LE21"/>
    <s v="MEJORAS RED DE GASES UNIDAD DE PARTOS"/>
    <s v="MEJORAS RED DE GASES UNIDAD DE PARTOS"/>
    <s v="SERVICIO DE SALUD VALDIVIA"/>
    <m/>
    <m/>
    <x v="2"/>
    <x v="3"/>
    <d v="2021-12-18T18:41:23"/>
    <x v="2"/>
    <x v="0"/>
    <d v="2021-12-23T18:46:00"/>
    <d v="2021-12-20T00:00:00"/>
    <x v="0"/>
    <x v="2"/>
    <s v="No"/>
    <d v="2021-12-18T20:45:00"/>
    <d v="2021-12-21T23:59:00"/>
    <d v="2021-12-30T13:25:17"/>
    <n v="0"/>
    <n v="0"/>
    <m/>
    <s v="No"/>
    <m/>
    <s v=" "/>
    <s v="No"/>
    <m/>
    <m/>
    <m/>
    <m/>
    <d v="2021-12-23T18:46:00"/>
    <m/>
    <m/>
    <x v="0"/>
    <x v="0"/>
    <d v="2021-12-30T00:00:00"/>
    <n v="-6.2180555555532919"/>
    <x v="0"/>
    <n v="40817091"/>
    <m/>
    <m/>
    <m/>
    <s v="61.607.502-0"/>
    <s v="No"/>
    <m/>
    <m/>
    <m/>
    <m/>
    <s v="Marianela Beltran"/>
    <s v="Marianela.beltran@redsalud.gov.cl"/>
    <m/>
    <m/>
    <m/>
    <m/>
  </r>
  <r>
    <s v="1657-49-L121"/>
    <s v="SUMINISTRO DE GAS ESPECIAL CO2 PARA LABORATORIO DE SALUD PUBLICA AMBIENTAL SRMS4."/>
    <m/>
    <s v="SEREMI DE SALUD IV REGIÓN"/>
    <m/>
    <m/>
    <x v="6"/>
    <x v="7"/>
    <d v="2021-12-17T13:00:13"/>
    <x v="2"/>
    <x v="0"/>
    <d v="2021-12-24T10:00:00"/>
    <d v="2021-12-21T00:00:00"/>
    <x v="1"/>
    <x v="1"/>
    <s v="Si"/>
    <d v="2021-12-17T13:00:13"/>
    <d v="2021-12-20T17:00:00"/>
    <d v="2021-12-29T15:14:56"/>
    <n v="0"/>
    <n v="0"/>
    <m/>
    <s v="No"/>
    <m/>
    <s v=" "/>
    <s v="No"/>
    <m/>
    <m/>
    <s v="No"/>
    <m/>
    <d v="2021-12-24T10:00:00"/>
    <m/>
    <m/>
    <x v="0"/>
    <x v="0"/>
    <d v="2021-12-29T00:00:00"/>
    <n v="-4.5833333333357587"/>
    <x v="1"/>
    <n v="115002"/>
    <m/>
    <m/>
    <m/>
    <s v="61.601.000-K"/>
    <s v="No"/>
    <m/>
    <m/>
    <m/>
    <m/>
    <m/>
    <m/>
    <m/>
    <m/>
    <m/>
    <m/>
  </r>
  <r>
    <s v="1057461-67-L121"/>
    <s v="ADQUISICIÓN MOBILIARIO Y EQUIPOS MÉDICOS PARA HOSPITAL CAUQUENES"/>
    <s v="POR PROYECTOS ITS SE REQUIERE ADQUIRIR CAMILLA GINECOLOGICA Y LAMPARA LED DE PIE PARA SERVICIO GINECOLOGICO. AL MOMENTO DE OFERTAR ES ESENCIAL AJUSTARSE A PRESUPUESTO DISPONIBLE CON EL QUE CUENTA HOSPITAL DE CAUQUENES, SE DESCRIBEN EN ITEMS INGRESADOS POR LOS SUMINISTROS. POR SUBTITULO 29 SE REQUIERE ADQUIRIR DE EQUIPO CPAP Y LAMPARA FRONTOLUZ PARA SERVICIOS CLÍNICOS Y OTORRINOLARINGÓLOGO. LEER BASES TÉCNICAS Y ADMINISTRATIVAS DE LA PRESENTE LICITACIÓN."/>
    <s v="HOSPITAL DE CAUQUENES"/>
    <m/>
    <m/>
    <x v="0"/>
    <x v="0"/>
    <d v="2021-12-22T12:33:26"/>
    <x v="2"/>
    <x v="0"/>
    <d v="2021-12-27T15:00:00"/>
    <d v="2021-12-23T00:00:00"/>
    <x v="0"/>
    <x v="0"/>
    <s v="No"/>
    <d v="2021-12-22T12:33:26"/>
    <d v="2021-12-24T16:30:00"/>
    <d v="2021-12-30T15:01:08"/>
    <n v="0"/>
    <n v="0"/>
    <m/>
    <s v="No"/>
    <m/>
    <s v=" "/>
    <s v="No"/>
    <m/>
    <m/>
    <m/>
    <m/>
    <d v="2021-12-27T15:00:00"/>
    <m/>
    <m/>
    <x v="0"/>
    <x v="0"/>
    <d v="2021-12-30T00:00:00"/>
    <n v="-2.375"/>
    <x v="7"/>
    <n v="555000"/>
    <m/>
    <m/>
    <m/>
    <s v="61.606.913-6"/>
    <m/>
    <m/>
    <m/>
    <m/>
    <m/>
    <m/>
    <m/>
    <m/>
    <m/>
    <m/>
    <m/>
  </r>
  <r>
    <s v="3705-105-LE21"/>
    <s v="CONVENIO DE SUMINISTRO DE OXIGENO 2022"/>
    <s v="CONVENIO DE SUMINISTRO DE OXIGENO LOS SAUCES AÑO 2022"/>
    <s v="I MUNICIPALIDAD DE LOS SAUCES"/>
    <m/>
    <m/>
    <x v="2"/>
    <x v="3"/>
    <d v="2021-12-18T13:06:00"/>
    <x v="2"/>
    <x v="0"/>
    <d v="2021-12-27T15:30:00"/>
    <d v="2021-12-20T00:00:00"/>
    <x v="0"/>
    <x v="2"/>
    <s v="No"/>
    <d v="2021-12-18T14:01:00"/>
    <d v="2021-12-22T17:31:00"/>
    <d v="2021-12-31T17:30:00"/>
    <n v="0"/>
    <n v="0"/>
    <m/>
    <s v="No"/>
    <m/>
    <s v=" "/>
    <s v="No"/>
    <m/>
    <m/>
    <m/>
    <m/>
    <d v="2021-12-27T15:30:00"/>
    <m/>
    <m/>
    <x v="0"/>
    <x v="0"/>
    <d v="2022-02-03T00:00:00"/>
    <n v="-37.354166666664241"/>
    <x v="0"/>
    <n v="354500"/>
    <m/>
    <m/>
    <m/>
    <s v="69.180.300-7"/>
    <s v="No"/>
    <m/>
    <m/>
    <m/>
    <m/>
    <s v="MERY HERNADEZ ZUÑIGA"/>
    <s v="mhernandez@munilossauces.com"/>
    <m/>
    <m/>
    <m/>
    <m/>
  </r>
  <r>
    <s v="522-14-LE21"/>
    <s v="Convenio suministro oxígeno, Hospital Litueche"/>
    <s v="El Hospital de Litueche requiere convenio suministro para recarga de oxígeno, arriendo y otros insumos para asegurar el abastecimiento permanente continuio de los pacientes oxígeno requirientes."/>
    <s v="HOSPITAL DE LITUECHE"/>
    <m/>
    <m/>
    <x v="2"/>
    <x v="4"/>
    <d v="2021-12-15T10:43:25"/>
    <x v="2"/>
    <x v="0"/>
    <d v="2021-12-27T16:14:00"/>
    <d v="2021-12-17T00:00:00"/>
    <x v="0"/>
    <x v="2"/>
    <s v="No"/>
    <d v="2021-12-15T17:00:00"/>
    <d v="2021-12-21T13:00:00"/>
    <d v="2022-02-28T16:15:00"/>
    <n v="0"/>
    <n v="0"/>
    <m/>
    <s v="No"/>
    <m/>
    <s v=" "/>
    <s v="No"/>
    <m/>
    <m/>
    <m/>
    <m/>
    <d v="2021-12-27T16:14:00"/>
    <m/>
    <m/>
    <x v="0"/>
    <x v="0"/>
    <d v="2022-02-24T00:00:00"/>
    <n v="-58.323611111110949"/>
    <x v="2"/>
    <n v="155281"/>
    <m/>
    <m/>
    <m/>
    <s v="61.602.152-4"/>
    <s v="Si"/>
    <n v="300000"/>
    <d v="2023-01-15T00:00:00"/>
    <m/>
    <m/>
    <s v="Sara Daza Gallardo"/>
    <s v="sara.daza@saludohiggins.cl"/>
    <m/>
    <m/>
    <m/>
    <m/>
  </r>
  <r>
    <s v="4493-50-L121"/>
    <s v="CONTRATO DE SUMINISTRO POR OXIGENO MEDICINAL"/>
    <s v="CONTRATO DE SUMINISTRO POR OXIGENO MEDICINAL"/>
    <s v="Ilustre Municipalidad de Penco"/>
    <m/>
    <m/>
    <x v="2"/>
    <x v="2"/>
    <d v="2021-12-21T17:05:07"/>
    <x v="2"/>
    <x v="0"/>
    <d v="2021-12-27T18:25:00"/>
    <d v="2021-12-22T00:00:00"/>
    <x v="0"/>
    <x v="2"/>
    <s v="No"/>
    <d v="2021-12-21T20:25:00"/>
    <d v="2021-12-25T20:25:00"/>
    <d v="2021-12-29T12:30:00"/>
    <n v="0"/>
    <n v="0"/>
    <m/>
    <s v="No"/>
    <m/>
    <s v=" "/>
    <s v="No"/>
    <m/>
    <m/>
    <m/>
    <m/>
    <d v="2021-12-27T18:25:00"/>
    <m/>
    <m/>
    <x v="0"/>
    <x v="0"/>
    <d v="2021-12-31T00:00:00"/>
    <n v="-3.2326388888905058"/>
    <x v="0"/>
    <n v="4000000"/>
    <m/>
    <m/>
    <m/>
    <s v="69.150.502-2"/>
    <s v="No"/>
    <m/>
    <m/>
    <m/>
    <m/>
    <s v="Gabriel Sánchez Morales"/>
    <s v="gsanchez@penco.cl"/>
    <m/>
    <m/>
    <m/>
    <m/>
  </r>
  <r>
    <s v="3944-43-L121"/>
    <s v="LICITACION CONCENTRADOR DE OXIGENO PORTATIL"/>
    <m/>
    <s v="I MUNICIPALIDAD DE PERALILLO"/>
    <m/>
    <m/>
    <x v="0"/>
    <x v="0"/>
    <d v="2021-12-21T13:49:10"/>
    <x v="2"/>
    <x v="0"/>
    <d v="2021-12-27T21:15:00"/>
    <d v="2021-12-21T00:00:00"/>
    <x v="0"/>
    <x v="4"/>
    <s v="No"/>
    <d v="2021-12-22T21:15:00"/>
    <d v="2021-12-23T21:15:00"/>
    <d v="2021-12-28T19:57:20"/>
    <n v="0"/>
    <n v="0"/>
    <m/>
    <s v="No"/>
    <m/>
    <s v=" "/>
    <s v="No"/>
    <m/>
    <m/>
    <m/>
    <m/>
    <d v="2021-12-27T21:15:00"/>
    <m/>
    <m/>
    <x v="0"/>
    <x v="1"/>
    <d v="2021-12-28T00:00:00"/>
    <n v="-0.11458333333575865"/>
    <x v="3"/>
    <m/>
    <m/>
    <m/>
    <m/>
    <s v="69.091.500-6"/>
    <s v="No"/>
    <m/>
    <m/>
    <m/>
    <m/>
    <m/>
    <m/>
    <m/>
    <m/>
    <m/>
    <m/>
  </r>
  <r>
    <s v="5586-380-LE21"/>
    <s v="CONTRATO DE SUMINISTRO GASES CON CERTIFICACIÓN"/>
    <s v="se requiere de licitación pública para contrato de suministro Gases con Certificación para Laboratorios de Agroindustria de la Universidad de la Frontera."/>
    <s v="UNIVERSIDAD DE LA FRONTERA"/>
    <m/>
    <m/>
    <x v="2"/>
    <x v="3"/>
    <d v="2021-12-14T13:01:19"/>
    <x v="2"/>
    <x v="0"/>
    <d v="2021-12-28T09:00:00"/>
    <d v="2021-12-15T00:00:00"/>
    <x v="0"/>
    <x v="2"/>
    <s v="No"/>
    <d v="2021-12-14T19:00:00"/>
    <d v="2021-12-22T19:00:00"/>
    <d v="2022-01-28T19:00:00"/>
    <n v="0"/>
    <n v="0"/>
    <m/>
    <s v="No"/>
    <m/>
    <s v=" "/>
    <s v="No"/>
    <m/>
    <m/>
    <m/>
    <m/>
    <d v="2021-12-28T09:00:00"/>
    <m/>
    <m/>
    <x v="0"/>
    <x v="1"/>
    <d v="2022-01-18T15:36:22"/>
    <n v="-21.2752546296324"/>
    <x v="3"/>
    <m/>
    <m/>
    <m/>
    <m/>
    <s v="87.912.900-1"/>
    <s v="Si"/>
    <n v="0.05"/>
    <d v="2025-04-25T00:00:00"/>
    <m/>
    <m/>
    <s v="Miguel Sandoval"/>
    <s v="miguel.sandoval@ufrontera.cl"/>
    <m/>
    <m/>
    <m/>
    <m/>
  </r>
  <r>
    <s v="4735-24-LE21"/>
    <s v="CS OXIGENO MEDICINAL Y ARRIENDO TUBOS 2022"/>
    <s v="PARA EL SERVICIO DE URGENCIA RURAL DEL CESFAM Y POSTAS DE SALUD RURAL DE LA COMUNA DE CHOLCHOL."/>
    <s v="MUNICIPALIDAD DE CHOLCHOL"/>
    <m/>
    <m/>
    <x v="2"/>
    <x v="3"/>
    <d v="2021-12-20T23:35:38"/>
    <x v="2"/>
    <x v="0"/>
    <d v="2021-12-30T09:00:00"/>
    <d v="2021-12-21T00:00:00"/>
    <x v="0"/>
    <x v="2"/>
    <s v="No"/>
    <d v="2021-12-20T23:59:00"/>
    <d v="2021-12-24T23:59:00"/>
    <d v="2022-01-07T16:00:00"/>
    <n v="0"/>
    <n v="0"/>
    <m/>
    <s v="Si"/>
    <n v="100000"/>
    <d v="2022-01-31T00:00:00"/>
    <s v="No"/>
    <m/>
    <m/>
    <m/>
    <m/>
    <d v="2021-12-30T09:00:00"/>
    <m/>
    <m/>
    <x v="0"/>
    <x v="0"/>
    <d v="2021-01-12T00:00:00"/>
    <n v="352.375"/>
    <x v="2"/>
    <n v="138878"/>
    <m/>
    <m/>
    <m/>
    <s v="69.265.000-k"/>
    <s v="Si"/>
    <n v="0.1"/>
    <d v="2022-12-31T00:00:00"/>
    <m/>
    <m/>
    <s v="ROGER GAJARDO POBLETE"/>
    <s v="finanzasdsmcholchol@gmail.com"/>
    <m/>
    <m/>
    <m/>
    <m/>
  </r>
  <r>
    <s v="2762-34-LP21"/>
    <s v="OXIGENO MEDICINAL CON CILINDROS EN COMODATO"/>
    <s v="La Ilustre Municipalidad de Coronel, como responsable de la administración de los establecimientos de atención primaria de salud, llama a Licitación Pública para la provisión o suministro de Oxígeno medicinal, considerando la recarga de cilindros y arriendo de cilindros para todos los servicios de urgencia de los Centros de Salud y SAR Carlos Pinto Fierro."/>
    <s v="I MUNICIPALIDAD DE CORONEL"/>
    <m/>
    <m/>
    <x v="2"/>
    <x v="2"/>
    <d v="2021-12-13T18:12:34"/>
    <x v="2"/>
    <x v="0"/>
    <d v="2021-12-30T15:30:00"/>
    <d v="2021-12-15T00:00:00"/>
    <x v="1"/>
    <x v="1"/>
    <s v="Si"/>
    <d v="2021-12-13T21:11:00"/>
    <d v="2021-12-17T21:11:00"/>
    <d v="2022-01-20T15:00:00"/>
    <n v="0"/>
    <n v="0"/>
    <m/>
    <s v="No"/>
    <m/>
    <s v=" "/>
    <s v="No"/>
    <m/>
    <m/>
    <s v="No"/>
    <m/>
    <d v="2021-12-30T15:30:00"/>
    <m/>
    <m/>
    <x v="0"/>
    <x v="0"/>
    <d v="2022-03-23T00:00:00"/>
    <n v="-82.354166666664241"/>
    <x v="1"/>
    <n v="10884"/>
    <m/>
    <m/>
    <m/>
    <s v="69.151.202-9"/>
    <s v="Si"/>
    <n v="0.05"/>
    <d v="2024-03-31T00:00:00"/>
    <m/>
    <m/>
    <s v="JOSE PEREZ PILCO"/>
    <s v="recaudacion@dascoronel.cl"/>
    <m/>
    <m/>
    <m/>
    <m/>
  </r>
  <r>
    <s v="1624-56-L121"/>
    <s v="OXIGENO MEDICO"/>
    <m/>
    <s v="HOSPITAL DE NANCAGUA"/>
    <m/>
    <m/>
    <x v="2"/>
    <x v="4"/>
    <d v="2021-12-24T10:32:51"/>
    <x v="2"/>
    <x v="0"/>
    <d v="2022-01-03T15:00:00"/>
    <d v="2021-12-27T00:00:00"/>
    <x v="0"/>
    <x v="2"/>
    <s v="No"/>
    <d v="2021-12-24T10:32:51"/>
    <d v="2021-12-29T13:01:00"/>
    <d v="2022-01-11T08:00:00"/>
    <n v="0"/>
    <n v="0"/>
    <m/>
    <s v="No"/>
    <m/>
    <s v=" "/>
    <s v="No"/>
    <m/>
    <m/>
    <m/>
    <m/>
    <d v="2022-01-03T15:00:00"/>
    <m/>
    <m/>
    <x v="0"/>
    <x v="1"/>
    <d v="2022-01-05T15:04:02"/>
    <n v="-2.0028009259258397"/>
    <x v="3"/>
    <m/>
    <m/>
    <m/>
    <m/>
    <s v="61.602.147-8"/>
    <s v="No"/>
    <m/>
    <m/>
    <m/>
    <m/>
    <m/>
    <m/>
    <m/>
    <m/>
    <m/>
    <m/>
  </r>
  <r>
    <s v="4776-48-L121"/>
    <s v="ERVICIO DE MANTENCION PREVENTIVA PARA LA RED DE VACÍO Y OXÍGENO DEL CENTRO DE SALUD Y REHABILITACIÓN CAPREDENA DE LIMACHE"/>
    <m/>
    <s v="CAPREDENA DE LIMACHE"/>
    <m/>
    <m/>
    <x v="2"/>
    <x v="9"/>
    <d v="2021-12-21T08:18:39"/>
    <x v="2"/>
    <x v="0"/>
    <d v="2022-01-03T15:00:00"/>
    <d v="2021-12-21T00:00:00"/>
    <x v="0"/>
    <x v="2"/>
    <s v="No"/>
    <d v="2021-12-21T08:18:39"/>
    <d v="2021-12-31T14:00:00"/>
    <d v="2022-01-21T18:00:00"/>
    <n v="0"/>
    <n v="0"/>
    <m/>
    <s v="No"/>
    <m/>
    <s v=" "/>
    <s v="No"/>
    <m/>
    <m/>
    <m/>
    <m/>
    <d v="2022-01-03T15:00:00"/>
    <m/>
    <m/>
    <x v="0"/>
    <x v="0"/>
    <d v="2022-01-27T00:00:00"/>
    <n v="-23.375"/>
    <x v="0"/>
    <n v="3528000"/>
    <m/>
    <m/>
    <m/>
    <s v="61.108.000-k"/>
    <s v="No"/>
    <m/>
    <m/>
    <m/>
    <m/>
    <m/>
    <m/>
    <m/>
    <m/>
    <m/>
    <m/>
  </r>
  <r>
    <s v="3905-17-LE21"/>
    <s v="SERVICIOS DE RECARGA DE OXIGENO MEDICINAL PARA DEPARTAMENTO DE SALUD DE PINTO, PARA PERIODO AÑO 2022 Y 2023"/>
    <s v="El Departamento de Salud, perteneciente de la I.Municipalidad de Pinto, tiene la necesidad de realizar la suscripción de un convenio de suministro de oxígeno medicinal para cubrir las necesidades del Cesfam , Posta Recinto y Posta Ciruelito."/>
    <s v="Ilustre Municipalidad de Pinto"/>
    <m/>
    <m/>
    <x v="2"/>
    <x v="2"/>
    <d v="2021-12-24T10:20:14"/>
    <x v="2"/>
    <x v="0"/>
    <d v="2022-01-03T16:00:00"/>
    <d v="2021-12-27T00:00:00"/>
    <x v="0"/>
    <x v="2"/>
    <s v="No"/>
    <d v="2021-12-24T13:00:00"/>
    <d v="2021-12-28T15:01:00"/>
    <d v="2022-01-11T08:00:00"/>
    <n v="0"/>
    <n v="0"/>
    <m/>
    <s v="No"/>
    <m/>
    <s v=" "/>
    <s v="No"/>
    <m/>
    <m/>
    <m/>
    <m/>
    <d v="2022-01-03T16:00:00"/>
    <m/>
    <m/>
    <x v="0"/>
    <x v="0"/>
    <d v="2022-01-10T10:54:28"/>
    <n v="-6.7878240740756155"/>
    <x v="0"/>
    <n v="980900"/>
    <m/>
    <m/>
    <m/>
    <s v="72.529.500-6"/>
    <s v="No"/>
    <m/>
    <m/>
    <m/>
    <m/>
    <s v="Marta Muñoz Cifuentes"/>
    <s v="finanzas@desamupinto.cl"/>
    <m/>
    <m/>
    <m/>
    <m/>
  </r>
  <r>
    <s v="3140-22-LE21"/>
    <s v="SUMINISTRO COMPRA OXIGENO MEDICINAL Y MANTENIMIENTO DE REDES"/>
    <s v="CONTRATO SUMINISTRO COMPRA OXIGENO MEDICINAL Y MANTENIMIENTO DE REDES PARA EL DEPARTAMENTO DE SALUD M. LAGO RANCO, PERIODO 2022."/>
    <s v="I MUNICIPALIDAD DE LAGO RANCO"/>
    <m/>
    <m/>
    <x v="2"/>
    <x v="3"/>
    <d v="2021-12-22T17:28:13"/>
    <x v="2"/>
    <x v="0"/>
    <d v="2022-01-03T16:20:00"/>
    <d v="2021-12-23T00:00:00"/>
    <x v="0"/>
    <x v="2"/>
    <s v="No"/>
    <d v="2021-12-22T18:59:00"/>
    <d v="2021-12-28T11:58:00"/>
    <d v="2022-01-13T16:21:00"/>
    <n v="0"/>
    <n v="0"/>
    <m/>
    <s v="No"/>
    <m/>
    <s v=" "/>
    <s v="No"/>
    <m/>
    <m/>
    <m/>
    <m/>
    <d v="2022-01-03T16:20:00"/>
    <m/>
    <m/>
    <x v="0"/>
    <x v="1"/>
    <d v="2022-01-17T16:24:01"/>
    <n v="-14.00278935184906"/>
    <x v="3"/>
    <m/>
    <m/>
    <m/>
    <m/>
    <s v="69.201.100-7"/>
    <s v="No"/>
    <m/>
    <m/>
    <m/>
    <m/>
    <s v="OSVALDO MERINO MEDINA"/>
    <s v="finanzasdesam@lagoranco.cl"/>
    <m/>
    <m/>
    <m/>
    <m/>
  </r>
  <r>
    <s v="2445-178-L121"/>
    <s v="ADQUISICIÓN DE CILINDRO Y RECARGA DE 02 MEDICO PARA SAR BOMBERO GARRIDO Y AGUAS NEGRAS"/>
    <m/>
    <s v="I MUNICIPALIDAD DE CURICO"/>
    <m/>
    <m/>
    <x v="2"/>
    <x v="4"/>
    <d v="2021-12-29T15:25:39"/>
    <x v="2"/>
    <x v="0"/>
    <d v="2022-01-04T18:24:00"/>
    <d v="2021-12-30T00:00:00"/>
    <x v="0"/>
    <x v="2"/>
    <s v="No"/>
    <d v="2021-12-29T15:25:39"/>
    <d v="2022-01-03T15:30:00"/>
    <d v="2022-01-12T16:24:00"/>
    <n v="0"/>
    <n v="0"/>
    <m/>
    <s v="No"/>
    <m/>
    <s v=" "/>
    <s v="No"/>
    <m/>
    <m/>
    <m/>
    <m/>
    <d v="2022-01-04T18:24:00"/>
    <m/>
    <m/>
    <x v="0"/>
    <x v="0"/>
    <d v="2022-01-18T00:00:00"/>
    <n v="-13.233333333329938"/>
    <x v="0"/>
    <n v="1232000"/>
    <m/>
    <m/>
    <m/>
    <s v="69.100.100-8"/>
    <s v="No"/>
    <m/>
    <m/>
    <m/>
    <m/>
    <m/>
    <m/>
    <m/>
    <m/>
    <m/>
    <m/>
  </r>
  <r>
    <s v="3692-45-L121"/>
    <s v="CONTRATACIÓN DEL SERVICIO DE RECARGA DE OXIGENO MEDICINAL Y ARRIENDO DE TUBOS DE OXÍGENO PARA LOS ESTABLECIMIENTOS DE SALUD DE LA MUNICIPALIDAD DE EL QUISCO"/>
    <m/>
    <s v="I MUNICIPALIDAD DE EL QUISCO"/>
    <m/>
    <m/>
    <x v="2"/>
    <x v="9"/>
    <d v="2021-12-30T12:00:35"/>
    <x v="2"/>
    <x v="0"/>
    <d v="2022-01-06T14:00:00"/>
    <d v="2021-12-31T00:00:00"/>
    <x v="0"/>
    <x v="2"/>
    <s v="No"/>
    <d v="2021-12-30T12:00:35"/>
    <d v="2022-01-04T20:58:00"/>
    <d v="2022-01-20T20:58:00"/>
    <n v="0"/>
    <n v="0"/>
    <m/>
    <s v="No"/>
    <m/>
    <s v=" "/>
    <s v="No"/>
    <m/>
    <m/>
    <m/>
    <m/>
    <d v="2022-01-06T14:00:00"/>
    <m/>
    <m/>
    <x v="0"/>
    <x v="0"/>
    <d v="2022-01-24T18:55:43"/>
    <n v="-18.205358796294604"/>
    <x v="0"/>
    <n v="17160"/>
    <m/>
    <m/>
    <m/>
    <s v="69.061.700-5"/>
    <s v="No"/>
    <m/>
    <m/>
    <m/>
    <m/>
    <m/>
    <m/>
    <s v="No se adjudicó el item"/>
    <m/>
    <m/>
    <m/>
  </r>
  <r>
    <s v="3507-111-LE21"/>
    <s v="contrato suministro oxigeno"/>
    <s v="contrato recarga botellas de oxigeno , según anexo adjunto"/>
    <s v="Ilustre Municipalidad de Calbuco"/>
    <m/>
    <m/>
    <x v="2"/>
    <x v="3"/>
    <d v="2021-12-27T16:15:42"/>
    <x v="2"/>
    <x v="0"/>
    <d v="2022-01-06T15:30:00"/>
    <d v="2021-12-27T00:00:00"/>
    <x v="0"/>
    <x v="2"/>
    <s v="No"/>
    <d v="2021-12-27T19:57:00"/>
    <d v="2022-01-03T19:57:00"/>
    <d v="2022-01-07T15:31:00"/>
    <n v="0"/>
    <n v="0"/>
    <m/>
    <s v="No"/>
    <m/>
    <s v=" "/>
    <s v="No"/>
    <m/>
    <m/>
    <m/>
    <m/>
    <d v="2022-01-06T15:30:00"/>
    <m/>
    <m/>
    <x v="0"/>
    <x v="1"/>
    <d v="2022-01-10T15:34:02"/>
    <n v="-4.0028009259258397"/>
    <x v="3"/>
    <m/>
    <m/>
    <m/>
    <m/>
    <s v="65.321.890-7"/>
    <s v="No"/>
    <m/>
    <m/>
    <m/>
    <m/>
    <s v="nadia almonacid q"/>
    <s v="nadia.almonacid@desamcalbuco.cl"/>
    <m/>
    <m/>
    <m/>
    <m/>
  </r>
  <r>
    <s v="4197-30-L121"/>
    <s v="SUMINISTRO OXIGENO QUEMCHI 2 LLAMADO"/>
    <s v="Las presentes Bases, indican los Términos Técnicos y Administrativos de Referencia, correspondiente a la Contratación de Servicios de recarga de Oxigeno médico y arriendo de cilindros para la Red de Establecimientos de Salud la comuna de Quemchi."/>
    <s v="I MUNICIPALIDAD DE QUEMCHI"/>
    <m/>
    <m/>
    <x v="2"/>
    <x v="3"/>
    <d v="2021-12-29T08:54:00"/>
    <x v="2"/>
    <x v="0"/>
    <d v="2022-01-07T10:45:00"/>
    <d v="2021-12-30T00:00:00"/>
    <x v="0"/>
    <x v="2"/>
    <s v="No"/>
    <d v="2021-12-29T12:45:00"/>
    <d v="2022-01-02T12:45:00"/>
    <d v="2022-01-12T10:46:00"/>
    <n v="0"/>
    <n v="0"/>
    <m/>
    <s v="No"/>
    <m/>
    <s v=" "/>
    <s v="No"/>
    <m/>
    <m/>
    <m/>
    <m/>
    <d v="2022-01-07T10:45:00"/>
    <m/>
    <m/>
    <x v="0"/>
    <x v="0"/>
    <d v="2022-01-18T00:00:00"/>
    <n v="-10.552083333335759"/>
    <x v="2"/>
    <n v="83494"/>
    <m/>
    <m/>
    <m/>
    <s v="69.230.200-1"/>
    <s v="No"/>
    <m/>
    <m/>
    <m/>
    <m/>
    <s v="Patricio Oyarzo Campos"/>
    <s v="Finanzas.contabilidad2020@gmail.com"/>
    <m/>
    <m/>
    <m/>
    <m/>
  </r>
  <r>
    <s v="2026-301-LQ21"/>
    <s v="ARRIENDO, TRANSPORTE Y RECARGA DE OXIGENO QUINTERO"/>
    <s v="Las presentes bases rigen la propuesta pública que tiene por objeto contratar los servicios de arriendo de cilindro, transporte y recarga de oxígeno medicinal para Red de Gases Clínicos y uso domiciliario, destinado a pacientes de Hospital Adriana Cosuiño de Quintero"/>
    <s v="SERVICIO SALUD VINA DEL MAR QUILLOTA"/>
    <m/>
    <m/>
    <x v="2"/>
    <x v="9"/>
    <d v="2021-12-16T14:24:29"/>
    <x v="2"/>
    <x v="0"/>
    <d v="2022-01-07T18:00:00"/>
    <d v="2021-12-20T00:00:00"/>
    <x v="0"/>
    <x v="2"/>
    <s v="No"/>
    <d v="2021-12-17T08:00:00"/>
    <d v="2021-12-29T18:00:00"/>
    <d v="2022-02-28T18:00:00"/>
    <n v="0"/>
    <n v="0"/>
    <m/>
    <s v="No"/>
    <m/>
    <s v=" "/>
    <s v="Si"/>
    <m/>
    <m/>
    <m/>
    <m/>
    <d v="2022-01-07T18:00:00"/>
    <m/>
    <m/>
    <x v="0"/>
    <x v="0"/>
    <d v="2022-02-18T00:00:00"/>
    <n v="-41.25"/>
    <x v="4"/>
    <n v="150000000"/>
    <m/>
    <m/>
    <m/>
    <s v="61.606.600-5"/>
    <s v="Si"/>
    <n v="0.05"/>
    <d v="2024-03-29T00:00:00"/>
    <m/>
    <m/>
    <s v="SUBDEPARTAMENTO DE FINANZAS"/>
    <s v="MANUEL.MARIN@REDSALUD.GOV.CL"/>
    <m/>
    <m/>
    <m/>
    <m/>
  </r>
  <r>
    <s v="1660-163-LE21"/>
    <s v="CONVENIO Y SUMINISTRO DE GASES MEDICINALES 2022"/>
    <s v="SE REQUIERE: 1 CONVENIO Y SUMINISTRO DE GASES MEDICINALES AÑO 2022, SE ADJUNTAN BASES ADMINISTRATIVAS Y TÉCNICAS REQUERENTE:HEBER VICENCIO SOTO"/>
    <s v="HOSPITAL DE SALAMANCA"/>
    <m/>
    <m/>
    <x v="2"/>
    <x v="11"/>
    <d v="2021-12-30T15:23:30"/>
    <x v="2"/>
    <x v="0"/>
    <d v="2022-01-10T15:39:00"/>
    <d v="2021-12-31T00:00:00"/>
    <x v="0"/>
    <x v="2"/>
    <s v="No"/>
    <d v="2021-12-30T18:17:00"/>
    <d v="2022-01-03T18:17:00"/>
    <d v="2022-01-31T18:40:00"/>
    <n v="0"/>
    <n v="0"/>
    <m/>
    <s v="No"/>
    <m/>
    <s v=" "/>
    <s v="No"/>
    <m/>
    <m/>
    <m/>
    <m/>
    <d v="2022-01-10T15:39:00"/>
    <m/>
    <m/>
    <x v="0"/>
    <x v="3"/>
    <m/>
    <n v="44571.652083333334"/>
    <x v="3"/>
    <m/>
    <m/>
    <m/>
    <m/>
    <s v="61.606.408-8"/>
    <s v="No"/>
    <m/>
    <m/>
    <m/>
    <m/>
    <s v="MARTIN BRICEÑO TAPIA"/>
    <s v="martin.briceno@redsalud.gov.cl"/>
    <m/>
    <m/>
    <m/>
    <m/>
  </r>
  <r>
    <s v="4337-4-L122"/>
    <s v="C.S. Oxigeno Medical"/>
    <m/>
    <s v="I MUNICIPALIDAD DE RENAICO"/>
    <m/>
    <m/>
    <x v="2"/>
    <x v="3"/>
    <d v="2022-01-06T10:37:48"/>
    <x v="4"/>
    <x v="1"/>
    <d v="2022-01-12T12:26:00"/>
    <d v="2021-01-07T00:00:00"/>
    <x v="0"/>
    <x v="2"/>
    <s v="No"/>
    <d v="2022-01-06T14:26:00"/>
    <d v="2022-01-10T14:26:00"/>
    <d v="2022-01-31T15:27:00"/>
    <n v="0"/>
    <n v="0"/>
    <m/>
    <s v="No"/>
    <m/>
    <s v=" "/>
    <s v="No"/>
    <m/>
    <m/>
    <m/>
    <m/>
    <d v="2022-01-12T12:26:00"/>
    <m/>
    <m/>
    <x v="0"/>
    <x v="0"/>
    <d v="2022-02-14T00:00:00"/>
    <n v="-32.481944444443798"/>
    <x v="0"/>
    <n v="15000"/>
    <m/>
    <m/>
    <m/>
    <s v="69.180.400-3"/>
    <s v="No"/>
    <m/>
    <m/>
    <m/>
    <m/>
    <s v="Tatiana Quintana"/>
    <s v="cesfamrenaicofacturacion@gmail.com"/>
    <m/>
    <m/>
    <m/>
    <m/>
  </r>
  <r>
    <s v="2744-1-L122"/>
    <s v="Servicio de Arriendo de Cilindros, Suministro y Recarga de Oxigeno Gaseoso Medicinal"/>
    <s v="Req. de compra N°90 Servicio de Arriendo de Cilindros, Suministro y Recarga de Oxigeno Gaseoso Medicinal"/>
    <s v="I MUNICIPALIDAD DE ANGOL"/>
    <m/>
    <m/>
    <x v="2"/>
    <x v="3"/>
    <d v="2022-01-06T14:59:00"/>
    <x v="4"/>
    <x v="1"/>
    <d v="2022-01-12T16:52:00"/>
    <d v="2022-01-11T00:00:00"/>
    <x v="0"/>
    <x v="2"/>
    <s v="No"/>
    <d v="2022-01-06T18:52:00"/>
    <d v="2022-01-10T19:52:00"/>
    <d v="2022-01-31T16:53:00"/>
    <n v="0"/>
    <n v="0"/>
    <m/>
    <s v="No"/>
    <m/>
    <s v=" "/>
    <s v="No"/>
    <m/>
    <m/>
    <m/>
    <m/>
    <d v="2022-01-12T16:52:00"/>
    <m/>
    <m/>
    <x v="0"/>
    <x v="0"/>
    <d v="2022-01-20T00:00:00"/>
    <n v="-7.297222222223354"/>
    <x v="2"/>
    <n v="9300"/>
    <m/>
    <m/>
    <m/>
    <s v="69.180.100-4"/>
    <s v="No"/>
    <m/>
    <m/>
    <m/>
    <m/>
    <s v="Pedro Parada Díaz"/>
    <s v="pedro.parada@dsmangol.cl"/>
    <m/>
    <m/>
    <m/>
    <m/>
  </r>
  <r>
    <s v="162-1-LE22"/>
    <s v="Provisión de Gases Especiales a Laboratorios"/>
    <s v="Necesidad de adquirir servicios de provisión de Gases Especiales, para los Laboratorios de Osorno, Puerto Montt, Castro y Quellón."/>
    <s v="SUBSECRETARIA DE SALUD X REGIÓN"/>
    <m/>
    <m/>
    <x v="6"/>
    <x v="12"/>
    <d v="2022-01-03T09:37:32"/>
    <x v="4"/>
    <x v="1"/>
    <d v="2022-01-13T16:00:00"/>
    <d v="2022-01-04T00:00:00"/>
    <x v="0"/>
    <x v="2"/>
    <s v="No"/>
    <d v="2022-01-03T10:30:00"/>
    <d v="2022-01-07T12:00:00"/>
    <d v="2022-01-31T18:00:00"/>
    <n v="0"/>
    <n v="0"/>
    <m/>
    <s v="No"/>
    <m/>
    <s v=" "/>
    <s v="No"/>
    <m/>
    <m/>
    <m/>
    <m/>
    <d v="2022-01-13T16:00:00"/>
    <m/>
    <m/>
    <x v="0"/>
    <x v="0"/>
    <d v="2022-02-03T09:56:06"/>
    <n v="-20.74729166666657"/>
    <x v="2"/>
    <n v="4856965"/>
    <m/>
    <m/>
    <m/>
    <s v="61.601.000-K"/>
    <s v="No"/>
    <m/>
    <m/>
    <m/>
    <m/>
    <s v="Jose Pizarro Peña"/>
    <s v="jose.pizarrop@redsalud.gov.cl"/>
    <m/>
    <m/>
    <m/>
    <m/>
  </r>
  <r>
    <s v="3959-3-L122"/>
    <s v="CONVENIO SUMINISTRO MANTENCION Y RECARGA OXIGENO, N/P N° 740"/>
    <m/>
    <s v="I MUNICIPALIDAD DE NAVIDAD"/>
    <m/>
    <m/>
    <x v="2"/>
    <x v="4"/>
    <d v="2022-01-06T16:49:00"/>
    <x v="4"/>
    <x v="1"/>
    <d v="2022-01-13T19:49:00"/>
    <d v="2022-01-11T00:00:00"/>
    <x v="0"/>
    <x v="2"/>
    <s v="No"/>
    <d v="2022-01-06T16:49:00"/>
    <d v="2022-01-10T18:49:00"/>
    <d v="2022-01-17T15:49:00"/>
    <n v="0"/>
    <n v="0"/>
    <m/>
    <s v="No"/>
    <m/>
    <s v=" "/>
    <s v="No"/>
    <m/>
    <m/>
    <m/>
    <m/>
    <d v="2022-01-13T19:49:00"/>
    <m/>
    <m/>
    <x v="0"/>
    <x v="1"/>
    <m/>
    <n v="44574.825694444444"/>
    <x v="3"/>
    <m/>
    <m/>
    <m/>
    <m/>
    <s v="69.073.800-7"/>
    <s v="No"/>
    <m/>
    <m/>
    <m/>
    <m/>
    <m/>
    <m/>
    <m/>
    <m/>
    <m/>
    <m/>
  </r>
  <r>
    <s v="3996-110-L121"/>
    <s v="Servicio de oxigeno Medicinal 2022"/>
    <s v="La necesidad de contar con Servicios de oxigeno Medicinal año 2022, para los usuarios de CESFAM Coltauco y sus establecimientos dependientes."/>
    <s v="I MUNICIPALIDAD DE COLTAUCO"/>
    <m/>
    <m/>
    <x v="2"/>
    <x v="4"/>
    <d v="2022-01-06T15:42:00"/>
    <x v="4"/>
    <x v="1"/>
    <d v="2022-01-14T09:01:00"/>
    <d v="2022-01-11T00:00:00"/>
    <x v="0"/>
    <x v="2"/>
    <s v="No"/>
    <d v="2022-01-06T23:59:00"/>
    <d v="2022-01-13T08:30:00"/>
    <d v="2022-01-17T17:34:00"/>
    <n v="0"/>
    <n v="0"/>
    <m/>
    <s v="No"/>
    <m/>
    <s v=" "/>
    <s v="No"/>
    <m/>
    <m/>
    <m/>
    <m/>
    <d v="2022-01-14T09:01:00"/>
    <m/>
    <m/>
    <x v="0"/>
    <x v="0"/>
    <d v="2022-01-20T16:57:33"/>
    <n v="-6.3309374999953434"/>
    <x v="2"/>
    <n v="4708399"/>
    <s v="1/17/2022"/>
    <s v="1/17/2023"/>
    <m/>
    <s v="69.080.700-9"/>
    <s v="No"/>
    <m/>
    <m/>
    <m/>
    <m/>
    <s v="Hilda Rivas Liberona"/>
    <s v="carmen.rivas@coltauco.cl"/>
    <m/>
    <m/>
    <m/>
    <m/>
  </r>
  <r>
    <s v="3996-4-L122"/>
    <s v="Servicio de oxigeno Medicinal Centro de Diálisis 2022"/>
    <s v="La necesidad de contar Servicio de oxigeno Medicinal para el Centro de Diálisis Coltauco."/>
    <s v="I MUNICIPALIDAD DE COLTAUCO"/>
    <m/>
    <m/>
    <x v="2"/>
    <x v="4"/>
    <d v="2022-01-06T16:40:00"/>
    <x v="4"/>
    <x v="1"/>
    <d v="2022-01-14T09:01:00"/>
    <d v="2022-01-11T00:00:00"/>
    <x v="0"/>
    <x v="2"/>
    <s v="No"/>
    <d v="2022-01-06T23:59:00"/>
    <d v="2022-01-13T08:35:00"/>
    <d v="2022-01-27T18:33:00"/>
    <n v="0"/>
    <n v="0"/>
    <m/>
    <s v="No"/>
    <m/>
    <s v=" "/>
    <s v="No"/>
    <m/>
    <m/>
    <m/>
    <m/>
    <d v="2022-01-14T09:01:00"/>
    <m/>
    <m/>
    <x v="0"/>
    <x v="0"/>
    <d v="2022-01-20T16:13:41"/>
    <n v="-6.3004745370344608"/>
    <x v="2"/>
    <n v="1708190"/>
    <m/>
    <m/>
    <m/>
    <s v="69.080.700-9"/>
    <s v="No"/>
    <m/>
    <m/>
    <m/>
    <m/>
    <s v="Hilda Rivas Liberona"/>
    <s v="carmen.rivas@coltauco.cl"/>
    <m/>
    <m/>
    <m/>
    <m/>
  </r>
  <r>
    <s v="2146-2-LE22"/>
    <s v="Compra Serv. recarga de oxígeno médico Hosp. Andac"/>
    <s v="El Hospital de Andacollo, requiere Compra de Servicios de cilindros y recarga de oxígeno medico por un periodo de 2 años"/>
    <s v="HOSPITAL DE ANDACOLLO"/>
    <m/>
    <m/>
    <x v="2"/>
    <x v="11"/>
    <d v="2022-01-04T17:01:00"/>
    <x v="4"/>
    <x v="1"/>
    <d v="2022-01-17T15:05:00"/>
    <d v="2022-01-07T00:00:00"/>
    <x v="0"/>
    <x v="2"/>
    <s v="No"/>
    <d v="2022-01-04T18:13:00"/>
    <d v="2022-01-07T18:13:00"/>
    <d v="2022-02-28T19:18:00"/>
    <n v="0"/>
    <n v="0"/>
    <m/>
    <s v="No"/>
    <m/>
    <s v=" "/>
    <s v="No"/>
    <m/>
    <m/>
    <m/>
    <m/>
    <d v="2022-01-17T15:05:00"/>
    <m/>
    <m/>
    <x v="0"/>
    <x v="0"/>
    <d v="2022-01-25T11:54:30"/>
    <n v="-7.867708333338669"/>
    <x v="2"/>
    <n v="165405"/>
    <m/>
    <m/>
    <m/>
    <s v="61.606.405-3"/>
    <s v="No"/>
    <n v="0.1"/>
    <d v="2024-03-31T00:00:00"/>
    <m/>
    <m/>
    <s v="ZINIA COLLAO VICENTELO"/>
    <s v="zinia.collao@redsalud.gob.cl"/>
    <m/>
    <m/>
    <m/>
    <m/>
  </r>
  <r>
    <s v="1057509-365-LE21"/>
    <s v="CONVENIO ANALGESIA DEL PARTO (LBL)"/>
    <s v="El Hospital Clínico Herminda Martín de Chillán llama a Licitación Pública a través del Portal Mercado Público, para suscribir “CONVENIO ANALGESIA DEL PARTO” de acuerdo a requerimientos especificados en Bases Administrativas y Técnicas de la presente licitación. Se pretende obtener la mejor calidad y oportunidad en la adquisición delos servicios a un precio conveniente."/>
    <s v="HOSPITAL CLINICO HERMINDA MARTIN"/>
    <m/>
    <m/>
    <x v="2"/>
    <x v="2"/>
    <d v="2022-01-11T10:54:46"/>
    <x v="4"/>
    <x v="1"/>
    <d v="2022-01-17T16:00:00"/>
    <d v="2022-01-13T00:00:00"/>
    <x v="1"/>
    <x v="1"/>
    <s v="Si"/>
    <d v="2022-01-13T17:00:00"/>
    <d v="2022-01-14T17:00:00"/>
    <d v="2022-02-15T17:26:00"/>
    <n v="0"/>
    <n v="0"/>
    <m/>
    <s v="No"/>
    <m/>
    <s v=" "/>
    <s v="No"/>
    <m/>
    <m/>
    <s v="No"/>
    <m/>
    <d v="2022-01-17T16:00:00"/>
    <m/>
    <m/>
    <x v="0"/>
    <x v="0"/>
    <d v="2022-02-15T00:00:00"/>
    <n v="-28.333333333335759"/>
    <x v="1"/>
    <n v="21653376"/>
    <m/>
    <m/>
    <m/>
    <s v="61.607.001-0"/>
    <s v="No"/>
    <m/>
    <m/>
    <m/>
    <m/>
    <s v="tgr"/>
    <s v="www.tgr.cl"/>
    <m/>
    <m/>
    <m/>
    <m/>
  </r>
  <r>
    <s v="2910-4-LE22"/>
    <s v="ARRIENDO CILINDRO Y RECARGA DE OXIGENO MEDICINAL"/>
    <s v="El objetivo de la presente licitación es contar con el servicio de arriendo de cilindros, y el suministro de oxígeno medicinal en los Establecimientos de Salud de la Comuna de Futrono y Ambulancias."/>
    <s v="I MUNICIPALIDAD DE FUTRONO"/>
    <m/>
    <m/>
    <x v="2"/>
    <x v="3"/>
    <d v="2022-01-06T16:57:56"/>
    <x v="4"/>
    <x v="1"/>
    <d v="2022-01-17T16:00:00"/>
    <d v="2022-01-11T00:00:00"/>
    <x v="0"/>
    <x v="2"/>
    <s v="No"/>
    <d v="2022-01-10T16:00:00"/>
    <d v="2022-01-12T16:00:00"/>
    <d v="2022-02-01T16:00:00"/>
    <n v="0"/>
    <n v="0"/>
    <m/>
    <s v="No"/>
    <m/>
    <s v=" "/>
    <s v="No"/>
    <m/>
    <m/>
    <m/>
    <m/>
    <d v="2022-01-17T16:00:00"/>
    <m/>
    <m/>
    <x v="0"/>
    <x v="1"/>
    <m/>
    <n v="44578.666666666664"/>
    <x v="3"/>
    <m/>
    <m/>
    <m/>
    <m/>
    <s v="69.200.700-k"/>
    <s v="Si"/>
    <n v="0.05"/>
    <d v="2023-02-28T00:00:00"/>
    <m/>
    <m/>
    <s v="KAREN URIBE"/>
    <s v="KURIBE@MUNIFUTRONO.CL"/>
    <m/>
    <m/>
    <m/>
    <m/>
  </r>
  <r>
    <s v="2908-1-L122"/>
    <s v="Convenio suministro Oxigeno medicinal Cesfam Malal"/>
    <s v="CONVENIO DE SUMINISTRO OXIGENO MEDICINAL CESFAM MALALHUE"/>
    <s v="I MUNICIPALIDAD DE LANCO"/>
    <m/>
    <m/>
    <x v="2"/>
    <x v="3"/>
    <d v="2022-01-10T15:51:57"/>
    <x v="4"/>
    <x v="1"/>
    <d v="2022-01-17T17:38:00"/>
    <d v="2022-01-13T00:00:00"/>
    <x v="0"/>
    <x v="2"/>
    <s v="No"/>
    <d v="2022-01-13T16:40:00"/>
    <d v="2022-01-14T19:38:00"/>
    <d v="2022-01-21T17:39:00"/>
    <n v="0"/>
    <n v="0"/>
    <m/>
    <s v="No"/>
    <m/>
    <s v=" "/>
    <s v="No"/>
    <m/>
    <m/>
    <m/>
    <m/>
    <d v="2022-01-17T17:38:00"/>
    <m/>
    <m/>
    <x v="0"/>
    <x v="1"/>
    <m/>
    <n v="44578.734722222223"/>
    <x v="3"/>
    <m/>
    <m/>
    <m/>
    <m/>
    <s v="69.200.300-4"/>
    <s v="No"/>
    <m/>
    <m/>
    <m/>
    <m/>
    <s v="Alex Vallejos Tapia"/>
    <s v="alex.vallejos@munilanco.cl"/>
    <m/>
    <m/>
    <m/>
    <m/>
  </r>
  <r>
    <s v="1469-5-LE22"/>
    <s v="Adquisición Helio y Nitrógeno Liquido Universidad"/>
    <s v="La presente licitación pública tiene por objeto la adquisición de Adquisición de Campanas de Extracción de gases orgánicos yo corrosivos"/>
    <s v="UNIVERSIDAD DE TALCA"/>
    <m/>
    <m/>
    <x v="6"/>
    <x v="7"/>
    <d v="2022-01-04T17:57:10"/>
    <x v="4"/>
    <x v="1"/>
    <d v="2022-01-17T18:30:00"/>
    <d v="2022-01-04T00:00:00"/>
    <x v="1"/>
    <x v="1"/>
    <s v="Si"/>
    <d v="2022-01-04T19:01:00"/>
    <d v="2022-01-12T19:00:00"/>
    <d v="2022-03-01T18:30:00"/>
    <n v="0"/>
    <n v="0"/>
    <m/>
    <s v="No"/>
    <m/>
    <s v=" "/>
    <s v="No"/>
    <m/>
    <m/>
    <s v="No"/>
    <m/>
    <d v="2022-01-17T18:30:00"/>
    <m/>
    <m/>
    <x v="0"/>
    <x v="1"/>
    <m/>
    <n v="44578.770833333336"/>
    <x v="3"/>
    <m/>
    <m/>
    <m/>
    <m/>
    <s v="70.885.500-6"/>
    <s v="Si"/>
    <n v="0.05"/>
    <m/>
    <m/>
    <m/>
    <s v="Jefe del Departamento de Tesorería"/>
    <s v="psamur@utalca.cl"/>
    <m/>
    <m/>
    <m/>
    <m/>
  </r>
  <r>
    <s v="1057461-4-LE22"/>
    <s v="SUMINISTROS PARA GASES CLINICOS HOSPITAL DE CAUQUENES"/>
    <s v="HOSPITAL DE CAUQUENES SOLICITA SUMINISTROS PARA GASES CLINICOS. DURACIÓN 12 MESES DE CONTRATO SE SOLICITA BOLETA DE FIEL CUMPLIMIENTO SEGÚN LO INDICADO EN BASES. LAS COMPRAS SE REALIZARAN PARCIALIZADAS SEGÚN LO SOLICITE LA ENTIDAD. LEER BASES TÉCNICAS Y ADMINISTRATIVAS ADJUNTAS COMO ANEXOS"/>
    <s v="HOSPITAL DE CAUQUENES SOLICITA SUMINISTROS PARA GASES CLINICOS. DURACIÓN 12 MESES DE CONTRATO SE SOLICITA BOLETA DE FIEL CUMPLIMIENTO SEGÚN LO INDICADO EN BASES. LAS COMPRAS SE REALIZARAN PARCIALIZADAS SEGÚN LO SOLICITE LA ENTIDAD. LEER BASES TÉCNICAS Y ADMINISTRATIVAS ADJUNTAS COMO ANEXOS"/>
    <m/>
    <m/>
    <x v="2"/>
    <x v="2"/>
    <d v="2022-01-07T15:58:06"/>
    <x v="4"/>
    <x v="1"/>
    <d v="2022-01-18T15:00:00"/>
    <d v="2022-01-10T00:00:00"/>
    <x v="0"/>
    <x v="2"/>
    <s v="No"/>
    <d v="2022-01-12T10:00:00"/>
    <d v="2022-01-14T11:00:00"/>
    <d v="2022-02-11T16:00:00"/>
    <n v="0"/>
    <n v="0"/>
    <m/>
    <s v="No"/>
    <m/>
    <s v=" "/>
    <s v="No"/>
    <m/>
    <m/>
    <m/>
    <m/>
    <d v="2022-01-18T15:00:00"/>
    <m/>
    <m/>
    <x v="0"/>
    <x v="0"/>
    <d v="2022-02-11T00:00:00"/>
    <n v="-23.375"/>
    <x v="0"/>
    <n v="28361331"/>
    <m/>
    <m/>
    <m/>
    <s v="61.606.913-6"/>
    <s v="Si"/>
    <n v="0.05"/>
    <d v="2023-03-31T00:00:00"/>
    <m/>
    <m/>
    <s v="Jesús Carmona Coloma"/>
    <s v="jcarmona@ssmaule.cl"/>
    <m/>
    <m/>
    <m/>
    <m/>
  </r>
  <r>
    <s v="1660-6-LE22"/>
    <s v="CONVENIO Y SUMINISTRO DE GASES MEDICINALES 2022"/>
    <s v="SE REQUIERE: CONVENIO Y SUMINISTRO DE GASES MEDICINALES AÑO 2022, SE ADJUNTAN LAS BASES ADMINISTRATIVAS Y TÉCNICAS. REQUERENTE:HEBER VICENCIO SOTO"/>
    <s v="HOSPITAL DE SALAMANCA"/>
    <m/>
    <m/>
    <x v="2"/>
    <x v="11"/>
    <d v="2022-01-10T17:26:48"/>
    <x v="4"/>
    <x v="1"/>
    <d v="2022-01-20T16:40:00"/>
    <d v="2022-01-11T00:00:00"/>
    <x v="0"/>
    <x v="2"/>
    <s v="No"/>
    <d v="2022-01-10T19:57:00"/>
    <d v="2022-01-14T19:57:00"/>
    <d v="2022-01-31T17:42:00"/>
    <n v="0"/>
    <n v="0"/>
    <m/>
    <s v="No"/>
    <m/>
    <s v=" "/>
    <s v="No"/>
    <m/>
    <m/>
    <m/>
    <m/>
    <d v="2022-01-20T16:40:00"/>
    <m/>
    <m/>
    <x v="0"/>
    <x v="0"/>
    <d v="2022-02-07T12:45:37"/>
    <n v="-17.837233796293731"/>
    <x v="2"/>
    <n v="23772144"/>
    <m/>
    <m/>
    <m/>
    <s v="61.606.408-8"/>
    <s v="No"/>
    <m/>
    <m/>
    <m/>
    <m/>
    <s v="MARTIN BRICEÑO TAPIA"/>
    <s v="martin.briceno@redsalud.gov.cl"/>
    <m/>
    <m/>
    <m/>
    <m/>
  </r>
  <r>
    <s v="3853-4-L122"/>
    <s v="Suministro Oxígeno Medicinal Paciente Domiciliario"/>
    <s v="El Departamento de Salud Municipal de Río Bueno, requiere adquirir &quot;Contrato de Suministro de Oxígeno Medicinal para Pacientes Domiciliarios Oxígeno Dependiente&quot;, pertenecientes al CESFAM de la comuna de Río Bueno"/>
    <s v="I MUNICIPALIDAD DE RIO BUENO"/>
    <m/>
    <m/>
    <x v="3"/>
    <x v="5"/>
    <d v="2022-01-14T11:52:00"/>
    <x v="4"/>
    <x v="1"/>
    <d v="2022-01-21T11:00:00"/>
    <d v="2022-01-14T18:22:00"/>
    <x v="0"/>
    <x v="7"/>
    <s v="No"/>
    <d v="2022-01-17T15:00:00"/>
    <d v="2022-01-17T15:10:00"/>
    <d v="2022-02-03T16:00:00"/>
    <n v="0"/>
    <n v="0"/>
    <m/>
    <s v="No"/>
    <m/>
    <s v=" "/>
    <s v="No"/>
    <s v="Contrato"/>
    <m/>
    <s v="No"/>
    <m/>
    <d v="2022-01-21T11:00:00"/>
    <m/>
    <m/>
    <x v="0"/>
    <x v="1"/>
    <m/>
    <n v="44582.458333333336"/>
    <x v="3"/>
    <m/>
    <m/>
    <m/>
    <m/>
    <s v="3853-4-L122"/>
    <s v="No"/>
    <m/>
    <m/>
    <m/>
    <m/>
    <s v="YESSICA HIDALGO LEAL"/>
    <s v="contabilidad.salud@muniriobueno.cl"/>
    <m/>
    <m/>
    <m/>
    <m/>
  </r>
  <r>
    <s v="4484-2-L122"/>
    <s v="SUMINISTRO DE OXIGENO AÑO 2022"/>
    <s v="SE REQUIERE LA CONTRATACION DE SUMINISTRO DE OXIGENO PARA EL AÑO 2022"/>
    <s v="I MUNICIPALIDAD DE TIERRA AMARILLA"/>
    <m/>
    <m/>
    <x v="2"/>
    <x v="11"/>
    <d v="2022-01-17T12:38:02"/>
    <x v="4"/>
    <x v="1"/>
    <d v="2022-01-24T15:00:00"/>
    <d v="2022-01-20T00:00:00"/>
    <x v="0"/>
    <x v="2"/>
    <s v="No"/>
    <d v="2022-01-20T15:00:00"/>
    <d v="2022-01-21T15:00:00"/>
    <d v="2022-01-25T15:01:00"/>
    <n v="0"/>
    <n v="0"/>
    <m/>
    <s v="No"/>
    <m/>
    <s v=" "/>
    <s v="No"/>
    <m/>
    <m/>
    <m/>
    <m/>
    <d v="2022-01-24T15:00:00"/>
    <m/>
    <m/>
    <x v="0"/>
    <x v="0"/>
    <d v="2022-01-27T00:00:00"/>
    <n v="-2.375"/>
    <x v="2"/>
    <n v="80795"/>
    <m/>
    <m/>
    <m/>
    <s v="69.030.400-7"/>
    <s v="No"/>
    <m/>
    <m/>
    <m/>
    <m/>
    <s v="JAVIERA LIRA SOTO"/>
    <s v="JAVIERA.S.LIRA@GMAIL.COM"/>
    <m/>
    <m/>
    <m/>
    <m/>
  </r>
  <r>
    <s v="5520-8-LE22"/>
    <s v="Suministro de Hielo seco argón oxígeno y nitrógeno"/>
    <s v="Por el presente instrumento, IDIEM, licita la contratación del Suministro de Hielo seco, argón, oxígeno y nitrógeno, por un periodo de 24 meses o hasta la total utilización de los recursos asignados para la contratación, lo primero que ocurra, bajo la modalidad de ejecución en el tiempo, según las características que se han definido en las presentes bases administrativas, bases técnicas y anexos."/>
    <s v="UNIVERSIDAD DE CHILE"/>
    <m/>
    <m/>
    <x v="6"/>
    <x v="8"/>
    <d v="2022-01-13T17:04:06"/>
    <x v="4"/>
    <x v="1"/>
    <d v="2022-01-24T19:00:00"/>
    <d v="2022-01-14T00:00:00"/>
    <x v="0"/>
    <x v="2"/>
    <s v="No"/>
    <d v="2022-01-17T18:00:00"/>
    <d v="2022-01-20T18:00:00"/>
    <d v="2022-05-24T18:00:00"/>
    <n v="0"/>
    <n v="0"/>
    <m/>
    <s v="No"/>
    <m/>
    <s v=" "/>
    <s v="No"/>
    <m/>
    <m/>
    <m/>
    <m/>
    <d v="2022-01-24T19:00:00"/>
    <m/>
    <m/>
    <x v="0"/>
    <x v="1"/>
    <m/>
    <n v="44585.791666666664"/>
    <x v="3"/>
    <m/>
    <m/>
    <m/>
    <m/>
    <s v="60.910.000-1"/>
    <s v="No"/>
    <m/>
    <m/>
    <m/>
    <m/>
    <s v="Estefanía Espinoza"/>
    <s v="estefania.espinoza@idiem.cl"/>
    <m/>
    <m/>
    <m/>
    <m/>
  </r>
  <r>
    <s v="1057501-355-LE21"/>
    <s v="CONVENIO CIRCUITOS Y ACCESORIOS PARA MONITORES"/>
    <s v="La necesidad de adquirir los accesorios, para dar continuidad a procedimientos de las distintas unidades del Complejo Asistencial."/>
    <s v="COMPLEJO ASISTENCIAL DR. SOTERO DEL RIO"/>
    <m/>
    <m/>
    <x v="0"/>
    <x v="0"/>
    <d v="2022-01-10T18:08:25"/>
    <x v="4"/>
    <x v="1"/>
    <d v="2022-01-26T10:00:00"/>
    <d v="2022-01-13T00:00:00"/>
    <x v="0"/>
    <x v="0"/>
    <s v="No"/>
    <d v="2022-01-13T09:00:00"/>
    <d v="2022-01-14T17:00:00"/>
    <d v="2022-05-31T10:00:00"/>
    <n v="0"/>
    <n v="0"/>
    <m/>
    <s v="No"/>
    <m/>
    <s v=" "/>
    <s v="No"/>
    <m/>
    <m/>
    <m/>
    <m/>
    <d v="2022-01-26T10:00:00"/>
    <m/>
    <m/>
    <x v="0"/>
    <x v="0"/>
    <d v="2022-02-15T00:00:00"/>
    <n v="-19.583333333335759"/>
    <x v="0"/>
    <n v="11990"/>
    <m/>
    <m/>
    <m/>
    <s v="61.608.502-6"/>
    <s v="No"/>
    <m/>
    <m/>
    <m/>
    <m/>
    <s v="RAMON VARAS"/>
    <s v="ravaras@ssmso.cl"/>
    <m/>
    <m/>
    <m/>
    <m/>
  </r>
  <r>
    <s v="3130-1-LP22"/>
    <s v="SERVICIO DE ABASTECIMIENTO DE GASES MEDICINALES"/>
    <s v="CONTRATAR EL SERVICIO DE ABASTECIMIENTO DE GASES MEDICINALES, CON ARRENDAMIENTO DE ESTANQUE MEDICINAL PARA EL HOSPITAL DE LAS FF.AA. &quot;CIRUJANO GUZMÁN&quot; DE PUNTA ARENAS, POR UN PERÍODO DE 3 AÑOS."/>
    <s v="HOSPITAL NAVAL CIRUJANO GUZMAN DE MAGALLANES"/>
    <m/>
    <m/>
    <x v="2"/>
    <x v="13"/>
    <d v="2022-01-04T17:32:46"/>
    <x v="4"/>
    <x v="1"/>
    <d v="2022-01-26T17:00:00"/>
    <d v="2022-01-20T00:00:00"/>
    <x v="1"/>
    <x v="1"/>
    <s v="Si"/>
    <d v="2022-01-10T18:00:00"/>
    <d v="2022-01-12T18:00:00"/>
    <d v="2022-03-09T17:00:00"/>
    <n v="0"/>
    <n v="0"/>
    <m/>
    <s v="No"/>
    <m/>
    <s v=" "/>
    <s v="Si"/>
    <m/>
    <m/>
    <s v="No"/>
    <m/>
    <d v="2022-01-26T17:00:00"/>
    <m/>
    <m/>
    <x v="0"/>
    <x v="0"/>
    <d v="2022-03-01T00:00:00"/>
    <n v="-33.291666666664241"/>
    <x v="1"/>
    <n v="134059029"/>
    <m/>
    <m/>
    <m/>
    <s v="61.102.029-5"/>
    <s v="Si"/>
    <m/>
    <d v="2025-07-17T00:00:00"/>
    <m/>
    <m/>
    <s v="Maria Soledad Valderas"/>
    <s v="mvalderas@sanidadnaval.cl"/>
    <m/>
    <m/>
    <m/>
    <m/>
  </r>
  <r>
    <s v="4401-7-LE22"/>
    <s v="SC 8 SUMINISTRO DE OXIGENO"/>
    <s v="SE REQUIERE ADQUIRIR SUMINISTRO DE OXIGENO MEDICINAL PARA EL DEPARTAMENTO DE SALUD DE SAN CLEMENTE."/>
    <s v="I MUNICIPALIDAD DE SAN CLEMENTE"/>
    <m/>
    <m/>
    <x v="2"/>
    <x v="4"/>
    <d v="2022-01-17T16:28:15"/>
    <x v="4"/>
    <x v="1"/>
    <d v="2022-01-27T10:00:00"/>
    <d v="2022-01-20T00:00:00"/>
    <x v="0"/>
    <x v="2"/>
    <s v="No"/>
    <d v="2022-01-24T10:00:00"/>
    <d v="2022-01-25T17:00:00"/>
    <d v="2022-02-24T18:52:00"/>
    <n v="0"/>
    <n v="0"/>
    <m/>
    <s v="No"/>
    <m/>
    <s v=" "/>
    <s v="No"/>
    <m/>
    <m/>
    <m/>
    <m/>
    <d v="2022-01-27T10:00:00"/>
    <m/>
    <m/>
    <x v="0"/>
    <x v="0"/>
    <d v="2022-01-31T00:00:00"/>
    <n v="-3.5833333333357587"/>
    <x v="0"/>
    <n v="153800"/>
    <m/>
    <m/>
    <m/>
    <s v="69.110.500-8"/>
    <s v="No"/>
    <m/>
    <m/>
    <m/>
    <m/>
    <s v="Carlos Amaro Ortega"/>
    <s v="pagoproveedores@saludsanclemente.cl"/>
    <m/>
    <m/>
    <m/>
    <m/>
  </r>
  <r>
    <s v="3944-2-L122"/>
    <s v="CONTRATO SUMINISTRO DE OXÍGENO MEDICINAL 24 MESES"/>
    <m/>
    <s v="I MUNICIPALIDAD DE PERALILLO"/>
    <m/>
    <m/>
    <x v="2"/>
    <x v="4"/>
    <d v="2022-01-24T12:38:00"/>
    <x v="4"/>
    <x v="1"/>
    <d v="2022-01-31T15:14:00"/>
    <d v="2022-01-25T00:00:00"/>
    <x v="0"/>
    <x v="2"/>
    <s v="No"/>
    <d v="2022-01-25T17:14:00"/>
    <d v="2022-01-26T13:14:00"/>
    <d v="2022-02-02T11:14:00"/>
    <n v="0"/>
    <n v="0"/>
    <m/>
    <s v="No"/>
    <m/>
    <s v=" "/>
    <s v="No"/>
    <m/>
    <m/>
    <m/>
    <m/>
    <d v="2022-01-31T15:14:00"/>
    <m/>
    <m/>
    <x v="0"/>
    <x v="1"/>
    <m/>
    <n v="44592.634722222225"/>
    <x v="3"/>
    <m/>
    <m/>
    <m/>
    <m/>
    <s v="69.091.500-6"/>
    <s v="No"/>
    <m/>
    <m/>
    <m/>
    <m/>
    <m/>
    <m/>
    <m/>
    <m/>
    <m/>
    <m/>
  </r>
  <r>
    <s v="1947-143-LQ21"/>
    <s v="ADQUISICIÓN DE SUMINISTRO DE GASES CLÍNICOS PARA EL HOSPITAL ROBERTO DEL RÍO(SRA)"/>
    <s v="El objeto de la licitación es la contratación del Suministro de Gases Clínicos, por un periodo de 36 meses, para ejecutar los trabajos de entrega de cilindros con gases de uso medicinal. Asegurando el abastecimiento del Hospital Roberto del Río"/>
    <s v="HOSPITAL ROBERTO DEL RIO"/>
    <m/>
    <m/>
    <x v="2"/>
    <x v="4"/>
    <d v="2022-01-12T17:09:53"/>
    <x v="4"/>
    <x v="1"/>
    <d v="2022-02-01T15:00:00"/>
    <d v="2022-01-18T12:02:00"/>
    <x v="0"/>
    <x v="2"/>
    <s v="No"/>
    <d v="2022-01-12T18:10:00"/>
    <d v="2022-01-24T18:00:00"/>
    <d v="2022-03-02T15:00:00"/>
    <n v="0"/>
    <n v="0"/>
    <m/>
    <s v="Si"/>
    <n v="200000"/>
    <d v="2019-06-01T00:00:00"/>
    <s v="No"/>
    <m/>
    <m/>
    <m/>
    <m/>
    <d v="2022-02-01T15:00:00"/>
    <m/>
    <m/>
    <x v="0"/>
    <x v="0"/>
    <d v="2022-03-17T00:00:00"/>
    <n v="-43.375"/>
    <x v="2"/>
    <n v="477481"/>
    <m/>
    <m/>
    <m/>
    <s v="61.608.004-0"/>
    <s v="Si"/>
    <n v="0.05"/>
    <d v="2025-08-11T00:00:00"/>
    <m/>
    <m/>
    <s v="Scottie Gacitúa Carvallo"/>
    <s v="scottie.gacitua@redsalud.gov.cl"/>
    <m/>
    <m/>
    <m/>
    <m/>
  </r>
  <r>
    <s v="1057492-6-LQ22"/>
    <s v="SERVICIO DE TERAPIA CON OXIDO NÍTRICO"/>
    <s v="SERVICIO DE TERAPIA CON OXIDO NÍTRICO, POR UN PERIODO DE 24 MESES"/>
    <s v="HOSPITAL ORIENTE DR LUIS TISNE BROUSSE"/>
    <m/>
    <m/>
    <x v="1"/>
    <x v="1"/>
    <d v="2022-01-18T11:21:41"/>
    <x v="4"/>
    <x v="1"/>
    <d v="2022-02-07T15:00:00"/>
    <d v="2022-01-18T13:15:00"/>
    <x v="1"/>
    <x v="1"/>
    <s v="Si"/>
    <d v="2022-01-28T15:00:00"/>
    <d v="2022-02-02T15:00:00"/>
    <d v="2022-04-08T15:01:00"/>
    <n v="0"/>
    <n v="0"/>
    <m/>
    <s v="Si"/>
    <n v="300000"/>
    <d v="2022-06-17T00:00:00"/>
    <s v="No"/>
    <m/>
    <m/>
    <s v="No"/>
    <m/>
    <d v="2022-02-07T15:00:00"/>
    <m/>
    <m/>
    <x v="0"/>
    <x v="0"/>
    <d v="2022-02-17T00:00:00"/>
    <n v="-9.375"/>
    <x v="1"/>
    <n v="76700"/>
    <m/>
    <m/>
    <m/>
    <s v="61.959.800-8"/>
    <s v="Si"/>
    <n v="0.05"/>
    <d v="2024-05-22T00:00:00"/>
    <m/>
    <m/>
    <s v="Sr. José Ovalle Belmar"/>
    <s v="pagos@hsoriente.cl"/>
    <m/>
    <m/>
    <m/>
    <m/>
  </r>
  <r>
    <s v="3501-1-LE22"/>
    <s v="SERVICIO DE RECARGA ARRIENDO DE CILINDROS Y FLETE DE OXIGENO GASEOSO MEDICINAL PARA CUBRIR LAS NECESIDADES DEL CESFAM SERVICIO 24 HORAS CECOSF Y AMBULANCIAS"/>
    <s v="ABASTECER LAS DISTINTANTAS UNIDADES DEL DEPARTAMENTO. SEGUN BASES."/>
    <s v="I MUNICIPALIDAD DE QUINTA DE TILCOCO"/>
    <m/>
    <m/>
    <x v="2"/>
    <x v="4"/>
    <d v="2022-01-27T16:50:35"/>
    <x v="4"/>
    <x v="1"/>
    <d v="2022-02-07T15:02:00"/>
    <d v="2022-02-02T00:00:00"/>
    <x v="0"/>
    <x v="2"/>
    <s v="No"/>
    <d v="2022-01-30T17:12:00"/>
    <d v="2022-01-31T17:12:00"/>
    <d v="2022-02-09T15:53:00"/>
    <n v="0"/>
    <n v="0"/>
    <m/>
    <s v="Si"/>
    <n v="500000"/>
    <d v="2022-04-04T00:00:00"/>
    <s v="No"/>
    <m/>
    <m/>
    <m/>
    <m/>
    <d v="2022-02-07T15:02:00"/>
    <m/>
    <m/>
    <x v="0"/>
    <x v="1"/>
    <m/>
    <n v="44599.626388888886"/>
    <x v="3"/>
    <m/>
    <m/>
    <m/>
    <m/>
    <s v="69.081.700-4"/>
    <s v="Si"/>
    <n v="0.05"/>
    <d v="2023-03-01T00:00:00"/>
    <m/>
    <m/>
    <s v="CASANDRA CARMONA"/>
    <s v="finansaludqta@yahoo.es"/>
    <m/>
    <m/>
    <m/>
    <m/>
  </r>
  <r>
    <s v="4488-3-LE22"/>
    <s v="OXIGENO MEDICINAL"/>
    <s v="CONVENIO POR RECARGAS DE OXIGENO MEDICINAL, ARRIENDO DE CILINDROS Y OTROS PARA EL CESFAM YANEQUEN NEGRETE, SUS POSTAS RURALES Y VEHICULOS (AMBULANCIAS)"/>
    <s v="Ilustre Municipalidad de Negrete"/>
    <m/>
    <m/>
    <x v="2"/>
    <x v="2"/>
    <d v="2022-01-27T13:21:19"/>
    <x v="4"/>
    <x v="1"/>
    <d v="2022-02-07T17:34:00"/>
    <d v="2022-02-02T00:00:00"/>
    <x v="0"/>
    <x v="2"/>
    <s v="No"/>
    <d v="2022-01-30T17:08:00"/>
    <d v="2022-01-31T17:08:00"/>
    <d v="2022-02-14T17:35:00"/>
    <n v="0"/>
    <n v="0"/>
    <m/>
    <s v="No"/>
    <m/>
    <s v=" "/>
    <s v="No"/>
    <m/>
    <m/>
    <m/>
    <m/>
    <d v="2022-02-07T17:34:00"/>
    <m/>
    <m/>
    <x v="0"/>
    <x v="1"/>
    <m/>
    <n v="44599.731944444444"/>
    <x v="3"/>
    <m/>
    <m/>
    <m/>
    <m/>
    <s v="69.170.800-4"/>
    <s v="No"/>
    <m/>
    <m/>
    <m/>
    <m/>
    <s v="YESICA CARCAMO LAGOS"/>
    <s v="YCARCAMOLAGOS@GMAIL.COM"/>
    <m/>
    <m/>
    <m/>
    <m/>
  </r>
  <r>
    <s v="2773-6-LE22"/>
    <s v="Servicio de suministro de oxígeno domiciliario"/>
    <s v="Se requiere la contratación del servicio de oxígenoterapia a domicilio, según lo indicado en las bases administrativas especiales y bajo lo señalado en las especificaciones técnicas"/>
    <s v="I MUNICIPALIDAD DE CHIGUAYANTE"/>
    <m/>
    <m/>
    <x v="3"/>
    <x v="5"/>
    <d v="2022-01-31T11:56:09"/>
    <x v="4"/>
    <x v="1"/>
    <d v="2022-02-10T16:38:00"/>
    <d v="2022-02-01T00:00:00"/>
    <x v="0"/>
    <x v="0"/>
    <s v="No"/>
    <d v="2022-02-03T15:27:00"/>
    <d v="2022-02-04T15:27:00"/>
    <d v="2022-02-11T16:39:00"/>
    <n v="0"/>
    <n v="0"/>
    <m/>
    <s v="Si"/>
    <n v="200000"/>
    <d v="2022-01-15T00:00:00"/>
    <s v="No"/>
    <s v="Contrato"/>
    <m/>
    <s v="No"/>
    <m/>
    <d v="2022-02-10T16:38:00"/>
    <m/>
    <m/>
    <x v="0"/>
    <x v="0"/>
    <d v="2022-02-18T00:00:00"/>
    <n v="-7.3069444444408873"/>
    <x v="0"/>
    <n v="82550"/>
    <m/>
    <m/>
    <m/>
    <s v="69.264.700-9"/>
    <s v="Si"/>
    <n v="0.05"/>
    <d v="2023-02-28T00:00:00"/>
    <m/>
    <m/>
    <s v="Hugolina Sanhueza"/>
    <s v="hsanhueza@daschiguayante.cl"/>
    <m/>
    <m/>
    <m/>
    <m/>
  </r>
  <r>
    <s v="2710-20-L122"/>
    <s v="CONTRATO SUMINISTRO OXIGENO MEDICINAL APS OVALLE"/>
    <s v=" "/>
    <s v="MUNICIPALIDAD DE OVALLE"/>
    <m/>
    <m/>
    <x v="2"/>
    <x v="11"/>
    <d v="2022-02-07T09:21:49"/>
    <x v="5"/>
    <x v="1"/>
    <d v="2022-02-11T14:18:00"/>
    <d v="2022-02-07T00:00:00"/>
    <x v="0"/>
    <x v="2"/>
    <s v="No"/>
    <d v="2022-02-10T14:18:00"/>
    <d v="2022-02-11T14:18:00"/>
    <d v="2022-02-16T14:18:00"/>
    <n v="0"/>
    <n v="0"/>
    <m/>
    <s v="No"/>
    <m/>
    <s v=" "/>
    <s v="No"/>
    <m/>
    <m/>
    <m/>
    <m/>
    <d v="2022-02-11T14:18:00"/>
    <m/>
    <m/>
    <x v="0"/>
    <x v="0"/>
    <d v="2022-02-17T00:00:00"/>
    <n v="-5.4041666666671517"/>
    <x v="2"/>
    <n v="81930"/>
    <m/>
    <m/>
    <m/>
    <s v="69.040.700-0"/>
    <s v="No"/>
    <m/>
    <m/>
    <m/>
    <m/>
    <m/>
    <m/>
    <m/>
    <m/>
    <m/>
    <m/>
  </r>
  <r>
    <s v="3636-5-LE22"/>
    <s v="CONVENIO SUMINISTRO OXIGENO MEDICO"/>
    <s v="NECESIDAD DE CONTAR CON SERVICIO DE SUMINISTRO DE OXIGENO MEDICO PARA LOS ESTABLECIMIENTOS DE SALUD DE LA COMUNA."/>
    <s v="Ilustre Municipalidad de Malloa"/>
    <m/>
    <m/>
    <x v="2"/>
    <x v="4"/>
    <d v="2022-02-04T10:16:16"/>
    <x v="5"/>
    <x v="1"/>
    <d v="2022-02-11T16:21:00"/>
    <d v="2022-02-04T00:00:00"/>
    <x v="0"/>
    <x v="2"/>
    <s v="No"/>
    <d v="2022-02-07T14:04:00"/>
    <d v="2022-02-08T14:04:00"/>
    <d v="2022-02-18T14:22:00"/>
    <n v="0"/>
    <n v="0"/>
    <m/>
    <s v="No"/>
    <m/>
    <s v=" "/>
    <s v="No"/>
    <m/>
    <m/>
    <m/>
    <m/>
    <d v="2022-02-11T16:21:00"/>
    <m/>
    <m/>
    <x v="0"/>
    <x v="1"/>
    <m/>
    <n v="44603.681250000001"/>
    <x v="3"/>
    <m/>
    <m/>
    <m/>
    <m/>
    <s v="69.081.500-1"/>
    <s v="No"/>
    <m/>
    <m/>
    <m/>
    <m/>
    <s v="Katherine Ramírez Vargas"/>
    <s v="kgabriela36@gmail.com"/>
    <m/>
    <m/>
    <m/>
    <m/>
  </r>
  <r>
    <s v="4476-4-LE22"/>
    <s v="CONTRATO DE SUMINISTRO RECARGAS DE OXIGENO"/>
    <s v="CONTRATO DE SERVICIO DE RECARGAS DE OXIGENO MEDICINAL PARA DEPTO. DE SALUD DE ROMERAL"/>
    <s v="I.MUNICIPALIDAD DE ROMERAL"/>
    <m/>
    <m/>
    <x v="2"/>
    <x v="4"/>
    <d v="2022-02-01T10:17:06"/>
    <x v="5"/>
    <x v="1"/>
    <d v="2022-02-14T15:01:00"/>
    <d v="2022-02-01T00:00:00"/>
    <x v="0"/>
    <x v="2"/>
    <s v="No"/>
    <d v="2022-02-03T14:06:00"/>
    <d v="2022-02-04T14:06:00"/>
    <d v="2022-02-22T12:34:57"/>
    <n v="0"/>
    <n v="0"/>
    <m/>
    <s v="No"/>
    <m/>
    <s v=" "/>
    <s v="No"/>
    <m/>
    <m/>
    <m/>
    <m/>
    <d v="2022-02-14T15:01:00"/>
    <m/>
    <m/>
    <x v="0"/>
    <x v="0"/>
    <d v="2022-02-22T12:38:33"/>
    <n v="-7.9010763888873043"/>
    <x v="0"/>
    <n v="7400000"/>
    <s v="2/22/2022"/>
    <s v="12/22/2022"/>
    <m/>
    <s v="69.100.200-4"/>
    <s v="No"/>
    <m/>
    <m/>
    <m/>
    <m/>
    <s v="NANCY GARRIDO ORELLANA"/>
    <s v="saludfinanzas@muniromeral.cl"/>
    <m/>
    <m/>
    <m/>
    <m/>
  </r>
  <r>
    <s v="2790-40-L122"/>
    <s v="SERVICIO DE MANTENCION Y REPARACION DEL SISTEMA DE GASES CLINICOS"/>
    <m/>
    <s v="I MUNICIPALIDAD DE PAINE"/>
    <m/>
    <m/>
    <x v="5"/>
    <x v="6"/>
    <d v="2022-02-04T16:11:47"/>
    <x v="5"/>
    <x v="1"/>
    <d v="2022-02-14T15:03:00"/>
    <d v="2022-02-08T00:00:00"/>
    <x v="0"/>
    <x v="2"/>
    <s v="No"/>
    <d v="2022-02-09T20:03:00"/>
    <d v="2022-02-10T20:03:00"/>
    <d v="2022-03-07T20:03:00"/>
    <n v="0"/>
    <n v="0"/>
    <m/>
    <s v="No"/>
    <m/>
    <s v=" "/>
    <s v="Si"/>
    <m/>
    <m/>
    <m/>
    <m/>
    <d v="2022-02-14T15:03:00"/>
    <m/>
    <m/>
    <x v="0"/>
    <x v="0"/>
    <d v="2022-02-25T00:00:00"/>
    <n v="-10.372916666667152"/>
    <x v="0"/>
    <n v="4356000"/>
    <m/>
    <m/>
    <m/>
    <s v="69.072.600-9"/>
    <s v="No"/>
    <m/>
    <m/>
    <m/>
    <m/>
    <m/>
    <m/>
    <m/>
    <m/>
    <m/>
    <m/>
  </r>
  <r>
    <s v="4464-4-LR22"/>
    <s v="CONV. SUMINISTRO DE OXIGENO LÍQUIDO MEDICINAL"/>
    <s v="El Hospital San Juan de Dios de Curicó, CONVENIO DE SUMINISTRO DE OXIGENO LÍQUIDO MEDICINAL para el nuevo recinto del Hospital, para dar un servicio eficiente, tanto a los usuarios como al personal del establecimiento, asegurando un abastecimiento permanente del producto."/>
    <s v="HOSPITAL DE CURICO"/>
    <m/>
    <m/>
    <x v="2"/>
    <x v="4"/>
    <d v="2022-01-14T12:39:58"/>
    <x v="4"/>
    <x v="1"/>
    <d v="2022-02-14T15:04:00"/>
    <d v="2022-01-14T18:50:00"/>
    <x v="0"/>
    <x v="2"/>
    <s v="No"/>
    <d v="2022-01-20T13:02:00"/>
    <d v="2022-01-25T13:03:00"/>
    <d v="2022-03-14T15:06:00"/>
    <n v="0"/>
    <n v="0"/>
    <m/>
    <s v="Si"/>
    <m/>
    <s v=" "/>
    <s v="Si"/>
    <m/>
    <m/>
    <m/>
    <m/>
    <d v="2022-02-14T15:04:00"/>
    <m/>
    <m/>
    <x v="0"/>
    <x v="0"/>
    <d v="2022-03-07T00:00:00"/>
    <n v="-20.372222222220444"/>
    <x v="6"/>
    <n v="192510000"/>
    <m/>
    <m/>
    <m/>
    <s v="61.606.903-9"/>
    <s v="Si"/>
    <m/>
    <d v="2024-06-11T00:00:00"/>
    <m/>
    <m/>
    <s v="Sr. Rodrigo Corvalán Letelier"/>
    <s v="rcorvalan@hospitalcurico.cl"/>
    <m/>
    <m/>
    <m/>
    <m/>
  </r>
  <r>
    <s v="2908-10-L122"/>
    <s v="Convenio suministro Oxigeno medicinal 2° llamado"/>
    <s v="Convenio suministro Oxigeno medicinal Cesfam Malalhue, segundo llamado"/>
    <s v="I MUNICIPALIDAD DE LANCO"/>
    <m/>
    <m/>
    <x v="2"/>
    <x v="3"/>
    <d v="2022-02-07T13:36:09"/>
    <x v="5"/>
    <x v="1"/>
    <d v="2022-02-14T16:00:00"/>
    <d v="2022-02-07T00:00:00"/>
    <x v="0"/>
    <x v="2"/>
    <s v="No"/>
    <d v="2022-02-09T16:00:00"/>
    <d v="2022-02-11T17:33:00"/>
    <d v="2022-02-18T15:34:00"/>
    <n v="0"/>
    <n v="0"/>
    <m/>
    <s v="No"/>
    <m/>
    <s v=" "/>
    <s v="No"/>
    <m/>
    <m/>
    <m/>
    <m/>
    <d v="2022-02-14T16:00:00"/>
    <m/>
    <m/>
    <x v="0"/>
    <x v="0"/>
    <d v="2022-03-04T00:00:00"/>
    <n v="-17.333333333335759"/>
    <x v="2"/>
    <n v="535930"/>
    <m/>
    <m/>
    <m/>
    <s v="69.200.300-4"/>
    <s v="No"/>
    <m/>
    <m/>
    <m/>
    <m/>
    <s v="Alex Vallejos Tapia"/>
    <s v="alex.vallejos@munilanco.cl"/>
    <m/>
    <m/>
    <m/>
    <m/>
  </r>
  <r>
    <s v="621-59-LR22"/>
    <s v="VENTILADOR MECANICO NO INVASIVO BINIVEL 1000016606"/>
    <s v="Bases administrativas y técnicas tipo por las que se regirán los procesos de licitación para la adquisición de fármacos, dispositivos médicos e insumos o alimentos, bajo la modalidad de “distribución directa” destinados al apoyo del ejercicio de acciones de salud, en adelante las “Bases”."/>
    <s v="CENTRAL DE ABASTECIMIENTO"/>
    <m/>
    <m/>
    <x v="0"/>
    <x v="0"/>
    <d v="2022-01-14T15:21:12"/>
    <x v="4"/>
    <x v="1"/>
    <d v="2022-02-14T16:00:00"/>
    <d v="2022-01-21T00:00:00"/>
    <x v="0"/>
    <x v="3"/>
    <s v="No"/>
    <d v="2022-01-24T17:30:00"/>
    <d v="2022-01-27T17:30:00"/>
    <d v="2022-04-18T17:30:00"/>
    <n v="458388000"/>
    <n v="385200000"/>
    <m/>
    <s v="Si"/>
    <n v="10000000"/>
    <d v="2022-06-13T00:00:00"/>
    <s v="No"/>
    <s v="Contrato"/>
    <n v="18"/>
    <s v="Si"/>
    <m/>
    <d v="2022-02-14T16:00:00"/>
    <m/>
    <m/>
    <x v="0"/>
    <x v="1"/>
    <m/>
    <n v="44606.666666666664"/>
    <x v="3"/>
    <m/>
    <m/>
    <m/>
    <m/>
    <s v="61.608.700-2"/>
    <s v="Si"/>
    <n v="0.1"/>
    <d v="2024-05-28T00:00:00"/>
    <m/>
    <m/>
    <s v="Victor Barberis Castex"/>
    <s v="vbarberis@cenabast.cl"/>
    <m/>
    <m/>
    <m/>
    <m/>
  </r>
  <r>
    <s v="4083-2-LE22"/>
    <s v="Convenio Suministro de Oxígeno Medicinal"/>
    <s v="El objetivo de la presente licitación pública es Convenio de Suministro de Oxígeno Gaseoso y Arriendo de Cilindros del Departamento de Salud de la Municipalidad de Cabrero según NP Nº12 emitida con fecha 15-11-2021 de acuerdo a las Bases Administrativas, Bases Técnicas y los Anexos que regulan este proceso licitatorio."/>
    <s v="I MUNICIPALIDAD DE CABRERO"/>
    <m/>
    <m/>
    <x v="2"/>
    <x v="2"/>
    <d v="2022-02-02T16:38:48"/>
    <x v="5"/>
    <x v="1"/>
    <d v="2022-02-14T16:12:00"/>
    <d v="2022-02-04T00:00:00"/>
    <x v="0"/>
    <x v="2"/>
    <s v="No"/>
    <d v="2022-02-07T20:19:00"/>
    <d v="2022-02-10T20:19:00"/>
    <d v="2022-03-15T16:13:00"/>
    <n v="0"/>
    <n v="0"/>
    <m/>
    <s v="No"/>
    <m/>
    <s v=" "/>
    <s v="No"/>
    <m/>
    <m/>
    <m/>
    <m/>
    <d v="2022-02-14T16:12:00"/>
    <m/>
    <m/>
    <x v="0"/>
    <x v="1"/>
    <m/>
    <n v="44606.675000000003"/>
    <x v="3"/>
    <m/>
    <m/>
    <m/>
    <m/>
    <s v="69.151.002-6"/>
    <s v="Si"/>
    <n v="0.1"/>
    <d v="2023-11-30T00:00:00"/>
    <m/>
    <m/>
    <s v="Romina Ambiado Ganga"/>
    <s v="rganga@cabrero.cl"/>
    <m/>
    <m/>
    <m/>
    <m/>
  </r>
  <r>
    <s v="1191382-9-LE22"/>
    <s v="PP 642-2021 “SUMINISTRO DE OXIGENO MEDICINAL PARA LOS CENTROS DE SALUD DEPENDIENTES DEL ÁREA SALUD MUNICIPAL DE VALDIVIA-SOLICITUD Nº 44261”"/>
    <s v="PP 642-2021 / “SUMINISTRO DE OXIGENO MEDICINAL PARA LOS CENTROS DE SALUD DEPENDIENTES DEL ÁREA SALUD MUNICIPAL DE VALDIVIA-SOLICITUD Nº 44261”"/>
    <s v="I MUNICIPALIDAD VALDIVIA"/>
    <m/>
    <m/>
    <x v="2"/>
    <x v="3"/>
    <d v="2022-02-02T12:36:53"/>
    <x v="5"/>
    <x v="1"/>
    <d v="2022-02-15T11:30:00"/>
    <d v="2022-02-02T00:00:00"/>
    <x v="1"/>
    <x v="1"/>
    <s v="Si"/>
    <d v="2022-02-07T17:00:00"/>
    <d v="2022-02-12T17:00:00"/>
    <d v="2022-03-15T19:00:00"/>
    <n v="0"/>
    <n v="0"/>
    <m/>
    <s v="No"/>
    <m/>
    <s v=" "/>
    <s v="No"/>
    <m/>
    <m/>
    <s v="No"/>
    <m/>
    <d v="2022-02-15T11:30:00"/>
    <m/>
    <m/>
    <x v="0"/>
    <x v="0"/>
    <d v="2022-03-25T00:00:00"/>
    <n v="-37.520833333335759"/>
    <x v="1"/>
    <n v="19834"/>
    <m/>
    <m/>
    <m/>
    <s v="69.200.100-1"/>
    <s v="Si"/>
    <n v="0.05"/>
    <d v="2024-06-29T00:00:00"/>
    <m/>
    <m/>
    <s v="RAINIERO ROJAS VEJAR"/>
    <s v="rainiero.desam@gmail.com"/>
    <m/>
    <m/>
    <m/>
    <m/>
  </r>
  <r>
    <s v="483-6-LE22"/>
    <s v="LICITACION INSUMOS CLINICOS"/>
    <s v="El Hospital de Contulmo, requiere adquirir INSUMOS CLINICOS, basándose Bases Administrativas y Técnicas, éstos INSUMOS CLINICOS e Insumos se requieren según Especificaciones Técnicas y con fecha de vencimiento superior a 18 meses."/>
    <s v="HOSPITAL DE CONTULMO"/>
    <m/>
    <m/>
    <x v="2"/>
    <x v="2"/>
    <d v="2022-02-07T17:27:38"/>
    <x v="5"/>
    <x v="1"/>
    <d v="2022-02-15T15:00:00"/>
    <d v="2022-02-08T00:00:00"/>
    <x v="0"/>
    <x v="2"/>
    <s v="No"/>
    <d v="2022-02-10T15:00:00"/>
    <d v="2022-02-11T15:00:00"/>
    <d v="2022-02-18T16:53:51"/>
    <n v="0"/>
    <n v="0"/>
    <m/>
    <s v="No"/>
    <m/>
    <s v=" "/>
    <s v="No"/>
    <m/>
    <m/>
    <m/>
    <m/>
    <d v="2022-02-15T15:00:00"/>
    <m/>
    <m/>
    <x v="0"/>
    <x v="0"/>
    <d v="2022-02-18T00:00:00"/>
    <n v="-2.375"/>
    <x v="0"/>
    <n v="44500"/>
    <m/>
    <m/>
    <m/>
    <s v="61.607.103-3"/>
    <s v="No"/>
    <m/>
    <m/>
    <m/>
    <m/>
    <s v="DAMIAN IBAÑEZ"/>
    <s v="DAMIAN.HCONTULMO@GMAIL.COM"/>
    <m/>
    <m/>
    <m/>
    <m/>
  </r>
  <r>
    <s v="483-6-LE22"/>
    <s v="LICITACION INSUMOS CLINICOS"/>
    <s v="El Hospital de Contulmo, requiere adquirir INSUMOS CLINICOS, basándose Bases Administrativas y Técnicas, éstos INSUMOS CLINICOS e Insumos se requieren según Especificaciones Técnicas y con fecha de vencimiento superior a 18 meses."/>
    <s v="HOSPITAL DE CONTULMO"/>
    <m/>
    <m/>
    <x v="0"/>
    <x v="0"/>
    <d v="2022-02-07T17:27:38"/>
    <x v="5"/>
    <x v="1"/>
    <d v="2022-02-15T15:00:00"/>
    <d v="2022-02-08T00:00:00"/>
    <x v="0"/>
    <x v="7"/>
    <s v="No"/>
    <d v="2022-02-10T15:00:00"/>
    <d v="2022-02-11T15:00:00"/>
    <d v="2022-02-16T15:02:00"/>
    <n v="0"/>
    <n v="0"/>
    <m/>
    <s v="No"/>
    <m/>
    <s v=" "/>
    <s v="No"/>
    <m/>
    <m/>
    <m/>
    <m/>
    <d v="2022-02-15T15:00:00"/>
    <m/>
    <m/>
    <x v="0"/>
    <x v="1"/>
    <d v="2022-02-18T00:00:00"/>
    <n v="-2.375"/>
    <x v="3"/>
    <m/>
    <m/>
    <m/>
    <m/>
    <s v="61.607.103-3"/>
    <s v="No"/>
    <m/>
    <m/>
    <m/>
    <m/>
    <s v="DAMIAN IBAÑEZ"/>
    <s v="DAMIAN.HCONTULMO@GMAIL.COM"/>
    <m/>
    <m/>
    <m/>
    <m/>
  </r>
  <r>
    <s v="2421-7-LE22"/>
    <s v="SUMINISTRO OXIGENO DOMICILIARIO 2022-2023"/>
    <s v="SE SOLICITA EL SUMINISTRO DE SERVICIOS DE OXIGENO DOMICILIARIO PARA LOS USUARIOS PERTENECIENTES A LOS CENTROS DE SALUD DEPENDIENTES DE LA ILUSTRE MUNICIPALIDAD DE CONCEPCIÓN"/>
    <s v="I MUNICIPALIDAD DE CONCEPCION"/>
    <m/>
    <m/>
    <x v="3"/>
    <x v="5"/>
    <d v="2022-02-04T17:29:59"/>
    <x v="5"/>
    <x v="1"/>
    <d v="2022-02-15T15:00:00"/>
    <d v="2022-02-07T00:00:00"/>
    <x v="0"/>
    <x v="9"/>
    <s v="No"/>
    <d v="2022-02-09T17:00:00"/>
    <d v="2022-02-11T17:00:00"/>
    <d v="2022-03-15T15:00:00"/>
    <n v="0"/>
    <n v="0"/>
    <m/>
    <s v="Si"/>
    <n v="350000"/>
    <d v="2022-06-23T00:00:00"/>
    <s v="No"/>
    <s v="Contrato"/>
    <m/>
    <s v="No"/>
    <m/>
    <d v="2022-02-15T15:00:00"/>
    <m/>
    <m/>
    <x v="0"/>
    <x v="0"/>
    <d v="2022-03-01T00:00:00"/>
    <n v="-13.375"/>
    <x v="0"/>
    <n v="19950"/>
    <m/>
    <m/>
    <s v="Contrato"/>
    <s v="69.256.900-8"/>
    <s v="Si"/>
    <n v="0.05"/>
    <d v="2023-07-11T00:00:00"/>
    <m/>
    <m/>
    <s v="Doris Inostroza"/>
    <s v="dinostroza@dasconcepcion.cl"/>
    <m/>
    <m/>
    <m/>
    <m/>
  </r>
  <r>
    <s v="5350-11-LE22"/>
    <s v="CONVENIO SERVICIO GASES CLINICOS Y MEDICINALES"/>
    <s v="USOS ESTABLECIMIENTOS DE SALUD MUNICIPAL Y UNIDADES DE APOYO"/>
    <s v="I MUNICIPALIDAD DE VALLENAR"/>
    <m/>
    <m/>
    <x v="2"/>
    <x v="11"/>
    <d v="2022-02-07T11:36:20"/>
    <x v="5"/>
    <x v="1"/>
    <d v="2022-02-17T13:22:00"/>
    <d v="2022-02-08T00:00:00"/>
    <x v="1"/>
    <x v="1"/>
    <s v="Si"/>
    <d v="2022-02-10T15:03:00"/>
    <d v="2022-02-11T15:03:00"/>
    <d v="2022-02-18T13:23:00"/>
    <n v="0"/>
    <n v="0"/>
    <m/>
    <s v="No"/>
    <m/>
    <s v=" "/>
    <s v="No"/>
    <m/>
    <m/>
    <s v="No"/>
    <m/>
    <d v="2022-02-17T13:22:00"/>
    <m/>
    <m/>
    <x v="0"/>
    <x v="0"/>
    <d v="2022-03-08T00:00:00"/>
    <n v="-18.443055555559113"/>
    <x v="1"/>
    <n v="74990"/>
    <m/>
    <m/>
    <m/>
    <s v="69.030.500-3"/>
    <s v="No"/>
    <m/>
    <m/>
    <m/>
    <m/>
    <s v="DIEGO HUERTA CERDA"/>
    <s v="DIEGO.HUERTA@SALUDVALLENAR.CL"/>
    <m/>
    <m/>
    <m/>
    <m/>
  </r>
  <r>
    <s v="872-16-L122"/>
    <s v="GASES ESPECIALES DE LABORATORIO (Según Bases Adjuntas)"/>
    <m/>
    <s v="COMISION CHILENA DE ENERGIA NUCLEAR"/>
    <m/>
    <m/>
    <x v="6"/>
    <x v="8"/>
    <d v="2022-02-11T10:11:09"/>
    <x v="5"/>
    <x v="1"/>
    <d v="2022-02-18T01:00:00"/>
    <d v="2022-02-11T22:58:00"/>
    <x v="0"/>
    <x v="2"/>
    <s v="No"/>
    <d v="2022-02-15T12:00:00"/>
    <d v="2022-02-16T15:00:00"/>
    <d v="2022-02-11T22:58:00"/>
    <n v="0"/>
    <n v="0"/>
    <m/>
    <s v="No"/>
    <m/>
    <s v=" "/>
    <s v="No"/>
    <m/>
    <m/>
    <m/>
    <m/>
    <d v="2022-02-18T01:00:00"/>
    <m/>
    <m/>
    <x v="0"/>
    <x v="1"/>
    <m/>
    <n v="44610.041666666664"/>
    <x v="3"/>
    <m/>
    <m/>
    <m/>
    <m/>
    <s v="82.983.100-7"/>
    <m/>
    <m/>
    <m/>
    <m/>
    <m/>
    <m/>
    <m/>
    <m/>
    <m/>
    <m/>
    <m/>
  </r>
  <r>
    <s v="1556-3-LE22"/>
    <s v="Convenio de Suministro de Oxigeno y gases Clínicos"/>
    <s v="Convenio de Suministro de Oxigeno y gases Clínicos"/>
    <s v="HOSPITAL DE CHANARAL"/>
    <m/>
    <m/>
    <x v="2"/>
    <x v="14"/>
    <d v="2022-01-31T12:15:30"/>
    <x v="4"/>
    <x v="1"/>
    <d v="2022-02-18T14:00:00"/>
    <d v="2022-02-02T00:00:00"/>
    <x v="1"/>
    <x v="1"/>
    <s v="Si"/>
    <d v="2022-02-03T15:23:00"/>
    <d v="2022-02-04T15:23:00"/>
    <d v="2022-02-11T18:48:00"/>
    <n v="0"/>
    <n v="0"/>
    <m/>
    <s v="No"/>
    <m/>
    <s v=" "/>
    <s v="No"/>
    <m/>
    <m/>
    <s v="No"/>
    <m/>
    <d v="2022-02-18T14:00:00"/>
    <m/>
    <m/>
    <x v="0"/>
    <x v="0"/>
    <d v="2022-03-03T00:00:00"/>
    <n v="-12.416666666664241"/>
    <x v="1"/>
    <n v="28492830"/>
    <m/>
    <m/>
    <m/>
    <s v="61.606.305-7"/>
    <s v="No"/>
    <m/>
    <m/>
    <m/>
    <m/>
    <s v="Moises Arce Elizondo"/>
    <s v="moises.arce@redsalud.gov.cl"/>
    <m/>
    <m/>
    <m/>
    <m/>
  </r>
  <r>
    <s v="1650-7-LE22"/>
    <s v="Insumos Médicos HSJ"/>
    <s v="Compra de insumos, con solicitud de compra n°201"/>
    <s v="Hospital Santa Juana"/>
    <m/>
    <m/>
    <x v="0"/>
    <x v="0"/>
    <d v="2022-02-08T13:08:15"/>
    <x v="5"/>
    <x v="1"/>
    <d v="2022-02-18T16:00:00"/>
    <m/>
    <x v="1"/>
    <x v="1"/>
    <s v="Si"/>
    <d v="2022-02-15T10:00:00"/>
    <d v="2022-02-16T15:00:00"/>
    <d v="2022-03-02T16:48:25"/>
    <n v="0"/>
    <n v="0"/>
    <n v="30"/>
    <s v="No"/>
    <m/>
    <s v=" "/>
    <s v="No"/>
    <s v="Spot"/>
    <m/>
    <s v="No"/>
    <n v="90"/>
    <d v="2022-05-19T16:00:00"/>
    <n v="5"/>
    <n v="25116"/>
    <x v="2"/>
    <x v="0"/>
    <d v="2022-03-02T00:00:00"/>
    <n v="78.666666666664241"/>
    <x v="1"/>
    <n v="25116"/>
    <m/>
    <m/>
    <m/>
    <s v="61.602.204-0"/>
    <s v="No"/>
    <m/>
    <m/>
    <s v="dipresrecepcion@custodium.com; lilian.rodriguez@ssconcepcion.cl"/>
    <m/>
    <s v="VERONICA BARRALES CHACANO"/>
    <s v="veronica.barrales@ssconcepcion.cl"/>
    <m/>
    <m/>
    <m/>
    <m/>
  </r>
  <r>
    <s v="1656-2-LE22"/>
    <s v="SUMINISTRO DE GASES PARA LABORATORIO AMBIENTAL"/>
    <s v="SE REQUIRE EL SUMINISTRO DE GASES PARA EQUIPOS DEL LABORATORIO AMBIENTAL DE LA SEREMI DE SALUD DE O'HIGGINS"/>
    <s v="Seremi de Salud VI Región"/>
    <m/>
    <m/>
    <x v="6"/>
    <x v="8"/>
    <d v="2022-02-09T14:19:08"/>
    <x v="5"/>
    <x v="1"/>
    <d v="2022-02-18T16:00:00"/>
    <d v="2022-02-11T22:50:00"/>
    <x v="0"/>
    <x v="2"/>
    <s v="No"/>
    <d v="2022-02-14T09:00:00"/>
    <d v="2022-02-16T16:00:00"/>
    <d v="2022-03-11T16:15:01"/>
    <n v="0"/>
    <n v="0"/>
    <m/>
    <s v="No"/>
    <m/>
    <s v=" "/>
    <s v="No"/>
    <m/>
    <m/>
    <m/>
    <m/>
    <d v="2022-02-18T16:00:00"/>
    <m/>
    <m/>
    <x v="0"/>
    <x v="0"/>
    <d v="2022-03-11T00:00:00"/>
    <n v="-20.333333333335759"/>
    <x v="0"/>
    <n v="891226"/>
    <m/>
    <m/>
    <m/>
    <s v="61.601.000-K"/>
    <s v="No"/>
    <m/>
    <m/>
    <m/>
    <m/>
    <m/>
    <m/>
    <m/>
    <m/>
    <m/>
    <m/>
  </r>
  <r>
    <s v="3747-5-L122"/>
    <s v="OXIGENO MEDICINAL RECARGA Y ARRIENDO DE TUBOS PARA ESTABLECIMIENTOS DE SALUD."/>
    <s v="CONTRATO DE SUMINISTROS POR ADQUISICION DE OXIGENO MEDICINAL , RECARGA Y ARRIENDO DE TUBOS PARA ESTABLECIMIENTOS DE SALUD."/>
    <s v="I MUNICIPALIDAD DE SAN IGNACIO"/>
    <m/>
    <m/>
    <x v="2"/>
    <x v="2"/>
    <d v="2022-02-10T17:02:36"/>
    <x v="5"/>
    <x v="1"/>
    <d v="2022-02-18T17:26:00"/>
    <d v="2022-02-11T22:26:00"/>
    <x v="0"/>
    <x v="2"/>
    <s v="No"/>
    <d v="2022-02-13T19:26:00"/>
    <d v="2022-02-14T19:26:00"/>
    <d v="2022-03-11T17:27:00"/>
    <n v="0"/>
    <n v="0"/>
    <m/>
    <s v="No"/>
    <m/>
    <s v=" "/>
    <s v="No"/>
    <m/>
    <m/>
    <m/>
    <m/>
    <d v="2022-02-18T17:26:00"/>
    <m/>
    <m/>
    <x v="0"/>
    <x v="1"/>
    <m/>
    <n v="44610.726388888892"/>
    <x v="3"/>
    <m/>
    <m/>
    <m/>
    <m/>
    <s v="69.141.300-4"/>
    <s v="No"/>
    <m/>
    <m/>
    <m/>
    <m/>
    <s v="SARA SALAZAR OSSES"/>
    <s v="sary786@gmail.com"/>
    <m/>
    <m/>
    <m/>
    <m/>
  </r>
  <r>
    <s v="1057489-50-LQ22"/>
    <s v="GASES CLINICOS Y MEDICINALES"/>
    <s v="Apruébense las Bases que regularán el proceso para efectuar llamado a Propuesta Pública, para la adquisición del Convenio de Suministro de Gases Clínicos y Medicinales por veinticuatro 24 meses para Unidad de Hospitalización Domiciliaria y Unidad de Alivio del Dolor del Hospital del Salvador, según los requerimientos referidos en los considerandos de las presentes Bases. 2.- Las Bases Administrativas y Técnicas que por este acto se aprueban, se entenderán que forman parte integrante de la presente Resolución y cualquier modificación de su texto que se efectúe antes del cierre de recepción de ofertas, deberá ceñirse a lo dispuesto en el Artículo 19º del Decreto N°250 que aprueban Reglamento de la Ley Nº19.886. 3.- El texto de las Bases que regularán el procedimiento concursal para la adquisición de Convenio de Suministro de Gases Clínicos y Medicinales por veinticuatro 24 meses para Unidad de Hospitalización Domiciliaria y Unidad de Alivio del Dolor del Hospital del Salvador, está integrado por tres Sub Títulos: I Bases Administrativas, II Especificaciones Técnicas y III Anexos, el que se transcribe a continuación:"/>
    <s v="HOSPITAL DEL SALVADOR"/>
    <m/>
    <m/>
    <x v="2"/>
    <x v="4"/>
    <d v="2022-02-01T09:35:16"/>
    <x v="5"/>
    <x v="1"/>
    <d v="2022-02-21T15:00:00"/>
    <d v="2022-02-04T00:00:00"/>
    <x v="0"/>
    <x v="2"/>
    <s v="No"/>
    <d v="2022-02-03T16:00:00"/>
    <d v="2022-02-04T16:00:00"/>
    <d v="2022-05-31T17:29:00"/>
    <n v="0"/>
    <n v="0"/>
    <m/>
    <s v="Si"/>
    <n v="2500000"/>
    <d v="2022-05-23T00:00:00"/>
    <s v="No"/>
    <m/>
    <m/>
    <m/>
    <m/>
    <d v="2022-02-21T15:00:00"/>
    <m/>
    <m/>
    <x v="0"/>
    <x v="1"/>
    <m/>
    <n v="44613.625"/>
    <x v="3"/>
    <m/>
    <m/>
    <m/>
    <m/>
    <s v="61.608.406-2"/>
    <s v="Si"/>
    <n v="0.1"/>
    <d v="2024-05-21T00:00:00"/>
    <m/>
    <m/>
    <s v="DANIELA DE LOS ANGELES LOPEZ"/>
    <s v="DLOPEZ@HSALVADOR.CL"/>
    <m/>
    <m/>
    <m/>
    <m/>
  </r>
  <r>
    <s v="3710-25-L122"/>
    <s v="Insumos médicos para convenio de Fortalecimiento RRHH en APS prorroga 2021 CESFAM Victoria"/>
    <s v="Insumos médicos para convenio de Fortalecimiento RRHH en APS, prorroga 2021, CESFAM Victoria"/>
    <s v="I MUNICIPALIDAD DE VICTORIA"/>
    <m/>
    <m/>
    <x v="0"/>
    <x v="0"/>
    <d v="2022-02-05T16:28:00"/>
    <x v="5"/>
    <x v="1"/>
    <d v="2022-02-21T15:01:00"/>
    <m/>
    <x v="0"/>
    <x v="4"/>
    <s v="No"/>
    <d v="2022-02-17T15:00:00"/>
    <d v="2022-02-18T15:01:00"/>
    <d v="2022-03-11T14:34:29"/>
    <n v="0"/>
    <n v="0"/>
    <m/>
    <m/>
    <m/>
    <s v=" "/>
    <m/>
    <m/>
    <m/>
    <m/>
    <m/>
    <d v="2022-02-21T15:01:00"/>
    <m/>
    <m/>
    <x v="0"/>
    <x v="0"/>
    <d v="2022-03-11T00:00:00"/>
    <n v="-17.374305555553292"/>
    <x v="0"/>
    <n v="24700"/>
    <m/>
    <m/>
    <m/>
    <s v="69.180.900-5"/>
    <s v="No"/>
    <m/>
    <m/>
    <m/>
    <m/>
    <s v="Sofia Rutsche"/>
    <s v="consultoriocompra@gmail.com"/>
    <m/>
    <m/>
    <m/>
    <m/>
  </r>
  <r>
    <s v="3501-2-LE22"/>
    <s v="ERVICIO DE RECARGA ARRIENDO DE CILINDROS Y FLETE DE OXIGENO GASEOSO MEDICINAL PARA CUBRIR LAS NECESIDADES DEL CESFAM SERVICIO 24 HORAS CECOSF Y AMBULANCIAS"/>
    <s v="SEGUN BASES ADJUNTAS"/>
    <s v="I MUNICIPALIDAD DE QUINTA DE TILCOCO"/>
    <m/>
    <m/>
    <x v="2"/>
    <x v="4"/>
    <d v="2022-02-09T11:47:00"/>
    <x v="5"/>
    <x v="1"/>
    <d v="2022-02-21T15:16:00"/>
    <d v="2022-02-11T22:12:00"/>
    <x v="0"/>
    <x v="2"/>
    <s v="No"/>
    <d v="2022-02-11T10:26:00"/>
    <d v="2022-02-11T15:26:00"/>
    <d v="2022-02-23T16:17:00"/>
    <n v="0"/>
    <n v="0"/>
    <m/>
    <s v="Si"/>
    <n v="500000"/>
    <d v="2022-04-11T00:00:00"/>
    <s v="No"/>
    <m/>
    <m/>
    <m/>
    <m/>
    <d v="2022-02-21T15:16:00"/>
    <m/>
    <m/>
    <x v="0"/>
    <x v="1"/>
    <m/>
    <n v="44613.636111111111"/>
    <x v="3"/>
    <m/>
    <m/>
    <m/>
    <m/>
    <s v="69.081.700-4"/>
    <m/>
    <m/>
    <m/>
    <m/>
    <m/>
    <m/>
    <m/>
    <m/>
    <m/>
    <m/>
    <m/>
  </r>
  <r>
    <s v="621-74-LR22"/>
    <s v="AEROCAMARA ADULTO BIVAL PINHALAD AEROSO 1000016660"/>
    <s v="Bases administrativas y técnicas tipo por las que se regirán los procesos de licitación para la adquisición de fármacos, dispositivos médicos e insumos o alimentos, bajo la modalidad de “distribución directa” destinados al apoyo del ejercicio de acciones de salud, en adelante las “Bases”."/>
    <s v="CENTRAL DE ABASTECIMIENTO"/>
    <m/>
    <m/>
    <x v="0"/>
    <x v="0"/>
    <d v="2022-01-20T14:20:34"/>
    <x v="4"/>
    <x v="1"/>
    <d v="2022-02-21T16:00:00"/>
    <d v="2022-01-26T00:00:00"/>
    <x v="0"/>
    <x v="6"/>
    <s v="No"/>
    <d v="2022-01-31T17:30:00"/>
    <d v="2022-02-03T17:30:00"/>
    <d v="2022-04-25T17:30:00"/>
    <n v="0"/>
    <n v="0"/>
    <m/>
    <s v="Si"/>
    <n v="10000000"/>
    <d v="2022-06-19T00:00:00"/>
    <s v="No"/>
    <m/>
    <m/>
    <m/>
    <m/>
    <d v="2022-02-21T16:00:00"/>
    <m/>
    <m/>
    <x v="0"/>
    <x v="0"/>
    <d v="2022-06-02T00:00:00"/>
    <n v="-100.33333333333576"/>
    <x v="0"/>
    <n v="3223807600"/>
    <m/>
    <m/>
    <m/>
    <s v="61.608.700-2"/>
    <s v="Si"/>
    <n v="0.1"/>
    <d v="2024-08-27T00:00:00"/>
    <m/>
    <m/>
    <s v="Víctor Barberis Castex"/>
    <s v="vbarberis@cenabast.cl"/>
    <m/>
    <m/>
    <m/>
    <m/>
  </r>
  <r>
    <s v="4968-1-LP22"/>
    <s v="2DO LLAMADO OXIGENOTERAPIA DOMICILIARIA"/>
    <s v="2DO LLAMADO OXIGENOTERAPIA DOMICILIARIA"/>
    <s v="HOSPITAL DE QUILPUE"/>
    <m/>
    <m/>
    <x v="3"/>
    <x v="5"/>
    <d v="2022-02-01T11:48:08"/>
    <x v="5"/>
    <x v="1"/>
    <d v="2022-02-21T16:30:00"/>
    <d v="2022-02-01T00:00:00"/>
    <x v="0"/>
    <x v="0"/>
    <s v="No"/>
    <d v="2022-02-09T17:00:00"/>
    <d v="2022-02-11T23:59:00"/>
    <d v="2022-04-07T19:53:00"/>
    <n v="0"/>
    <n v="0"/>
    <m/>
    <s v="Si"/>
    <n v="500000"/>
    <d v="2022-05-23T00:00:00"/>
    <s v="No"/>
    <s v="Contrato"/>
    <m/>
    <s v="No"/>
    <m/>
    <d v="2022-02-21T16:30:00"/>
    <m/>
    <m/>
    <x v="0"/>
    <x v="3"/>
    <m/>
    <n v="44613.6875"/>
    <x v="3"/>
    <m/>
    <m/>
    <m/>
    <m/>
    <s v="69.200.100-1"/>
    <s v="Si"/>
    <n v="0.05"/>
    <d v="2025-06-06T00:00:00"/>
    <m/>
    <m/>
    <s v="Héctor Bastías"/>
    <s v="hector.bastias@redsalud.gov.cl"/>
    <m/>
    <m/>
    <m/>
    <m/>
  </r>
  <r>
    <s v="1057417-12-LQ22"/>
    <s v="ADQUISICIÓN DE ACCESORIOS INSUMOS Y OTROS ELEMENTOS MÉDICOS DEL ÁREA DENTAL ECG Y OXIGENOTERAPIA 3° LLAMADO LDO"/>
    <s v="cuya finalidad es poder realizar recambio en equipos e instalaciones de apoyo, para mantener la continuidad de servicio. Los insumos y accesorios en óptimas condiciones son fundamental para una atención segura y de calidad para los pacientes del Complejo Asistencial “Dr. Víctor Ríos Ruiz” Los Ángeles"/>
    <s v="COMPLEJO ASISTENCIAL DR.VICTOR RIOS RUIZ"/>
    <m/>
    <m/>
    <x v="2"/>
    <x v="2"/>
    <d v="2022-01-31T10:45:56"/>
    <x v="4"/>
    <x v="1"/>
    <d v="2022-02-21T16:45:00"/>
    <d v="2022-02-01T00:00:00"/>
    <x v="1"/>
    <x v="1"/>
    <s v="Si"/>
    <d v="2022-02-10T16:00:00"/>
    <d v="2022-02-15T17:00:00"/>
    <d v="2022-04-07T17:00:00"/>
    <n v="0"/>
    <n v="0"/>
    <m/>
    <s v="No"/>
    <m/>
    <s v=" "/>
    <s v="No"/>
    <m/>
    <m/>
    <s v="No"/>
    <m/>
    <d v="2022-02-21T16:45:00"/>
    <m/>
    <m/>
    <x v="0"/>
    <x v="1"/>
    <d v="2022-03-31T00:00:00"/>
    <n v="-37.302083333335759"/>
    <x v="3"/>
    <m/>
    <m/>
    <m/>
    <m/>
    <s v="61.607.301-k"/>
    <s v="Si"/>
    <n v="0.05"/>
    <d v="2025-08-20T00:00:00"/>
    <m/>
    <m/>
    <s v="Rodolfo González"/>
    <s v="rodolfo.gonzalez@ssbiobio.cl"/>
    <m/>
    <m/>
    <m/>
    <m/>
  </r>
  <r>
    <s v="1057489-116-LE22"/>
    <s v="Convenio de Suministro de Mascarillas Faciales Con Arnés por 12 meses para el Hospital Del Salvador "/>
    <s v="Que, el Hospital del Salvador necesita contar con un Convenio de Suministro de Mascarillas Faciales Con Arnés por 12 meses con la finalidad de satisfacer de manera adecuada y eficiente la labor asistencial;"/>
    <s v="SERVICIO DE SALUD ORIENTE HOSPITAL DEL SALVADOR"/>
    <m/>
    <m/>
    <x v="0"/>
    <x v="0"/>
    <d v="2022-02-11T16:34:03"/>
    <x v="5"/>
    <x v="1"/>
    <d v="2022-02-22T00:00:00"/>
    <m/>
    <x v="0"/>
    <x v="6"/>
    <s v="No"/>
    <d v="2022-02-14T16:00:00"/>
    <d v="2022-02-16T16:30:00"/>
    <d v="2022-03-31T12:32:39"/>
    <n v="0"/>
    <n v="0"/>
    <n v="45"/>
    <s v="No"/>
    <m/>
    <s v=" "/>
    <s v="No"/>
    <s v="Contrato"/>
    <n v="12"/>
    <s v="No"/>
    <n v="90"/>
    <d v="2022-05-23T00:00:00"/>
    <n v="40"/>
    <m/>
    <x v="0"/>
    <x v="0"/>
    <d v="2022-03-31T00:00:00"/>
    <n v="53"/>
    <x v="0"/>
    <n v="157040"/>
    <m/>
    <m/>
    <m/>
    <s v="61.608.406-2"/>
    <s v="No"/>
    <m/>
    <m/>
    <s v="dipresrecepcion@custodium.com"/>
    <m/>
    <s v="DANIELA LOPEZ"/>
    <s v="DLOPEZ@HSALVADOR.CL"/>
    <m/>
    <m/>
    <m/>
    <m/>
  </r>
  <r>
    <s v="5461-8-LQ22"/>
    <s v="SUMINISTRO CONTINUO OXIGENO MEDICO Y GASES CLINICO"/>
    <s v="ESTA LICITACIÓN TIENE POR OBJETO LA CONTRATACIÓN DEL SUMINISTRO CONTINUO DE OXIGENO MEDICO Y GASES CLÍNICOS, FLETE, ARRIENDO DE ESTANQUE CRIOGENICO Y ARRIENDO DE CILINDROS."/>
    <s v="HOSPITAL DE PEÑAFLOR"/>
    <m/>
    <m/>
    <x v="2"/>
    <x v="4"/>
    <d v="2022-02-10T17:11:16"/>
    <x v="5"/>
    <x v="1"/>
    <d v="2022-02-22T10:00:00"/>
    <d v="2022-02-11T00:00:00"/>
    <x v="0"/>
    <x v="2"/>
    <s v="No"/>
    <d v="2022-02-16T17:16:00"/>
    <d v="2022-02-18T17:16:00"/>
    <d v="2022-03-31T09:52:08"/>
    <n v="0"/>
    <n v="0"/>
    <m/>
    <s v="Si"/>
    <n v="200000"/>
    <d v="2022-05-22T00:00:00"/>
    <s v="Si"/>
    <m/>
    <m/>
    <m/>
    <m/>
    <d v="2022-02-22T10:00:00"/>
    <m/>
    <m/>
    <x v="0"/>
    <x v="0"/>
    <d v="2022-03-30T00:00:00"/>
    <n v="-35.583333333335759"/>
    <x v="2"/>
    <n v="811324"/>
    <m/>
    <m/>
    <m/>
    <s v="61.602.121-4"/>
    <s v="Si"/>
    <n v="0.05"/>
    <d v="2025-07-11T00:00:00"/>
    <m/>
    <m/>
    <s v="RONNY VALENZUELA"/>
    <s v="ronny.valenzuela@redsalud.gov.cl"/>
    <m/>
    <m/>
    <m/>
    <m/>
  </r>
  <r>
    <s v="3921-10-LE22"/>
    <s v="MANTENCION ARRIENDO Y LLENADO DE OXIGENO."/>
    <s v="MANTENCION, ARRIENDO Y LLENADO DE OXIGENO, PARA LAS DEPENDENCIAS DEL DEPARTAMENTO DE SALUD MUNICIPAL DE VILLARRICA."/>
    <s v="I MUNICIPALIDAD DE VILLARRICA"/>
    <m/>
    <m/>
    <x v="2"/>
    <x v="3"/>
    <d v="2022-02-09T14:38:34"/>
    <x v="5"/>
    <x v="1"/>
    <d v="2022-02-22T10:00:00"/>
    <d v="2022-02-11T22:19:00"/>
    <x v="0"/>
    <x v="2"/>
    <s v="No"/>
    <d v="2022-02-14T17:00:00"/>
    <d v="2022-02-15T16:00:00"/>
    <d v="2022-04-13T11:00:53"/>
    <n v="0"/>
    <n v="0"/>
    <m/>
    <s v="Si"/>
    <n v="100000"/>
    <d v="2022-03-31T00:00:00"/>
    <s v="No"/>
    <m/>
    <m/>
    <m/>
    <m/>
    <d v="2022-02-22T10:00:00"/>
    <m/>
    <m/>
    <x v="0"/>
    <x v="0"/>
    <d v="2022-04-13T00:00:00"/>
    <n v="-49.583333333335759"/>
    <x v="2"/>
    <n v="467340"/>
    <m/>
    <m/>
    <m/>
    <s v="69.191.500-K"/>
    <s v="Si"/>
    <n v="0.05"/>
    <d v="2025-02-28T00:00:00"/>
    <m/>
    <m/>
    <s v="INGRID RODRIGUEZ"/>
    <s v="i.rodriguez.dsm@gmail.com"/>
    <m/>
    <m/>
    <m/>
    <m/>
  </r>
  <r>
    <s v="3740-1-LE22"/>
    <s v="INSUMOS ENFERMERA 2022"/>
    <s v="NECESIDAD DE PACIENTES DE APS"/>
    <s v="I MUNICIPALIDAD DE HUASCO"/>
    <m/>
    <m/>
    <x v="0"/>
    <x v="0"/>
    <d v="2022-02-14T16:25:59"/>
    <x v="5"/>
    <x v="1"/>
    <d v="2022-02-23T16:16:00"/>
    <m/>
    <x v="1"/>
    <x v="1"/>
    <s v="Si"/>
    <d v="2022-02-18T15:02:00"/>
    <d v="2022-02-19T15:02:00"/>
    <d v="2022-03-03T14:58:07"/>
    <n v="0"/>
    <n v="0"/>
    <n v="30"/>
    <s v="No"/>
    <m/>
    <m/>
    <s v="No"/>
    <s v="Spot"/>
    <m/>
    <s v="No"/>
    <m/>
    <d v="2022-02-23T16:16:00"/>
    <n v="5"/>
    <n v="25420"/>
    <x v="3"/>
    <x v="0"/>
    <d v="2022-03-03T00:00:00"/>
    <n v="-7.3222222222248092"/>
    <x v="0"/>
    <n v="11900"/>
    <m/>
    <m/>
    <m/>
    <s v="69.030.700-6"/>
    <s v="No"/>
    <m/>
    <m/>
    <m/>
    <m/>
    <s v="KARINA ROJAS CASTELLANO"/>
    <s v="karinarojas1@hotmail.com"/>
    <m/>
    <m/>
    <m/>
    <m/>
  </r>
  <r>
    <s v="1057489-118-LE22"/>
    <s v="Convenio de Suministro de Mascarillas Oronasales por 24 meses para el Hospital Del Salvador"/>
    <s v="Que, el Hospital del Salvador necesita contar con un Convenio de Suministro de Mascarillas Oronasales por 24 meses con la finalidad de satisfacer de manera adecuada y eficiente la labor asistencial;"/>
    <s v="SERVICIO DE SALUD ORIENTE HOSPITAL DEL SALVADOR"/>
    <m/>
    <m/>
    <x v="0"/>
    <x v="0"/>
    <d v="2022-02-14T10:44:17"/>
    <x v="5"/>
    <x v="1"/>
    <d v="2022-02-24T12:00:00"/>
    <m/>
    <x v="0"/>
    <x v="4"/>
    <s v="No"/>
    <d v="2022-02-16T16:00:00"/>
    <d v="2022-02-18T16:30:00"/>
    <d v="2022-03-31T11:41:54"/>
    <n v="0"/>
    <n v="0"/>
    <m/>
    <s v="No"/>
    <m/>
    <m/>
    <s v="No"/>
    <m/>
    <m/>
    <m/>
    <m/>
    <d v="2022-02-24T12:00:00"/>
    <m/>
    <m/>
    <x v="0"/>
    <x v="0"/>
    <m/>
    <n v="44616.5"/>
    <x v="3"/>
    <m/>
    <m/>
    <m/>
    <m/>
    <s v="61.608.406-2"/>
    <s v="No"/>
    <m/>
    <m/>
    <m/>
    <m/>
    <s v="DANIELA LOPEZ"/>
    <s v="DLOPEZ@HSALVADOR.CL"/>
    <m/>
    <m/>
    <m/>
    <m/>
  </r>
  <r>
    <s v="1057544-42-LE22"/>
    <s v="CONTRATACIÓN DE SERVICIOS DE MANTENCIÓN CORRECTIVA DE DIVERSOS EQUIPOS MÉDICOS DEL HOSPITAL LAS HIGUERAS TALCAHUANO"/>
    <s v="La presente licitación contempla la mantención correctiva de diversos equipos médicos del Hospital Las Higueras de Talcahuano, de acuerdo con las especificaciones técnicas adjuntas."/>
    <s v="SERVICIO DE SALUD DE TALCAHUANO HOSPITAL"/>
    <m/>
    <m/>
    <x v="0"/>
    <x v="0"/>
    <d v="2022-02-15T09:20:21"/>
    <x v="5"/>
    <x v="1"/>
    <d v="2022-02-25T15:00:00"/>
    <m/>
    <x v="0"/>
    <x v="4"/>
    <s v="No"/>
    <d v="2022-02-19T15:00:00"/>
    <d v="2022-02-22T17:00:00"/>
    <d v="2022-03-07T12:14:31"/>
    <n v="0"/>
    <n v="0"/>
    <m/>
    <s v="No"/>
    <m/>
    <s v=" "/>
    <s v="No"/>
    <m/>
    <m/>
    <m/>
    <m/>
    <d v="2022-02-25T15:00:00"/>
    <m/>
    <m/>
    <x v="0"/>
    <x v="0"/>
    <d v="2022-03-07T00:00:00"/>
    <n v="-9.375"/>
    <x v="3"/>
    <m/>
    <m/>
    <m/>
    <m/>
    <s v="61.607.202-1"/>
    <s v="No"/>
    <m/>
    <m/>
    <m/>
    <m/>
    <s v="John Barahona"/>
    <s v="jhon.barahona@redsalud.gov.cl"/>
    <m/>
    <m/>
    <m/>
    <m/>
  </r>
  <r>
    <s v="2080-3-LR22"/>
    <s v="SUMINISTRO INSUMOS VENTILACION MECANICA"/>
    <s v="El objeto de esta Licitación es contar con un adecuado Suministro Insumos Ventilación Mecánica, durante el curso del contrato."/>
    <s v="SERVICIO DE SALUD DEL LIBERTADOR B O'HIGGINS HOSPITAL REG RANCAGUA"/>
    <m/>
    <m/>
    <x v="0"/>
    <x v="0"/>
    <d v="2022-01-28T14:05:43"/>
    <x v="4"/>
    <x v="1"/>
    <d v="2022-02-28T00:00:00"/>
    <m/>
    <x v="1"/>
    <x v="1"/>
    <s v="Si"/>
    <d v="2022-02-07T16:00:00"/>
    <d v="2022-11-02T18:00:00"/>
    <d v="2022-05-30T00:00:00"/>
    <n v="0"/>
    <n v="0"/>
    <n v="30"/>
    <s v="Si"/>
    <n v="120000"/>
    <d v="2022-06-28T00:00:00"/>
    <s v="No"/>
    <s v="Contrato"/>
    <n v="12"/>
    <s v="No"/>
    <n v="120"/>
    <d v="2022-06-28T00:00:00"/>
    <n v="300"/>
    <n v="12908"/>
    <x v="4"/>
    <x v="0"/>
    <d v="2022-05-13T00:00:00"/>
    <n v="46"/>
    <x v="1"/>
    <n v="12908"/>
    <m/>
    <m/>
    <m/>
    <s v="61.602.138-9"/>
    <s v="Si"/>
    <n v="0.05"/>
    <d v="2023-09-01T00:00:00"/>
    <m/>
    <m/>
    <s v="Pablo del Pino Ahumada"/>
    <s v="pablo.delpino@redsalud.gov.cl"/>
    <m/>
    <m/>
    <m/>
    <m/>
  </r>
  <r>
    <s v="1667-43-LR21"/>
    <s v="SERVICIO DE TERAPIA DE OXIDO NÍTRICO"/>
    <s v="EL HOSPITAL GUILLERMO GRANT BENAVENTE NECESITA CONTAR CON EL SERVICIO DE TERAPIA DE INHALACIÓN DE OXIDO NÍTRICO PARA SUS PACIENTES POR UN PERIODO DE 24 MESES"/>
    <s v="HOSPITAL GUILLERMO GRANT BENAVENTE"/>
    <m/>
    <m/>
    <x v="1"/>
    <x v="1"/>
    <d v="2022-01-28T11:45:56"/>
    <x v="4"/>
    <x v="1"/>
    <d v="2022-02-28T15:00:00"/>
    <d v="2022-01-31T00:00:00"/>
    <x v="1"/>
    <x v="1"/>
    <s v="Si"/>
    <d v="2022-02-12T12:00:00"/>
    <d v="2022-02-17T12:00:00"/>
    <d v="2022-05-30T15:01:00"/>
    <n v="0"/>
    <n v="0"/>
    <m/>
    <s v="Si"/>
    <n v="1000000"/>
    <d v="2022-05-31T00:00:00"/>
    <s v="No"/>
    <m/>
    <m/>
    <s v="No"/>
    <m/>
    <d v="2022-02-28T15:00:00"/>
    <m/>
    <m/>
    <x v="0"/>
    <x v="0"/>
    <d v="2022-03-30T00:00:00"/>
    <n v="-29.375"/>
    <x v="1"/>
    <n v="426270000"/>
    <m/>
    <m/>
    <m/>
    <s v="61.602.189-3"/>
    <s v="Si"/>
    <n v="0.05"/>
    <d v="2024-10-14T00:00:00"/>
    <m/>
    <m/>
    <s v="LORETO RODRIGUEZ NEIRA"/>
    <s v="lrodriguezn@ssconcepcion.cl"/>
    <m/>
    <m/>
    <m/>
    <m/>
  </r>
  <r>
    <s v="2069-21-LE22"/>
    <s v="CGM MANT PREV Y CORR VENT NO INVASIVO LOWENSTEIN"/>
    <s v="El Hospital Barros Luco Trudeau, Establecimiento Autogestionado en Red, desarrolla labores asistenciales de carácter ambulatorio, hospitalizados y de urgencia utilizando una serie de equipos los que requieren estar en óptimas condiciones para el desarrollo de las funciones asistenciales del hospital."/>
    <s v="SERVICIO DE SALUD METROPOLITANO SUR HOSP"/>
    <m/>
    <m/>
    <x v="0"/>
    <x v="0"/>
    <d v="2022-02-16T12:34:57"/>
    <x v="5"/>
    <x v="1"/>
    <d v="2022-02-28T16:00:00"/>
    <m/>
    <x v="0"/>
    <x v="4"/>
    <s v="No"/>
    <d v="2022-02-19T16:00:00"/>
    <d v="2022-02-23T18:00:00"/>
    <d v="2022-03-23T12:18:38"/>
    <n v="0"/>
    <n v="0"/>
    <m/>
    <s v="No"/>
    <m/>
    <s v=" "/>
    <s v="No"/>
    <m/>
    <m/>
    <m/>
    <m/>
    <d v="2022-02-28T16:00:00"/>
    <m/>
    <m/>
    <x v="0"/>
    <x v="1"/>
    <m/>
    <n v="44620.666666666664"/>
    <x v="3"/>
    <m/>
    <m/>
    <m/>
    <m/>
    <s v="61.608.101-2"/>
    <s v="No"/>
    <m/>
    <m/>
    <m/>
    <m/>
    <s v="Jefa departamento gestión financiera y contable"/>
    <s v="pedro.fernandez@redsalud.gov.cl"/>
    <m/>
    <m/>
    <m/>
    <m/>
  </r>
  <r>
    <s v="2677-3-LP22"/>
    <s v="SUMINISTRO DE OXÍGENO MEDICINAL"/>
    <s v="Las presentes Bases de Licitación, reglamentan el proceso de llamado a Licitación Pública para la contratación del suministro de arriendo, recarga, transporte, así como también otros servicios asociados que se requieran, para cilindros de oxígeno médico de los establecimientos de salud de Mostazal, vehículos de emergencia y para su entrega a usuarios postrados y terminales de la comuna de Mostazal, durante los años 2022, 2023 y 2024, denominada “Suministro de Oxígeno Medicinal”; dependiente del Departamento de Salud de la Municipalidad de Mostazal."/>
    <s v="I MUNICIPALIDAD DE MOSTAZAL"/>
    <m/>
    <m/>
    <x v="2"/>
    <x v="4"/>
    <d v="2022-02-11T13:49:00"/>
    <x v="5"/>
    <x v="1"/>
    <d v="2022-03-03T15:00:00"/>
    <d v="2022-02-11T22:38:00"/>
    <x v="0"/>
    <x v="2"/>
    <s v="No"/>
    <d v="2022-02-17T15:00:00"/>
    <d v="2022-02-22T15:00:00"/>
    <d v="2022-04-12T10:05:10"/>
    <n v="0"/>
    <n v="0"/>
    <m/>
    <s v="Si"/>
    <n v="1300000"/>
    <d v="2022-06-01T00:00:00"/>
    <s v="No"/>
    <m/>
    <m/>
    <m/>
    <m/>
    <d v="2022-03-03T15:00:00"/>
    <m/>
    <m/>
    <x v="0"/>
    <x v="0"/>
    <d v="2022-04-12T00:00:00"/>
    <n v="-39.375"/>
    <x v="2"/>
    <n v="66000000"/>
    <m/>
    <m/>
    <m/>
    <s v="69.080.500-6"/>
    <s v="Si"/>
    <n v="0.1"/>
    <d v="2025-03-26T00:00:00"/>
    <m/>
    <m/>
    <m/>
    <m/>
    <m/>
    <m/>
    <m/>
    <m/>
  </r>
  <r>
    <s v="4968-4-LP22"/>
    <s v="OXIGENOTERAPIA DOMICILIARIA"/>
    <s v="OXIGENOTERAPIA DOMICILIARIA"/>
    <s v="HOSPITAL DE QUILPUE"/>
    <m/>
    <m/>
    <x v="3"/>
    <x v="5"/>
    <d v="2022-02-14T16:40:00"/>
    <x v="5"/>
    <x v="1"/>
    <d v="2022-03-03T16:30:00"/>
    <m/>
    <x v="0"/>
    <x v="0"/>
    <s v="No"/>
    <d v="2022-02-22T16:30:00"/>
    <d v="2022-02-24T22:30:00"/>
    <d v="2022-05-06T19:00:00"/>
    <n v="0"/>
    <n v="0"/>
    <m/>
    <s v="Si"/>
    <n v="500000"/>
    <d v="2022-06-01T00:00:00"/>
    <s v="No"/>
    <s v="Contrato"/>
    <m/>
    <s v="No"/>
    <m/>
    <d v="2022-03-03T16:30:00"/>
    <m/>
    <m/>
    <x v="0"/>
    <x v="1"/>
    <m/>
    <n v="44623.6875"/>
    <x v="3"/>
    <m/>
    <m/>
    <m/>
    <m/>
    <s v="61.606.604-8"/>
    <s v="Si"/>
    <n v="0.05"/>
    <d v="2025-07-05T00:00:00"/>
    <m/>
    <m/>
    <s v="Héctor Bastías"/>
    <s v="hector.bastias@redsalud.gov.cl"/>
    <m/>
    <m/>
    <m/>
    <m/>
  </r>
  <r>
    <s v="3996-23-LE22"/>
    <s v="SUMINISTRO INSUMOS DE ENFERMERIA 2022"/>
    <s v="SE REQUIERE REALIZAR LA CONTRATACION DE INSUMOS DE ENFERMERIA, EN FORMATO DE ENTREGA DE SUMINISTRO, PARA CUBRIR NECESIDADES DE LOS ESTABLECIMIENTOS DE SALUD PRIMARIA DE LA COMUNA"/>
    <s v="I MUNICIPALIDAD DE COLTAUCO"/>
    <m/>
    <m/>
    <x v="0"/>
    <x v="0"/>
    <d v="2022-02-22T10:23:42"/>
    <x v="5"/>
    <x v="1"/>
    <d v="2022-03-04T12:00:00"/>
    <m/>
    <x v="1"/>
    <x v="1"/>
    <s v="Si"/>
    <d v="2022-02-23T14:01:00"/>
    <d v="2022-02-24T19:00:00"/>
    <d v="2022-03-15T10:38:52"/>
    <n v="0"/>
    <n v="0"/>
    <n v="30"/>
    <s v="No"/>
    <m/>
    <s v=" "/>
    <s v="No"/>
    <s v="Spot"/>
    <m/>
    <s v="No"/>
    <n v="90"/>
    <d v="2022-06-02T12:00:00"/>
    <n v="6"/>
    <n v="28257"/>
    <x v="5"/>
    <x v="0"/>
    <d v="2022-03-15T00:00:00"/>
    <n v="79.5"/>
    <x v="0"/>
    <n v="18000"/>
    <m/>
    <m/>
    <m/>
    <s v="69.080.700-9"/>
    <s v="No"/>
    <m/>
    <m/>
    <m/>
    <m/>
    <s v="HILDA CARMEN RIVAS LIBERONA"/>
    <s v="departamentosaludfinanzas@gmail.com"/>
    <m/>
    <m/>
    <m/>
    <m/>
  </r>
  <r>
    <s v="1019-18-LE22"/>
    <s v="ADQUISICIÓN DE GASES PARA LABORATORIO AMBIENTAL"/>
    <s v="La presente licitación busca mantener abastecido al Laboratorio Ambiental de todos los gases necesarios para su correcto funcionamiento."/>
    <s v="MINISTERIO DE OBRAS PUBLICAS"/>
    <m/>
    <m/>
    <x v="6"/>
    <x v="8"/>
    <d v="2022-02-24T09:52:39"/>
    <x v="5"/>
    <x v="1"/>
    <d v="2022-03-07T16:00:00"/>
    <d v="2022-03-01T10:42:00"/>
    <x v="0"/>
    <x v="2"/>
    <s v="No"/>
    <d v="2022-02-28T16:00:00"/>
    <d v="2022-03-02T16:00:00"/>
    <d v="2022-03-29T11:53:31"/>
    <n v="0"/>
    <n v="0"/>
    <m/>
    <s v="No"/>
    <m/>
    <s v=" "/>
    <s v="No"/>
    <m/>
    <m/>
    <m/>
    <m/>
    <d v="2022-03-07T16:00:00"/>
    <m/>
    <m/>
    <x v="0"/>
    <x v="0"/>
    <d v="2022-03-29T00:00:00"/>
    <n v="-21.333333333335759"/>
    <x v="0"/>
    <n v="13860500"/>
    <m/>
    <m/>
    <m/>
    <s v="61.202.000-0"/>
    <s v="No"/>
    <m/>
    <m/>
    <m/>
    <m/>
    <s v="Felipe Castillo Cea"/>
    <s v="felipe.castillo@mop.gov.cl"/>
    <m/>
    <m/>
    <m/>
    <m/>
  </r>
  <r>
    <s v="1075337-30-LP22"/>
    <s v="SUMINISTRO DE GASES CLINICOS"/>
    <s v="El objetivo de la presente licitación pública es suscribir un convenio por los servicios de Suministro De Cilindros, Recarga Y Accesorios De Gases Clínicos Pertenecientes Al Hospital Dr. Mauricio Heyermann Torres De Angol."/>
    <s v="HOSPITAL DE ANGOL"/>
    <m/>
    <m/>
    <x v="2"/>
    <x v="3"/>
    <d v="2022-02-25T15:36:00"/>
    <x v="5"/>
    <x v="1"/>
    <d v="2022-03-07T16:11:00"/>
    <d v="2022-03-02T00:00:00"/>
    <x v="0"/>
    <x v="2"/>
    <s v="No"/>
    <d v="2022-03-04T12:10:00"/>
    <d v="2022-03-04T15:10:00"/>
    <d v="2022-03-25T15:38:49"/>
    <n v="0"/>
    <n v="0"/>
    <m/>
    <s v="No"/>
    <m/>
    <s v=" "/>
    <s v="No"/>
    <m/>
    <m/>
    <m/>
    <m/>
    <d v="2022-03-07T16:11:00"/>
    <m/>
    <m/>
    <x v="0"/>
    <x v="0"/>
    <d v="2022-03-25T00:00:00"/>
    <n v="-17.325694444443798"/>
    <x v="2"/>
    <n v="53571429"/>
    <m/>
    <m/>
    <m/>
    <s v="61.602.222-9"/>
    <s v="Si"/>
    <n v="0.05"/>
    <d v="2025-05-01T00:00:00"/>
    <m/>
    <m/>
    <s v="Carlos Arriagada Gonzalez"/>
    <s v="carlos.arriagada@araucanianorte.cl"/>
    <m/>
    <m/>
    <m/>
    <m/>
  </r>
  <r>
    <s v="2803-1-LR22"/>
    <s v="SUMINISTRO DE INSUMOS INSTRUMENTAL Y EQUIPAMIENTO"/>
    <s v="Mantener un flujo adecuado de abastecimiento de productos, insumos, instrumental y equipos de alta calidad para la atención oportuna y adecuada de los pacientes y usuarios del CESFAM CENTENARIO DE LOS ANDES, brindando estándares de calidad en los procesos de compra, recepción, almacenamiento y dispensación de insumos."/>
    <s v="MUNICIPALIDAD DE LOS ANDES"/>
    <m/>
    <m/>
    <x v="0"/>
    <x v="0"/>
    <d v="2022-02-03T17:07:01"/>
    <x v="5"/>
    <x v="1"/>
    <d v="2022-03-07T18:51:00"/>
    <m/>
    <x v="1"/>
    <x v="1"/>
    <s v="Si"/>
    <d v="2022-02-21T15:28:00"/>
    <d v="2022-02-22T15:28:00"/>
    <d v="2022-04-05T00:00:00"/>
    <n v="0"/>
    <n v="0"/>
    <n v="30"/>
    <s v="Si"/>
    <n v="200000"/>
    <d v="2022-06-28T00:00:00"/>
    <s v="No"/>
    <s v="Contrato"/>
    <n v="24"/>
    <s v="No"/>
    <n v="90"/>
    <d v="2022-06-05T18:51:00"/>
    <n v="240"/>
    <n v="16682"/>
    <x v="6"/>
    <x v="2"/>
    <m/>
    <d v="2022-06-05T18:51:00"/>
    <x v="3"/>
    <m/>
    <m/>
    <m/>
    <m/>
    <s v="69.051.100-2"/>
    <s v="Si"/>
    <n v="100000"/>
    <d v="2024-06-06T00:00:00"/>
    <m/>
    <m/>
    <s v="Camila Cubillo"/>
    <s v="c.cubillos@gmail.com"/>
    <m/>
    <m/>
    <m/>
    <m/>
  </r>
  <r>
    <s v="619133-8-LQ22"/>
    <s v="CONVENIO SUMINISTRO DE OXIGENO LIQUIDO MEDICINAL CRIOGENICO PARA EL HOSPITAL SAN CAMILO"/>
    <s v="CONVENIO SUMINISTRO DE OXIGENO LIQUIDO MEDICINAL CRIOGENICO PARA EL HOSPITAL SAN CAMILO"/>
    <s v="Hospital San Camilo de San Felipe"/>
    <m/>
    <m/>
    <x v="2"/>
    <x v="9"/>
    <d v="2022-02-16T10:59:58"/>
    <x v="5"/>
    <x v="1"/>
    <d v="2022-03-08T09:00:00"/>
    <d v="2022-03-02T12:58:00"/>
    <x v="0"/>
    <x v="3"/>
    <s v="No"/>
    <d v="2022-02-23T20:00:00"/>
    <d v="2022-02-25T16:00:00"/>
    <d v="2022-03-24T09:38:23"/>
    <n v="0"/>
    <n v="0"/>
    <m/>
    <s v="Si"/>
    <n v="500000"/>
    <d v="2022-05-08T00:00:00"/>
    <s v="No"/>
    <m/>
    <m/>
    <m/>
    <m/>
    <d v="2022-03-08T09:00:00"/>
    <m/>
    <m/>
    <x v="0"/>
    <x v="0"/>
    <d v="2022-03-24T00:00:00"/>
    <n v="-15.625"/>
    <x v="6"/>
    <n v="283"/>
    <m/>
    <m/>
    <m/>
    <s v="61.602.038-2"/>
    <s v="Si"/>
    <n v="0.05"/>
    <d v="2025-08-05T00:00:00"/>
    <m/>
    <m/>
    <s v="MARGARITA GONZALEZ"/>
    <s v="margarita.gonzalezi@redsalud.gov.cl"/>
    <s v="No se adjudicó el item"/>
    <m/>
    <m/>
    <m/>
  </r>
  <r>
    <s v="1626-4-L122"/>
    <s v="Recarga de cilindros de oxígeno médico"/>
    <m/>
    <s v="Hospital de Lolol"/>
    <m/>
    <m/>
    <x v="2"/>
    <x v="10"/>
    <d v="2022-02-16T13:02:00"/>
    <x v="5"/>
    <x v="1"/>
    <d v="2022-03-08T14:30:00"/>
    <d v="2022-03-03T00:00:00"/>
    <x v="0"/>
    <x v="7"/>
    <s v="No"/>
    <d v="2022-02-17T20:00:00"/>
    <d v="2022-02-18T16:00:00"/>
    <d v="2022-03-10T10:16:21"/>
    <n v="0"/>
    <n v="0"/>
    <m/>
    <s v="No"/>
    <m/>
    <s v=" "/>
    <s v="No"/>
    <m/>
    <m/>
    <m/>
    <m/>
    <d v="2022-03-08T14:30:00"/>
    <m/>
    <m/>
    <x v="0"/>
    <x v="0"/>
    <d v="2022-03-10T00:00:00"/>
    <n v="-1.3958333333357587"/>
    <x v="2"/>
    <n v="1811300"/>
    <m/>
    <m/>
    <m/>
    <s v="61.602.150-8"/>
    <s v="No"/>
    <m/>
    <m/>
    <m/>
    <m/>
    <m/>
    <m/>
    <m/>
    <m/>
    <m/>
    <m/>
  </r>
  <r>
    <s v="3692-8-L122"/>
    <s v="ADQUISICION MEDICAMENTOS FARMACIAS MUNICIPALES"/>
    <s v="ADQUISICION MEDICAMENTOS FARMACIAS MUNICIPALES DE ELQUISCO E ISLA NEGRA."/>
    <s v="I MUNICIPALIDAD DE EL QUISCO"/>
    <m/>
    <m/>
    <x v="0"/>
    <x v="0"/>
    <d v="2022-03-01T18:30:09"/>
    <x v="6"/>
    <x v="1"/>
    <d v="2022-03-08T15:00:00"/>
    <m/>
    <x v="1"/>
    <x v="1"/>
    <s v="Si"/>
    <d v="2022-03-02T14:00:00"/>
    <d v="2022-03-03T14:00:00"/>
    <d v="2022-03-15T14:55:10"/>
    <n v="5500000"/>
    <n v="4621848.7394957989"/>
    <n v="30"/>
    <s v="No"/>
    <m/>
    <s v=" "/>
    <s v="No"/>
    <s v="Spot"/>
    <m/>
    <s v="No"/>
    <n v="60"/>
    <d v="2022-05-07T15:00:00"/>
    <n v="10"/>
    <n v="24319"/>
    <x v="7"/>
    <x v="1"/>
    <m/>
    <n v="44688.625"/>
    <x v="3"/>
    <m/>
    <m/>
    <m/>
    <m/>
    <s v="69.061.700-5"/>
    <s v="No"/>
    <m/>
    <m/>
    <m/>
    <m/>
    <m/>
    <m/>
    <m/>
    <m/>
    <m/>
    <m/>
  </r>
  <r>
    <s v="1540-23-LQ22"/>
    <s v="CONVENIO DE SUMINISTROS DE INSUMOS CRITICOS"/>
    <s v="Se requiere el convenio de suministros de insumos críticos, para cubrir demanda de pacientes con cuadros severos agudos y graves, en los servicios de UPC, Urgencia y/o Cuidados Medios, por el periodo de 24 meses."/>
    <s v="SERVICIO DE SALUD MAGALLANES HOSPITAL DE PTO NATALES"/>
    <m/>
    <m/>
    <x v="0"/>
    <x v="0"/>
    <d v="2022-02-24T09:59:52"/>
    <x v="5"/>
    <x v="1"/>
    <d v="2022-03-10T12:00:00"/>
    <m/>
    <x v="0"/>
    <x v="7"/>
    <s v="No"/>
    <d v="2022-03-02T10:00:00"/>
    <d v="2022-03-04T17:00:00"/>
    <d v="2022-04-27T16:49:57"/>
    <n v="180000000"/>
    <n v="151260504.20168069"/>
    <n v="30"/>
    <s v="Si"/>
    <n v="200000"/>
    <d v="2022-06-30T00:00:00"/>
    <s v="No"/>
    <s v="Contrato"/>
    <n v="24"/>
    <m/>
    <m/>
    <d v="2022-03-10T12:00:00"/>
    <n v="60"/>
    <n v="20728"/>
    <x v="8"/>
    <x v="0"/>
    <d v="2022-04-27T00:00:00"/>
    <n v="-47.5"/>
    <x v="2"/>
    <n v="21800"/>
    <m/>
    <m/>
    <m/>
    <s v="61.607.904-2"/>
    <s v="Si"/>
    <n v="0.05"/>
    <d v="2024-06-28T00:00:00"/>
    <s v="dipresrecepcion@custodium.com"/>
    <m/>
    <s v="SARA BARRIA VERA"/>
    <s v="sara.barria@redsalud.gov.cl"/>
    <m/>
    <m/>
    <m/>
    <m/>
  </r>
  <r>
    <s v="3949-8-L122"/>
    <s v="MEDICAMENTOS FALTANTES CENABAST MARZO 2022"/>
    <s v="SE REQUIERE LA ADQUISICIÓN DE MEDICAMENTOS POR FALTA DE STOCK EN DROGUERIA APS, PARA CUBRIR LAS NECESIDADES DE LAS UNIDADES DEL CESFAM DR. ALEJANDRO GUTIÉRREZ."/>
    <s v="CONSULTORIO GENERAL URBANO DR ALEJANDRO GUTIERREZ"/>
    <m/>
    <m/>
    <x v="0"/>
    <x v="0"/>
    <d v="2022-03-02T15:23:25"/>
    <x v="6"/>
    <x v="1"/>
    <d v="2022-03-10T15:00:00"/>
    <d v="2022-03-04T16:09:00"/>
    <x v="0"/>
    <x v="5"/>
    <s v="No"/>
    <d v="2022-03-09T10:00:00"/>
    <d v="2022-03-10T10:30:00"/>
    <d v="2022-03-16T11:01:08"/>
    <n v="0"/>
    <n v="0"/>
    <n v="30"/>
    <s v="No"/>
    <m/>
    <s v=" "/>
    <s v="No"/>
    <s v="Spot"/>
    <m/>
    <s v="No"/>
    <m/>
    <d v="2022-03-10T15:00:00"/>
    <n v="199"/>
    <n v="5919"/>
    <x v="9"/>
    <x v="0"/>
    <d v="2022-03-16T10:49:52"/>
    <n v="-5.8262962962980964"/>
    <x v="0"/>
    <n v="2300"/>
    <m/>
    <m/>
    <m/>
    <s v="61.974.500-0"/>
    <s v="No"/>
    <m/>
    <m/>
    <m/>
    <m/>
    <m/>
    <m/>
    <m/>
    <m/>
    <m/>
    <m/>
  </r>
  <r>
    <s v="769-15-LE22"/>
    <s v="CONV. ADQ.DE INSUMOSY DISP. MÉDICOS AVNIA P.19"/>
    <s v="La presente propuesta pública tiene como objetivo adquirir o contratar lo siguiente:"/>
    <s v="SERVICIO DE SALUD ANTOFAGASTA DIRECCION"/>
    <m/>
    <m/>
    <x v="0"/>
    <x v="0"/>
    <d v="2022-02-28T15:07:20"/>
    <x v="5"/>
    <x v="1"/>
    <d v="2022-03-10T15:00:00"/>
    <m/>
    <x v="1"/>
    <x v="1"/>
    <s v="Si"/>
    <d v="2022-03-07T15:00:00"/>
    <d v="2022-03-08T16:00:00"/>
    <d v="2022-04-26T16:33:51"/>
    <n v="50000000"/>
    <n v="42016806.722689077"/>
    <n v="45"/>
    <s v="No"/>
    <m/>
    <s v=" "/>
    <s v="No"/>
    <s v="Contrato"/>
    <n v="12"/>
    <s v="No"/>
    <n v="60"/>
    <d v="2022-05-09T15:00:00"/>
    <m/>
    <m/>
    <x v="0"/>
    <x v="0"/>
    <d v="2022-04-26T00:00:00"/>
    <n v="13.625"/>
    <x v="7"/>
    <n v="5979000"/>
    <m/>
    <m/>
    <m/>
    <s v="61.606.200-k"/>
    <s v="Si"/>
    <n v="0.05"/>
    <d v="2023-06-26T00:00:00"/>
    <s v="dipresrecepcion@custodium.com"/>
    <m/>
    <s v="Juana Opazo"/>
    <s v="juana.opazo@ssantofagasta.cl"/>
    <m/>
    <m/>
    <m/>
    <m/>
  </r>
  <r>
    <s v="2825-7-L122"/>
    <s v="ADQUISICION CILINDROS DE OXIGENO MEDICINAL"/>
    <s v="COMPRA DE CILINDROS DE OXIGENO MEDICINAL PARA DEPENDENCIAS CESFAM Y ANEXOS"/>
    <s v="I MUNICIPALIDAD DE CONSTITUCION"/>
    <m/>
    <m/>
    <x v="2"/>
    <x v="10"/>
    <d v="2022-03-04T17:17:31"/>
    <x v="6"/>
    <x v="1"/>
    <d v="2022-03-10T18:44:00"/>
    <m/>
    <x v="0"/>
    <x v="2"/>
    <s v="No"/>
    <d v="2022-03-08T10:00:00"/>
    <d v="2022-03-09T16:00:00"/>
    <d v="2022-04-22T11:09:14"/>
    <n v="0"/>
    <n v="0"/>
    <m/>
    <s v="No"/>
    <m/>
    <s v=" "/>
    <s v="No"/>
    <m/>
    <m/>
    <m/>
    <m/>
    <d v="2022-03-10T18:44:00"/>
    <m/>
    <m/>
    <x v="0"/>
    <x v="0"/>
    <d v="2022-04-22T00:00:00"/>
    <n v="-42.219444444446708"/>
    <x v="0"/>
    <n v="1386300"/>
    <m/>
    <m/>
    <m/>
    <s v="69.120.100-7"/>
    <s v="No"/>
    <m/>
    <m/>
    <m/>
    <m/>
    <s v="Dpto de Finanzas Salud"/>
    <s v="robrec@gmail.com"/>
    <m/>
    <m/>
    <m/>
    <m/>
  </r>
  <r>
    <s v="1464-22-LE22"/>
    <s v="Insumos Médicos Marzo 2022"/>
    <s v="Cotizar insumos médicos para los servicios clinicos del Hospital de Parral."/>
    <s v="HOSPITAL DE PARRAL"/>
    <m/>
    <m/>
    <x v="0"/>
    <x v="0"/>
    <d v="2022-03-04T23:12:23"/>
    <x v="6"/>
    <x v="1"/>
    <d v="2022-03-11T14:00:00"/>
    <m/>
    <x v="0"/>
    <x v="5"/>
    <s v="No"/>
    <d v="2022-03-09T12:00:00"/>
    <d v="2022-03-10T13:00:00"/>
    <d v="2022-03-15T17:04:14"/>
    <n v="0"/>
    <n v="0"/>
    <m/>
    <s v="No"/>
    <m/>
    <s v=" "/>
    <s v="No"/>
    <m/>
    <m/>
    <m/>
    <m/>
    <d v="2022-03-11T14:00:00"/>
    <m/>
    <m/>
    <x v="0"/>
    <x v="0"/>
    <d v="2022-03-22T13:00:00"/>
    <n v="-10.958333333328483"/>
    <x v="0"/>
    <n v="455000"/>
    <m/>
    <m/>
    <m/>
    <s v="61.606.918-7"/>
    <s v="No"/>
    <m/>
    <m/>
    <m/>
    <m/>
    <s v="Marcelo Benavides Contreras"/>
    <s v="mparra@hospitaldeparral.cl"/>
    <m/>
    <m/>
    <m/>
    <m/>
  </r>
  <r>
    <s v="5841-5-LE22"/>
    <s v="SUMINISTRO DE GASES DE LABORATORIO"/>
    <s v="SUMINISTRO DE GASES DE LABORATORIO PARA LA FACULTAD D CS. QUIMICAS Y FARMACEUTICAS"/>
    <s v="UNIVERSIDAD DE CHILE"/>
    <m/>
    <m/>
    <x v="6"/>
    <x v="8"/>
    <d v="2022-02-28T13:51:30"/>
    <x v="5"/>
    <x v="1"/>
    <d v="2022-03-11T15:30:00"/>
    <d v="2022-03-07T00:00:00"/>
    <x v="0"/>
    <x v="2"/>
    <s v="No"/>
    <d v="2022-03-04T15:00:00"/>
    <d v="2022-03-07T18:00:00"/>
    <d v="2022-07-22T15:49:21"/>
    <n v="0"/>
    <n v="0"/>
    <m/>
    <s v="No"/>
    <m/>
    <s v=" "/>
    <s v="No"/>
    <m/>
    <m/>
    <m/>
    <m/>
    <d v="2022-03-11T15:30:00"/>
    <m/>
    <m/>
    <x v="0"/>
    <x v="1"/>
    <m/>
    <n v="44631.645833333336"/>
    <x v="3"/>
    <m/>
    <m/>
    <m/>
    <m/>
    <s v="60.910.000-1"/>
    <s v="No"/>
    <m/>
    <m/>
    <m/>
    <m/>
    <s v="ALEJANDRO FIGUEROA"/>
    <s v="AFIGUEROA@CIQ.UCHILE.CL"/>
    <m/>
    <m/>
    <m/>
    <m/>
  </r>
  <r>
    <s v="1057543-25-LE22"/>
    <s v="Insumos varios 2022"/>
    <s v="Insumos varios 2022"/>
    <s v="SERVICIO DE SALUD TALCAHUANO HOSPITAL DE"/>
    <m/>
    <m/>
    <x v="0"/>
    <x v="0"/>
    <d v="2022-03-11T10:22:00"/>
    <x v="6"/>
    <x v="1"/>
    <d v="2022-03-11T15:45:00"/>
    <d v="2022-03-21T00:00:00"/>
    <x v="0"/>
    <x v="4"/>
    <s v="No"/>
    <d v="2022-03-15T13:24:00"/>
    <d v="2022-03-18T13:27:00"/>
    <d v="2022-04-06T11:39:41"/>
    <n v="0"/>
    <n v="0"/>
    <m/>
    <s v="No"/>
    <m/>
    <s v=" "/>
    <s v="No"/>
    <s v="Contrato"/>
    <n v="12"/>
    <m/>
    <m/>
    <d v="2022-03-11T15:45:00"/>
    <n v="2800"/>
    <m/>
    <x v="0"/>
    <x v="0"/>
    <d v="2022-04-06T10:26:14"/>
    <n v="-25.778634259258979"/>
    <x v="0"/>
    <n v="2000"/>
    <m/>
    <m/>
    <m/>
    <s v="61.607.201-3"/>
    <s v="Si"/>
    <n v="0.05"/>
    <d v="2023-08-21T00:00:00"/>
    <m/>
    <m/>
    <s v="Waldo Solar Ulloa"/>
    <s v="waldo.solar@redsalud.gov.cl"/>
    <m/>
    <m/>
    <m/>
    <m/>
  </r>
  <r>
    <s v="1057544-47-LQ22"/>
    <s v="Compra por suministro de gases clínicos e insumos"/>
    <s v="La presente licitación contempla la compra por suministro de gases clínicos e insumos., según oferta económica Formulario N° 5 de las presentes Bases Administrativas"/>
    <s v="SERVICIO DE SALUD DE TALCAHUANO "/>
    <m/>
    <m/>
    <x v="2"/>
    <x v="2"/>
    <d v="2022-02-22T15:26:59"/>
    <x v="5"/>
    <x v="1"/>
    <d v="2022-03-14T15:00:00"/>
    <d v="2022-03-07T00:00:00"/>
    <x v="0"/>
    <x v="2"/>
    <s v="No"/>
    <d v="2022-03-02T18:53:00"/>
    <d v="2022-03-07T18:53:00"/>
    <d v="2022-03-29T15:53:27"/>
    <n v="0"/>
    <n v="0"/>
    <m/>
    <s v="Si"/>
    <n v="1000000"/>
    <d v="2022-06-22T00:00:00"/>
    <s v="No"/>
    <m/>
    <m/>
    <m/>
    <m/>
    <d v="2022-03-14T15:00:00"/>
    <m/>
    <m/>
    <x v="0"/>
    <x v="0"/>
    <d v="2022-04-22T15:00:00"/>
    <n v="-39"/>
    <x v="2"/>
    <n v="210000000"/>
    <m/>
    <m/>
    <m/>
    <s v="61.607.202-1"/>
    <s v="Si"/>
    <n v="0.1"/>
    <n v="45555"/>
    <m/>
    <m/>
    <s v="John Barahona"/>
    <s v="jhon.barahona@redsalud.gov.cl"/>
    <m/>
    <m/>
    <m/>
    <m/>
  </r>
  <r>
    <s v="769-16-LE22"/>
    <s v="CONV. MEDICAMENTOS E INSUMOS SAMU ANTFAGASTA P.15"/>
    <s v="La presente propuesta pública tiene como objetivo adquirir o contratar lo siguiente: Medicamentos e insumos para cubrir necesidades de pacientes atendidos en el SAMU de la Región de Antofagasta, los cuales serán solicitados de acuerdo a la demanda asistencial, es decir las cantidades pueden aumentar o disminuir."/>
    <s v="SERVICIO DE SALUD ANTOFAGASTA"/>
    <m/>
    <m/>
    <x v="0"/>
    <x v="0"/>
    <d v="2022-03-02T12:32:48"/>
    <x v="6"/>
    <x v="1"/>
    <d v="2022-03-14T15:00:00"/>
    <d v="2022-03-04T16:21:00"/>
    <x v="0"/>
    <x v="5"/>
    <s v="No"/>
    <d v="2022-03-08T15:00:00"/>
    <d v="2022-03-10T15:00:00"/>
    <d v="2022-03-31T17:00:00"/>
    <n v="0"/>
    <n v="0"/>
    <m/>
    <s v="No"/>
    <m/>
    <s v=" "/>
    <s v="No"/>
    <m/>
    <m/>
    <m/>
    <m/>
    <d v="2022-03-14T15:00:00"/>
    <m/>
    <m/>
    <x v="0"/>
    <x v="3"/>
    <m/>
    <n v="44634.625"/>
    <x v="3"/>
    <m/>
    <m/>
    <m/>
    <m/>
    <s v="61.606.200-k"/>
    <s v="Si"/>
    <n v="0.05"/>
    <d v="2023-06-19T00:00:00"/>
    <m/>
    <m/>
    <s v="Juana Opazo"/>
    <s v="juana.opazo@ssantofagasta.cl"/>
    <m/>
    <m/>
    <m/>
    <m/>
  </r>
  <r>
    <s v="3788-13-LE22"/>
    <s v="MPLEMENTOS E INSUMOS DE ENFERMERÍA"/>
    <s v="El objetivo de la presente licitación es adquirir, los insumos necesarios para la modalidad técnico profesional de Atención Enfermería Mención Adulto Mayor del liceo Rodulfo Amando Philippi."/>
    <s v="I MUNICIPALIDAD DE PAILLACO"/>
    <m/>
    <m/>
    <x v="0"/>
    <x v="0"/>
    <d v="2022-03-03T11:59:02"/>
    <x v="6"/>
    <x v="1"/>
    <d v="2022-03-14T15:10:00"/>
    <d v="2022-03-04T00:00:00"/>
    <x v="1"/>
    <x v="1"/>
    <s v="Si"/>
    <d v="2022-03-05T15:00:00"/>
    <d v="2022-03-07T17:30:00"/>
    <d v="2022-04-28T11:51:37"/>
    <n v="12000000"/>
    <n v="10084033.613445379"/>
    <n v="30"/>
    <s v="No"/>
    <m/>
    <s v=" "/>
    <s v="No"/>
    <s v="Spot"/>
    <m/>
    <s v="No"/>
    <m/>
    <d v="2022-03-14T15:10:00"/>
    <n v="16"/>
    <n v="26170"/>
    <x v="10"/>
    <x v="0"/>
    <d v="2022-04-22T18:10:53"/>
    <n v="-39.125613425923802"/>
    <x v="0"/>
    <n v="10900"/>
    <m/>
    <m/>
    <m/>
    <s v="69.200.900-2"/>
    <s v="Si"/>
    <n v="0.05"/>
    <d v="2022-06-30T00:00:00"/>
    <m/>
    <m/>
    <s v="YASNA SEGURA PARRA"/>
    <s v="educacion@munipaillaco.cl"/>
    <m/>
    <m/>
    <m/>
    <m/>
  </r>
  <r>
    <s v="3788-13-LE22"/>
    <s v="MPLEMENTOS E INSUMOS DE ENFERMERÍA"/>
    <s v="El objetivo de la presente licitación es adquirir, los insumos necesarios para la modalidad técnico profesional de Atención Enfermería Mención Adulto Mayor del liceo Rodulfo Amando Philippi."/>
    <s v="I MUNICIPALIDAD DE PAILLACO"/>
    <m/>
    <m/>
    <x v="0"/>
    <x v="0"/>
    <d v="2022-03-03T11:59:02"/>
    <x v="6"/>
    <x v="1"/>
    <d v="2022-03-14T15:10:00"/>
    <d v="2022-03-04T00:00:00"/>
    <x v="1"/>
    <x v="1"/>
    <s v="Si"/>
    <d v="2022-03-05T15:00:00"/>
    <d v="2022-03-07T17:30:00"/>
    <d v="2022-04-28T11:51:37"/>
    <n v="12000000"/>
    <n v="10084033.613445379"/>
    <n v="30"/>
    <s v="No"/>
    <m/>
    <s v=" "/>
    <s v="No"/>
    <s v="Spot"/>
    <m/>
    <s v="No"/>
    <m/>
    <d v="2022-03-14T15:10:00"/>
    <n v="16"/>
    <n v="5190"/>
    <x v="11"/>
    <x v="0"/>
    <d v="2022-04-22T18:10:53"/>
    <n v="-39.125613425923802"/>
    <x v="0"/>
    <n v="2800"/>
    <m/>
    <m/>
    <m/>
    <s v="69.200.900-2"/>
    <s v="Si"/>
    <n v="0.05"/>
    <d v="2022-06-30T00:00:00"/>
    <m/>
    <m/>
    <s v="YASNA SEGURA PARRA"/>
    <s v="educacion@munipaillaco.cl"/>
    <m/>
    <m/>
    <m/>
    <m/>
  </r>
  <r>
    <s v="4488-5-LE22"/>
    <s v="OXIGENO MEDICINAL"/>
    <s v="CONVENIO POR SUMINISTRO RECARGAS OXIGENO MEDICINAL CESFAM YANEQUEN NEGRETE"/>
    <s v="I MUNICIPALIDAD DE NEGRETE"/>
    <m/>
    <m/>
    <x v="2"/>
    <x v="2"/>
    <d v="2022-03-04T14:28:22"/>
    <x v="6"/>
    <x v="1"/>
    <d v="2022-03-14T15:11:00"/>
    <d v="2022-03-04T16:55:00"/>
    <x v="1"/>
    <x v="1"/>
    <s v="Si"/>
    <d v="2022-03-07T18:05:00"/>
    <d v="2022-03-08T18:05:00"/>
    <d v="2022-03-21T15:48:02"/>
    <n v="0"/>
    <n v="0"/>
    <m/>
    <s v="No"/>
    <m/>
    <s v=" "/>
    <s v="No"/>
    <m/>
    <m/>
    <s v="No"/>
    <m/>
    <d v="2022-03-14T15:11:00"/>
    <m/>
    <m/>
    <x v="0"/>
    <x v="0"/>
    <d v="2022-03-21T15:23:17"/>
    <n v="-7.0085300925929914"/>
    <x v="1"/>
    <n v="9200000"/>
    <m/>
    <m/>
    <m/>
    <s v="69.170.800-4"/>
    <s v="No"/>
    <m/>
    <m/>
    <m/>
    <m/>
    <s v="YESICA CARCAMO LAGOS"/>
    <s v="YCARCAMOLAGOS@GMAIL.COM"/>
    <m/>
    <m/>
    <m/>
    <m/>
  </r>
  <r>
    <s v="4060-1-LE22"/>
    <s v="MEDICAMENTOS PARA POSTA RURAL DE VILLA TEHUELCHES"/>
    <s v="Por medio de las presentes bases técnicas la Municipalidad establece las especificaciones técnicas para la adquisición de medicamentos para el funcionamiento de la posta rural de Villa Tehuelches y la correcta atención de usuarios de la Comuna de Laguna Blanca"/>
    <s v="I MUNICIPALIDAD DE LAGUNA BLANCA"/>
    <m/>
    <m/>
    <x v="0"/>
    <x v="0"/>
    <d v="2022-03-07T13:19:20"/>
    <x v="6"/>
    <x v="1"/>
    <d v="2022-03-14T15:30:00"/>
    <d v="2022-03-21T00:00:00"/>
    <x v="0"/>
    <x v="5"/>
    <s v="No"/>
    <d v="2022-03-09T15:30:00"/>
    <d v="2022-03-10T15:30:00"/>
    <d v="2022-03-29T14:16:25"/>
    <n v="0"/>
    <n v="0"/>
    <m/>
    <s v="No"/>
    <m/>
    <s v=" "/>
    <s v="No"/>
    <s v="Spot"/>
    <m/>
    <m/>
    <m/>
    <d v="2022-03-14T15:30:00"/>
    <n v="40"/>
    <m/>
    <x v="0"/>
    <x v="0"/>
    <d v="2022-03-29T13:07:49"/>
    <n v="-14.901261574072123"/>
    <x v="0"/>
    <n v="2500"/>
    <m/>
    <m/>
    <m/>
    <s v="69.251.200-6"/>
    <s v="No"/>
    <m/>
    <m/>
    <m/>
    <m/>
    <s v="MARCELA CURILLAN CARDENAS"/>
    <s v="marcela.curillan@mlagunablanca.cl"/>
    <m/>
    <m/>
    <m/>
    <m/>
  </r>
  <r>
    <s v="1058062-8-LP22"/>
    <s v="SUMINISTRO GASES MEDICINALES Y ARRIENDO CILINDRO"/>
    <s v="Se requiere contratar los servicios para el SUMINISTRO DE GASES MEDICINALES Y ARRIENDO DE CILINDROS, con el objeto de asegurar el óptimo funcionamiento del Hospital. El proceso se regirá según lo indicado en Bases Técnicas y Administrativas, adjuntas como anexo."/>
    <s v="HOSPITAL DE CAUQUENES"/>
    <m/>
    <m/>
    <x v="2"/>
    <x v="2"/>
    <d v="2022-02-21T18:02:17"/>
    <x v="5"/>
    <x v="1"/>
    <d v="2022-03-14T15:30:00"/>
    <d v="2022-03-01T12:51:00"/>
    <x v="0"/>
    <x v="2"/>
    <s v="No"/>
    <d v="2022-03-02T15:00:00"/>
    <d v="2022-03-08T17:00:00"/>
    <d v="2022-04-01T12:34:23"/>
    <n v="0"/>
    <n v="0"/>
    <m/>
    <s v="No"/>
    <m/>
    <s v=" "/>
    <s v="No"/>
    <m/>
    <m/>
    <m/>
    <m/>
    <d v="2022-03-14T15:30:00"/>
    <m/>
    <m/>
    <x v="0"/>
    <x v="0"/>
    <d v="2022-04-01T00:00:00"/>
    <n v="-17.354166666664241"/>
    <x v="2"/>
    <n v="607036"/>
    <m/>
    <m/>
    <m/>
    <s v="61.606.913-6"/>
    <s v="Si"/>
    <n v="0.05"/>
    <d v="2024-04-30T00:00:00"/>
    <m/>
    <m/>
    <s v="Jesus Carmona Coloma"/>
    <s v="jcarmona@ssmaule.cl"/>
    <m/>
    <m/>
    <m/>
    <m/>
  </r>
  <r>
    <s v="1079650-6-LR22"/>
    <s v="SEGUNDO LLAMADO AMPLIACIÓN RED DE GASES CLÍNICOS Y ELÉCTRICAS MONOBLOCK HGGB"/>
    <s v="SEGUNDO LLAMADO AMPLIACIÓN RED DE GASES CLÍNICOS Y ELÉCTRICAS MONOBLOCK HGGB, DE ACUERDO A LA DOCUMENTACIÓN ADJUNTA."/>
    <s v="SERVICIO DE SALUD CONCEPCION"/>
    <m/>
    <m/>
    <x v="4"/>
    <x v="6"/>
    <d v="2022-02-09T12:41:00"/>
    <x v="5"/>
    <x v="1"/>
    <d v="2022-03-14T15:30:00"/>
    <d v="2022-02-11T21:43:00"/>
    <x v="0"/>
    <x v="2"/>
    <s v="No"/>
    <d v="2022-02-24T15:00:00"/>
    <d v="2022-03-01T18:00:00"/>
    <d v="2022-04-19T18:15:23"/>
    <n v="0"/>
    <n v="0"/>
    <m/>
    <s v="Si"/>
    <n v="3000000"/>
    <d v="2022-07-09T00:00:00"/>
    <s v="Si"/>
    <m/>
    <m/>
    <m/>
    <m/>
    <d v="2022-03-14T15:30:00"/>
    <m/>
    <m/>
    <x v="0"/>
    <x v="0"/>
    <d v="2022-04-19T00:00:00"/>
    <n v="-35.354166666664241"/>
    <x v="0"/>
    <n v="851955425"/>
    <m/>
    <m/>
    <m/>
    <s v="61.607.100-9"/>
    <s v="Si"/>
    <n v="0.1"/>
    <d v="2023-04-06T00:00:00"/>
    <m/>
    <m/>
    <m/>
    <m/>
    <m/>
    <m/>
    <m/>
    <m/>
  </r>
  <r>
    <s v="1540-28-LQ22"/>
    <s v="CONV SUM INSUMOS PARA VENTILACION MECANICA"/>
    <s v="Convenio de suministros de insumos para ser utilizados en pacientes con tratamiento de Ventilación Mecánica Invasiva y Ventilación Mecánica No Invasiva, en los servicios de UPC Adulto yo Urgencia Adulto e Infantil, para el Hospital “Dr. Augusto Essmann Burgos” de Puerto Natales, por el periodo de 24 meses"/>
    <s v="SERVICIO DE SALUD MAGALLANES HOSPITAL DE PTO NATALES"/>
    <m/>
    <m/>
    <x v="0"/>
    <x v="0"/>
    <d v="2022-02-28T17:09:43"/>
    <x v="5"/>
    <x v="1"/>
    <d v="2022-03-15T12:00:00"/>
    <m/>
    <x v="0"/>
    <x v="10"/>
    <s v="No"/>
    <d v="2022-03-07T10:00:00"/>
    <d v="2022-03-09T17:00:00"/>
    <d v="2022-05-10T16:25:43"/>
    <n v="180000000"/>
    <n v="151260504.20168069"/>
    <n v="30"/>
    <s v="Si"/>
    <n v="200000"/>
    <d v="2022-07-12T00:00:00"/>
    <s v="No"/>
    <s v="Contrato"/>
    <n v="24"/>
    <m/>
    <m/>
    <d v="2022-03-15T12:00:00"/>
    <m/>
    <m/>
    <x v="0"/>
    <x v="0"/>
    <d v="2022-05-10T00:00:00"/>
    <n v="-55.5"/>
    <x v="3"/>
    <m/>
    <m/>
    <m/>
    <m/>
    <s v="61.607.904-2"/>
    <s v="Si"/>
    <n v="0.05"/>
    <d v="2024-07-15T00:00:00"/>
    <s v="dipresrecepcion@custodium.com"/>
    <m/>
    <s v="SARA BARRIA VERA"/>
    <s v="sara.barria@redsalud.gov.cl"/>
    <m/>
    <m/>
    <m/>
    <m/>
  </r>
  <r>
    <s v="886954-51-LQ22"/>
    <s v="CONV. BIENAL DE AEROCAMARA ALARGADORES Y BALON CONTRAPULSAC PARA EL HGGB 2022"/>
    <s v="La necesidad de abastecer de insumos para la atención oportuna del paciente."/>
    <s v="HOSPITAL GUILLERMO GRANT BENAVENTE"/>
    <m/>
    <m/>
    <x v="0"/>
    <x v="0"/>
    <d v="2022-03-04T20:38:45"/>
    <x v="6"/>
    <x v="1"/>
    <d v="2022-03-15T17:02:00"/>
    <m/>
    <x v="0"/>
    <x v="5"/>
    <s v="No"/>
    <d v="2022-03-10T17:01:00"/>
    <d v="2022-03-14T17:01:00"/>
    <d v="2022-06-03T16:09:45"/>
    <n v="0"/>
    <n v="0"/>
    <m/>
    <s v="Si"/>
    <n v="1000000"/>
    <d v="2022-06-13T00:00:00"/>
    <s v="No"/>
    <m/>
    <m/>
    <m/>
    <m/>
    <d v="2022-03-15T17:02:00"/>
    <m/>
    <m/>
    <x v="0"/>
    <x v="0"/>
    <d v="2022-05-03T17:00:00"/>
    <n v="-48.99861111111386"/>
    <x v="0"/>
    <n v="123829200"/>
    <d v="2022-03-06T00:00:00"/>
    <d v="2024-03-06T00:00:00"/>
    <m/>
    <s v="61.602.189-3"/>
    <s v="Si"/>
    <n v="0.05"/>
    <d v="2024-09-30T00:00:00"/>
    <m/>
    <m/>
    <s v="Loreto Rodriguez Neira"/>
    <s v="lrodriguezn@ssconcepcion.cl"/>
    <m/>
    <m/>
    <m/>
    <m/>
  </r>
  <r>
    <s v="886954-51-LQ22"/>
    <s v="CONV. BIENAL DE AEROCAMARA ALARGADORES Y BALON CONTRAPULSAC PARA EL HGGB 2022"/>
    <s v="La necesidad de abastecer de insumos para la atención oportuna del paciente."/>
    <s v="HOSPITAL GUILLERMO GRANT BENAVENTE DE CO"/>
    <m/>
    <m/>
    <x v="0"/>
    <x v="0"/>
    <d v="2022-03-04T20:38:45"/>
    <x v="6"/>
    <x v="1"/>
    <d v="2022-03-15T17:02:00"/>
    <d v="2022-03-21T00:00:00"/>
    <x v="0"/>
    <x v="9"/>
    <s v="No"/>
    <d v="2022-03-10T17:01:00"/>
    <d v="2022-03-14T17:01:00"/>
    <d v="2022-06-08T08:50:38"/>
    <n v="0"/>
    <n v="0"/>
    <m/>
    <s v="Si"/>
    <n v="200000"/>
    <s v=" "/>
    <s v="No"/>
    <s v="Contrato"/>
    <n v="24"/>
    <m/>
    <m/>
    <d v="2022-03-15T17:02:00"/>
    <n v="21240"/>
    <m/>
    <x v="0"/>
    <x v="0"/>
    <d v="2022-06-03T16:09:45"/>
    <n v="-79.963715277779556"/>
    <x v="0"/>
    <n v="3550"/>
    <m/>
    <m/>
    <m/>
    <s v="61.602.189-3"/>
    <s v="Si"/>
    <n v="0.05"/>
    <d v="2024-09-30T00:00:00"/>
    <m/>
    <m/>
    <s v="Loreto Rodriguez Neira"/>
    <s v="lrodriguezn@ssconcepcion.cl"/>
    <m/>
    <m/>
    <m/>
    <m/>
  </r>
  <r>
    <s v="3210-9-LE22"/>
    <s v="CONTRATO SUMINISTRO OXIGENO"/>
    <s v="DISPONER DE UN PROVEEDOR QUESUMINISTRE DE FORMA CONTINUA OXIGENO AL DPTO DE SALUD DE SAN RAFAEL"/>
    <s v="I MUNICIPALIDAD DE SAN RAFAEL"/>
    <m/>
    <m/>
    <x v="2"/>
    <x v="10"/>
    <d v="2022-03-04T09:40:40"/>
    <x v="6"/>
    <x v="1"/>
    <d v="2022-03-15T18:46:00"/>
    <m/>
    <x v="0"/>
    <x v="7"/>
    <s v="No"/>
    <d v="2022-03-07T12:54:00"/>
    <d v="2022-03-08T12:54:00"/>
    <d v="2022-03-23T13:57:20"/>
    <n v="0"/>
    <n v="0"/>
    <m/>
    <s v="No"/>
    <m/>
    <s v=" "/>
    <s v="No"/>
    <m/>
    <m/>
    <m/>
    <m/>
    <d v="2022-03-15T18:46:00"/>
    <m/>
    <m/>
    <x v="0"/>
    <x v="1"/>
    <m/>
    <n v="44635.781944444447"/>
    <x v="3"/>
    <m/>
    <m/>
    <m/>
    <m/>
    <s v="69.264.500-6"/>
    <s v="No"/>
    <m/>
    <m/>
    <m/>
    <m/>
    <s v="Alvara Ponce Ponce"/>
    <s v="finanzas@apssanrafael.cl"/>
    <m/>
    <m/>
    <m/>
    <m/>
  </r>
  <r>
    <s v="1057387-12-LE22"/>
    <s v="CONVENIO DE SUMINISTRO OXIGENO LIQUIDO Y ESTANQUE CRIOGENICO PARA HOSPITAL SAN AGUSTÍN DE COLLIPULLI"/>
    <s v="La presente licitación tiene como objetivo el suministro continuo de oxígeno liquido con provisión de estanque criogénico, para el Hospital de Collipulli, conforme a la propuesta más ventajosa para el Establecimiento"/>
    <s v="HOSPITAL DE COLLIPULLI"/>
    <m/>
    <m/>
    <x v="2"/>
    <x v="3"/>
    <d v="2022-03-02T11:00:00"/>
    <x v="6"/>
    <x v="1"/>
    <d v="2022-03-16T15:00:00"/>
    <m/>
    <x v="0"/>
    <x v="2"/>
    <s v="No"/>
    <d v="2022-03-08T16:01:00"/>
    <d v="2022-03-09T16:01:00"/>
    <d v="2022-04-11T15:03:53"/>
    <n v="0"/>
    <n v="0"/>
    <m/>
    <s v="Si"/>
    <n v="300000"/>
    <d v="2022-05-02T00:00:00"/>
    <s v="Si"/>
    <m/>
    <m/>
    <m/>
    <m/>
    <d v="2022-03-16T15:00:00"/>
    <m/>
    <m/>
    <x v="0"/>
    <x v="0"/>
    <d v="2022-04-08T15:59:20"/>
    <n v="-23.041203703702195"/>
    <x v="2"/>
    <n v="801"/>
    <m/>
    <m/>
    <m/>
    <s v="61.602.223-7"/>
    <s v="Si"/>
    <n v="0.08"/>
    <d v="2024-04-08T00:00:00"/>
    <m/>
    <m/>
    <s v="Mercedes Cofre Fermandois"/>
    <s v="mercedes.cofre@araucanianorte.cl"/>
    <m/>
    <m/>
    <m/>
    <m/>
  </r>
  <r>
    <s v="3690-10-LQ22"/>
    <s v="SUMINISTRO INSUMOS CLINICOS AREA SALUD 2022-2023"/>
    <s v="La Ilustre Municipalidad de Las Cabras a través del Departamento de salud, como responsable de los establecimientos de atención primaria de salud de la comuna, busca proporcionar un servicio del mayor grado de satisfacción posible a las personas beneficiarias del sistema de salud municipal. Es por lo anterior que tiene la necesidad de adquirir materiales e insumos quirurgicos para los años 2022 y 2023."/>
    <s v="I MUNICIPALIDAD DE LAS CABRAS"/>
    <m/>
    <m/>
    <x v="0"/>
    <x v="0"/>
    <d v="2022-02-21T16:27:32"/>
    <x v="5"/>
    <x v="1"/>
    <d v="2022-03-16T15:00:00"/>
    <m/>
    <x v="1"/>
    <x v="1"/>
    <s v="Si"/>
    <d v="2022-02-23T15:00:00"/>
    <d v="2022-02-24T17:00:00"/>
    <d v="2022-05-16T09:00:00"/>
    <n v="0"/>
    <n v="0"/>
    <n v="30"/>
    <s v="Si"/>
    <n v="300000"/>
    <d v="2022-05-23T00:00:00"/>
    <s v="No"/>
    <s v="Contrato"/>
    <n v="18"/>
    <s v="No"/>
    <n v="60"/>
    <d v="2022-05-15T15:00:00"/>
    <n v="12"/>
    <n v="35171"/>
    <x v="12"/>
    <x v="3"/>
    <m/>
    <n v="44696.625"/>
    <x v="3"/>
    <m/>
    <m/>
    <m/>
    <m/>
    <s v="69.080.800-5"/>
    <s v="Si"/>
    <n v="0.05"/>
    <d v="2024-03-01T00:00:00"/>
    <m/>
    <m/>
    <s v="Samuel Sepulveda Acevedo"/>
    <s v="finanzas@cesfamlascabras.cl"/>
    <m/>
    <m/>
    <m/>
    <m/>
  </r>
  <r>
    <s v="3690-10-LQ22"/>
    <s v="SUMINISTRO INSUMOS CLINICOS AREA SALUD 2022-2023"/>
    <s v="La Ilustre Municipalidad de Las Cabras a través del Departamento de salud, como responsable de los establecimientos de atención primaria de salud de la comuna, busca proporcionar un servicio del mayor grado de satisfacción posible a las personas beneficiarias del sistema de salud municipal. Es por lo anterior que tiene la necesidad de adquirir materiales e insumos quirurgicos para los años 2022 y 2023."/>
    <s v="I MUNICIPALIDAD DE LAS CABRAS"/>
    <m/>
    <m/>
    <x v="0"/>
    <x v="0"/>
    <d v="2022-02-21T16:27:32"/>
    <x v="5"/>
    <x v="1"/>
    <d v="2022-03-16T15:00:00"/>
    <m/>
    <x v="1"/>
    <x v="1"/>
    <s v="Si"/>
    <d v="2022-02-23T15:00:00"/>
    <d v="2022-02-24T17:00:00"/>
    <d v="2022-05-16T09:00:00"/>
    <n v="0"/>
    <n v="0"/>
    <n v="30"/>
    <s v="Si"/>
    <n v="300000"/>
    <d v="2022-05-23T00:00:00"/>
    <s v="No"/>
    <s v="Contrato"/>
    <n v="18"/>
    <s v="No"/>
    <n v="60"/>
    <d v="2022-05-15T15:00:00"/>
    <n v="15"/>
    <n v="35171"/>
    <x v="13"/>
    <x v="3"/>
    <m/>
    <n v="44696.625"/>
    <x v="3"/>
    <m/>
    <m/>
    <m/>
    <m/>
    <s v="69.080.800-5"/>
    <s v="Si"/>
    <n v="0.05"/>
    <d v="2024-03-01T00:00:00"/>
    <m/>
    <m/>
    <s v="Samuel Sepulveda Acevedo"/>
    <s v="finanzas@cesfamlascabras.cl"/>
    <m/>
    <m/>
    <m/>
    <m/>
  </r>
  <r>
    <s v="3558-2-LE22"/>
    <s v="CONVENIO SUMINISTRO OXIGENO MEDICO PENCAHUE"/>
    <s v="El Departamento de salud de Pencahue requiere proveer de oxigeno medicinal sus instalaciones y unidades de emergencia, considera arriendo de cilindros y mantenciones preventivas de instalaciones."/>
    <s v="I MUNICIPALIDAD DE PENCAHUE"/>
    <m/>
    <m/>
    <x v="2"/>
    <x v="10"/>
    <d v="2022-02-21T11:13:32"/>
    <x v="5"/>
    <x v="1"/>
    <d v="2022-03-16T15:30:00"/>
    <d v="2022-03-04T00:00:00"/>
    <x v="0"/>
    <x v="2"/>
    <s v="No"/>
    <d v="2022-02-26T13:50:00"/>
    <d v="2022-02-28T13:50:00"/>
    <d v="2022-03-29T10:16:22"/>
    <n v="0"/>
    <n v="0"/>
    <m/>
    <s v="No"/>
    <m/>
    <s v=" "/>
    <s v="No"/>
    <m/>
    <m/>
    <m/>
    <m/>
    <d v="2022-03-16T15:30:00"/>
    <m/>
    <m/>
    <x v="0"/>
    <x v="0"/>
    <d v="2022-03-24T15:31:00"/>
    <n v="-8.0006944444394321"/>
    <x v="0"/>
    <n v="7000000"/>
    <s v="3/29/2022"/>
    <s v="3/29/2024"/>
    <m/>
    <s v="69.110.800-7"/>
    <s v="No"/>
    <m/>
    <m/>
    <m/>
    <m/>
    <s v="Juan Alcantar Torres"/>
    <s v="jalcantar2018@gmail.com"/>
    <m/>
    <m/>
    <m/>
    <m/>
  </r>
  <r>
    <s v="2324-139-L122"/>
    <s v="INSUMOS ATENCION PODOLOGICA DE ADULTOS MAYORES ELEAM ALERCE  DIDECO MUNICIPALIDAD DE PUERTO MONTT"/>
    <s v="INSUMOS ATENCION PODOLOGICA DE ADULTOS MAYORES, ELEAM ALERCE / DIDECO, MUNICIPALIDAD DE PUERTO MONTT"/>
    <s v="I MUNICIPALIDAD DE PUERTO MONTT"/>
    <m/>
    <m/>
    <x v="0"/>
    <x v="0"/>
    <d v="2022-03-11T09:45:09"/>
    <x v="6"/>
    <x v="1"/>
    <d v="2022-03-17T09:00:00"/>
    <d v="2022-03-21T00:00:00"/>
    <x v="1"/>
    <x v="1"/>
    <s v="Si"/>
    <d v="2022-03-14T09:00:00"/>
    <d v="2022-03-15T18:00:00"/>
    <d v="2022-04-04T00:00:00"/>
    <n v="3117000"/>
    <n v="2619327.7310924372"/>
    <n v="30"/>
    <s v="No"/>
    <m/>
    <s v=" "/>
    <s v="No"/>
    <s v="Spot"/>
    <m/>
    <s v="No"/>
    <n v="30"/>
    <d v="2022-04-16T09:00:00"/>
    <n v="3"/>
    <n v="26563"/>
    <x v="14"/>
    <x v="1"/>
    <d v="2022-04-04T00:00:00"/>
    <n v="12.375"/>
    <x v="3"/>
    <m/>
    <m/>
    <m/>
    <m/>
    <s v="69.220.100-0"/>
    <s v="No"/>
    <m/>
    <m/>
    <m/>
    <m/>
    <s v="Orlando Arismendi"/>
    <s v="orlando.arismendi@puertomontt.cl"/>
    <m/>
    <m/>
    <m/>
    <m/>
  </r>
  <r>
    <s v="948355-9-LP22"/>
    <s v="Adquisición de Insumos Médicos por Sistema de Suministro para el Hospital DIPRECA"/>
    <s v="El Hospital de la Dirección de Previsión de Carabineros de Chile, ubicado en Av. Vital Apoquindo N° 1.200, Comuna de Las Condes, Región Metropolitana, en adelante “EL HOSPITAL”, llama a Licitación Pública para la Adquisición por Sistema de Suministro de Insumos Médicos, en adelante “LOS INSUMOS”, para un período de 24 meses o hasta que se consuma la totalidad del monto contratado, según lo que primero ocurra, para el referido Centro Asistencial, cuyas características y requisitos técnicos constan en las Bases Administrativas y Técnicas de esta Licitación con sus respectivos Anexos."/>
    <s v="FONDO HOSPITAL DE LA DIRECCION DE PREVISION DE CARABINEROS DE CHILE"/>
    <m/>
    <m/>
    <x v="2"/>
    <x v="10"/>
    <d v="2022-03-04T13:07:40"/>
    <x v="6"/>
    <x v="1"/>
    <d v="2022-03-17T16:00:00"/>
    <m/>
    <x v="0"/>
    <x v="6"/>
    <s v="No"/>
    <d v="2022-03-11T17:00:00"/>
    <d v="2022-03-15T17:00:00"/>
    <d v="2022-07-06T16:35:03"/>
    <n v="0"/>
    <n v="0"/>
    <m/>
    <s v="No"/>
    <m/>
    <s v=" "/>
    <s v="No"/>
    <m/>
    <m/>
    <m/>
    <m/>
    <d v="2022-03-17T16:00:00"/>
    <m/>
    <m/>
    <x v="0"/>
    <x v="0"/>
    <d v="2022-07-06T15:30:48"/>
    <n v="-110.97972222222597"/>
    <x v="0"/>
    <n v="2500"/>
    <m/>
    <m/>
    <m/>
    <s v="61.513.003-6"/>
    <s v="Si"/>
    <n v="0.1"/>
    <d v="2024-10-18T00:00:00"/>
    <m/>
    <m/>
    <s v="Viviana Garcia"/>
    <s v="tesoreria1@hospitaldipreca.cl"/>
    <m/>
    <m/>
    <m/>
    <m/>
  </r>
  <r>
    <s v="2832-4-LR22"/>
    <s v="CTTO. SUM. INSUMOS CLINICOS DEPTO. SALUD QUILLOTA "/>
    <s v="LICITACION PUBLICA CONTRATO DE SUMINISTRO DE INSUMOS CLINICOS DEPARTAMENTO DE SALUD DE LA MUNICIPALIDAD DE QUILLOTA."/>
    <s v="I MUNICIPALIDAD DE QUILLOTA"/>
    <m/>
    <m/>
    <x v="0"/>
    <x v="0"/>
    <d v="2022-02-14T17:28:59"/>
    <x v="5"/>
    <x v="1"/>
    <d v="2022-03-17T16:00:00"/>
    <m/>
    <x v="0"/>
    <x v="5"/>
    <s v="No"/>
    <d v="2022-02-24T15:00:00"/>
    <d v="2022-03-03T16:00:00"/>
    <d v="2022-09-12T17:00:00"/>
    <n v="0"/>
    <n v="0"/>
    <n v="30"/>
    <s v="Si"/>
    <n v="200000"/>
    <d v="2022-09-17T00:00:00"/>
    <s v="No"/>
    <s v="Contrato"/>
    <n v="24"/>
    <m/>
    <n v="180"/>
    <d v="2022-09-13T16:00:00"/>
    <m/>
    <m/>
    <x v="0"/>
    <x v="2"/>
    <m/>
    <n v="44817.666666666664"/>
    <x v="3"/>
    <m/>
    <m/>
    <m/>
    <m/>
    <s v="69.260.400-8"/>
    <s v="Si"/>
    <n v="0.05"/>
    <d v="2024-11-14T00:00:00"/>
    <m/>
    <m/>
    <s v="Francisca Olivares Palma"/>
    <s v="francisca.olivares@saludquillota.cl"/>
    <m/>
    <m/>
    <m/>
    <m/>
  </r>
  <r>
    <s v="552757-7-LE22"/>
    <s v="CONTRATO DE SUMINISTROS DE INSUMOS MÉDICOS PARA EL DEPARTAMENTO DE SALUD MUNICIPAL PICHILEMU AÑO 2022"/>
    <s v="Invita a los oferentes relacionados con el rubro de INSUMOS MEDICOS, a participar del Llamado a Licitación Pública para realizar un contrato de Suministro de insumos médicos para abastecer los requerimientos que emanan de la población que atienden los profesionales y técnicos de salud en sus 3 Postas y Estaciones Medico Rurales existentes en la comuna de Pichilemu, para el año 2022."/>
    <s v="I MUNICIPALIDAD DE PICHILEMU"/>
    <m/>
    <m/>
    <x v="0"/>
    <x v="0"/>
    <d v="2022-03-07T10:11:20"/>
    <x v="6"/>
    <x v="1"/>
    <d v="2022-03-17T19:57:00"/>
    <m/>
    <x v="1"/>
    <x v="1"/>
    <s v="Si"/>
    <d v="2022-03-10T15:49:00"/>
    <d v="2022-03-11T15:49:00"/>
    <d v="2022-06-20T14:59:40"/>
    <n v="0"/>
    <n v="0"/>
    <m/>
    <s v="No"/>
    <m/>
    <s v=" "/>
    <s v="No"/>
    <m/>
    <m/>
    <s v="No"/>
    <m/>
    <d v="2022-03-17T19:57:00"/>
    <m/>
    <m/>
    <x v="0"/>
    <x v="0"/>
    <d v="2022-06-20T14:55:48"/>
    <n v="-94.790833333332557"/>
    <x v="0"/>
    <n v="15500"/>
    <m/>
    <m/>
    <m/>
    <s v="69.091.200-7"/>
    <s v="No"/>
    <m/>
    <m/>
    <m/>
    <m/>
    <s v="MARCELA MARTINEZ GONZALEZ"/>
    <s v="MMARTINEZ@PICHILEMU.CL"/>
    <m/>
    <m/>
    <m/>
    <m/>
  </r>
  <r>
    <s v="552757-7-LE22"/>
    <s v="CONTRATO DE SUMINISTROS DE INSUMOS MÉDICOS PARA EL DEPARTAMENTO DE SALUD MUNICIPAL PICHILEMU AÑO 2022"/>
    <s v="Invita a los oferentes relacionados con el rubro de INSUMOS MEDICOS, a participar del Llamado a Licitación Pública para realizar un contrato de Suministro de insumos médicos para abastecer los requerimientos que emanan de la población que atienden los profesionales y técnicos de salud en sus 3 Postas y Estaciones Medico Rurales existentes en la comuna de Pichilemu, para el año 2022."/>
    <s v="I MUNICIPALIDAD DE PICHILEMU"/>
    <m/>
    <m/>
    <x v="0"/>
    <x v="0"/>
    <d v="2022-03-07T10:11:20"/>
    <x v="6"/>
    <x v="1"/>
    <d v="2022-03-17T19:57:00"/>
    <m/>
    <x v="1"/>
    <x v="1"/>
    <s v="Si"/>
    <d v="2022-03-10T15:49:00"/>
    <d v="2022-03-11T15:49:00"/>
    <d v="2022-06-20T14:59:40"/>
    <n v="20000000"/>
    <n v="16806722.68907563"/>
    <n v="30"/>
    <s v="No"/>
    <m/>
    <s v=" "/>
    <s v="No"/>
    <s v="Contrato"/>
    <n v="9"/>
    <s v="No"/>
    <m/>
    <d v="2022-03-17T19:57:00"/>
    <m/>
    <m/>
    <x v="0"/>
    <x v="0"/>
    <d v="2022-06-20T14:55:48"/>
    <n v="-94.790833333332557"/>
    <x v="0"/>
    <n v="15500"/>
    <m/>
    <m/>
    <m/>
    <s v="69.091.200-7"/>
    <s v="No"/>
    <m/>
    <m/>
    <m/>
    <m/>
    <s v="MARCELA MARTINEZ GONZALEZ"/>
    <s v="MMARTINEZ@PICHILEMU.CL"/>
    <m/>
    <m/>
    <m/>
    <m/>
  </r>
  <r>
    <s v="3950-17-LE22"/>
    <s v="Adquisición de Medicamentos e Insumos "/>
    <s v="Que la Dirección Atención Primaria, ha determinado licitar los servicios establecidos en la Licitación “ADQUISICIÓN DE MEDICAMENTOS E INSUMOS PARA STOCK EN BODEGA, DE LA DIRECCIÓN ATENCIÓN PRIMARIA.” "/>
    <s v="DIRECCION SALUD RURAL"/>
    <m/>
    <m/>
    <x v="0"/>
    <x v="0"/>
    <d v="2022-03-09T10:02:00"/>
    <x v="6"/>
    <x v="1"/>
    <d v="2022-03-18T15:30:00"/>
    <d v="2022-03-21T00:00:00"/>
    <x v="0"/>
    <x v="5"/>
    <s v="No"/>
    <d v="2022-03-11T18:55:00"/>
    <d v="2022-03-14T18:55:00"/>
    <d v="2022-04-26T15:59:10"/>
    <n v="20000000"/>
    <n v="16806722.68907563"/>
    <m/>
    <s v="No"/>
    <m/>
    <s v=" "/>
    <s v="No"/>
    <m/>
    <m/>
    <m/>
    <m/>
    <d v="2022-03-18T15:30:00"/>
    <n v="800"/>
    <m/>
    <x v="0"/>
    <x v="0"/>
    <d v="2022-04-26T14:51:43"/>
    <n v="-38.973414351850806"/>
    <x v="0"/>
    <n v="2500"/>
    <m/>
    <m/>
    <m/>
    <s v="61.974.600-7"/>
    <s v="No"/>
    <m/>
    <m/>
    <m/>
    <m/>
    <s v="CAMILO VALLEJOS"/>
    <s v="dsr.contabilidad@saludaysen.cl"/>
    <m/>
    <m/>
    <m/>
    <m/>
  </r>
  <r>
    <s v="1627-31-LQ22"/>
    <s v="Suministro Gases Medicinales"/>
    <s v="Llama a licitación Pública para el Suministro de Gases Medicinales y Arriendo de Cilindros para el Hospital de San Fernando"/>
    <s v="HOSPITAL DE SAN FERNANDO"/>
    <m/>
    <m/>
    <x v="2"/>
    <x v="10"/>
    <d v="2022-02-23T12:06:00"/>
    <x v="5"/>
    <x v="1"/>
    <d v="2022-03-18T15:30:00"/>
    <d v="2022-03-07T00:00:00"/>
    <x v="0"/>
    <x v="7"/>
    <s v="No"/>
    <d v="2022-02-26T12:30:00"/>
    <d v="2022-03-07T20:00:00"/>
    <d v="2022-07-18T18:06:01"/>
    <n v="0"/>
    <n v="0"/>
    <m/>
    <s v="Si"/>
    <n v="6000000"/>
    <d v="2022-07-14T00:00:00"/>
    <s v="No"/>
    <m/>
    <m/>
    <m/>
    <m/>
    <d v="2022-03-18T15:30:00"/>
    <m/>
    <m/>
    <x v="0"/>
    <x v="0"/>
    <d v="2022-07-18T00:00:00"/>
    <n v="-121.35416666666424"/>
    <x v="2"/>
    <n v="53884800"/>
    <m/>
    <m/>
    <m/>
    <s v="61.602.145-1"/>
    <s v="Si"/>
    <n v="0.1"/>
    <d v="2024-09-13T00:00:00"/>
    <m/>
    <m/>
    <s v="Cristian Moreno Gutiérrez"/>
    <s v="cmoreno@hospitalsanfernando.cl"/>
    <m/>
    <m/>
    <m/>
    <m/>
  </r>
  <r>
    <s v="1057499-8-LE22"/>
    <s v="ADQUISICIÓN DE MÁSCARAS PARA EL PROGRAMA DE ASISTENCIA VENTILATORIA NO INVASIVA DEL ADULTO"/>
    <s v="El objetivo de la presente licitación es definir las condiciones técnicas y contractuales para la adquisición de máscaras para el programa de asistencia ventilatoria no invasiva del adulto."/>
    <s v="SERVICIO DE SALUD SUR UNIDAD HOSPITALARI"/>
    <m/>
    <m/>
    <x v="0"/>
    <x v="0"/>
    <d v="2022-03-14T15:43:04"/>
    <x v="6"/>
    <x v="1"/>
    <d v="2022-03-21T16:00:00"/>
    <m/>
    <x v="1"/>
    <x v="1"/>
    <s v="Si"/>
    <d v="2022-03-15T16:15:00"/>
    <d v="2022-03-16T23:00:00"/>
    <d v="2022-04-20T23:00:00"/>
    <n v="20000000"/>
    <n v="16806722.68907563"/>
    <n v="30"/>
    <s v="No"/>
    <m/>
    <s v=" "/>
    <s v="No"/>
    <s v="Contrato"/>
    <n v="12"/>
    <s v="No"/>
    <n v="90"/>
    <d v="2022-06-19T16:00:00"/>
    <n v="87"/>
    <n v="114316"/>
    <x v="15"/>
    <x v="0"/>
    <d v="2022-04-12T11:41:08"/>
    <n v="68.17976851851563"/>
    <x v="1"/>
    <n v="114316"/>
    <m/>
    <m/>
    <m/>
    <s v="61.608.108-K"/>
    <s v="No"/>
    <m/>
    <m/>
    <s v="dipresrecepcion@custodium.com"/>
    <m/>
    <s v="Rodrigo Gonzalez"/>
    <s v="rodrigo.gonzalez@redsalud.gov.cl"/>
    <m/>
    <m/>
    <m/>
    <m/>
  </r>
  <r>
    <s v="4999-3-LE22"/>
    <s v="ADQUISICIÓN EQUIPOS CLÍNICOS CAMP VACUNACION SPA"/>
    <s v="El Departamento de Salud de la Municipalidad de San Pedro de Atacama, hace un llamado a propuesta pública para la gestionar la adquisición de Equipos Clínicos para la Vacunación Masiva en Comuna San Pedro de Atacama, como parte de la Estrategia Nacional para enfrentar la pandemia.  De tal manera, las presentes bases de licitación regularan este proceso, cuyos oferentes deben cumplir los requisitos de estas Bases."/>
    <s v="I MUNICIPALIDAD DE SAN PEDRO DE ATACAMA"/>
    <m/>
    <m/>
    <x v="0"/>
    <x v="0"/>
    <d v="2022-03-15T15:09:27"/>
    <x v="6"/>
    <x v="1"/>
    <d v="2022-03-21T17:00:00"/>
    <m/>
    <x v="0"/>
    <x v="4"/>
    <s v="No"/>
    <d v="2022-03-17T16:00:00"/>
    <d v="2022-03-18T16:01:00"/>
    <d v="2022-03-25T18:36:00"/>
    <n v="6250000"/>
    <n v="5252100.8403361347"/>
    <n v="30"/>
    <s v="No"/>
    <m/>
    <s v=" "/>
    <s v="No"/>
    <s v="Spot"/>
    <m/>
    <s v="No"/>
    <n v="60"/>
    <d v="2022-05-20T17:00:00"/>
    <n v="15"/>
    <m/>
    <x v="0"/>
    <x v="0"/>
    <d v="2022-03-29T15:04:13"/>
    <n v="52.080405092594447"/>
    <x v="0"/>
    <n v="222000"/>
    <m/>
    <m/>
    <m/>
    <s v="69.252.500-0"/>
    <s v="No"/>
    <m/>
    <m/>
    <s v="adqsalud@munispa.cl"/>
    <m/>
    <s v="KARINA CHAYLE CRUZ"/>
    <s v="finanzassalud@munispa.cl"/>
    <m/>
    <m/>
    <m/>
    <m/>
  </r>
  <r>
    <s v="1718-7-L122"/>
    <s v="OXIGENO MEDICINAL Y ARRIENDO DE CILINDRO."/>
    <s v="SOL.COMPRA 08224. DEPTO. DE SALUD. SAR Y SUC DE LA COMUNA. OXIGENO MEDICINAL Y ARRIENDO DE CILINDRO POR 5 MESES DE ABRIL A AGOSTO 2022."/>
    <s v="I MUNICIPALIDAD DE SAN RAMON"/>
    <m/>
    <m/>
    <x v="2"/>
    <x v="10"/>
    <d v="2022-03-15T17:55:22"/>
    <x v="6"/>
    <x v="1"/>
    <d v="2022-03-21T18:00:00"/>
    <m/>
    <x v="0"/>
    <x v="5"/>
    <s v="No"/>
    <d v="2022-03-17T18:00:00"/>
    <d v="2022-03-18T10:00:00"/>
    <d v="2023-03-14T18:00:00"/>
    <n v="0"/>
    <n v="0"/>
    <m/>
    <s v="No"/>
    <m/>
    <s v=" "/>
    <s v="No"/>
    <m/>
    <m/>
    <m/>
    <m/>
    <d v="2022-03-21T18:00:00"/>
    <m/>
    <m/>
    <x v="0"/>
    <x v="0"/>
    <d v="2022-05-02T13:41:34"/>
    <n v="-41.820532407407882"/>
    <x v="0"/>
    <n v="1971"/>
    <m/>
    <m/>
    <m/>
    <s v="69.253.900-1"/>
    <s v="No"/>
    <m/>
    <m/>
    <m/>
    <m/>
    <s v="SAMUEL BUSTOS"/>
    <s v="sbustos@municipalidadsanramon.cl"/>
    <m/>
    <m/>
    <m/>
    <m/>
  </r>
  <r>
    <s v="1057441-8-LP22"/>
    <s v="CONVENIO SUMINISTRO INSUMOS GASES CLÍNICOS"/>
    <s v="Conforme a la Ley de Compras Públicas, su Reglamento y modificaciones, el Hospital Provincial de Ovalle llama a licitación pública a empresas o proveedores del rubro, personas naturales o jurídicas, chilenas o extranjeras, así como a Uniones Temporales de Proveedores, para celebrar un Convenio de Suministro de Insumos de Gases Clínicos, por un periodo de 24 (veinticuatro) meses o hasta agotar el presupuesto máximo referencial, para un oportuno y adecuado suministro de estos productos y así garantizar el correcto funcionamiento del Establecimiento."/>
    <s v="SERVICIO DE SALUD COQUIMBO "/>
    <m/>
    <m/>
    <x v="2"/>
    <x v="11"/>
    <d v="2022-02-28T14:26:32"/>
    <x v="5"/>
    <x v="1"/>
    <d v="2022-03-22T15:00:00"/>
    <d v="2022-03-07T00:00:00"/>
    <x v="0"/>
    <x v="2"/>
    <s v="No"/>
    <d v="2022-03-08T12:44:00"/>
    <d v="2022-03-16T17:44:00"/>
    <d v="2022-05-31T09:49:03"/>
    <n v="0"/>
    <n v="0"/>
    <m/>
    <s v="Si"/>
    <n v="150000"/>
    <d v="2022-08-22T00:00:00"/>
    <s v="No"/>
    <m/>
    <m/>
    <m/>
    <m/>
    <d v="2022-03-22T15:00:00"/>
    <m/>
    <m/>
    <x v="0"/>
    <x v="1"/>
    <m/>
    <n v="44642.625"/>
    <x v="3"/>
    <m/>
    <m/>
    <m/>
    <m/>
    <s v="61.606.404-5"/>
    <s v="Si"/>
    <n v="0.05"/>
    <d v="2024-08-02T00:00:00"/>
    <m/>
    <m/>
    <s v="Rocío Ávalos Laflor"/>
    <s v="rocio.avalos@redsalud.gov.cl"/>
    <m/>
    <m/>
    <m/>
    <m/>
  </r>
  <r>
    <s v="1641-41-LE22"/>
    <s v="JA-SERVICIOS DE SUMINISTRO ÓXIDO NÍTRICO PARA PA"/>
    <s v="Objetivo y Descripción de la licitación El objeto de la presente licitación es la contratación de SERVICIOS DE SUMINISTRO ÓXIDO NÍTRICO PARA PACIENTES NEONATOLOGICOS Y PEDIÁTRICOS”, según el siguiente detalle: ITEM CÓDIGO INTERNO DESCRIPCIÓN UNIDAD DE MEDIDA CANTIDAD ESTIMADA (*) 1 10-010-002-0001 SERVICIOS DE SUMINISTRO ÓXIDO NÍTRICO PARA PACIENTES NEONATOLOGICOS Y PEDIÁTRICOS GLOBAL SEGÚN REQUERIMIENTO No se aceptarán más de una oferta por línea de un proveedor, solo debe postular con una oferta por línea. * No se aceptarán más de una oferta por línea de un proveedor, solo se debe postular con una Oferta por línea. En caso de que se produzca una doble oferta por línea, solo valdrá la que haya sido publicada en primera instancia en el portal y sea comprobada con el respectivo comprobante de oferta adjunto en la publicación. (*) Se deja constancia que las cantidades de productos o servicios son de flujo variables, no comprometiendo el Hospital a adquirir cantidades determinadas de manera periódica, por lo que en ningún caso se fijará stock mínimo de compra, ni tampoco totales, por lo que el o los adjudicatarios estarán imposibilitados de señalar cantidades mínimas para su despacho. El proveedor deberá ofertar, incluyendo todos los costos asociados, traslados o fletes, embalaje, seguros, impuestos, etc., hasta su recepción conforme en el Hospital. La oferta a través de la Plataforma Mercado Público deberá efectuarse por el valor neto (Sin IVA) Asimismo, se hace presente que este proceso de licitación se hará por ítem adjudicado, por lo cual cada proveedor podrá ofertar por un ítem de los señalados en este punto, por más de uno o por la totalidad de los mismos, correspondiendo cada ítem a una línea de producto o servicio."/>
    <s v="HOSPITAL SAN JUAN DE DIOS"/>
    <m/>
    <m/>
    <x v="1"/>
    <x v="1"/>
    <d v="2022-03-09T14:05:28"/>
    <x v="6"/>
    <x v="1"/>
    <d v="2022-03-22T16:00:00"/>
    <m/>
    <x v="1"/>
    <x v="1"/>
    <s v="Si"/>
    <d v="2022-03-15T16:00:00"/>
    <d v="2022-03-16T16:00:00"/>
    <d v="2022-05-24T16:00:00"/>
    <n v="0"/>
    <n v="0"/>
    <m/>
    <s v="No"/>
    <m/>
    <s v=" "/>
    <s v="No"/>
    <m/>
    <m/>
    <s v="No"/>
    <m/>
    <d v="2022-03-22T16:00:00"/>
    <m/>
    <m/>
    <x v="0"/>
    <x v="0"/>
    <d v="2022-04-12T11:38:51"/>
    <n v="-20.818645833336632"/>
    <x v="1"/>
    <n v="68480"/>
    <m/>
    <m/>
    <m/>
    <s v="61.608.204-3"/>
    <s v="Si"/>
    <n v="0.05"/>
    <d v="2025-08-03T00:00:00"/>
    <m/>
    <m/>
    <s v="RODRIGO BRAVO"/>
    <s v="RODRIGO.BRAVOG@REDSALUD.GOV.CL"/>
    <m/>
    <m/>
    <m/>
    <m/>
  </r>
  <r>
    <s v="3651-16-L122"/>
    <s v="INSUMOS SALA IRA ERA  CESFAM CANTERAS"/>
    <s v="INSUMOS  SALA IRA ERA CESFAM CANTERAS , PRESUPUESTO MUNICIPAL 2022"/>
    <s v="I MUNICIPALIDAD DE QUILLECO"/>
    <m/>
    <m/>
    <x v="0"/>
    <x v="0"/>
    <d v="2022-03-15T16:51:35"/>
    <x v="6"/>
    <x v="1"/>
    <d v="2022-03-22T16:18:00"/>
    <m/>
    <x v="0"/>
    <x v="7"/>
    <s v="No"/>
    <d v="2022-03-18T12:00:00"/>
    <d v="2022-03-21T15:18:00"/>
    <d v="2022-04-08T12:36:57"/>
    <n v="1300000"/>
    <n v="1092436.9747899161"/>
    <m/>
    <s v="No"/>
    <m/>
    <s v=" "/>
    <s v="No"/>
    <s v="Spot"/>
    <m/>
    <s v="No"/>
    <m/>
    <d v="2022-03-22T16:18:00"/>
    <n v="4"/>
    <m/>
    <x v="0"/>
    <x v="1"/>
    <d v="2022-04-08T12:31:21"/>
    <n v="-16.842604166668025"/>
    <x v="3"/>
    <m/>
    <m/>
    <m/>
    <m/>
    <s v="69.170.402-5"/>
    <s v="No"/>
    <m/>
    <m/>
    <m/>
    <m/>
    <s v="Gissela Urriola Salas"/>
    <s v="gisse.urriola@live.cl"/>
    <m/>
    <m/>
    <m/>
    <m/>
  </r>
  <r>
    <s v="3853-10-L122"/>
    <s v="Suministro de Oxígeno Medicinal Para Pacientes Domiciliarios"/>
    <s v="l Departamento de Salud Municipal de Río Bueno, requiere adquirir &quot;Contrato de Suministro de Oxígeno Medicinal para Pacientes Domiciliarios Oxígeno Dependiente&quot;, que pertenecen al CESFAM de Río Bueno."/>
    <s v="I MUNICIPALIDAD DE RIO BUENO"/>
    <m/>
    <m/>
    <x v="3"/>
    <x v="5"/>
    <d v="2022-03-14T12:40:00"/>
    <x v="6"/>
    <x v="1"/>
    <d v="2022-03-23T10:00:00"/>
    <d v="2022-03-21T00:00:00"/>
    <x v="0"/>
    <x v="7"/>
    <s v="No"/>
    <d v="2022-03-18T11:00:00"/>
    <d v="2022-03-21T10:00:00"/>
    <d v="2022-04-29T10:00:00"/>
    <n v="0"/>
    <n v="0"/>
    <m/>
    <s v="No"/>
    <m/>
    <s v=" "/>
    <s v="No"/>
    <s v="Contrato"/>
    <m/>
    <s v="No"/>
    <m/>
    <d v="2022-03-23T10:00:00"/>
    <m/>
    <m/>
    <x v="0"/>
    <x v="1"/>
    <m/>
    <n v="44643.416666666664"/>
    <x v="3"/>
    <m/>
    <m/>
    <m/>
    <m/>
    <s v="69.201.000-0"/>
    <s v="No"/>
    <m/>
    <m/>
    <m/>
    <m/>
    <s v="Yéssica Hidalgo Leal"/>
    <s v="contabilidad.salud@muniriobueno.cl"/>
    <m/>
    <m/>
    <m/>
    <m/>
  </r>
  <r>
    <s v="434-19-L122"/>
    <s v="CONCENTRADOR DE OXIGENO. SEGUN MEMO N° 67-A DIDEDO"/>
    <s v="CONCENTRADOR DE OXIGENO PORTATIL CON BATERIAS, NECESARIO PARA PERSONA CARENTE DE RECURSOS ATENDIDA POR EL PROGRAMA PLAN ASISTENCIAL. SEGUN MEMO N° 67-A DIDEDO. FLETE INCLUIDO Y PUESTO EN BODEGA MUNICIPAL."/>
    <s v="I MUNICIPALIDAD DE CAUQUENES"/>
    <m/>
    <m/>
    <x v="0"/>
    <x v="0"/>
    <d v="2022-03-17T09:27:05"/>
    <x v="6"/>
    <x v="1"/>
    <d v="2022-03-23T11:11:00"/>
    <d v="2022-03-21T00:00:00"/>
    <x v="1"/>
    <x v="1"/>
    <s v="Si"/>
    <d v="2022-03-19T13:11:00"/>
    <d v="2022-03-21T15:11:00"/>
    <d v="2022-05-04T15:12:00"/>
    <n v="2995600"/>
    <n v="2517310.9243697482"/>
    <m/>
    <s v="No"/>
    <m/>
    <s v=" "/>
    <s v="No"/>
    <s v="Spot"/>
    <m/>
    <s v="No"/>
    <m/>
    <d v="2022-03-23T11:11:00"/>
    <n v="1"/>
    <n v="1909390"/>
    <x v="16"/>
    <x v="0"/>
    <d v="2022-04-01T00:00:00"/>
    <n v="-8.5340277777795563"/>
    <x v="0"/>
    <n v="2517311"/>
    <m/>
    <m/>
    <m/>
    <s v="69.120.400-6"/>
    <s v="No"/>
    <m/>
    <m/>
    <m/>
    <m/>
    <s v="Lucia del rio"/>
    <s v="tesoreria@cauquenes.cl"/>
    <m/>
    <m/>
    <m/>
    <m/>
  </r>
  <r>
    <s v="2098-54-LE22"/>
    <s v="INSUMOS PARA SERVICIO DE URGENCIA FOLIO PAC N°22 Y PARA SMQ FOLIO PAC N°36"/>
    <s v="HOSPITAL CURANILAHUE REQUIERE LA COMPRA DE INSUMOS CLINICOS UTILIZADOS EN EL SERVICIO DE URGENCIA Y MEDICO QUIRURGICO DE NUESTRO ESTABLECIMIENTO"/>
    <s v="SERVICIO NACIONAL DE SALUD HOSPITAL DE C"/>
    <m/>
    <m/>
    <x v="0"/>
    <x v="0"/>
    <d v="2022-03-18T08:46:37"/>
    <x v="6"/>
    <x v="1"/>
    <d v="2022-03-23T15:10:00"/>
    <m/>
    <x v="0"/>
    <x v="5"/>
    <s v="No"/>
    <d v="2022-03-21T09:20:00"/>
    <d v="2022-03-21T17:20:00"/>
    <d v="2022-04-05T14:10:26"/>
    <n v="0"/>
    <n v="0"/>
    <m/>
    <s v="No"/>
    <m/>
    <s v=" "/>
    <s v="No"/>
    <m/>
    <m/>
    <m/>
    <m/>
    <d v="2022-03-23T15:10:00"/>
    <m/>
    <m/>
    <x v="0"/>
    <x v="0"/>
    <m/>
    <n v="44643.631944444445"/>
    <x v="5"/>
    <n v="5382936"/>
    <m/>
    <m/>
    <m/>
    <s v="61.602.211-3"/>
    <s v="No"/>
    <m/>
    <m/>
    <m/>
    <m/>
    <s v="Alejandra Araneda"/>
    <s v="alejandra.araneda@hospitaldecuranilahue.cl"/>
    <m/>
    <m/>
    <m/>
    <m/>
  </r>
  <r>
    <s v="4401-23-LE22"/>
    <s v="SC 179 - INSUMOS CLINICOS"/>
    <s v="Solicitar al sector privado la “Adquisición de Insumos Clínicos para el Departamento de Salud”, a objeto de recibir del proveedor según se solicite en cada caso, todos o parte de los productos descritos en la presente licitación pública."/>
    <s v="I MUNICIPALIDAD DE SAN CLEMENTE"/>
    <m/>
    <m/>
    <x v="0"/>
    <x v="0"/>
    <d v="2022-03-14T12:08:43"/>
    <x v="6"/>
    <x v="1"/>
    <d v="2022-03-24T10:00:00"/>
    <d v="2022-03-21T00:00:00"/>
    <x v="1"/>
    <x v="1"/>
    <s v="Si"/>
    <d v="2022-03-21T10:00:00"/>
    <d v="2022-03-22T17:00:00"/>
    <d v="2022-04-01T12:45:59"/>
    <n v="24000000"/>
    <n v="20168067.226890758"/>
    <n v="30"/>
    <s v="No"/>
    <m/>
    <s v=" "/>
    <s v="No"/>
    <s v="Spot"/>
    <m/>
    <s v="No"/>
    <n v="30"/>
    <d v="2022-04-23T10:00:00"/>
    <n v="40"/>
    <n v="11024"/>
    <x v="17"/>
    <x v="0"/>
    <d v="2022-04-01T12:43:29"/>
    <n v="21.886469907403807"/>
    <x v="1"/>
    <n v="440960"/>
    <m/>
    <m/>
    <m/>
    <s v="69.110.500-8"/>
    <s v="No"/>
    <m/>
    <m/>
    <m/>
    <m/>
    <s v="Rodrigo Gaete Ruano"/>
    <s v="rodrigogaete@saludsanclemente.cl"/>
    <m/>
    <m/>
    <m/>
    <m/>
  </r>
  <r>
    <s v="2125-18-LE22"/>
    <s v="Convenio de suministro de insumos medicos II"/>
    <s v="Solicitud de compra N° BFI-20-22 de fecha 14.03.2022 de Jefe bodega farmacos e insumos. "/>
    <s v="Hospital de Illapel"/>
    <m/>
    <m/>
    <x v="0"/>
    <x v="0"/>
    <d v="2022-03-16T15:53:46"/>
    <x v="6"/>
    <x v="1"/>
    <d v="2022-03-24T17:00:00"/>
    <d v="2022-03-23T00:00:00"/>
    <x v="1"/>
    <x v="1"/>
    <s v="Si"/>
    <d v="2022-03-18T16:00:00"/>
    <d v="2022-03-22T16:00:00"/>
    <d v="2022-04-29T09:00:00"/>
    <n v="0"/>
    <n v="0"/>
    <n v="45"/>
    <s v="No"/>
    <m/>
    <s v=" "/>
    <s v="No"/>
    <s v="Contrato"/>
    <n v="12"/>
    <s v="No"/>
    <n v="90"/>
    <d v="2022-06-22T17:00:00"/>
    <n v="1044"/>
    <n v="13909"/>
    <x v="18"/>
    <x v="2"/>
    <m/>
    <d v="2022-06-22T17:00:00"/>
    <x v="3"/>
    <m/>
    <m/>
    <m/>
    <m/>
    <s v="61.606.407-K"/>
    <s v="Si"/>
    <n v="0.05"/>
    <d v="2023-04-03T00:00:00"/>
    <m/>
    <m/>
    <s v="BRIAN MICHELL ARROYO"/>
    <s v="brian.michell@redsalud.gov.cl"/>
    <m/>
    <m/>
    <m/>
    <m/>
  </r>
  <r>
    <s v="3937-8-LE22"/>
    <s v="ADQUISICIÓN DE OXIGENO MEDICINAL PARA ABASTECER EL DEPARTAMENTO DE SALUD CURARREHUE"/>
    <s v="La necesidad de abastecimiento de Oxigeno Medicinal del CESFAM de Curarrehue y Postas de Salud Rural de la Comuna 2022."/>
    <s v="ILUSTRE MUNICIPALIDAD DE CURARREHUE"/>
    <m/>
    <m/>
    <x v="2"/>
    <x v="3"/>
    <d v="2022-03-15T19:08:51"/>
    <x v="6"/>
    <x v="1"/>
    <d v="2022-03-24T18:00:00"/>
    <d v="2022-03-21T00:00:00"/>
    <x v="0"/>
    <x v="2"/>
    <s v="No"/>
    <d v="2022-03-18T18:01:00"/>
    <d v="2022-03-21T14:30:00"/>
    <d v="2022-03-28T15:01:00"/>
    <n v="0"/>
    <n v="0"/>
    <m/>
    <s v="No"/>
    <m/>
    <s v=" "/>
    <s v="No"/>
    <m/>
    <m/>
    <m/>
    <m/>
    <d v="2022-03-24T18:00:00"/>
    <m/>
    <m/>
    <x v="0"/>
    <x v="0"/>
    <d v="2022-04-05T17:26:36"/>
    <n v="-11.976805555554165"/>
    <x v="2"/>
    <n v="651109"/>
    <m/>
    <m/>
    <m/>
    <s v="69.252.400-4"/>
    <s v="No"/>
    <m/>
    <m/>
    <m/>
    <m/>
    <s v="GABRIELA CORTES ROSALES"/>
    <s v="finanzas.salud2013@gmail.com"/>
    <m/>
    <m/>
    <m/>
    <m/>
  </r>
  <r>
    <s v="1650-10-LE22"/>
    <s v="Insumos Médicos HSJ"/>
    <s v="Compra de insumos médicos, con solicitud de compra interna N°208, para hospital Santa Juana."/>
    <s v="Hospital Santa Juana"/>
    <m/>
    <m/>
    <x v="0"/>
    <x v="0"/>
    <d v="2022-03-14T13:33:51"/>
    <x v="6"/>
    <x v="1"/>
    <d v="2022-03-28T15:00:00"/>
    <d v="2022-03-21T00:00:00"/>
    <x v="0"/>
    <x v="7"/>
    <s v="No"/>
    <d v="2022-03-18T09:00:00"/>
    <d v="2022-03-22T16:00:00"/>
    <d v="2022-04-06T14:14:28"/>
    <n v="0"/>
    <n v="0"/>
    <m/>
    <s v="No"/>
    <m/>
    <s v=" "/>
    <s v="No"/>
    <s v="Spot"/>
    <m/>
    <m/>
    <m/>
    <d v="2022-03-28T15:00:00"/>
    <m/>
    <m/>
    <x v="0"/>
    <x v="0"/>
    <d v="2022-04-06T13:08:22"/>
    <n v="-8.9224768518542987"/>
    <x v="0"/>
    <n v="64500"/>
    <m/>
    <m/>
    <m/>
    <s v="61.602.204-0"/>
    <s v="No"/>
    <m/>
    <m/>
    <m/>
    <m/>
    <s v="Francia Rivera"/>
    <s v="veronica.barrales@ssconcepcion.cl"/>
    <m/>
    <m/>
    <m/>
    <m/>
  </r>
  <r>
    <s v="1057489-125-LR22"/>
    <s v="CONV. SUMINISTRO DE GASES CLINICOS Y MEDICINALES"/>
    <s v="ue, el Hospital del Salvador necesita contar con un “Convenio Suministro de Gases Clínicos y Medicinales por dieciocho 18 meses para el HdS”, con la finalidad de satisfacer de manera adecuada y eficiente la labor asistencial durante el año 2022-2023. Que, por la cuantía determinada, la presente licitación se ubica en el tramo para contrataciones iguales o superiores a 5.000 UTM, en conformidad al Artículo 19º bis del Reglamento de la Ley Nº19.886; Que, la cuantía de contratación, de conformidad a Resolución N°16 de 2020 de Contraloría General de la República, por ser inferior a 15.000 UTM, queda sujeta a controles de reemplazo, motivo por el cual no puede superar dicho límite; Que hechas las consultas respectivas, la provisión de suministro de gases clínicos y medicinales, no se encuentra disponible por Convenios Marcos ofrecidos en el Sistema de Información de la Dirección de Compras, www.mercadopublico.cl;"/>
    <s v="HOSPITAL DEL SALVADOR"/>
    <m/>
    <m/>
    <x v="2"/>
    <x v="4"/>
    <d v="2022-02-24T13:35:00"/>
    <x v="5"/>
    <x v="1"/>
    <d v="2022-03-28T15:00:00"/>
    <d v="2022-03-01T00:00:00"/>
    <x v="1"/>
    <x v="1"/>
    <s v="Si"/>
    <d v="2022-02-28T17:00:00"/>
    <d v="2022-03-02T17:00:00"/>
    <d v="2022-04-20T15:48:54"/>
    <n v="0"/>
    <n v="0"/>
    <m/>
    <s v="Si"/>
    <n v="5000000"/>
    <d v="2022-06-28T00:00:00"/>
    <s v="Si"/>
    <m/>
    <m/>
    <s v="No"/>
    <m/>
    <d v="2022-03-28T15:00:00"/>
    <m/>
    <m/>
    <x v="0"/>
    <x v="0"/>
    <d v="2022-04-20T00:00:00"/>
    <n v="-22.375"/>
    <x v="1"/>
    <n v="211187200"/>
    <m/>
    <m/>
    <m/>
    <s v="61.608.406-2"/>
    <s v="Si"/>
    <n v="0.1"/>
    <d v="2023-12-26T00:00:00"/>
    <m/>
    <m/>
    <s v="DANIELA DE LOS ANGELES LOPEZ"/>
    <s v="DLOPEZ@HSALVADOR.CL"/>
    <m/>
    <m/>
    <m/>
    <m/>
  </r>
  <r>
    <s v="4083-7-LE22"/>
    <s v="Convenio Suministro de Oxígeno Medicinal"/>
    <s v="El objetivo de la presente licitación pública es Convenio de Suministro de Oxígeno Gaseoso y Arriendo de Cilindros del Departamento de Salud de la Municipalidad de Cabrero según NP Nº12 emitida con fecha 15-11-2021 de acuerdo a las Bases Administrativas, Bases Técnicas y los Anexos que regulan este proceso licitatorio."/>
    <s v="I MUNICIPALIDAD DE CABRERO"/>
    <m/>
    <m/>
    <x v="2"/>
    <x v="2"/>
    <d v="2022-03-21T15:10:23"/>
    <x v="6"/>
    <x v="1"/>
    <d v="2022-03-31T19:52:00"/>
    <d v="2022-03-28T00:00:00"/>
    <x v="1"/>
    <x v="1"/>
    <s v="Si"/>
    <d v="2022-03-24T15:39:00"/>
    <d v="2022-03-25T15:39:00"/>
    <d v="2022-04-18T16:00:44"/>
    <n v="0"/>
    <n v="0"/>
    <m/>
    <s v="No"/>
    <m/>
    <s v=" "/>
    <s v="No"/>
    <m/>
    <m/>
    <s v="No"/>
    <m/>
    <d v="2022-03-31T19:52:00"/>
    <m/>
    <m/>
    <x v="0"/>
    <x v="0"/>
    <d v="2022-04-29T19:53:00"/>
    <n v="-29.000694444446708"/>
    <x v="1"/>
    <n v="25000000"/>
    <s v="4/13/2022"/>
    <s v="10/31/2023"/>
    <m/>
    <s v="69.151.002-6"/>
    <s v="Si"/>
    <n v="0.1"/>
    <n v="45320"/>
    <m/>
    <m/>
    <s v="Romina Ambiado Ganga"/>
    <s v="rganga@cabrero.cl"/>
    <m/>
    <m/>
    <m/>
    <m/>
  </r>
  <r>
    <s v="1180825-6-LE22"/>
    <s v="Reposicion de equipo y equipamiento proyecto"/>
    <s v="“PROVISIÓN DE EQUIPOS Y EQUIPAMIENTO, PROYECTO DENOMINADO “REPOSICIÓN POSTA DE SALUD RURAL CALETA LOS HORNOS, LA HIGUERA”"/>
    <s v="SERVICIO DE SALUD COQUIMBO"/>
    <m/>
    <m/>
    <x v="0"/>
    <x v="0"/>
    <d v="2022-03-17T10:28:12"/>
    <x v="6"/>
    <x v="1"/>
    <d v="2022-04-01T16:00:00"/>
    <m/>
    <x v="0"/>
    <x v="4"/>
    <s v="No"/>
    <d v="2022-03-24T16:30:00"/>
    <d v="2022-03-29T17:00:00"/>
    <m/>
    <n v="0"/>
    <n v="0"/>
    <m/>
    <s v="No"/>
    <m/>
    <s v=" "/>
    <s v="No"/>
    <s v="Spot"/>
    <m/>
    <m/>
    <m/>
    <d v="2022-04-01T16:00:00"/>
    <m/>
    <m/>
    <x v="0"/>
    <x v="3"/>
    <m/>
    <n v="44652.666666666664"/>
    <x v="3"/>
    <m/>
    <m/>
    <m/>
    <m/>
    <s v="61.606.400-2"/>
    <s v="Si"/>
    <n v="0.05"/>
    <d v="2022-11-21T00:00:00"/>
    <m/>
    <m/>
    <s v="Ricardo Redel"/>
    <s v="ricardo.redel@redsalud.gov.cl"/>
    <m/>
    <m/>
    <m/>
    <m/>
  </r>
  <r>
    <s v="2854-9-LE22"/>
    <s v="CONVENIO DE SUMINISTRO - OXIGENO MEDICINAL CESFAM"/>
    <s v="Se requiere realizar un CONVENIO DE SUMINISTRO DE OXIGENO MEDICINAL CESFAM-SAR DE PUERTO VARAS, según especificaciones indicadas en Bases Técnicas, que tienen como objetivo, proveer a los usuarios del CESFAM y SAR de Puerto Varas de este insumo para terapias respiratorias asociadas a sus diagnósticos clínicos."/>
    <s v="I MUNICIPALIDAD DE PUERTO VARAS"/>
    <m/>
    <m/>
    <x v="2"/>
    <x v="3"/>
    <d v="2022-03-22T15:38:58"/>
    <x v="6"/>
    <x v="1"/>
    <d v="2022-04-01T16:35:00"/>
    <d v="2022-03-28T00:00:00"/>
    <x v="0"/>
    <x v="2"/>
    <s v="No"/>
    <d v="2022-03-25T19:29:00"/>
    <d v="2022-03-28T15:01:00"/>
    <d v="2022-04-18T08:57:37"/>
    <n v="0"/>
    <n v="0"/>
    <m/>
    <s v="No"/>
    <m/>
    <s v=" "/>
    <s v="No"/>
    <m/>
    <m/>
    <m/>
    <m/>
    <d v="2022-04-01T16:35:00"/>
    <m/>
    <m/>
    <x v="0"/>
    <x v="0"/>
    <d v="2022-04-22T16:36:00"/>
    <n v="-21.000694444446708"/>
    <x v="2"/>
    <n v="5000000"/>
    <m/>
    <m/>
    <m/>
    <s v="69.220.200-7"/>
    <s v="No"/>
    <m/>
    <m/>
    <m/>
    <m/>
    <s v="Marcela Paredes"/>
    <s v="facturacionsalud@ptovaras.cl"/>
    <m/>
    <m/>
    <m/>
    <m/>
  </r>
  <r>
    <s v="1627-38-LE22"/>
    <s v="insumos clinicos varios 1"/>
    <s v="se requiere compra de insumos para Hospital San Fernando, plan de compra 2022"/>
    <s v="HOSPITAL DE SAN FERNANDO"/>
    <m/>
    <m/>
    <x v="0"/>
    <x v="0"/>
    <d v="2022-03-25T16:33:59"/>
    <x v="6"/>
    <x v="1"/>
    <d v="2022-04-04T15:30:00"/>
    <d v="2022-03-31T00:00:00"/>
    <x v="0"/>
    <x v="5"/>
    <s v="No"/>
    <d v="2022-03-28T20:36:00"/>
    <d v="2022-03-29T20:36:00"/>
    <d v="2022-05-25T13:06:40"/>
    <n v="0"/>
    <n v="0"/>
    <m/>
    <s v="No"/>
    <m/>
    <s v=" "/>
    <s v="No"/>
    <m/>
    <m/>
    <m/>
    <m/>
    <d v="2022-04-04T15:30:00"/>
    <m/>
    <m/>
    <x v="0"/>
    <x v="1"/>
    <d v="2022-05-05T10:06:00"/>
    <n v="-30.774999999994179"/>
    <x v="3"/>
    <m/>
    <m/>
    <m/>
    <m/>
    <s v="61.602.145-1"/>
    <s v="No"/>
    <m/>
    <m/>
    <m/>
    <m/>
    <s v="CRISTIAN MORENO"/>
    <s v="cmoreno@hospitalsanfernando.cl"/>
    <m/>
    <m/>
    <m/>
    <m/>
  </r>
  <r>
    <s v="3690-17-LQ22"/>
    <s v="Suministro Insumos Clínicos Área de Salud años 2022-2023 II Lllamado"/>
    <s v="La Ilustre Municipalidad de Las Cabras a través del Departamento de salud, como responsable de los establecimientos de atención primaria de salud de la comuna,  tiene la necesidad de adquirir materiales e insumos quirúrgicos para los años 2022 y 2023."/>
    <s v="I MUNICIPALIDAD DE LAS CABRAS"/>
    <m/>
    <m/>
    <x v="0"/>
    <x v="0"/>
    <d v="2022-03-14T17:57:48"/>
    <x v="6"/>
    <x v="1"/>
    <d v="2022-04-04T16:00:00"/>
    <m/>
    <x v="1"/>
    <x v="1"/>
    <s v="Si"/>
    <d v="2022-03-16T09:00:00"/>
    <d v="2022-03-18T10:00:00"/>
    <d v="2022-06-17T08:25:46"/>
    <n v="200000000"/>
    <n v="168067226.89075631"/>
    <n v="30"/>
    <s v="Si"/>
    <n v="300000"/>
    <d v="2022-06-10T00:00:00"/>
    <s v="No"/>
    <s v="Contrato"/>
    <n v="20"/>
    <s v="No"/>
    <n v="60"/>
    <d v="2022-06-03T16:00:00"/>
    <m/>
    <n v="35171"/>
    <x v="0"/>
    <x v="0"/>
    <d v="2022-06-16T18:00:49"/>
    <n v="-13.083900462966994"/>
    <x v="1"/>
    <n v="35171"/>
    <m/>
    <m/>
    <m/>
    <s v="69.080.800-5"/>
    <m/>
    <m/>
    <m/>
    <m/>
    <m/>
    <s v="Samuel Sepulveda Acevedo"/>
    <s v="finanzas@cesfamlascabras.cl"/>
    <m/>
    <m/>
    <m/>
    <m/>
  </r>
  <r>
    <s v="1057472-24-LE22"/>
    <s v="SERVICIO DE MANT DE COLUMNAS DE GASES CLÍNICOS"/>
    <s v="Aprueba bases licitación pública y sus anexos para la adquisición del Servicio de “MANTENIMIENTO DE COLUMNAS DE GASES CLÍNICOS”, para el Hospital El Carmen Dr. Luis Valentín Ferrada"/>
    <s v="HOSPITAL CLINICO METROPOLITANO EL CARMEN "/>
    <m/>
    <m/>
    <x v="5"/>
    <x v="6"/>
    <d v="2022-03-28T08:33:09"/>
    <x v="6"/>
    <x v="1"/>
    <d v="2022-04-04T16:00:00"/>
    <d v="2022-03-29T00:00:00"/>
    <x v="0"/>
    <x v="2"/>
    <s v="No"/>
    <d v="2022-03-30T16:00:00"/>
    <d v="2022-03-31T16:00:00"/>
    <d v="2022-05-06T11:11:55"/>
    <n v="0"/>
    <n v="0"/>
    <m/>
    <s v="No"/>
    <m/>
    <s v=" "/>
    <s v="No"/>
    <m/>
    <m/>
    <m/>
    <m/>
    <d v="2022-04-04T16:00:00"/>
    <m/>
    <m/>
    <x v="0"/>
    <x v="0"/>
    <d v="2022-05-06T00:00:00"/>
    <n v="-31.333333333335759"/>
    <x v="0"/>
    <n v="43420919"/>
    <m/>
    <m/>
    <m/>
    <s v="61.980.320-5"/>
    <s v="Si"/>
    <n v="0.05"/>
    <d v="2023-07-04T00:00:00"/>
    <m/>
    <m/>
    <s v="Hospital El Carmen Dr. Luis Valentín Ferrada"/>
    <s v="mariela.fuentes@redsalud.gob.cl"/>
    <m/>
    <m/>
    <m/>
    <m/>
  </r>
  <r>
    <s v="3210-11-L122"/>
    <s v="Contrato Suministro Oxigeno"/>
    <m/>
    <s v="I MUNICIPALIDAD DE SAN RAFAEL"/>
    <m/>
    <m/>
    <x v="2"/>
    <x v="10"/>
    <d v="2022-03-28T12:18:41"/>
    <x v="6"/>
    <x v="1"/>
    <d v="2022-04-06T16:54:00"/>
    <d v="2022-03-29T00:00:00"/>
    <x v="0"/>
    <x v="7"/>
    <s v="No"/>
    <d v="2022-03-29T16:54:00"/>
    <d v="2022-04-03T16:54:00"/>
    <d v="2022-05-03T14:29:58"/>
    <n v="0"/>
    <n v="0"/>
    <m/>
    <s v="No"/>
    <m/>
    <s v=" "/>
    <s v="No"/>
    <m/>
    <m/>
    <m/>
    <m/>
    <d v="2022-04-06T16:54:00"/>
    <m/>
    <m/>
    <x v="0"/>
    <x v="0"/>
    <d v="2022-04-09T16:54:00"/>
    <n v="-3"/>
    <x v="0"/>
    <n v="1556050"/>
    <m/>
    <m/>
    <m/>
    <s v="69.264.500-6"/>
    <s v="No"/>
    <m/>
    <m/>
    <m/>
    <m/>
    <m/>
    <m/>
    <m/>
    <m/>
    <m/>
    <m/>
  </r>
  <r>
    <s v="5061-49-L122"/>
    <s v="S2 Adquisición de (8) concentrador de oxigeno para programa covid de la estrategia atención domiciliaria compleja del departamento de salud municipal"/>
    <m/>
    <s v="I MUNICIPALIDAD DE TEMUCO"/>
    <m/>
    <m/>
    <x v="0"/>
    <x v="0"/>
    <d v="2022-03-30T16:50:03"/>
    <x v="6"/>
    <x v="1"/>
    <d v="2022-04-06T17:00:00"/>
    <d v="2022-03-31T00:00:00"/>
    <x v="1"/>
    <x v="1"/>
    <s v="Si"/>
    <d v="2022-04-01T17:00:00"/>
    <d v="2022-04-04T19:00:00"/>
    <d v="2022-04-28T18:00:00"/>
    <n v="5440000"/>
    <n v="4571428.5714285718"/>
    <n v="30"/>
    <s v="No"/>
    <m/>
    <s v=" "/>
    <s v="No"/>
    <s v="Spot"/>
    <m/>
    <s v="No"/>
    <n v="30"/>
    <d v="2022-05-06T17:00:00"/>
    <n v="8"/>
    <n v="570139"/>
    <x v="19"/>
    <x v="0"/>
    <d v="2022-04-19T00:00:00"/>
    <n v="17.708333333335759"/>
    <x v="5"/>
    <n v="2770982"/>
    <m/>
    <m/>
    <m/>
    <s v="69.190.700-7"/>
    <s v="No"/>
    <m/>
    <m/>
    <m/>
    <m/>
    <m/>
    <m/>
    <m/>
    <m/>
    <m/>
    <m/>
  </r>
  <r>
    <s v="1624-23-L122"/>
    <s v="CONVENIO SUMINISTRO OXIGENO MEDICO"/>
    <m/>
    <s v="HOSPITAL DE NANCAGUA"/>
    <m/>
    <m/>
    <x v="2"/>
    <x v="10"/>
    <d v="2022-04-01T16:56:51"/>
    <x v="7"/>
    <x v="1"/>
    <d v="2022-04-07T15:00:00"/>
    <d v="2022-04-04T00:00:00"/>
    <x v="0"/>
    <x v="7"/>
    <s v="No"/>
    <d v="2022-04-05T14:28:00"/>
    <d v="2022-04-06T17:28:00"/>
    <d v="2022-04-17T14:28:00"/>
    <n v="0"/>
    <n v="0"/>
    <m/>
    <s v="No"/>
    <m/>
    <s v=" "/>
    <s v="No"/>
    <m/>
    <m/>
    <m/>
    <m/>
    <d v="2022-04-07T15:00:00"/>
    <m/>
    <m/>
    <x v="0"/>
    <x v="0"/>
    <d v="2022-04-18T00:00:00"/>
    <n v="-10.375"/>
    <x v="2"/>
    <n v="53170"/>
    <m/>
    <m/>
    <m/>
    <s v="61.602.147-8"/>
    <s v="No"/>
    <m/>
    <m/>
    <m/>
    <m/>
    <m/>
    <m/>
    <m/>
    <m/>
    <m/>
    <m/>
  </r>
  <r>
    <s v="636811-6-LE22"/>
    <s v="CONVENIO SUMINISTRO OXIGENO MEDICINAL Y OTROS"/>
    <s v="REALIZAR CONVENIO SUMINISTRO OXIGENO MEDICINAL Y OTROS EN CILINDRO"/>
    <s v="HOSPITAL DE MOLINA"/>
    <m/>
    <m/>
    <x v="2"/>
    <x v="10"/>
    <d v="2022-04-01T16:25:53"/>
    <x v="7"/>
    <x v="1"/>
    <d v="2022-04-11T15:00:00"/>
    <d v="2022-04-04T00:00:00"/>
    <x v="0"/>
    <x v="7"/>
    <s v="No"/>
    <d v="2022-04-04T20:00:00"/>
    <d v="2022-04-05T20:00:00"/>
    <d v="2022-04-12T17:43:00"/>
    <n v="0"/>
    <n v="0"/>
    <m/>
    <s v="No"/>
    <m/>
    <s v=" "/>
    <s v="No"/>
    <m/>
    <m/>
    <m/>
    <m/>
    <d v="2022-04-11T15:00:00"/>
    <m/>
    <m/>
    <x v="0"/>
    <x v="0"/>
    <d v="2022-05-04T00:00:00"/>
    <n v="-22.375"/>
    <x v="2"/>
    <n v="166595"/>
    <m/>
    <m/>
    <m/>
    <s v="61.606.908-k"/>
    <s v="No"/>
    <m/>
    <m/>
    <m/>
    <m/>
    <s v="Gloria Correa Contreras"/>
    <s v="gcorrea@ssmaule.cl"/>
    <m/>
    <m/>
    <m/>
    <m/>
  </r>
  <r>
    <s v="3853-26-L122"/>
    <s v="CONTRATO DE SUMINISTRO DE OXÍGENO MEDICINAL PARA EL SAPU Y ESTABLECIMIENTOS DE LA SALUD PRIMARIA"/>
    <s v="El Departamento de Salud Municipal de Río Bueno, requiere adquirir &quot;Contrato de Suministro de Oxígeno Medicinal&quot;, para el SAPU y Otros Establecimientos de la Salud Primaria Municipal de Río Bueno."/>
    <s v="I MUNICIPALIDAD DE RIO BUENO"/>
    <m/>
    <m/>
    <x v="2"/>
    <x v="3"/>
    <d v="2022-04-05T15:31:27"/>
    <x v="7"/>
    <x v="1"/>
    <d v="2022-04-11T15:30:00"/>
    <d v="2022-04-08T00:00:00"/>
    <x v="0"/>
    <x v="2"/>
    <s v="No"/>
    <d v="2022-04-08T11:00:00"/>
    <d v="2022-04-08T11:10:00"/>
    <d v="2022-04-12T16:54:00"/>
    <n v="0"/>
    <n v="0"/>
    <m/>
    <s v="No"/>
    <m/>
    <s v=" "/>
    <s v="No"/>
    <m/>
    <m/>
    <m/>
    <m/>
    <d v="2022-04-11T15:30:00"/>
    <m/>
    <m/>
    <x v="0"/>
    <x v="0"/>
    <d v="2022-04-18T00:00:00"/>
    <n v="-6.3541666666642413"/>
    <x v="2"/>
    <n v="2534000"/>
    <m/>
    <m/>
    <m/>
    <s v="61.602.203-2"/>
    <s v="No"/>
    <m/>
    <m/>
    <m/>
    <m/>
    <s v="Yéssica Hidalgo Leal"/>
    <s v="depto.finanzas.2022@gmail.com"/>
    <m/>
    <m/>
    <m/>
    <m/>
  </r>
  <r>
    <s v="898-25-LR22"/>
    <s v="SUMINISTRO DE OXIGENO CRIOGENICO CON ESTANQUE"/>
    <s v="Establecen los fines, condiciones y requisitos que deberán ser cumplidos por las empresas oferentes, en todas y cada una de las partes que conformen su oferta disposiciones generales que regirán la Licitación Pública que celebre el Hospital Claudio Vicuña, dependiente del Servicio de Salud Val paraíso San Antonio para la licitación “SUMINISTRO DE OXIGENO CRIOGENICO CON ESTANQUE EN COMODATO PARA EL NUEVO HOSPITAL CLAUDIO VICUÑA”, con el objeto de dar condiciones clínicas a los pacientes que requieran tratamiento de oxigenoterapia en hospitalización cerrada."/>
    <s v="HOSPITAL CLAUDIO VICUNA"/>
    <m/>
    <m/>
    <x v="2"/>
    <x v="9"/>
    <d v="2022-03-11T16:17:58"/>
    <x v="6"/>
    <x v="1"/>
    <d v="2022-04-11T16:00:00"/>
    <m/>
    <x v="0"/>
    <x v="8"/>
    <s v="No"/>
    <d v="2022-03-26T17:00:00"/>
    <d v="2022-03-31T10:25:00"/>
    <d v="2022-05-11T15:00:00"/>
    <n v="0"/>
    <n v="0"/>
    <m/>
    <s v="Si"/>
    <n v="500000"/>
    <d v="2022-07-11T00:00:00"/>
    <s v="Si"/>
    <m/>
    <m/>
    <m/>
    <m/>
    <d v="2022-04-11T16:00:00"/>
    <m/>
    <m/>
    <x v="0"/>
    <x v="1"/>
    <m/>
    <n v="44662.666666666664"/>
    <x v="3"/>
    <m/>
    <m/>
    <m/>
    <m/>
    <s v="61.602.126-5"/>
    <s v="Si"/>
    <s v="10°°%"/>
    <d v="2025-08-25T00:00:00"/>
    <m/>
    <m/>
    <s v="Carmen Gloria Osorio Cueto"/>
    <s v="carmengloria.osorio@redsalud.gov.cl"/>
    <m/>
    <m/>
    <m/>
    <m/>
  </r>
  <r>
    <s v="4457-16-LE22"/>
    <s v="CONTRATO DE SUMINISTRO SERVICIO DE OXIGENO MEDICIN"/>
    <s v="CONTRATO DE SUMINISTRO “SERVICIOS DE OXIGENO GASEOSO MEDICINAL, OXIGENO TERAPIA DOMICILIARIA Y OTROS ACCESORIOS PARA DIRECCION DE SALUD MUNICIPAL” SOLICITUD DE ADQUISICIONES N° 54 ID DOC 633881 DE FECHA 15.03.2022"/>
    <s v="I MUNICIPALIDAD DE HUALQUI"/>
    <m/>
    <m/>
    <x v="2"/>
    <x v="2"/>
    <d v="2022-03-31T10:29:06"/>
    <x v="6"/>
    <x v="1"/>
    <d v="2022-04-12T16:30:00"/>
    <d v="2022-03-31T00:00:00"/>
    <x v="1"/>
    <x v="1"/>
    <s v="Si"/>
    <d v="2022-04-06T12:00:00"/>
    <d v="2022-04-08T15:30:00"/>
    <d v="2022-04-21T17:32:04"/>
    <n v="0"/>
    <n v="0"/>
    <m/>
    <s v="No"/>
    <m/>
    <s v=" "/>
    <s v="No"/>
    <m/>
    <m/>
    <s v="No"/>
    <m/>
    <d v="2022-04-12T16:30:00"/>
    <m/>
    <m/>
    <x v="0"/>
    <x v="0"/>
    <d v="2022-04-21T00:00:00"/>
    <n v="-8.3125"/>
    <x v="1"/>
    <n v="2248047"/>
    <m/>
    <m/>
    <m/>
    <s v="69.150.601-0"/>
    <s v="Si"/>
    <n v="0.05"/>
    <d v="2023-06-06T00:00:00"/>
    <m/>
    <m/>
    <s v="ANGELICA HERRERA GACITUA"/>
    <s v="dashualqui.jefadefinanzas@gmail.com"/>
    <s v="No se adjudicó el item"/>
    <m/>
    <m/>
    <m/>
  </r>
  <r>
    <s v="1057432-18-LE22"/>
    <s v="ADQUISICIÓN DE MASCARILLAS NASALES SSC."/>
    <s v="Adquisición de mascarillas Nasobucal para ventilación no invasiva Modelo referencia/Tipo Airfit F20 RESMED Y modelo referencial Amara View para el Departamento de Atención Primaria de Salud del Servicio de Salud Concepción"/>
    <s v="SERVICIO DE SALUD CONCEPCION"/>
    <m/>
    <m/>
    <x v="0"/>
    <x v="0"/>
    <d v="2022-04-07T11:00:43"/>
    <x v="7"/>
    <x v="1"/>
    <d v="2022-04-12T18:00:00"/>
    <d v="2022-04-08T00:00:00"/>
    <x v="1"/>
    <x v="1"/>
    <s v="Si"/>
    <d v="2022-04-10T16:00:00"/>
    <d v="2022-04-11T17:00:00"/>
    <d v="2022-05-12T17:00:00"/>
    <n v="10263750"/>
    <n v="8625000"/>
    <n v="30"/>
    <s v="No"/>
    <m/>
    <s v=" "/>
    <s v="No"/>
    <s v="Spot"/>
    <m/>
    <s v="No"/>
    <n v="90"/>
    <d v="2022-07-11T18:00:00"/>
    <n v="1"/>
    <n v="7852985"/>
    <x v="20"/>
    <x v="0"/>
    <d v="2022-05-19T00:00:00"/>
    <n v="53.75"/>
    <x v="1"/>
    <n v="7852985"/>
    <m/>
    <m/>
    <m/>
    <s v="61.607.100-9"/>
    <s v="No"/>
    <m/>
    <m/>
    <s v="partes@ssconcepcion.cl"/>
    <m/>
    <s v="Ivan Cruz Cruz"/>
    <s v="icruz@ssconcepcion.cl"/>
    <m/>
    <m/>
    <m/>
    <m/>
  </r>
  <r>
    <s v="1554-14-LQ22"/>
    <s v="Serv. arriendo equipos oxigenoterapia domicilio"/>
    <s v="El objeto de la licitación, es efectuar el llamado público, para la presentación de ofertas a fin de satisfacer las demandas del Establecimiento, los cuales deberán tener la suficiencia técnica y especializada para prestar colaboración con el Hospital Regional. Dichos requerimientos y servicios deberán enfocar su trabajo en la atención de calidad, con responsabilidad y pertinencia, encontrándose disponibles para el equipo de salud cuando este lo requiera, subordinándose a las normas del establecimiento hospitalario. Los cuales serán coordinados y supervisados por la contraparte Técnica."/>
    <s v="Hospital de Copiapó"/>
    <m/>
    <m/>
    <x v="3"/>
    <x v="5"/>
    <d v="2022-03-22T17:00:43"/>
    <x v="6"/>
    <x v="1"/>
    <d v="2022-04-12T19:00:00"/>
    <d v="2022-03-23T00:00:00"/>
    <x v="0"/>
    <x v="2"/>
    <s v="No"/>
    <d v="2022-03-28T18:00:00"/>
    <d v="2022-04-01T20:00:00"/>
    <m/>
    <n v="0"/>
    <n v="0"/>
    <m/>
    <s v="Si"/>
    <n v="300000"/>
    <d v="2022-07-09T00:00:00"/>
    <s v="No"/>
    <s v="Contrato"/>
    <m/>
    <s v="No"/>
    <m/>
    <d v="2022-04-12T19:00:00"/>
    <m/>
    <m/>
    <x v="0"/>
    <x v="2"/>
    <d v="2022-05-26T20:00:00"/>
    <n v="-44.041666666671517"/>
    <x v="3"/>
    <m/>
    <m/>
    <m/>
    <m/>
    <s v="61.606.307-3"/>
    <s v="Si"/>
    <n v="0.05"/>
    <d v="2024-09-30T00:00:00"/>
    <m/>
    <m/>
    <s v="Danary Vera Moreta"/>
    <s v="danary.vera@redsalud.gov.cl"/>
    <m/>
    <m/>
    <m/>
    <m/>
  </r>
  <r>
    <s v="2360-25-LE22"/>
    <s v="RECARGA Y ARRIENDO DE CILINDROS DE OXIGENO"/>
    <s v="SERVICIO DE RECARGA Y ARRIENDO DE CILINDROS DE OXIGENO Y AIRE MEDICINAL. LA NECESIDAD DE ABASTECER CON OXIGENO A LOS CESFAM DE LA COMUNA."/>
    <s v="I MUNICIPALIDAD DE TALCAHUANO"/>
    <m/>
    <m/>
    <x v="2"/>
    <x v="2"/>
    <d v="2022-03-31T15:44:41"/>
    <x v="6"/>
    <x v="1"/>
    <d v="2022-04-13T09:00:00"/>
    <d v="2022-01-01T00:00:00"/>
    <x v="0"/>
    <x v="2"/>
    <s v="No"/>
    <d v="2022-04-06T16:00:00"/>
    <d v="2022-04-08T13:00:00"/>
    <d v="2022-04-25T15:00:00"/>
    <n v="0"/>
    <n v="0"/>
    <m/>
    <s v="Si"/>
    <n v="100000"/>
    <d v="2022-07-12T00:00:00"/>
    <s v="No"/>
    <m/>
    <m/>
    <m/>
    <m/>
    <d v="2022-04-13T09:00:00"/>
    <m/>
    <m/>
    <x v="0"/>
    <x v="1"/>
    <m/>
    <n v="44664.375"/>
    <x v="3"/>
    <m/>
    <m/>
    <m/>
    <m/>
    <s v="69.150.800-5"/>
    <s v="Si"/>
    <n v="0.05"/>
    <d v="2024-08-02T00:00:00"/>
    <m/>
    <m/>
    <s v="Juan Francisco Torres Vargas."/>
    <s v="juan.torres@talcahuano.cl"/>
    <m/>
    <m/>
    <m/>
    <m/>
  </r>
  <r>
    <s v="2080-111-LQ22"/>
    <s v="SUMINISTRO INSUMOS PARA INGRESO Y VALORACION"/>
    <s v="El objeto de esta Licitación es contar con un adecuado Suministro"/>
    <s v="HOSPITAL REG RANCAGUA"/>
    <m/>
    <m/>
    <x v="0"/>
    <x v="0"/>
    <d v="2022-03-25T18:17:09"/>
    <x v="6"/>
    <x v="1"/>
    <d v="2022-04-14T14:00:00"/>
    <d v="2022-03-31T00:00:00"/>
    <x v="0"/>
    <x v="9"/>
    <s v="No"/>
    <d v="2022-03-30T14:00:00"/>
    <d v="2022-04-04T18:00:00"/>
    <d v="2022-06-14T18:00:00"/>
    <n v="141243487"/>
    <n v="118692005.88235295"/>
    <n v="30"/>
    <s v="Si"/>
    <n v="0.03"/>
    <d v="2022-08-12T00:00:00"/>
    <s v="No"/>
    <s v="Contrato"/>
    <n v="12"/>
    <m/>
    <n v="120"/>
    <d v="2022-08-12T14:00:00"/>
    <n v="59"/>
    <n v="28848"/>
    <x v="21"/>
    <x v="0"/>
    <d v="2022-07-13T00:00:00"/>
    <n v="30.583333333335759"/>
    <x v="0"/>
    <n v="12000"/>
    <m/>
    <m/>
    <m/>
    <s v="61.602.138-9"/>
    <s v="Si"/>
    <n v="0.05"/>
    <d v="2023-11-14T00:00:00"/>
    <m/>
    <m/>
    <s v="Pablo del Pino Ahumada"/>
    <s v="pablo.delpino@redsalid.gov.cl"/>
    <m/>
    <m/>
    <m/>
    <m/>
  </r>
  <r>
    <s v="3747-10-L122"/>
    <s v="OXIGENO MEDICINAL RECARGA Y ARRIENDO DE TUBOS PARA ESTABLECIMIENTOS DE SALUD."/>
    <s v="OXIGENO MEDICINAL RECARGA Y ARRIENDO DE TUBOS PARA ESTABLECIMIENTOS DE SALUD."/>
    <s v="I MUNICIPALIDAD DE SAN IGNACIO"/>
    <m/>
    <m/>
    <x v="2"/>
    <x v="2"/>
    <d v="2022-04-07T16:55:16"/>
    <x v="7"/>
    <x v="1"/>
    <d v="2022-04-14T16:30:00"/>
    <d v="2022-04-08T00:00:00"/>
    <x v="1"/>
    <x v="1"/>
    <s v="Si"/>
    <d v="2022-04-10T20:00:00"/>
    <d v="2022-04-11T20:00:00"/>
    <d v="2022-04-29T18:00:00"/>
    <n v="0"/>
    <n v="0"/>
    <m/>
    <s v="No"/>
    <m/>
    <s v=" "/>
    <s v="No"/>
    <m/>
    <m/>
    <s v="No"/>
    <m/>
    <d v="2022-04-14T16:30:00"/>
    <m/>
    <m/>
    <x v="0"/>
    <x v="0"/>
    <d v="2022-05-02T00:00:00"/>
    <n v="-17.3125"/>
    <x v="1"/>
    <n v="10662"/>
    <m/>
    <m/>
    <m/>
    <s v="69.141.300-4"/>
    <s v="No"/>
    <m/>
    <m/>
    <m/>
    <m/>
    <s v="NICOLE SAEZ POBLETE"/>
    <s v="finanzasdesamu2018@gmail.com"/>
    <m/>
    <m/>
    <m/>
    <m/>
  </r>
  <r>
    <s v="1057430-26-LQ22"/>
    <s v="Convenio de Suministros Gases Medicinales"/>
    <s v="La necesidad de contar con un Convenio de Suministros de Gases Medicinales en cilindros, con arriendo de los envases, para el Hospital de Lota, para uso en los Servicios Clínicos y Unidades."/>
    <s v="HOSPITAL DE LOTA"/>
    <m/>
    <m/>
    <x v="2"/>
    <x v="2"/>
    <d v="2022-04-05T16:37:09"/>
    <x v="7"/>
    <x v="1"/>
    <d v="2022-04-18T15:05:00"/>
    <d v="2022-04-05T00:00:00"/>
    <x v="1"/>
    <x v="1"/>
    <s v="Si"/>
    <d v="2022-04-11T12:00:00"/>
    <d v="2022-04-13T17:00:00"/>
    <d v="2022-07-04T17:00:00"/>
    <n v="0"/>
    <n v="0"/>
    <m/>
    <s v="Si"/>
    <n v="1000000"/>
    <d v="2022-07-14T00:00:00"/>
    <s v="Si"/>
    <m/>
    <m/>
    <s v="No"/>
    <m/>
    <d v="2022-04-18T15:05:00"/>
    <m/>
    <m/>
    <x v="0"/>
    <x v="0"/>
    <d v="2022-06-02T00:00:00"/>
    <n v="-44.371527777781012"/>
    <x v="1"/>
    <n v="322431"/>
    <m/>
    <m/>
    <m/>
    <s v="61.602.203-2"/>
    <s v="Si"/>
    <n v="0.05"/>
    <d v="2025-10-08T00:00:00"/>
    <m/>
    <m/>
    <m/>
    <m/>
    <m/>
    <m/>
    <m/>
    <m/>
  </r>
  <r>
    <s v="1057541-12-LE22"/>
    <s v="SEGUNDO LLAMADO CONVENIO DE SUMINISTROS OXÍGENO MEDICINAL E INSUMO"/>
    <s v="Se requiere Convenio de Suministro Oxígeno Medicinal e Insumos para la atención pre-hospitalaria de pacientes para el Departamento SAMU del Servicio Salud Talcahuano, por un periodo de 24 meses o hasta agotar el presupuesto disponible, lo que ocurra primero. Se requiere realizar un contrato por los servicios de suministro de oxígeno medicinal para: 17 unidades de cilindros de 6 metros cúbicos que se mantienen dentro de las 17 ambulancias con las que cuenta el Departamento SAMU. Además, se requiere contar con un stock adicional de 10 cilindros de 6 metros cúbicos y de 48 cilindros de aproximadamente 1 metro cubico, debe ser de fácil transporte y con regulador incorporado."/>
    <s v="SERVICIO DE SALUD TALCAHUANO"/>
    <m/>
    <m/>
    <x v="2"/>
    <x v="2"/>
    <d v="2022-04-07T15:29:43"/>
    <x v="7"/>
    <x v="1"/>
    <d v="2022-04-18T16:00:00"/>
    <d v="2022-04-08T00:00:00"/>
    <x v="1"/>
    <x v="1"/>
    <s v="Si"/>
    <d v="2022-04-11T16:00:00"/>
    <d v="2022-04-14T16:00:00"/>
    <d v="2022-05-18T16:01:00"/>
    <n v="0"/>
    <n v="0"/>
    <m/>
    <s v="Si"/>
    <n v="200000"/>
    <d v="2022-05-23T00:00:00"/>
    <s v="No"/>
    <m/>
    <m/>
    <s v="No"/>
    <m/>
    <d v="2022-04-18T16:00:00"/>
    <m/>
    <m/>
    <x v="0"/>
    <x v="0"/>
    <d v="2022-05-06T00:00:00"/>
    <n v="-17.333333333335759"/>
    <x v="1"/>
    <n v="22000000"/>
    <m/>
    <m/>
    <m/>
    <s v="61.607.200-5"/>
    <s v="Si"/>
    <n v="1100000"/>
    <d v="2024-06-03T00:00:00"/>
    <m/>
    <m/>
    <s v="ANGELA CAMPOS"/>
    <s v="angela.campos@redsalud.gov.cl"/>
    <m/>
    <m/>
    <m/>
    <m/>
  </r>
  <r>
    <s v="1057402-87-LE22"/>
    <s v="REPASO INSUMOS VIA AEREA Y OTROS"/>
    <s v="El propósito de la licitación es contar con contratos de suministro de “REPASO INSUMOS VIA AEREA Y OTROS”, y que permitan el aprovisionamiento oportuno de los productos necesarios en la atención de los usuarios del Hospital para los años 2022 al 2024, en las circunstancias que estos productos no fueran provistos por la Central Nacional de Abastecimiento de los Servicios de Salud, ni se encuentren disponibles en catálogos electrónicos del Convenio Marco o en las Compras Coordinadas yo Conjuntas del Ministerio de Salud, o bien su adquisición sea desventajosa respecto al resultado de la presente licitación, cuyas condiciones más ventajosas serán informadas en la oportunidad correspondiente a la Dirección de Compras, en conformidad con lo dispuesto en el artículo 15 del D.S. Nº 250, de 2004, del Ministerio de Hacienda. El contrato de suministro anteriormente indicado se hará efectivo cada vez que sea necesario, a través de la emisión de órdenes de compra enviadas al proveedor adjudicado mediante la plataforma www.mercadopublico.cl. Sin perjuicio de lo anterior, durante todo el periodo de vigencia del contrato, los productos serán solicitados en la oportunidad del mes que el Hospital estime pertinente, comprometiéndose el oferente adjudicado a difundir esta modalidad de compra a todas las instancias que participan en su proceso de ventas."/>
    <s v="HOSPITAL CLINICO DE MAGALLANES DR. LAUTARO NAVARRO AVARIA"/>
    <m/>
    <m/>
    <x v="0"/>
    <x v="0"/>
    <d v="2022-04-07T11:27:29"/>
    <x v="7"/>
    <x v="1"/>
    <d v="2022-04-18T16:00:00"/>
    <d v="2022-04-08T00:00:00"/>
    <x v="1"/>
    <x v="1"/>
    <s v="Si"/>
    <d v="2022-04-10T16:00:00"/>
    <d v="2022-04-12T20:00:00"/>
    <d v="2022-07-20T20:00:00"/>
    <n v="0"/>
    <n v="0"/>
    <m/>
    <s v="No"/>
    <m/>
    <s v=" "/>
    <s v="No"/>
    <s v="Contrato"/>
    <n v="31"/>
    <s v="No"/>
    <n v="180"/>
    <d v="2022-10-15T16:00:00"/>
    <n v="200"/>
    <n v="21765"/>
    <x v="22"/>
    <x v="0"/>
    <d v="2022-06-08T00:00:00"/>
    <n v="129.66666666666424"/>
    <x v="1"/>
    <n v="4353000"/>
    <m/>
    <m/>
    <s v="Contrato"/>
    <s v="61.607.901-8"/>
    <s v="Si"/>
    <n v="0.05"/>
    <d v="2025-06-30T00:00:00"/>
    <s v="dipresrecepcion@custodium.com"/>
    <m/>
    <s v="Tesoreria General de la Republica"/>
    <s v="www.tgr.cl"/>
    <m/>
    <m/>
    <m/>
    <m/>
  </r>
  <r>
    <s v="2986-37-LE22"/>
    <s v="Contrato de suministro de oxigeno medicinal e insu"/>
    <s v="Contrato suministro de oxigeno medicinal e insumos CESFAM Tomás Rojas Vergara"/>
    <s v="I MUNICIPALIDAD DE LOS LAGOS"/>
    <m/>
    <m/>
    <x v="2"/>
    <x v="3"/>
    <d v="2022-04-11T16:02:10"/>
    <x v="7"/>
    <x v="1"/>
    <d v="2022-04-18T16:00:00"/>
    <d v="2022-04-13T00:00:00"/>
    <x v="0"/>
    <x v="2"/>
    <s v="No"/>
    <d v="2022-04-13T15:00:00"/>
    <d v="2022-04-14T16:00:00"/>
    <d v="2022-04-29T16:00:00"/>
    <n v="0"/>
    <n v="0"/>
    <m/>
    <s v="No"/>
    <m/>
    <s v=" "/>
    <s v="No"/>
    <m/>
    <m/>
    <m/>
    <m/>
    <d v="2022-04-18T16:00:00"/>
    <m/>
    <m/>
    <x v="0"/>
    <x v="1"/>
    <m/>
    <n v="44669.666666666664"/>
    <x v="3"/>
    <m/>
    <m/>
    <m/>
    <m/>
    <s v="69.200.600-3"/>
    <s v="Si"/>
    <n v="0.05"/>
    <d v="2023-03-13T00:00:00"/>
    <m/>
    <m/>
    <s v="RICARDO FIGUEROA ISLAS"/>
    <s v="compras.desam@saludloslagos.cl"/>
    <m/>
    <m/>
    <m/>
    <m/>
  </r>
  <r>
    <s v="2101-17-LP22"/>
    <s v="CONVENIO SUMINISTRO GASES CLÍNICOS Y SUS SERVICIOS"/>
    <s v="Se requiere contratar un Servicio por el suministro de gases medicinales, mezclas especiales, envases, válvulas, adaptadores, conectores, carros, cilindros y estanques aptos para las instalaciones y equipamiento existentes que sean requeridos bajo el estado y situación de consumo de gases y explotación del Hospital Intercultural Kallvu LLanka de Cañete requiera, a todo evento garantizar la óptima capacidad de explotación de todos los servicio intrahospitalario, dando cumplimiento a las Bases Técnicas, por un periodo de 24 meses."/>
    <s v="Hospital Cañete"/>
    <m/>
    <m/>
    <x v="2"/>
    <x v="2"/>
    <d v="2022-03-25T15:11:18"/>
    <x v="6"/>
    <x v="1"/>
    <d v="2022-04-18T17:00:00"/>
    <d v="2022-03-29T00:00:00"/>
    <x v="1"/>
    <x v="1"/>
    <s v="Si"/>
    <d v="2022-04-04T12:56:00"/>
    <d v="2022-04-11T12:56:00"/>
    <d v="2022-05-31T15:50:26"/>
    <n v="0"/>
    <n v="0"/>
    <m/>
    <s v="Si"/>
    <n v="500000"/>
    <d v="2022-07-15T00:00:00"/>
    <s v="Si"/>
    <m/>
    <m/>
    <s v="No"/>
    <m/>
    <d v="2022-04-18T17:00:00"/>
    <m/>
    <m/>
    <x v="0"/>
    <x v="0"/>
    <d v="2022-05-31T00:00:00"/>
    <n v="-42.291666666664241"/>
    <x v="1"/>
    <n v="110000000"/>
    <m/>
    <m/>
    <m/>
    <s v="61.602.213-k"/>
    <s v="Si"/>
    <n v="0.1"/>
    <d v="2024-06-17T00:00:00"/>
    <m/>
    <m/>
    <s v="Contanza Monsalvez"/>
    <s v="jefe.finanzas@hospitalcanete.cl"/>
    <m/>
    <m/>
    <m/>
    <m/>
  </r>
  <r>
    <s v="886954-80-LE22"/>
    <s v="Convenio suministro campaña de invierno 2022"/>
    <s v="Proveer al HGGB de los insumos necesarios para la atencion oportuna de los paciente"/>
    <s v="HOSPITAL GUILLERMO GRANT BENAVENTE "/>
    <m/>
    <m/>
    <x v="0"/>
    <x v="0"/>
    <d v="2022-04-11T17:14:45"/>
    <x v="7"/>
    <x v="1"/>
    <d v="2022-04-18T17:42:00"/>
    <d v="2022-04-14T00:00:00"/>
    <x v="0"/>
    <x v="4"/>
    <s v="No"/>
    <d v="2022-04-14T15:39:00"/>
    <d v="2022-04-15T19:39:00"/>
    <d v="2022-07-18T17:43:00"/>
    <n v="46000000"/>
    <n v="38655462.184873953"/>
    <n v="30"/>
    <s v="No"/>
    <m/>
    <s v=" "/>
    <s v="No"/>
    <s v="Spot"/>
    <m/>
    <s v="No"/>
    <n v="120"/>
    <d v="2022-08-16T17:42:00"/>
    <m/>
    <m/>
    <x v="0"/>
    <x v="0"/>
    <d v="2022-06-30T00:00:00"/>
    <n v="47.73750000000291"/>
    <x v="5"/>
    <n v="41300"/>
    <m/>
    <m/>
    <m/>
    <s v="61.602.189-3"/>
    <s v="No"/>
    <m/>
    <m/>
    <m/>
    <m/>
    <s v="Loreto Rodríguez Neira"/>
    <s v="lrodriguezn@ssconcepcion.cl"/>
    <m/>
    <m/>
    <m/>
    <m/>
  </r>
  <r>
    <s v="1747-21-LE22"/>
    <s v="SUMINISTRO DE OXIGENO MEDICINAL METROS CUBICOS HCM"/>
    <s v="Servicios de recarga de oxígeno medicinal, considerando lo siguiente: Teniendo un consumo promedio de 30 tubos de oxígeno de 10 metros cúbicos mensuales, los cuales deben ser arrendados por el Proveedor, considerando 40 tubos para arrendar. Además, un consumo promedio de 20 tubos de oxígeno de 1 metro cúbico mensuales."/>
    <s v="HOSPITAL DE MEJILLONES"/>
    <m/>
    <m/>
    <x v="2"/>
    <x v="7"/>
    <d v="2022-04-12T18:53:30"/>
    <x v="7"/>
    <x v="1"/>
    <d v="2022-04-19T20:00:00"/>
    <d v="2022-04-13T00:00:00"/>
    <x v="0"/>
    <x v="2"/>
    <s v="No"/>
    <d v="2022-04-16T23:59:00"/>
    <d v="2022-04-18T17:00:00"/>
    <d v="2022-04-25T15:06:00"/>
    <n v="0"/>
    <n v="0"/>
    <m/>
    <s v="No"/>
    <m/>
    <s v=" "/>
    <s v="No"/>
    <m/>
    <m/>
    <m/>
    <m/>
    <d v="2022-04-19T20:00:00"/>
    <m/>
    <m/>
    <x v="0"/>
    <x v="0"/>
    <d v="2022-04-26T00:00:00"/>
    <n v="-6.1666666666642413"/>
    <x v="1"/>
    <n v="14793840"/>
    <m/>
    <m/>
    <m/>
    <s v="61.606.205-0"/>
    <s v="No"/>
    <m/>
    <m/>
    <m/>
    <m/>
    <s v="Francia Bruna"/>
    <s v="francia.bruna@hospitalmejillones.cl"/>
    <s v="No se adjudicó el item"/>
    <m/>
    <m/>
    <m/>
  </r>
  <r>
    <s v="1057496-19-LE22"/>
    <s v="Adquisición insumos médicos Hospital San Luis"/>
    <s v="Adquisición insumos médicos, Hospital San Luis"/>
    <s v="HOSPITAL SAN LUIS"/>
    <m/>
    <m/>
    <x v="0"/>
    <x v="0"/>
    <d v="2022-04-06T18:01:23"/>
    <x v="7"/>
    <x v="1"/>
    <d v="2022-04-20T19:53:00"/>
    <d v="2022-04-08T00:00:00"/>
    <x v="1"/>
    <x v="1"/>
    <s v="Si"/>
    <d v="2022-04-11T21:54:00"/>
    <d v="2022-04-12T21:54:00"/>
    <d v="2022-06-20T19:54:00"/>
    <n v="0"/>
    <n v="0"/>
    <n v="45"/>
    <s v="No"/>
    <m/>
    <s v=" "/>
    <s v="No"/>
    <s v="Spot"/>
    <m/>
    <s v="No"/>
    <n v="60"/>
    <d v="2022-06-19T19:53:00"/>
    <n v="3"/>
    <n v="34507"/>
    <x v="23"/>
    <x v="0"/>
    <d v="2022-05-12T00:00:00"/>
    <n v="38.828472222223354"/>
    <x v="1"/>
    <n v="34507"/>
    <m/>
    <m/>
    <m/>
    <s v="61.608.105-5"/>
    <s v="No"/>
    <m/>
    <m/>
    <m/>
    <m/>
    <s v="María Eugenia Díaz Molina"/>
    <s v="mariae.diaz@redsalud.gov.cl"/>
    <m/>
    <m/>
    <m/>
    <m/>
  </r>
  <r>
    <s v="1063538-84-LQ22"/>
    <s v="CONVENIO POR SUMINISTRO INSUMOS DE VÍA AÉREA"/>
    <s v="El Hospital Base San José Osorno, en adelante también el “Hospital”, requiere gestionar un convenio por suministro de bienes e insumos para abastecer el stock de bodega del HBSJO, de acuerdo a las condiciones establecidas en las presentes bases administrativas, económicas, técnicas y sus anexos. La forma de la presente licitación pública corresponde a aquella adquisición mayor a 2.000 UTM e inferiores a 5.000 UTM."/>
    <s v="HOSPITAL BASE OSORNO"/>
    <m/>
    <m/>
    <x v="0"/>
    <x v="0"/>
    <d v="2022-04-12T14:48:07"/>
    <x v="7"/>
    <x v="1"/>
    <d v="2022-04-22T17:00:00"/>
    <d v="2022-04-14T00:00:00"/>
    <x v="0"/>
    <x v="4"/>
    <s v="No"/>
    <d v="2022-04-17T17:00:00"/>
    <d v="2022-04-18T17:00:00"/>
    <d v="2022-06-28T17:00:00"/>
    <n v="0"/>
    <n v="0"/>
    <m/>
    <s v="Si"/>
    <n v="500000"/>
    <d v="2022-08-29T00:00:00"/>
    <s v="No"/>
    <m/>
    <m/>
    <m/>
    <m/>
    <d v="2022-04-22T17:00:00"/>
    <m/>
    <m/>
    <x v="0"/>
    <x v="0"/>
    <d v="2022-07-13T00:00:00"/>
    <n v="-81.291666666664241"/>
    <x v="5"/>
    <n v="67000"/>
    <m/>
    <m/>
    <m/>
    <s v="61.602.260-1"/>
    <s v="Si"/>
    <n v="500000"/>
    <d v="2022-09-26T00:00:00"/>
    <m/>
    <m/>
    <s v="CLAUDIA SANDOVAL"/>
    <s v="gestionpagofacturas@redsalud.gob.cl"/>
    <m/>
    <m/>
    <m/>
    <m/>
  </r>
  <r>
    <s v="3853-28-L122"/>
    <s v="Suministro de Oxígeno Medicinal para Pacientes Domiciliarios"/>
    <s v="El Departamento de Salud Municipal de Río Bueno, requiere adquirir &quot;Contrato de Suministro de Oxígeno Medicinal&quot;, para &quot;Pacientes Domiciliarios Oxígeno Dependientes&quot;, pertenecientes a la Salud Primaria Municipal de Río Bueno"/>
    <s v="I MUNICIPALIDAD DE RIO BUENO"/>
    <m/>
    <m/>
    <x v="3"/>
    <x v="5"/>
    <d v="2022-04-19T09:46:34"/>
    <x v="7"/>
    <x v="1"/>
    <d v="2022-04-25T15:30:00"/>
    <d v="2022-04-19T00:00:00"/>
    <x v="0"/>
    <x v="7"/>
    <s v="No"/>
    <d v="2022-04-21T10:00:00"/>
    <d v="2022-04-21T10:10:00"/>
    <d v="2022-05-27T15:00:00"/>
    <n v="0"/>
    <n v="0"/>
    <m/>
    <s v="No"/>
    <m/>
    <s v=" "/>
    <s v="No"/>
    <s v="Contrato"/>
    <m/>
    <s v="No"/>
    <m/>
    <d v="2022-04-25T15:30:00"/>
    <m/>
    <m/>
    <x v="0"/>
    <x v="0"/>
    <d v="2022-04-27T00:00:00"/>
    <n v="-1.3541666666642413"/>
    <x v="2"/>
    <n v="38052"/>
    <m/>
    <m/>
    <m/>
    <s v="69.201.000-0"/>
    <s v="No"/>
    <m/>
    <m/>
    <m/>
    <m/>
    <s v="Yéssica Hidalgo Leal"/>
    <s v="depto.finanzas.2022@gmail.com"/>
    <m/>
    <m/>
    <m/>
    <m/>
  </r>
  <r>
    <s v="2098-71-LE22"/>
    <s v="ADQUISICION INSUMOS CONECTORES DE VACIO AIRE COMPRIMIDO Y OXIGENOTERAPIA HRAV"/>
    <s v="Conforme a la Ley de Compras Públicas n° 19.886, de Bases Sobre Contratos Administrativos de Suministro y Prestación de Servicios, su Reglamento aprobado mediante Decreto 250/2004 y las modificaciones vigentes a la fecha de esta publicación, el Hospital a través de su Departamento de Abastecimiento y Logística invita a los oferentes, personas naturales o jurídicas, a participar en una licitación pública, determinando los requisitos administrativos mínimos para participar en la propuesta y garantizar con este mismo instrumento la calidad y entrega de los productos requeridos"/>
    <s v="Hospital Curanilahue"/>
    <m/>
    <m/>
    <x v="2"/>
    <x v="2"/>
    <d v="2022-04-19T15:44:40"/>
    <x v="7"/>
    <x v="1"/>
    <d v="2022-04-25T17:00:00"/>
    <d v="2022-04-20T00:00:00"/>
    <x v="0"/>
    <x v="6"/>
    <s v="No"/>
    <d v="2022-04-22T14:00:00"/>
    <d v="2022-04-23T15:00:00"/>
    <d v="2022-07-04T18:48:00"/>
    <n v="0"/>
    <n v="0"/>
    <m/>
    <s v="No"/>
    <m/>
    <s v=" "/>
    <s v="No"/>
    <m/>
    <m/>
    <m/>
    <m/>
    <d v="2022-04-25T17:00:00"/>
    <m/>
    <m/>
    <x v="0"/>
    <x v="0"/>
    <d v="2022-05-09T00:00:00"/>
    <n v="-13.291666666664241"/>
    <x v="0"/>
    <n v="8805000"/>
    <m/>
    <m/>
    <m/>
    <s v="61.602.211-3"/>
    <s v="No"/>
    <m/>
    <m/>
    <m/>
    <m/>
    <s v="Francisca Romero Neira"/>
    <s v="francisca.romero@hospitaldecuranilahue.cl"/>
    <m/>
    <m/>
    <m/>
    <m/>
  </r>
  <r>
    <s v="1063538-88-LQ22"/>
    <s v="CONVENIO POR SUMINISTRO CIRCUITOS DE VÍA AÉREA"/>
    <s v="El Hospital Base San José Osorno, en adelante también el “Hospital”, requiere gestionar un convenio por suministro de bienes e insumos para abastecer el stock de bodega del HBSJO, de acuerdo a las condiciones establecidas en las presentes bases administrativas, económicas, técnicas y sus anexos. La forma de la presente licitación pública corresponde a aquella adquisición mayor a 2.000 UTM e inferiores a 5.000 UTM."/>
    <s v="HOSPITAL BASE OSORNO"/>
    <m/>
    <m/>
    <x v="0"/>
    <x v="0"/>
    <d v="2022-04-14T10:09:28"/>
    <x v="7"/>
    <x v="1"/>
    <d v="2022-04-25T18:47:00"/>
    <m/>
    <x v="0"/>
    <x v="9"/>
    <s v="No"/>
    <d v="2022-04-19T17:00:00"/>
    <d v="2022-04-20T17:01:00"/>
    <d v="2022-06-09T14:04:56"/>
    <n v="0"/>
    <n v="0"/>
    <m/>
    <s v="Si"/>
    <n v="500000"/>
    <d v="2022-07-25T00:00:00"/>
    <s v="No"/>
    <s v="Contrato"/>
    <n v="12"/>
    <m/>
    <m/>
    <d v="2022-04-25T18:47:00"/>
    <m/>
    <m/>
    <x v="0"/>
    <x v="0"/>
    <d v="2022-06-09T00:00:00"/>
    <n v="-44.21736111111386"/>
    <x v="5"/>
    <n v="12300"/>
    <m/>
    <m/>
    <m/>
    <s v="61.602.260-1"/>
    <s v="Si"/>
    <n v="0.08"/>
    <d v="2023-08-02T00:00:00"/>
    <m/>
    <m/>
    <s v="Claudia Sandoval"/>
    <s v="gestionpagofacturas@redsalud.gob.cl"/>
    <m/>
    <m/>
    <m/>
    <m/>
  </r>
  <r>
    <s v="1650-15-LE22"/>
    <s v="Insumos Médicos HSJ"/>
    <s v="Compra de insumos médicos, hospital Santa Juana, con solicitud de compra interna N°211 de fecha 13 de abril del 2022."/>
    <s v="Hospital Santa Juana"/>
    <m/>
    <m/>
    <x v="0"/>
    <x v="0"/>
    <d v="2022-04-19T12:56:29"/>
    <x v="7"/>
    <x v="1"/>
    <d v="2022-04-26T10:04:00"/>
    <m/>
    <x v="0"/>
    <x v="7"/>
    <s v="No"/>
    <d v="2022-04-20T09:05:00"/>
    <d v="2022-04-25T09:05:00"/>
    <d v="2022-04-27T16:14:52"/>
    <n v="0"/>
    <n v="0"/>
    <m/>
    <s v="No"/>
    <m/>
    <s v=" "/>
    <s v="No"/>
    <s v="Spot"/>
    <m/>
    <m/>
    <m/>
    <d v="2022-04-26T10:04:00"/>
    <n v="100"/>
    <m/>
    <x v="0"/>
    <x v="0"/>
    <d v="2022-04-27T00:00:00"/>
    <n v="-0.58055555555620231"/>
    <x v="0"/>
    <n v="3500"/>
    <m/>
    <m/>
    <m/>
    <s v="61.602.204-0"/>
    <s v="No"/>
    <m/>
    <m/>
    <m/>
    <m/>
    <m/>
    <m/>
    <m/>
    <m/>
    <m/>
    <m/>
  </r>
  <r>
    <s v="1650-15-LE22"/>
    <s v="Insumos Médicos HSJ"/>
    <s v="Compra de insumos médicos, hospital Santa Juana, con solicitud de compra interna N°211 de fecha 13 de abril del 2022."/>
    <s v="Hospital Santa Juana"/>
    <m/>
    <m/>
    <x v="0"/>
    <x v="0"/>
    <d v="2022-04-19T12:56:29"/>
    <x v="7"/>
    <x v="1"/>
    <d v="2022-04-26T10:04:00"/>
    <m/>
    <x v="0"/>
    <x v="7"/>
    <s v="No"/>
    <d v="2022-04-20T09:05:00"/>
    <d v="2022-04-25T09:05:00"/>
    <d v="2022-04-27T16:14:52"/>
    <n v="0"/>
    <n v="0"/>
    <m/>
    <s v="No"/>
    <m/>
    <s v=" "/>
    <s v="No"/>
    <s v="Spot"/>
    <m/>
    <m/>
    <m/>
    <d v="2022-04-26T10:04:00"/>
    <n v="6"/>
    <m/>
    <x v="0"/>
    <x v="0"/>
    <d v="2022-04-27T00:00:00"/>
    <n v="-0.58055555555620231"/>
    <x v="0"/>
    <n v="19990"/>
    <m/>
    <m/>
    <m/>
    <s v="61.602.204-0"/>
    <s v="No"/>
    <m/>
    <m/>
    <m/>
    <m/>
    <m/>
    <m/>
    <m/>
    <m/>
    <m/>
    <m/>
  </r>
  <r>
    <s v="2421-25-LE22"/>
    <s v="SUMINISTRO OXIGENO MEDICINAL DAS CONCEPCIÓN 2022-23"/>
    <s v="SUMINISTRO OXIGENO MEDICINAL PARA ESTABLECIMIENTOS DE SALUD DAS CONCEPCIÓN"/>
    <s v="I. MUNICIPALIDAD DE CONCEPCIÓN"/>
    <m/>
    <m/>
    <x v="2"/>
    <x v="2"/>
    <d v="2022-04-19T11:27:47"/>
    <x v="7"/>
    <x v="1"/>
    <d v="2022-04-26T16:00:00"/>
    <d v="2022-04-19T00:00:00"/>
    <x v="1"/>
    <x v="1"/>
    <s v="Si"/>
    <d v="2022-04-21T15:02:00"/>
    <d v="2022-04-22T15:02:00"/>
    <d v="2022-04-29T16:37:00"/>
    <n v="0"/>
    <n v="0"/>
    <m/>
    <s v="No"/>
    <m/>
    <s v=" "/>
    <s v="No"/>
    <m/>
    <m/>
    <s v="No"/>
    <m/>
    <d v="2022-04-26T16:00:00"/>
    <m/>
    <m/>
    <x v="0"/>
    <x v="0"/>
    <d v="2022-05-10T00:00:00"/>
    <n v="-13.333333333335759"/>
    <x v="1"/>
    <n v="188478"/>
    <m/>
    <m/>
    <m/>
    <s v="69.256.900-8"/>
    <s v="Si"/>
    <n v="0.05"/>
    <d v="2023-10-31T00:00:00"/>
    <m/>
    <m/>
    <s v="Doris Inostroza"/>
    <s v="dinostroza@dasconcepcion.cl"/>
    <m/>
    <m/>
    <m/>
    <m/>
  </r>
  <r>
    <s v="2780-133-L122"/>
    <s v="COMPRA DE INSUMOS PARA FARMACIA POPULAR DE LA LIGUA"/>
    <s v="COMPRA DE INSUMOS PARA FARMACIA POPULAR DE LA LIGUA"/>
    <s v="I MUNICIPALIDAD DE LA LIGUA"/>
    <m/>
    <m/>
    <x v="0"/>
    <x v="0"/>
    <d v="2022-04-19T16:03:22"/>
    <x v="7"/>
    <x v="1"/>
    <d v="2022-04-26T20:45:00"/>
    <m/>
    <x v="0"/>
    <x v="6"/>
    <s v="No"/>
    <d v="2022-04-20T20:45:00"/>
    <d v="2022-04-21T20:45:00"/>
    <d v="2022-04-29T15:52:33"/>
    <n v="5553000"/>
    <n v="4666386.5546218492"/>
    <n v="30"/>
    <s v="No"/>
    <m/>
    <s v=" "/>
    <s v="No"/>
    <s v="Spot"/>
    <m/>
    <s v="No"/>
    <m/>
    <d v="2022-04-26T20:45:00"/>
    <m/>
    <m/>
    <x v="0"/>
    <x v="1"/>
    <m/>
    <n v="44677.864583333336"/>
    <x v="3"/>
    <m/>
    <m/>
    <m/>
    <m/>
    <s v="69.050.100-7"/>
    <s v="No"/>
    <m/>
    <m/>
    <m/>
    <m/>
    <m/>
    <m/>
    <m/>
    <m/>
    <m/>
    <m/>
  </r>
  <r>
    <s v="2703-104-L122"/>
    <s v="SC 9240 Suministro de oxígeno medicinal SAR."/>
    <s v="SC 9240 Suministro de oxígeno medicinal Cilindros de 10 m3, Según especificaciones técnicas adjuntas para SAR Talagante.."/>
    <s v="I MUNICIPALIDAD DE TALAGANTE"/>
    <m/>
    <m/>
    <x v="2"/>
    <x v="10"/>
    <d v="2022-04-20T08:18:01"/>
    <x v="7"/>
    <x v="1"/>
    <d v="2022-04-28T15:05:00"/>
    <d v="2022-04-21T00:00:00"/>
    <x v="0"/>
    <x v="6"/>
    <s v="No"/>
    <d v="2022-04-22T17:04:00"/>
    <d v="2022-04-26T17:04:00"/>
    <d v="2022-05-25T17:00:00"/>
    <n v="0"/>
    <n v="0"/>
    <m/>
    <s v="No"/>
    <m/>
    <s v=" "/>
    <s v="No"/>
    <m/>
    <m/>
    <m/>
    <m/>
    <d v="2022-04-28T15:05:00"/>
    <m/>
    <m/>
    <x v="0"/>
    <x v="1"/>
    <m/>
    <n v="44679.628472222219"/>
    <x v="3"/>
    <m/>
    <m/>
    <m/>
    <m/>
    <s v="69.071.800-6"/>
    <s v="Si"/>
    <n v="0.05"/>
    <d v="2024-08-30T00:00:00"/>
    <m/>
    <m/>
    <s v="Víctor Aguilar"/>
    <s v="vaguilar@talagante.cl"/>
    <m/>
    <m/>
    <m/>
    <m/>
  </r>
  <r>
    <s v="3654-16-LE22"/>
    <s v="ADQ DE GASES FLETE Y ARRIENDO DE CILINDROS"/>
    <s v="ADQUISICIÓN DE GASES,FLETE Y ARRIENDO DE CILINDROS DE GASES, PARA LABORATORIOS DEL IDIC."/>
    <s v="COMANDO DE APOYO A LA FUERZA"/>
    <m/>
    <m/>
    <x v="6"/>
    <x v="8"/>
    <d v="2022-04-14T16:52:13"/>
    <x v="7"/>
    <x v="1"/>
    <d v="2022-04-29T10:00:00"/>
    <d v="2022-04-20T00:00:00"/>
    <x v="0"/>
    <x v="2"/>
    <s v="No"/>
    <d v="2022-04-22T15:56:00"/>
    <d v="2022-04-25T15:56:00"/>
    <d v="2022-05-26T18:47:00"/>
    <n v="0"/>
    <n v="0"/>
    <m/>
    <s v="No"/>
    <m/>
    <s v=" "/>
    <s v="No"/>
    <m/>
    <m/>
    <m/>
    <m/>
    <d v="2022-04-29T10:00:00"/>
    <m/>
    <m/>
    <x v="0"/>
    <x v="0"/>
    <d v="2022-05-30T00:00:00"/>
    <n v="-30.583333333335759"/>
    <x v="2"/>
    <n v="4709008"/>
    <m/>
    <m/>
    <m/>
    <s v="61.101.034-6"/>
    <s v="No"/>
    <m/>
    <m/>
    <m/>
    <m/>
    <s v="CESAR LOPEZ MORENO"/>
    <s v="cesar.lopez@idic.cl"/>
    <m/>
    <m/>
    <m/>
    <m/>
  </r>
  <r>
    <s v="5184-39-LQ22"/>
    <s v="CONVENIO SUMINISTRO OXIGENO LIQUIDO MEDICINAL"/>
    <s v="MM N114 CONVENIO SUMINISTRO OXIGENO LIQUIDO MEDICINAL Sr. Proveedor: “FAVOR ACEPTAR ORDEN DE COMPRA, PARA PAGO OPORTUNO” Factura en formato digital: enviar a dipresrecepcion@custodium.com"/>
    <s v="HOSPITAL DE LINARES"/>
    <m/>
    <m/>
    <x v="2"/>
    <x v="10"/>
    <d v="2022-04-18T11:49:19"/>
    <x v="7"/>
    <x v="1"/>
    <d v="2022-04-29T15:00:00"/>
    <d v="2022-04-19T00:00:00"/>
    <x v="0"/>
    <x v="7"/>
    <s v="No"/>
    <d v="2022-04-22T19:00:00"/>
    <d v="2022-04-27T17:00:00"/>
    <d v="2022-05-20T17:00:00"/>
    <n v="0"/>
    <n v="0"/>
    <m/>
    <s v="Si"/>
    <n v="700000"/>
    <d v="2022-06-28T00:00:00"/>
    <s v="Si"/>
    <m/>
    <m/>
    <m/>
    <m/>
    <d v="2022-04-29T15:00:00"/>
    <m/>
    <m/>
    <x v="0"/>
    <x v="0"/>
    <d v="2022-05-12T00:00:00"/>
    <n v="-12.375"/>
    <x v="4"/>
    <n v="108480000"/>
    <m/>
    <m/>
    <m/>
    <s v="61.606.917-9"/>
    <s v="Si"/>
    <n v="0.05"/>
    <d v="2024-08-02T00:00:00"/>
    <m/>
    <m/>
    <s v="Ana Flor Barros Soto"/>
    <s v="abarros@hospitaldelinares.cl"/>
    <m/>
    <m/>
    <m/>
    <m/>
  </r>
  <r>
    <s v="4776-10-LQ22"/>
    <s v="SUMINISTRO DE OXÍGENO MEDICINAL PARA LOS CENTROS DE REHABILITACIÓN CAPREDENA LA FLORIDA Y LIMACHE"/>
    <s v="El objeto de la presente licitación es contratar el “SUMINISTRO DE OXÍGENO MEDICINAL PARA LOS CENTROS DE REHABILITACIÓN CAPREDENA LA FLORIDA Y LIMACHE”, por un período de 36 meses."/>
    <s v="CAPREDENA"/>
    <m/>
    <m/>
    <x v="2"/>
    <x v="10"/>
    <d v="2022-04-12T08:24:40"/>
    <x v="7"/>
    <x v="1"/>
    <d v="2022-05-02T15:01:00"/>
    <d v="2022-04-13T00:00:00"/>
    <x v="0"/>
    <x v="6"/>
    <s v="No"/>
    <d v="2022-04-26T12:00:00"/>
    <d v="2022-04-28T14:00:00"/>
    <d v="2022-05-31T18:00:00"/>
    <n v="0"/>
    <n v="0"/>
    <m/>
    <s v="Si"/>
    <n v="500000"/>
    <d v="2022-11-30T00:00:00"/>
    <s v="No"/>
    <m/>
    <m/>
    <m/>
    <m/>
    <d v="2022-05-02T15:01:00"/>
    <m/>
    <m/>
    <x v="0"/>
    <x v="0"/>
    <d v="2022-07-26T00:00:00"/>
    <n v="-84.374305555553292"/>
    <x v="6"/>
    <n v="471"/>
    <m/>
    <m/>
    <m/>
    <s v="61.108.000-k"/>
    <s v="Si"/>
    <n v="0.05"/>
    <d v="2025-09-30T00:00:00"/>
    <m/>
    <m/>
    <s v="HERNAN HERNANDEZ L."/>
    <s v="hernan.hernandez@capredena.gov.cl"/>
    <m/>
    <m/>
    <m/>
    <m/>
  </r>
  <r>
    <s v="948355-17-LP22"/>
    <s v="Adquisición de Insumos Médicos por Sistema de Suministro para el Hospital DIPRECA"/>
    <s v="El Hospital de la Dirección de Previsión de Carabineros de Chile, ubicado en Av. Vital Apoquindo N° 1.200, Comuna de Las Condes, Región Metropolitana, en adelante “EL HOSPITAL”,  llama a Licitación Pública para la Adquisición de Insumos Médicos por Sistema de Suministro,  en adelante “LOS INSUMOS”, para un período de 24 meses o hasta que se consuma la totalidad del monto contratado, según lo que primero ocurra, para el referido Centro Asistencial, cuyas características y requisitos técnicos constan en las Bases Administrativas y Técnicas de esta Licitación con sus respectivos Anexos."/>
    <s v="FONDO HOSPITAL DE LA DIRECCION DE PREVISION DE CARABINEROS DE CHILE"/>
    <m/>
    <m/>
    <x v="0"/>
    <x v="0"/>
    <d v="2022-04-20T16:50:53"/>
    <x v="7"/>
    <x v="1"/>
    <d v="2022-05-02T16:00:00"/>
    <m/>
    <x v="1"/>
    <x v="1"/>
    <s v="Si"/>
    <d v="2022-04-27T17:00:00"/>
    <d v="2022-04-29T17:00:00"/>
    <m/>
    <n v="107000000"/>
    <n v="89915966.386554629"/>
    <n v="30"/>
    <s v="No"/>
    <m/>
    <s v=" "/>
    <s v="No"/>
    <s v="Contrato"/>
    <n v="24"/>
    <s v="No"/>
    <n v="120"/>
    <d v="2022-08-30T16:00:00"/>
    <n v="50"/>
    <n v="17179"/>
    <x v="24"/>
    <x v="0"/>
    <d v="2022-06-20T00:00:00"/>
    <n v="71.666666666664241"/>
    <x v="0"/>
    <n v="16650"/>
    <m/>
    <m/>
    <m/>
    <s v="61.513.003-6"/>
    <s v="Si"/>
    <n v="0.05"/>
    <d v="2024-08-09T00:00:00"/>
    <s v="dipresrecepcion@custodium.com"/>
    <m/>
    <m/>
    <m/>
    <m/>
    <m/>
    <m/>
    <m/>
  </r>
  <r>
    <s v="4375-60-LP22"/>
    <s v="Campaña invierno 2022"/>
    <s v="El HGGB requiere adquirir insumos para cubrir campaña invierno 2022, destinado a Servicio de Medicina,UCI Médica, UCI Quirúrgica, Urgencia adulto y niño, UCI Pediátrica y Pediatría, según consolidado de Jefa de Gestión de Procesos Clínicos de Enfermería. Autorización Jefa CR Gestión Abastecimiento."/>
    <s v="HOSPITAL GUILLERMO GRANT BENAVENTE"/>
    <m/>
    <m/>
    <x v="0"/>
    <x v="0"/>
    <d v="2022-04-22T16:28:29"/>
    <x v="7"/>
    <x v="1"/>
    <d v="2022-05-03T14:00:00"/>
    <d v="2022-04-28T00:00:00"/>
    <x v="1"/>
    <x v="1"/>
    <s v="Si"/>
    <d v="2022-04-26T15:18:00"/>
    <d v="2022-04-27T15:18:00"/>
    <d v="2022-07-28T15:06:00"/>
    <n v="110000000"/>
    <n v="92436974.789915964"/>
    <n v="30"/>
    <s v="Si"/>
    <n v="200000"/>
    <d v="2022-05-31T00:00:00"/>
    <s v="No"/>
    <s v="Spot"/>
    <m/>
    <s v="No"/>
    <n v="60"/>
    <d v="2022-07-02T14:00:00"/>
    <m/>
    <m/>
    <x v="0"/>
    <x v="0"/>
    <d v="2022-07-04T00:00:00"/>
    <n v="-1.4166666666642413"/>
    <x v="0"/>
    <n v="44658"/>
    <m/>
    <m/>
    <m/>
    <s v="61.602.189-3"/>
    <s v="Si"/>
    <n v="0.05"/>
    <d v="2022-06-30T00:00:00"/>
    <m/>
    <m/>
    <s v="Loreto rodriguez Neira"/>
    <s v="lrodriguezn@ssconcepcion.cl"/>
    <m/>
    <m/>
    <m/>
    <m/>
  </r>
  <r>
    <s v="2986-41-LE22"/>
    <s v="CONTRATO SUMINISTRO DE OXIGENO MEDICINAL"/>
    <s v="CONTRATO DE SUMINISTRO DE OXIGENO MEDICINAL E INSUMOS EN CESFAM TOMAS ROJAS VERGARA, CECOSF Y POSTAS DEPENDIENTES DEL DEPARTAMENTO DE SALUD MUNICIPAL DE LOS LAGOS AÑO 2022."/>
    <s v="I MUNICIPALIDAD DE LOS LAGOS"/>
    <m/>
    <m/>
    <x v="2"/>
    <x v="3"/>
    <d v="2022-04-27T16:29:09"/>
    <x v="7"/>
    <x v="1"/>
    <d v="2022-05-04T10:00:00"/>
    <d v="2022-04-28T00:00:00"/>
    <x v="0"/>
    <x v="2"/>
    <s v="No"/>
    <d v="2022-04-29T14:00:00"/>
    <d v="2022-05-02T16:00:00"/>
    <d v="2022-05-20T15:30:00"/>
    <n v="0"/>
    <n v="0"/>
    <m/>
    <s v="No"/>
    <m/>
    <s v=" "/>
    <s v="No"/>
    <m/>
    <m/>
    <m/>
    <m/>
    <d v="2022-05-04T10:00:00"/>
    <m/>
    <m/>
    <x v="0"/>
    <x v="1"/>
    <m/>
    <n v="44685.416666666664"/>
    <x v="3"/>
    <m/>
    <m/>
    <m/>
    <m/>
    <s v="69.200.600-3"/>
    <s v="No"/>
    <m/>
    <m/>
    <m/>
    <m/>
    <s v="JORGE RICARDO FIGUEROA ISLAS"/>
    <s v="comprasdesamloslagos@gmail.com"/>
    <m/>
    <m/>
    <m/>
    <m/>
  </r>
  <r>
    <s v="1057545-23-LQ22"/>
    <s v="Convenio de Suministro de Gases Clinicos"/>
    <s v="El Servicio de Salud Valdivia requiere contratar a través de un convenio de suministro la provisión de gases clínicos para el SAr,Hospital de Paillaco y Los Lagos"/>
    <s v="SERVICIO DE SALUD VALDIVIA"/>
    <m/>
    <m/>
    <x v="2"/>
    <x v="3"/>
    <d v="2022-04-14T17:14:41"/>
    <x v="7"/>
    <x v="1"/>
    <d v="2022-05-04T13:20:00"/>
    <d v="2022-04-20T00:00:00"/>
    <x v="0"/>
    <x v="6"/>
    <s v="No"/>
    <d v="2022-04-21T20:56:00"/>
    <d v="2022-04-26T20:56:00"/>
    <d v="2022-08-24T13:21:00"/>
    <n v="0"/>
    <n v="0"/>
    <m/>
    <s v="Si"/>
    <n v="200000"/>
    <d v="2020-08-03T00:00:00"/>
    <s v="No"/>
    <m/>
    <m/>
    <m/>
    <m/>
    <d v="2022-05-04T13:20:00"/>
    <m/>
    <m/>
    <x v="0"/>
    <x v="1"/>
    <m/>
    <n v="44685.555555555555"/>
    <x v="3"/>
    <m/>
    <m/>
    <m/>
    <m/>
    <s v="61.607.500-4"/>
    <s v="Si"/>
    <n v="0.1"/>
    <d v="2024-11-13T00:00:00"/>
    <m/>
    <m/>
    <s v="Carmen Roldan"/>
    <s v="carmen.roldanssv@redsalud.gob.cl"/>
    <m/>
    <m/>
    <m/>
    <m/>
  </r>
  <r>
    <s v="937232-26-LP22"/>
    <s v="Servicio de Provisión de Oxígeno Domiciliario"/>
    <s v="Garantizar la provisión del Servicio de Domiciliario de Oxígeno Clínico con la finalidad de permitir el normal funcionamiento de Hospitalización Domiciliaria entregada por el CRS HPC, dando cumplimiento a la normativa vigente y a las regulaciones locales del establecimiento de salud."/>
    <s v="CRS Hospital Provincia Cordillera"/>
    <m/>
    <m/>
    <x v="3"/>
    <x v="5"/>
    <d v="2022-04-14T11:22:24"/>
    <x v="7"/>
    <x v="1"/>
    <d v="2022-05-04T15:00:00"/>
    <d v="2022-04-14T00:00:00"/>
    <x v="1"/>
    <x v="4"/>
    <s v="Si"/>
    <d v="2022-04-21T10:00:00"/>
    <d v="2022-04-25T21:00:00"/>
    <d v="2022-06-06T18:00:00"/>
    <n v="80000000"/>
    <n v="67226890.756302521"/>
    <n v="30"/>
    <s v="No"/>
    <n v="62184320"/>
    <s v=" "/>
    <s v="No"/>
    <s v="Contrato"/>
    <n v="24"/>
    <s v="No"/>
    <n v="60"/>
    <d v="2022-07-03T15:00:00"/>
    <m/>
    <m/>
    <x v="0"/>
    <x v="1"/>
    <m/>
    <n v="44745.625"/>
    <x v="3"/>
    <m/>
    <m/>
    <m/>
    <m/>
    <s v="61.980.620-4"/>
    <s v="Si"/>
    <n v="0.05"/>
    <d v="2024-07-31T00:00:00"/>
    <m/>
    <m/>
    <s v="Yolanda Cea Quiroz"/>
    <s v="pagos@hpcordillera.cl"/>
    <m/>
    <m/>
    <m/>
    <m/>
  </r>
  <r>
    <s v="2548-16-LE22"/>
    <s v="ENTREGA OXIGENO ARRIENDO CILINDROS Y ADQ INSUMOS"/>
    <s v="SUMINISTRO DE OXIGENO Y AIRE, ARRIENDO DE CILINDROS, MANTENCION DE REDES GASES CLINICOS Y ADQUISICIÓN DE INSUMOS PARA LOS ESTABLECIMIENTOS DE SALUD MUNICIPAL DE PADRE LAS CASAS"/>
    <s v="I MUNICIPALIDAD DE PADRE LAS CASAS"/>
    <m/>
    <m/>
    <x v="2"/>
    <x v="3"/>
    <d v="2022-04-20T17:33:27"/>
    <x v="7"/>
    <x v="1"/>
    <d v="2022-05-04T16:30:00"/>
    <d v="2022-04-21T00:00:00"/>
    <x v="0"/>
    <x v="2"/>
    <s v="No"/>
    <d v="2022-04-26T13:00:00"/>
    <d v="2022-04-28T11:00:00"/>
    <d v="2022-05-31T17:30:00"/>
    <n v="0"/>
    <n v="0"/>
    <m/>
    <s v="Si"/>
    <n v="400000"/>
    <d v="2023-01-31T00:00:00"/>
    <s v="No"/>
    <m/>
    <m/>
    <m/>
    <m/>
    <d v="2022-05-04T16:30:00"/>
    <m/>
    <m/>
    <x v="0"/>
    <x v="0"/>
    <d v="2022-06-07T00:00:00"/>
    <n v="-33.3125"/>
    <x v="2"/>
    <n v="5630247"/>
    <m/>
    <m/>
    <m/>
    <s v="61.955.000-5"/>
    <s v="No"/>
    <m/>
    <m/>
    <m/>
    <m/>
    <s v="ELIANA ARRIAGADA PIRQUIL"/>
    <s v="facturassalud@padrelascasas.cl"/>
    <m/>
    <m/>
    <m/>
    <m/>
  </r>
  <r>
    <s v="1499-64-LE22"/>
    <s v="suministro de oxígeno líquido"/>
    <s v="Contar con el Servicio de suministro de Oxígeno Líquido para las dependencias del Instituto Nacional del Tórax, ubicado en José Manuel Infante Nº 717, comuna de Providencia."/>
    <s v="INSTITUTO NACIONAL DEL TORAX"/>
    <m/>
    <m/>
    <x v="2"/>
    <x v="10"/>
    <d v="2022-04-25T13:04:52"/>
    <x v="7"/>
    <x v="1"/>
    <d v="2022-05-05T18:18:00"/>
    <d v="2022-04-27T00:00:00"/>
    <x v="1"/>
    <x v="1"/>
    <s v="Si"/>
    <d v="2022-04-30T10:07:00"/>
    <d v="2022-05-03T17:30:00"/>
    <d v="2022-05-31T15:33:00"/>
    <n v="0"/>
    <n v="0"/>
    <m/>
    <s v="Si"/>
    <n v="500000"/>
    <d v="2022-08-13T00:00:00"/>
    <s v="Si"/>
    <s v="Contrato"/>
    <m/>
    <s v="No"/>
    <m/>
    <d v="2022-05-05T18:18:00"/>
    <m/>
    <m/>
    <x v="0"/>
    <x v="1"/>
    <m/>
    <n v="44686.762499999997"/>
    <x v="3"/>
    <m/>
    <m/>
    <m/>
    <m/>
    <s v="61.608.402-k"/>
    <s v="Si"/>
    <n v="0.1"/>
    <d v="2023-10-31T00:00:00"/>
    <m/>
    <m/>
    <s v="Enrique Martínez L."/>
    <s v="emartinez@torax.cl"/>
    <m/>
    <m/>
    <m/>
    <m/>
  </r>
  <r>
    <s v="2080-118-LR22"/>
    <s v="SUM. INSUMOS MANEJO VÍA AÉREA HRLBO."/>
    <s v="El Hospital Regional Libertador Bernardo O´Higgins en adelante el Hospital llama a licitación pública para la “SUMINISTRO INSUMOS MANEJO VÍA AÉREA PARA EL HOSPITAL REGIONAL LIBERTADOR BERNARDO O`HIGGINS”, con la finalidad de apoyar la actividad de apoyo diagnóstico y resolutividad de los procedimientos del Hospital, y con esto responder a las prestaciones que deriven de la atención de los beneficiarios del sistema público, contribuyendo así a la mejora de la actividad del establecimiento y cubriendo las necesidades de los beneficiarios."/>
    <s v="HOSPITAL REG RANCAGUA"/>
    <m/>
    <m/>
    <x v="0"/>
    <x v="0"/>
    <d v="2022-04-06T14:58:26"/>
    <x v="7"/>
    <x v="1"/>
    <d v="2022-05-06T15:00:00"/>
    <d v="2022-04-08T00:00:00"/>
    <x v="1"/>
    <x v="1"/>
    <s v="Si"/>
    <d v="2022-04-16T16:00:00"/>
    <d v="2022-04-20T18:00:00"/>
    <d v="2022-07-05T18:00:00"/>
    <n v="322979929"/>
    <n v="271411705.0420168"/>
    <n v="30"/>
    <s v="Si"/>
    <n v="0.03"/>
    <d v="2022-03-09T00:00:00"/>
    <s v="No"/>
    <s v="Contrato"/>
    <n v="12"/>
    <s v="No"/>
    <n v="120"/>
    <d v="2022-09-03T15:00:00"/>
    <m/>
    <m/>
    <x v="0"/>
    <x v="1"/>
    <m/>
    <n v="44807.625"/>
    <x v="3"/>
    <m/>
    <m/>
    <m/>
    <m/>
    <s v="61.602.138-9"/>
    <s v="Si"/>
    <n v="0.05"/>
    <d v="2023-11-02T00:00:00"/>
    <m/>
    <m/>
    <s v="Pablo Del Pino Ahumada"/>
    <s v="pablo.delpino@redsalud.gob.cl"/>
    <m/>
    <m/>
    <m/>
    <m/>
  </r>
  <r>
    <s v="2026-59-LP22"/>
    <s v="CONVENIO SUMINISTRO DE OXIGENO HOSPITAL LIGUA"/>
    <s v="Las presentes bases rigen la propuesta pública que tiene por objeto realizar “CONVENIO SUMINISTRO DE OXIGENO Y GASES CLINICOS PARA EL HOSPITAL SAN AGUSTIN DE LA LIGUA”."/>
    <s v="SERVICIO SALUD VINA DEL MAR QUILLOTA"/>
    <m/>
    <m/>
    <x v="2"/>
    <x v="9"/>
    <d v="2022-04-14T14:39:04"/>
    <x v="7"/>
    <x v="1"/>
    <d v="2022-05-06T16:00:00"/>
    <d v="2022-04-14T00:00:00"/>
    <x v="0"/>
    <x v="2"/>
    <s v="No"/>
    <d v="2022-04-25T15:00:00"/>
    <d v="2022-04-28T18:00:00"/>
    <d v="2022-06-30T18:00:00"/>
    <n v="0"/>
    <n v="0"/>
    <m/>
    <s v="No"/>
    <m/>
    <s v=" "/>
    <s v="Si"/>
    <m/>
    <m/>
    <m/>
    <m/>
    <d v="2022-05-06T16:00:00"/>
    <m/>
    <m/>
    <x v="0"/>
    <x v="0"/>
    <d v="2022-06-08T00:00:00"/>
    <n v="-32.333333333335759"/>
    <x v="4"/>
    <n v="60000000"/>
    <m/>
    <m/>
    <m/>
    <s v="61.606.600-5"/>
    <s v="Si"/>
    <n v="0.05"/>
    <d v="2025-04-30T00:00:00"/>
    <m/>
    <m/>
    <s v="SUBDEPARTAMENTO DE FINANZAS"/>
    <s v="MANUEL.MARIN@REDSALUD.GOV.CL"/>
    <m/>
    <m/>
    <m/>
    <m/>
  </r>
  <r>
    <s v="769-34-LE22"/>
    <s v="SUMINISTRO MEDICAMENTOS E INSUMOS ATENCION MEDICA DE URGENCIA SAMU ANTOFAGASTA. PTA 42"/>
    <s v="El Servicio de Salud Antofagasta, a través de las presentes bases, llama a licitación pública, de acuerdo a lo regido en la ley de compras N° 19.886 y su reglamento. La presente propuesta pública tiene como objetivo adquirir o contratar lo siguiente: Medicamentos e insumos para cubrir necesidades de pacientes atendidos en el SAMU de la Región de Antofagasta, los cuales serán solicitados de acuerdo a la demanda asistencial, es decir las cantidades pueden aumentar o disminuir. Cabe señalar que de acuerdo a lo previsto por el Art. 30, letra D, de la Ley Nº 19.886 y en el Artículo 14 del Decreto Supremo Nº 250, de 2004, del Ministerio de Hacienda que aprueba el Reglamento de dicho cuerpo legal, los bienes que se licitan no se encuentran incluidos en el Catálogo de Convenio Marco de la Dirección de Compras y Contratación Pública"/>
    <s v="SERVICIO DE SALUD ANTOFAGASTA"/>
    <m/>
    <m/>
    <x v="0"/>
    <x v="0"/>
    <d v="2022-04-29T10:52:47"/>
    <x v="7"/>
    <x v="1"/>
    <d v="2022-05-09T15:05:00"/>
    <d v="2022-05-05T00:00:00"/>
    <x v="1"/>
    <x v="1"/>
    <s v="Si"/>
    <d v="2022-05-04T15:13:00"/>
    <d v="2022-05-06T16:00:00"/>
    <d v="2022-06-09T00:00:00"/>
    <n v="25000000"/>
    <n v="21008403.361344539"/>
    <n v="45"/>
    <s v="No"/>
    <m/>
    <s v=" "/>
    <s v="No"/>
    <s v="Contrato"/>
    <n v="12"/>
    <s v="No"/>
    <n v="60"/>
    <d v="2022-07-08T15:05:00"/>
    <n v="1000"/>
    <n v="15654"/>
    <x v="25"/>
    <x v="2"/>
    <d v="2022-06-09T16:00:00"/>
    <d v="1900-01-27T23:05:00"/>
    <x v="3"/>
    <m/>
    <m/>
    <m/>
    <m/>
    <s v="61.606.200-k"/>
    <s v="No"/>
    <m/>
    <m/>
    <m/>
    <m/>
    <s v="SERVICIO DE SALUD ANTOFAGASTA"/>
    <s v="juana.opazo@ssantofagasta.cl"/>
    <m/>
    <m/>
    <m/>
    <m/>
  </r>
  <r>
    <s v="769-34-LE22"/>
    <s v="SUMINISTRO MEDICAMENTOS E INSUMOS ATENCION MEDICA DE URGENCIA SAMU ANTOFAGASTA. PTA 42"/>
    <s v="El Servicio de Salud Antofagasta, a través de las presentes bases, llama a licitación pública, de acuerdo a lo regido en la ley de compras N° 19.886 y su reglamento. La presente propuesta pública tiene como objetivo adquirir o contratar lo siguiente: Medicamentos e insumos para cubrir necesidades de pacientes atendidos en el SAMU de la Región de Antofagasta, los cuales serán solicitados de acuerdo a la demanda asistencial, es decir las cantidades pueden aumentar o disminuir. Cabe señalar que de acuerdo a lo previsto por el Art. 30, letra D, de la Ley Nº 19.886 y en el Artículo 14 del Decreto Supremo Nº 250, de 2004, del Ministerio de Hacienda que aprueba el Reglamento de dicho cuerpo legal, los bienes que se licitan no se encuentran incluidos en el Catálogo de Convenio Marco de la Dirección de Compras y Contratación Pública"/>
    <s v="SERVICIO DE SALUD ANTOFAGASTA"/>
    <m/>
    <m/>
    <x v="0"/>
    <x v="0"/>
    <d v="2022-04-29T10:52:47"/>
    <x v="7"/>
    <x v="1"/>
    <d v="2022-05-09T15:05:00"/>
    <d v="2022-05-05T00:00:00"/>
    <x v="1"/>
    <x v="1"/>
    <s v="Si"/>
    <d v="2022-05-04T15:13:00"/>
    <d v="2022-05-06T16:00:00"/>
    <d v="2022-06-09T00:00:00"/>
    <n v="25000000"/>
    <n v="21008403.361344539"/>
    <n v="45"/>
    <s v="No"/>
    <m/>
    <s v=" "/>
    <s v="No"/>
    <s v="Contrato"/>
    <n v="12"/>
    <s v="No"/>
    <n v="60"/>
    <d v="2022-07-08T15:05:00"/>
    <n v="1000"/>
    <n v="15654"/>
    <x v="25"/>
    <x v="2"/>
    <d v="2022-06-09T16:00:00"/>
    <d v="1900-01-27T23:05:00"/>
    <x v="3"/>
    <m/>
    <m/>
    <m/>
    <m/>
    <s v="61.606.200-k"/>
    <s v="No"/>
    <m/>
    <m/>
    <m/>
    <m/>
    <s v="SERVICIO DE SALUD ANTOFAGASTA"/>
    <s v="juana.opazo@ssantofagasta.cl"/>
    <m/>
    <m/>
    <m/>
    <m/>
  </r>
  <r>
    <s v="769-34-LE22"/>
    <s v="SUMINISTRO MEDICAMENTOS E INSUMOS ATENCION MEDICA DE URGENCIA SAMU ANTOFAGASTA. PTA 42"/>
    <s v="El Servicio de Salud Antofagasta, a través de las presentes bases, llama a licitación pública, de acuerdo a lo regido en la ley de compras N° 19.886 y su reglamento. La presente propuesta pública tiene como objetivo adquirir o contratar lo siguiente: Medicamentos e insumos para cubrir necesidades de pacientes atendidos en el SAMU de la Región de Antofagasta, los cuales serán solicitados de acuerdo a la demanda asistencial, es decir las cantidades pueden aumentar o disminuir. Cabe señalar que de acuerdo a lo previsto por el Art. 30, letra D, de la Ley Nº 19.886 y en el Artículo 14 del Decreto Supremo Nº 250, de 2004, del Ministerio de Hacienda que aprueba el Reglamento de dicho cuerpo legal, los bienes que se licitan no se encuentran incluidos en el Catálogo de Convenio Marco de la Dirección de Compras y Contratación Pública"/>
    <s v="SERVICIO DE SALUD ANTOFAGASTA"/>
    <m/>
    <m/>
    <x v="0"/>
    <x v="0"/>
    <d v="2022-04-29T10:52:47"/>
    <x v="7"/>
    <x v="1"/>
    <d v="2022-05-09T15:05:00"/>
    <d v="2022-05-05T00:00:00"/>
    <x v="1"/>
    <x v="1"/>
    <s v="Si"/>
    <d v="2022-05-04T15:13:00"/>
    <d v="2022-05-06T16:00:00"/>
    <d v="2022-06-09T00:00:00"/>
    <n v="25000000"/>
    <n v="21008403.361344539"/>
    <n v="45"/>
    <s v="No"/>
    <m/>
    <s v=" "/>
    <s v="No"/>
    <s v="Contrato"/>
    <n v="12"/>
    <s v="No"/>
    <n v="60"/>
    <d v="2022-07-08T15:05:00"/>
    <n v="1000"/>
    <n v="15654"/>
    <x v="25"/>
    <x v="2"/>
    <d v="2022-06-09T16:00:00"/>
    <d v="1900-01-27T23:05:00"/>
    <x v="3"/>
    <m/>
    <m/>
    <m/>
    <m/>
    <s v="61.606.200-k"/>
    <s v="No"/>
    <m/>
    <m/>
    <m/>
    <m/>
    <s v="SERVICIO DE SALUD ANTOFAGASTA"/>
    <s v="juana.opazo@ssantofagasta.cl"/>
    <m/>
    <m/>
    <m/>
    <m/>
  </r>
  <r>
    <s v="2703-120-L122"/>
    <s v="SC 9240 Suministro de oxígeno medicinal SAR."/>
    <s v="SC 9240 Suministro de oxígeno medicinal SAR. Según especificaciones técnicas adjuntas."/>
    <s v="I MUNICIPALIDAD DE TALAGANTE"/>
    <m/>
    <m/>
    <x v="2"/>
    <x v="10"/>
    <d v="2022-05-02T16:29:32"/>
    <x v="8"/>
    <x v="1"/>
    <d v="2022-05-09T15:30:00"/>
    <d v="2022-05-04T00:00:00"/>
    <x v="0"/>
    <x v="6"/>
    <s v="No"/>
    <d v="2022-05-03T19:00:00"/>
    <d v="2022-05-05T16:00:00"/>
    <d v="2022-06-08T15:00:00"/>
    <n v="0"/>
    <n v="0"/>
    <m/>
    <s v="No"/>
    <m/>
    <s v=" "/>
    <s v="No"/>
    <m/>
    <m/>
    <m/>
    <m/>
    <d v="2022-05-09T15:30:00"/>
    <m/>
    <m/>
    <x v="0"/>
    <x v="1"/>
    <m/>
    <n v="44690.645833333336"/>
    <x v="3"/>
    <m/>
    <m/>
    <m/>
    <m/>
    <s v="69.071.800-6"/>
    <s v="Si"/>
    <n v="0.05"/>
    <d v="2024-08-30T00:00:00"/>
    <m/>
    <m/>
    <s v="Víctor Aguilar"/>
    <s v="vaguilar@talagante.cl"/>
    <m/>
    <m/>
    <m/>
    <m/>
  </r>
  <r>
    <s v="635-64-L122"/>
    <s v="Adquisición reguladores de oxigeno y flujometros, SAMU, OT 471"/>
    <m/>
    <s v="SERVICIO DE SALUD DE ARICA"/>
    <m/>
    <m/>
    <x v="2"/>
    <x v="15"/>
    <d v="2022-05-03T16:18:49"/>
    <x v="8"/>
    <x v="1"/>
    <d v="2022-05-09T17:30:00"/>
    <d v="2022-05-04T00:00:00"/>
    <x v="0"/>
    <x v="6"/>
    <s v="No"/>
    <d v="2022-05-04T17:30:00"/>
    <d v="2022-05-05T17:30:00"/>
    <d v="2022-05-23T17:30:00"/>
    <n v="0"/>
    <n v="0"/>
    <m/>
    <s v="No"/>
    <m/>
    <s v=" "/>
    <s v="No"/>
    <m/>
    <m/>
    <m/>
    <m/>
    <d v="2022-05-09T17:30:00"/>
    <m/>
    <m/>
    <x v="0"/>
    <x v="0"/>
    <d v="2022-05-26T00:00:00"/>
    <n v="-16.270833333335759"/>
    <x v="0"/>
    <n v="555800"/>
    <m/>
    <m/>
    <m/>
    <s v="61.606.000-7"/>
    <s v="No"/>
    <m/>
    <m/>
    <m/>
    <m/>
    <m/>
    <m/>
    <m/>
    <m/>
    <m/>
    <m/>
  </r>
  <r>
    <s v="4030-13-L122"/>
    <s v="CONVENIO DE SUMINISTRO DE OXIGENO CAMIÑA"/>
    <s v="CONVENIO DE SUMINISTRO DE OXIGENO CAMIÑA"/>
    <s v="ILUSTRE MUNICIPALIDAD DE CAMINA"/>
    <m/>
    <m/>
    <x v="2"/>
    <x v="11"/>
    <d v="2022-05-05T12:48:36"/>
    <x v="8"/>
    <x v="1"/>
    <d v="2022-05-11T13:56:00"/>
    <d v="2022-05-06T00:00:00"/>
    <x v="0"/>
    <x v="2"/>
    <s v="No"/>
    <d v="2022-05-08T15:56:00"/>
    <d v="2022-05-09T15:56:00"/>
    <d v="2022-05-12T13:57:00"/>
    <n v="0"/>
    <n v="0"/>
    <m/>
    <s v="No"/>
    <m/>
    <s v=" "/>
    <s v="No"/>
    <m/>
    <m/>
    <m/>
    <m/>
    <d v="2022-05-11T13:56:00"/>
    <m/>
    <m/>
    <x v="0"/>
    <x v="1"/>
    <m/>
    <n v="44692.580555555556"/>
    <x v="3"/>
    <m/>
    <m/>
    <m/>
    <m/>
    <s v="69.251.100-K"/>
    <s v="No"/>
    <m/>
    <m/>
    <m/>
    <m/>
    <s v="DEPARTAMENTO DE SALUD"/>
    <s v="MAGDADEPTOSALUD@GMAIL.COM"/>
    <m/>
    <m/>
    <m/>
    <m/>
  </r>
  <r>
    <s v="5942-2-LE22"/>
    <s v="Suministro de gases especiales"/>
    <s v="El Laboratorio de Farmacología de la Facultad de Ciencias Veterinarias y Pecuarias de la Universidad de Chile en adelante, FARMAVET, licita la contratación del suministro de gases especiales, por un periodo de 24 meses o hasta el agotamiento de los recursos asignados, lo que primero ocurra, según las características que se han definido en las presentes bases administrativas, bases técnicas y anexos."/>
    <s v="UNIVERSIDAD DE CHILE"/>
    <m/>
    <m/>
    <x v="6"/>
    <x v="8"/>
    <d v="2022-04-29T12:08:16"/>
    <x v="7"/>
    <x v="1"/>
    <d v="2022-05-12T15:00:00"/>
    <d v="2022-05-05T00:00:00"/>
    <x v="0"/>
    <x v="2"/>
    <s v="No"/>
    <d v="2022-05-03T13:01:00"/>
    <d v="2022-05-09T15:00:00"/>
    <d v="2022-09-12T15:00:00"/>
    <n v="0"/>
    <n v="0"/>
    <m/>
    <s v="No"/>
    <m/>
    <s v=" "/>
    <s v="No"/>
    <m/>
    <m/>
    <m/>
    <m/>
    <d v="2022-05-12T15:00:00"/>
    <m/>
    <m/>
    <x v="0"/>
    <x v="0"/>
    <d v="2022-07-25T00:00:00"/>
    <n v="-73.375"/>
    <x v="6"/>
    <n v="120271"/>
    <m/>
    <m/>
    <m/>
    <s v="60.910.000-1"/>
    <s v="No"/>
    <m/>
    <m/>
    <m/>
    <m/>
    <s v="Felipe Muñoz"/>
    <s v="fmunozg@uchile.cl"/>
    <m/>
    <m/>
    <m/>
    <m/>
  </r>
  <r>
    <s v="4555-6-L122"/>
    <s v="SUMINISTRO OXÍGENO MEDICINAL PARA LOS CESFAM"/>
    <s v="La Ilustre Municipalidad de Zapallar, en adelante e indistintamente la “MUNICIPALIDAD” o el “MUNICIPIO”, llama a licitación pública para la contratación del “SERVICIO, VÍA SUMINISTRO, DE OXÍGENO MEDICINAL PARA LOS CESFAM DE LA COMUNA DE ZAPALLAR”., la cual se regulará por las presentes Bases. El mandante de esta licitación es la MUNICIPALIDAD, cuyo domicilio para todos los efectos legales de esta convocatoria es calle Germán Riesco N°399, comuna de Zapallar, región de Valparaíso, representado por su Alcalde."/>
    <s v="I MUNICIPALIDAD DE ZAPALLAR"/>
    <m/>
    <m/>
    <x v="2"/>
    <x v="9"/>
    <d v="2022-05-04T10:54:16"/>
    <x v="8"/>
    <x v="1"/>
    <d v="2022-05-13T12:35:00"/>
    <d v="2022-05-05T00:00:00"/>
    <x v="0"/>
    <x v="0"/>
    <s v="No"/>
    <d v="2022-05-06T14:35:00"/>
    <d v="2022-05-10T14:35:00"/>
    <d v="2022-06-30T12:36:00"/>
    <n v="0"/>
    <n v="0"/>
    <m/>
    <s v="No"/>
    <m/>
    <s v=" "/>
    <s v="No"/>
    <m/>
    <m/>
    <m/>
    <m/>
    <d v="2022-05-13T12:35:00"/>
    <m/>
    <m/>
    <x v="0"/>
    <x v="1"/>
    <m/>
    <n v="44694.524305555555"/>
    <x v="3"/>
    <m/>
    <m/>
    <m/>
    <m/>
    <s v="69.050.400-6"/>
    <s v="No"/>
    <m/>
    <m/>
    <m/>
    <m/>
    <s v="Osvaldo Cruz"/>
    <s v="ocruz@saludzapallar.cl"/>
    <m/>
    <m/>
    <m/>
    <m/>
  </r>
  <r>
    <s v="1057402-95-LR22"/>
    <s v="INSUMOS PARA PABELLON"/>
    <s v="El propósito de la licitación es contar con contratos de suministro de “INSUMOS PARA PABELLON”, y que permitan el aprovisionamiento oportuno de los productos necesarios en la atención de los usuarios del Hospital para los años 2022 al 2023, en las circunstancias que estos productos no fueran provistos por la Central Nacional de Abastecimiento de los Servicios de Salud, ni se encuentren disponibles en catálogos electrónicos del Convenio Marco o en las Compras Coordinadas yo Conjuntas del Ministerio de Salud, o bien su adquisición sea desventajosa respecto al resultado de la presente licitación, cuyas condiciones más ventajosas serán informadas en la oportunidad correspondiente a la Dirección de Compras, en conformidad con lo dispuesto en el artículo 15 del D.S. Nº 250, de 2004, del Ministerio de Hacienda."/>
    <s v="HOSPITAL CLINICO DE MAGALLANES DR. LAUTARO NAVARRO AVARIA"/>
    <m/>
    <m/>
    <x v="0"/>
    <x v="0"/>
    <d v="2022-04-13T15:47:31"/>
    <x v="7"/>
    <x v="1"/>
    <d v="2022-05-13T17:00:00"/>
    <m/>
    <x v="1"/>
    <x v="1"/>
    <s v="Si"/>
    <d v="2022-04-19T17:00:00"/>
    <d v="2022-04-25T20:00:00"/>
    <d v="2022-09-14T20:00:00"/>
    <n v="0"/>
    <n v="0"/>
    <n v="30"/>
    <s v="Si"/>
    <n v="200000"/>
    <d v="2022-09-30T00:00:00"/>
    <s v="No"/>
    <s v="Contrato"/>
    <n v="36"/>
    <s v="No"/>
    <n v="180"/>
    <d v="2022-11-09T17:00:00"/>
    <n v="54"/>
    <n v="32002"/>
    <x v="26"/>
    <x v="2"/>
    <m/>
    <d v="2022-11-09T17:00:00"/>
    <x v="3"/>
    <m/>
    <m/>
    <m/>
    <m/>
    <s v="61.607.901-8"/>
    <s v="Si"/>
    <n v="0.05"/>
    <d v="2025-12-31T00:00:00"/>
    <s v="dipresrecepcion@custodium.com"/>
    <m/>
    <s v="Tesoreria General de la Republica"/>
    <s v="www.tgr.cl"/>
    <m/>
    <m/>
    <m/>
    <m/>
  </r>
  <r>
    <s v="1057448-33-LR22"/>
    <s v="ADQ VENTILADORES NO INVASIVOS HAH"/>
    <s v="Se requiere adquirir ventiladores no invasivos, dadas las necesidades y requerimientos de la Red Asistencial para dar respuesta a las exigencias de una creciente demanda de sus usuarios por más y mejores prestaciones de salud, se hace indispensable la habilitación e implementación del proyecto Construcción del Hospital de Alto Hospicio. "/>
    <s v="SERVICIO DE SALUD IQUIQUE"/>
    <m/>
    <m/>
    <x v="0"/>
    <x v="0"/>
    <d v="2022-04-13T17:24:00"/>
    <x v="7"/>
    <x v="1"/>
    <d v="2022-05-16T15:00:00"/>
    <m/>
    <x v="0"/>
    <x v="4"/>
    <s v="No"/>
    <d v="2022-05-03T15:00:00"/>
    <d v="2022-05-09T18:00:00"/>
    <d v="2022-09-12T18:00:00"/>
    <n v="0"/>
    <n v="0"/>
    <n v="30"/>
    <s v="Si"/>
    <n v="200000"/>
    <d v="2022-09-12T00:00:00"/>
    <s v="No"/>
    <s v="Contrato"/>
    <n v="12"/>
    <s v="No"/>
    <m/>
    <d v="2022-05-16T15:00:00"/>
    <n v="30"/>
    <m/>
    <x v="0"/>
    <x v="2"/>
    <m/>
    <n v="44697.625"/>
    <x v="3"/>
    <m/>
    <m/>
    <m/>
    <m/>
    <s v="61.606.100-3"/>
    <s v="Si"/>
    <n v="0.05"/>
    <d v="2023-11-09T00:00:00"/>
    <m/>
    <m/>
    <m/>
    <m/>
    <m/>
    <m/>
    <m/>
    <m/>
  </r>
  <r>
    <s v="1063538-86-LQ22"/>
    <s v="SUMINISTRO GAS CLINICOS Y OXIGENO LIQUIDO HBSJO"/>
    <s v="El Hospital Base San José Osorno, en adelante también el “Hospital”, requiere el Convenio De Suministro Gases Clínicos Y Oxigeno Liquido para el HBSJO, necesario para abastecer la ejecución de distintos procedimientos, de acuerdo a las condiciones establecidas en las presentes bases administrativas, económicas, técnicas y sus anexos. La forma de la presente licitación pública corresponde a aquella adquisición mayor a 2.000 e inferior a 5.000 UTM."/>
    <s v="HOSPITAL BASE OSORNO"/>
    <m/>
    <m/>
    <x v="2"/>
    <x v="3"/>
    <d v="2022-05-06T11:33:20"/>
    <x v="8"/>
    <x v="1"/>
    <d v="2022-05-16T15:00:00"/>
    <d v="2022-05-06T00:00:00"/>
    <x v="0"/>
    <x v="2"/>
    <s v="No"/>
    <d v="2022-05-10T12:00:00"/>
    <d v="2022-05-12T12:30:00"/>
    <d v="2022-07-19T12:18:00"/>
    <n v="0"/>
    <n v="0"/>
    <m/>
    <s v="Si"/>
    <n v="500000"/>
    <d v="2022-08-17T00:00:00"/>
    <s v="Si"/>
    <m/>
    <m/>
    <m/>
    <m/>
    <d v="2022-05-16T15:00:00"/>
    <m/>
    <m/>
    <x v="0"/>
    <x v="0"/>
    <d v="2022-06-22T00:00:00"/>
    <n v="-36.375"/>
    <x v="2"/>
    <n v="142229623"/>
    <m/>
    <m/>
    <m/>
    <s v="61.602.260-1"/>
    <s v="Si"/>
    <n v="0.08"/>
    <d v="2024-10-21T00:00:00"/>
    <m/>
    <m/>
    <s v="Jose Cordova"/>
    <s v="jose.cordova@redsalud.gob.cl"/>
    <m/>
    <m/>
    <m/>
    <m/>
  </r>
  <r>
    <s v="1057545-31-LE22"/>
    <s v="ADQUISICION DE INSUMOS PARA SALAS IRA Y ERA"/>
    <s v="El Servicio de Salud Valdivia necesita adquirir insumos necesarios para el desarrollo de las prestaciones del Programa IRA Y ERA que se desarrolla en la Red Asistencial dependiente del Servicio de Salud Valdivia"/>
    <s v="SERVICIO DE SALUD VALDIVIA"/>
    <m/>
    <m/>
    <x v="0"/>
    <x v="0"/>
    <d v="2022-05-05T14:40:00"/>
    <x v="8"/>
    <x v="1"/>
    <d v="2022-05-16T17:32:00"/>
    <d v="2022-05-09T00:00:00"/>
    <x v="0"/>
    <x v="2"/>
    <s v="No"/>
    <d v="2022-05-10T18:00:00"/>
    <d v="2022-05-12T18:00:00"/>
    <d v="2022-07-27T17:33:00"/>
    <n v="6000000"/>
    <n v="5042016.8067226894"/>
    <n v="30"/>
    <s v="No"/>
    <m/>
    <s v=" "/>
    <s v="No"/>
    <m/>
    <m/>
    <m/>
    <n v="90"/>
    <d v="2022-08-14T17:32:00"/>
    <m/>
    <m/>
    <x v="0"/>
    <x v="0"/>
    <d v="2022-07-05T00:00:00"/>
    <n v="40.730555555557657"/>
    <x v="0"/>
    <n v="4095100"/>
    <m/>
    <m/>
    <m/>
    <s v="61.607.500-4"/>
    <s v="No"/>
    <m/>
    <m/>
    <s v="dipresrecepcion@custodium.com"/>
    <m/>
    <s v="Carmen Roldan"/>
    <s v="carmen.roldanssv@redsalud.gob.cl"/>
    <m/>
    <m/>
    <m/>
    <m/>
  </r>
  <r>
    <s v="1641-69-LR22"/>
    <s v="COC SERVICIO DE OXIGENO TERAPIA PARA PACIENTES"/>
    <s v="El objeto de la presente licitación es la contratación de “SERVICIO DE OXIGENO TERAPIA PARA PACIENTES ADULTOS Y PEDIATRICOS DEL SERVICIO DE HOSPITALIZACIÓN DOMICILIARIA”, según el siguiente detalle: -N° de pacientes anual estimado: 2.580 -Duración: 36 meses"/>
    <s v="HOSPITAL SAN JUAN DE DIOS"/>
    <m/>
    <m/>
    <x v="3"/>
    <x v="5"/>
    <d v="2022-04-18T17:22:59"/>
    <x v="7"/>
    <x v="1"/>
    <d v="2022-05-18T18:00:00"/>
    <d v="2022-04-19T00:00:00"/>
    <x v="1"/>
    <x v="3"/>
    <s v="Si"/>
    <d v="2022-04-28T18:00:00"/>
    <d v="2022-05-03T18:00:00"/>
    <d v="2022-11-14T18:00:00"/>
    <n v="816630000"/>
    <n v="686243697.47899163"/>
    <m/>
    <s v="Si"/>
    <n v="2000000"/>
    <d v="2022-11-14T00:00:00"/>
    <s v="No"/>
    <s v="Contrato"/>
    <n v="36"/>
    <s v="No"/>
    <n v="180"/>
    <d v="2022-11-14T18:00:00"/>
    <m/>
    <m/>
    <x v="0"/>
    <x v="1"/>
    <m/>
    <n v="44879.75"/>
    <x v="3"/>
    <m/>
    <m/>
    <m/>
    <m/>
    <s v="61.608.204-3"/>
    <s v="Si"/>
    <n v="0.05"/>
    <d v="2026-03-30T00:00:00"/>
    <m/>
    <m/>
    <s v="Rodrigo Bravo Gajardo"/>
    <s v="rodrigo.bravog@redsalud.gov.cl"/>
    <m/>
    <m/>
    <m/>
    <m/>
  </r>
  <r>
    <s v="1057509-117-LE22"/>
    <s v="CONVENIO MANTENCIÓN PREVENTIVA CORRECTIVA Y SUMINISTRO MATERIAL SECUNDARIO PARA GASES CLÍNICOS cce"/>
    <s v="El Hospital Clínico Herminda Martín de Chillán llama a Licitación Pública a través del Portal Mercado Público, para suscribir “Convenio Mantención Preventiva, Correctiva y Suministro de Material Secundario para Gases Clínicos”, destinados a diversas áreas del establecimiento, de acuerdo a protocolos técnicos y administrativos establecidos por el Hospital, de acuerdo a protocolos técnicos y administrativos establecidos por el Hospital. Se pretende obtener la mejor calidad y oportunidad en la compra de los servicios a un precio conveniente."/>
    <s v="HOSPITAL CLINICO HERMINDA MARTIN"/>
    <m/>
    <m/>
    <x v="2"/>
    <x v="2"/>
    <d v="2022-05-10T16:36:54"/>
    <x v="8"/>
    <x v="1"/>
    <d v="2022-05-20T09:00:00"/>
    <d v="2022-05-12T00:00:00"/>
    <x v="0"/>
    <x v="3"/>
    <s v="No"/>
    <d v="2022-05-16T10:00:00"/>
    <d v="2022-05-18T17:00:00"/>
    <d v="2022-06-06T17:00:00"/>
    <n v="0"/>
    <n v="0"/>
    <m/>
    <s v="No"/>
    <m/>
    <s v=" "/>
    <s v="No"/>
    <m/>
    <m/>
    <m/>
    <m/>
    <d v="2022-05-20T09:00:00"/>
    <m/>
    <m/>
    <x v="0"/>
    <x v="0"/>
    <d v="2022-06-01T00:00:00"/>
    <n v="-11.625"/>
    <x v="0"/>
    <n v="37393864"/>
    <m/>
    <m/>
    <m/>
    <s v="61.607.001-0"/>
    <s v="No"/>
    <m/>
    <m/>
    <m/>
    <m/>
    <s v="Tesorería General de la República"/>
    <s v="www.tgr.cl"/>
    <m/>
    <m/>
    <m/>
    <m/>
  </r>
  <r>
    <s v="1075963-185-LE22"/>
    <s v="SERVICIO DE MANTENCIÓN DE GASES CLÍNICOS TOMAS Y CENTRALES DE GASES"/>
    <s v="SERVICIO DE MANTENCIÓN DE GASES CLÍNICOS ,TOMAS Y CENTRALES DE GASES PARA EL HOSPITAL DE ARICA Y PARINACOTA."/>
    <s v="HOSP DR JUAN NOE CREVANI"/>
    <m/>
    <m/>
    <x v="2"/>
    <x v="15"/>
    <d v="2022-05-09T10:28:26"/>
    <x v="8"/>
    <x v="1"/>
    <d v="2022-05-20T13:18:00"/>
    <d v="2022-05-09T00:00:00"/>
    <x v="1"/>
    <x v="1"/>
    <s v="Si"/>
    <d v="2022-05-14T15:14:00"/>
    <d v="2022-05-17T15:14:00"/>
    <d v="2022-05-31T13:19:00"/>
    <n v="0"/>
    <n v="0"/>
    <m/>
    <s v="No"/>
    <m/>
    <s v=" "/>
    <s v="Si"/>
    <m/>
    <m/>
    <s v="No"/>
    <m/>
    <d v="2022-05-20T13:18:00"/>
    <m/>
    <m/>
    <x v="0"/>
    <x v="0"/>
    <d v="2022-06-09T00:00:00"/>
    <n v="-19.445833333331393"/>
    <x v="1"/>
    <n v="16999167"/>
    <m/>
    <m/>
    <m/>
    <s v="61.606.001-5"/>
    <s v="No"/>
    <m/>
    <m/>
    <m/>
    <m/>
    <s v="RENATA BALTOLU"/>
    <s v="renata.baltolu.z@hjnc.cl"/>
    <m/>
    <m/>
    <m/>
    <m/>
  </r>
  <r>
    <s v="494-5-LQ22"/>
    <s v="C.S en Oxígeno Medicinal Criogenico"/>
    <s v="GARANTIZAR EL ABASTECIMIENTO OPORTUNO DEL HOSPITAL REGIONAL DE COPIAPO."/>
    <s v="HOSPITAL COPIAPO"/>
    <m/>
    <m/>
    <x v="2"/>
    <x v="11"/>
    <d v="2022-05-03T17:12:08"/>
    <x v="8"/>
    <x v="1"/>
    <d v="2022-05-23T15:00:00"/>
    <d v="2022-05-04T00:00:00"/>
    <x v="0"/>
    <x v="2"/>
    <s v="No"/>
    <d v="2022-05-06T17:00:00"/>
    <d v="2022-05-10T17:00:00"/>
    <d v="2022-06-14T17:00:00"/>
    <n v="0"/>
    <n v="0"/>
    <m/>
    <s v="Si"/>
    <n v="300000"/>
    <d v="2022-08-23T00:00:00"/>
    <s v="Si"/>
    <m/>
    <m/>
    <m/>
    <m/>
    <d v="2022-05-23T15:00:00"/>
    <m/>
    <m/>
    <x v="0"/>
    <x v="0"/>
    <d v="2022-07-01T00:00:00"/>
    <n v="-38.375"/>
    <x v="6"/>
    <n v="233100000"/>
    <m/>
    <m/>
    <m/>
    <s v="61.606.307-3"/>
    <s v="Si"/>
    <n v="0.05"/>
    <d v="2025-09-12T00:00:00"/>
    <m/>
    <m/>
    <s v="DANARY VERA MORETA"/>
    <s v="DANARY.VERA@REDSALUD.GOV.CL"/>
    <m/>
    <m/>
    <m/>
    <m/>
  </r>
  <r>
    <s v="5394-30-L122"/>
    <s v="Servicio de Instalación de Puesto de Toma de Oxígeno para la instalación y operación de analizador de Carbono y Nitrógeno SOL.127976-127977"/>
    <m/>
    <s v="UNIVERSIDAD DE MAGALLANES"/>
    <m/>
    <m/>
    <x v="2"/>
    <x v="13"/>
    <d v="2022-05-10T14:18:18"/>
    <x v="8"/>
    <x v="1"/>
    <d v="2022-05-23T15:00:00"/>
    <d v="2022-05-12T00:00:00"/>
    <x v="0"/>
    <x v="2"/>
    <s v="No"/>
    <d v="2022-05-17T23:59:00"/>
    <d v="2022-05-18T18:00:00"/>
    <d v="2022-05-27T17:00:00"/>
    <n v="0"/>
    <n v="0"/>
    <m/>
    <s v="No"/>
    <m/>
    <m/>
    <s v="Si"/>
    <m/>
    <m/>
    <m/>
    <m/>
    <d v="2022-05-23T15:00:00"/>
    <m/>
    <m/>
    <x v="0"/>
    <x v="1"/>
    <m/>
    <n v="44704.625"/>
    <x v="3"/>
    <m/>
    <m/>
    <m/>
    <m/>
    <s v="71.133.700-8"/>
    <s v="No"/>
    <m/>
    <m/>
    <m/>
    <m/>
    <m/>
    <m/>
    <m/>
    <m/>
    <m/>
    <m/>
  </r>
  <r>
    <s v="3729-68-LE22"/>
    <s v="SUMINISTRO DE OXIGENO 2022-2024"/>
    <s v="CONVENIO DE SUMINISTRO 2022-2024, CONFORME A NOTA DE PEDIDO N°1932 DE FECHA 25.04.2022, DEL DEPTO. DE SALUD MUNICIPAL, DECRETO N°1468 DE FECHA 13.05.2022 APRUEBA PRIMER LLAMADO A LICITACIÓN PUBLICA Y DECRETO N°1469 , DE FECHA 13.05.2022, DESIGNA COMISIÓN."/>
    <s v="I MUNICIPALIDAD DE CHIMBARONGO"/>
    <m/>
    <m/>
    <x v="2"/>
    <x v="10"/>
    <d v="2022-05-13T15:26:09"/>
    <x v="8"/>
    <x v="1"/>
    <d v="2022-05-23T15:03:00"/>
    <d v="2022-05-16T00:00:00"/>
    <x v="0"/>
    <x v="7"/>
    <s v="No"/>
    <d v="2022-05-16T15:00:00"/>
    <d v="2022-05-17T19:08:00"/>
    <d v="2022-06-30T15:33:06"/>
    <n v="0"/>
    <n v="0"/>
    <m/>
    <s v="No"/>
    <m/>
    <s v=" "/>
    <s v="No"/>
    <m/>
    <m/>
    <m/>
    <m/>
    <d v="2022-05-23T15:03:00"/>
    <m/>
    <m/>
    <x v="0"/>
    <x v="1"/>
    <m/>
    <n v="44704.627083333333"/>
    <x v="3"/>
    <m/>
    <m/>
    <m/>
    <m/>
    <s v="69.090.300-8"/>
    <s v="Si"/>
    <n v="0.05"/>
    <d v="2024-09-17T00:00:00"/>
    <m/>
    <m/>
    <s v="CLAUDIA CERDA"/>
    <s v="ccerda@municipalidadchimbarongo.cl"/>
    <m/>
    <m/>
    <m/>
    <m/>
  </r>
  <r>
    <s v="3260-25-L122"/>
    <s v="Abastecimiento de Oxigeno Medicinal"/>
    <s v="Licitación Pública para suscribir un Convenio de Suministro y Servicio para el abastecimiento de Oxigeno Medicinal para el Departamento de Salud Municipal."/>
    <s v="I MUNICIPALIDAD DE RIO HURTADO"/>
    <m/>
    <m/>
    <x v="2"/>
    <x v="11"/>
    <d v="2022-05-16T16:17:35"/>
    <x v="8"/>
    <x v="1"/>
    <d v="2022-05-23T16:00:00"/>
    <d v="2022-05-19T00:00:00"/>
    <x v="0"/>
    <x v="2"/>
    <s v="No"/>
    <d v="2022-05-19T16:00:00"/>
    <d v="2022-05-20T16:00:00"/>
    <d v="2022-05-25T16:01:00"/>
    <n v="0"/>
    <n v="0"/>
    <m/>
    <s v="No"/>
    <m/>
    <s v=" "/>
    <s v="No"/>
    <m/>
    <m/>
    <m/>
    <m/>
    <d v="2022-05-23T16:00:00"/>
    <m/>
    <m/>
    <x v="0"/>
    <x v="1"/>
    <m/>
    <n v="44704.666666666664"/>
    <x v="3"/>
    <m/>
    <m/>
    <m/>
    <m/>
    <s v="69.041.000-1"/>
    <s v="No"/>
    <m/>
    <m/>
    <m/>
    <m/>
    <s v="Patricio Aguilera Díaz"/>
    <s v="paguilera@riohurtado.cl"/>
    <m/>
    <m/>
    <m/>
    <m/>
  </r>
  <r>
    <s v="5221-4-LQ22"/>
    <s v="EQUIPOS PARA MONITOREO Y TRATAMIENTO"/>
    <s v="ADQUISICION DE EQUIPOS Y EQUIPAMIENTO PARA MONITOREO Y TRATAMIENTO CESFAM THOMAS FENTON Código BIP Nº 30481819-0 REPOSICIÓN CESFAM THOMAS FENTON, COMUNA DE PUNTA ARENAS LUGAR DE ENTREGA. Lautaro Navarro #829 FECHA 01/09/2022 CONTACTO: Mónica Sandoval Vargas, teléfono 61 2 291190, Monica.sandoval@redsalud.gov.cl Rocío Letelier Matisen, teléfono 61 2 291182, Rocio.letelier@redsalud.gov.cl"/>
    <s v="SERVICIO DE SALUD MAGALLANES"/>
    <m/>
    <m/>
    <x v="0"/>
    <x v="0"/>
    <d v="2022-05-02T15:52:41"/>
    <x v="8"/>
    <x v="1"/>
    <d v="2022-05-23T17:34:00"/>
    <d v="2022-05-03T00:00:00"/>
    <x v="0"/>
    <x v="0"/>
    <s v="No"/>
    <d v="2022-05-10T19:05:00"/>
    <d v="2022-05-13T15:05:00"/>
    <d v="2022-07-20T15:25:22"/>
    <n v="0"/>
    <n v="0"/>
    <m/>
    <s v="Si"/>
    <n v="500000"/>
    <d v="2022-07-22T00:00:00"/>
    <s v="No"/>
    <m/>
    <m/>
    <m/>
    <m/>
    <d v="2022-05-23T17:34:00"/>
    <m/>
    <m/>
    <x v="0"/>
    <x v="0"/>
    <d v="2022-07-20T00:00:00"/>
    <n v="-57.268055555556202"/>
    <x v="0"/>
    <n v="32800"/>
    <m/>
    <m/>
    <m/>
    <s v="61.607.900-k"/>
    <s v="Si"/>
    <n v="0.15"/>
    <d v="2022-11-30T00:00:00"/>
    <m/>
    <m/>
    <s v="TESORERIA GENERAL DE LA REPUBLICA"/>
    <s v="tesoreria.dssm@redsalud.gov.cl"/>
    <m/>
    <m/>
    <m/>
    <m/>
  </r>
  <r>
    <s v="1499-67-LE22"/>
    <s v="Gases Medicinales"/>
    <s v="El Instituto Nacional del Tórax necesita contar para su gestión Gases medicinales de distintos tipos y formatos, en forma permanente, con el objeto de poder cumplir y satisfacer debidamente la demanda asistencial que legalmente le ha sido encomendada."/>
    <s v="INSTITUTO NACIONAL DEL TORAX"/>
    <m/>
    <m/>
    <x v="2"/>
    <x v="10"/>
    <d v="2022-05-12T10:44:57"/>
    <x v="8"/>
    <x v="1"/>
    <d v="2022-05-23T19:02:00"/>
    <d v="2022-05-16T00:00:00"/>
    <x v="1"/>
    <x v="1"/>
    <s v="Si"/>
    <d v="2022-05-17T09:22:00"/>
    <d v="2022-05-19T17:15:00"/>
    <d v="2022-05-26T16:31:40"/>
    <n v="0"/>
    <n v="0"/>
    <m/>
    <s v="Si"/>
    <n v="500000"/>
    <d v="2022-08-31T00:00:00"/>
    <s v="No"/>
    <m/>
    <m/>
    <s v="No"/>
    <m/>
    <d v="2022-05-23T19:02:00"/>
    <m/>
    <m/>
    <x v="0"/>
    <x v="1"/>
    <m/>
    <n v="44704.793055555558"/>
    <x v="3"/>
    <m/>
    <m/>
    <m/>
    <m/>
    <s v="61.608.402-k"/>
    <s v="Si"/>
    <n v="0.1"/>
    <d v="2024-10-31T00:00:00"/>
    <m/>
    <m/>
    <s v="Enrique Martínez L."/>
    <s v="emartinez@torax.cl"/>
    <m/>
    <m/>
    <m/>
    <m/>
  </r>
  <r>
    <s v="2703-125-L122"/>
    <s v="SC 9240 Suministro de oxígeno medicinal SAR."/>
    <s v="SC 9240 Suministro de oxígeno medicinal SAR. Según especificaciones técnicas adjuntas."/>
    <s v="I MUNICIPALIDAD DE TALAGANTE"/>
    <m/>
    <m/>
    <x v="2"/>
    <x v="10"/>
    <d v="2022-05-13T15:50:59"/>
    <x v="8"/>
    <x v="1"/>
    <d v="2022-05-26T09:00:00"/>
    <d v="2022-05-16T00:00:00"/>
    <x v="0"/>
    <x v="6"/>
    <s v="No"/>
    <d v="2022-05-17T17:00:00"/>
    <d v="2022-05-24T17:00:00"/>
    <d v="2022-06-30T17:00:00"/>
    <n v="0"/>
    <n v="0"/>
    <m/>
    <s v="No"/>
    <m/>
    <s v=" "/>
    <s v="No"/>
    <m/>
    <m/>
    <m/>
    <m/>
    <d v="2022-05-26T09:00:00"/>
    <m/>
    <m/>
    <x v="0"/>
    <x v="1"/>
    <m/>
    <n v="44707.375"/>
    <x v="3"/>
    <m/>
    <m/>
    <m/>
    <m/>
    <s v="69.071.800-6"/>
    <s v="Si"/>
    <n v="0.05"/>
    <d v="2024-09-30T00:00:00"/>
    <m/>
    <m/>
    <s v="Victor Aguilar"/>
    <s v="vaguilar@talagante.cl"/>
    <m/>
    <m/>
    <m/>
    <m/>
  </r>
  <r>
    <s v="1057496-26-LP22"/>
    <s v="SUMINISTRO DE GASES MEDICINALES PARA EL HSLBP"/>
    <s v="SUMINISTRO DE GASES MEDICINALES PARA EL HOSPITAL SAN LUIS DE BUIN-PAINE"/>
    <s v="HOSPITAL SAN LUIS DE BUIN-PAINE"/>
    <m/>
    <m/>
    <x v="2"/>
    <x v="10"/>
    <d v="2022-05-06T15:28:13"/>
    <x v="8"/>
    <x v="1"/>
    <d v="2022-05-26T12:13:00"/>
    <d v="2022-05-06T00:00:00"/>
    <x v="0"/>
    <x v="5"/>
    <s v="No"/>
    <d v="2022-05-13T18:53:00"/>
    <d v="2022-05-17T18:53:00"/>
    <d v="2022-07-26T12:14:00"/>
    <n v="0"/>
    <n v="0"/>
    <m/>
    <s v="Si"/>
    <n v="500000"/>
    <d v="2022-08-26T00:00:00"/>
    <s v="No"/>
    <m/>
    <m/>
    <m/>
    <m/>
    <d v="2022-05-26T12:13:00"/>
    <m/>
    <m/>
    <x v="0"/>
    <x v="0"/>
    <d v="2022-06-03T00:00:00"/>
    <n v="-7.4909722222218988"/>
    <x v="2"/>
    <n v="1464146"/>
    <m/>
    <m/>
    <m/>
    <s v="61.608.105-5"/>
    <s v="Si"/>
    <n v="0.05"/>
    <d v="2024-09-12T00:00:00"/>
    <m/>
    <m/>
    <s v="MARÍA EUGENIA DÍAZ MOLINA"/>
    <s v="mariae.diaz@redsalud.gov.cl"/>
    <s v="No se adjudicó el item"/>
    <m/>
    <m/>
    <m/>
  </r>
  <r>
    <s v="1070620-30-LE22"/>
    <s v="jvt Ampliacion de gases clinicos Endoscopia-Imagen"/>
    <s v="jvt Ampliación de gases clínicos Unidad Endoscopia e Imagenología Rex 891 de 05MAY2022"/>
    <s v="HOSPITAL DOCTOR ERNESTO TORRES GALDAMES"/>
    <m/>
    <m/>
    <x v="2"/>
    <x v="15"/>
    <d v="2022-05-06T18:30:47"/>
    <x v="8"/>
    <x v="1"/>
    <d v="2022-05-26T15:00:00"/>
    <d v="2022-05-09T00:00:00"/>
    <x v="0"/>
    <x v="2"/>
    <s v="No"/>
    <d v="2022-05-13T17:00:00"/>
    <d v="2022-05-16T17:00:00"/>
    <d v="2022-07-14T15:00:00"/>
    <n v="0"/>
    <n v="0"/>
    <m/>
    <s v="Si"/>
    <n v="300000"/>
    <d v="2022-08-26T00:00:00"/>
    <s v="Si"/>
    <m/>
    <m/>
    <m/>
    <m/>
    <d v="2022-05-26T15:00:00"/>
    <m/>
    <m/>
    <x v="0"/>
    <x v="0"/>
    <d v="2022-07-14T00:00:00"/>
    <n v="-48.375"/>
    <x v="0"/>
    <n v="6460832"/>
    <m/>
    <m/>
    <m/>
    <s v="62.000.530-4"/>
    <s v="Si"/>
    <n v="0.05"/>
    <d v="2022-11-25T00:00:00"/>
    <m/>
    <m/>
    <s v="Cristian Palacios Reyes"/>
    <s v="cristian.palacios@hospitaliquique.cl"/>
    <m/>
    <m/>
    <m/>
    <m/>
  </r>
  <r>
    <s v="2215-19-LQ22"/>
    <s v="ADQUISICIÓN DE GASES MEDICINALES DOMICILIARIO"/>
    <s v="ADQUISICIÓN DE GASES MEDICINALES PARA EL SUMINISTRO DOMICILIARIO DEL HOSPITAL DR. CARLOS CISTERNAS DE CALAMA"/>
    <s v="Hospital Carlos Cisternas de Calama"/>
    <m/>
    <m/>
    <x v="3"/>
    <x v="5"/>
    <d v="2022-05-16T16:38:19"/>
    <x v="8"/>
    <x v="1"/>
    <d v="2022-05-27T12:00:00"/>
    <d v="2022-05-18T00:00:00"/>
    <x v="0"/>
    <x v="8"/>
    <s v="No"/>
    <d v="2022-05-20T09:00:00"/>
    <d v="2022-05-23T16:00:00"/>
    <d v="2022-06-28T11:10:48"/>
    <n v="0"/>
    <n v="0"/>
    <m/>
    <s v="Si"/>
    <n v="100000"/>
    <d v="2022-07-29T00:00:00"/>
    <s v="No"/>
    <s v="Contrato"/>
    <m/>
    <s v="No"/>
    <m/>
    <d v="2022-05-27T12:00:00"/>
    <m/>
    <m/>
    <x v="0"/>
    <x v="0"/>
    <d v="2022-06-28T00:00:00"/>
    <n v="-31.5"/>
    <x v="6"/>
    <n v="291240000"/>
    <m/>
    <m/>
    <m/>
    <s v="61.606.202-6"/>
    <s v="Si"/>
    <n v="0.1"/>
    <d v="2024-02-15T00:00:00"/>
    <m/>
    <m/>
    <s v="Jocelyn Villarroel Vega"/>
    <s v="jocelyn.villaroel@redsalud.gov.cl"/>
    <m/>
    <m/>
    <m/>
    <m/>
  </r>
  <r>
    <s v="1057499-16-LE22"/>
    <s v="ADQUISICIÓN DE FÁRMACOS E INSUMOS VARIOS"/>
    <s v="El Servicio de Salud Metropolitano Sur, en adelante el Servicio, requiere la adquisición de fármacos e insumos varios para la Red del Servicio de Salud Metropolitano Sur."/>
    <s v="SERVICIO DE SALUD SUR"/>
    <m/>
    <m/>
    <x v="0"/>
    <x v="0"/>
    <d v="2022-05-16T11:23:20"/>
    <x v="8"/>
    <x v="1"/>
    <d v="2022-05-27T16:00:00"/>
    <d v="2022-05-24T00:00:00"/>
    <x v="0"/>
    <x v="2"/>
    <s v="No"/>
    <d v="2022-05-17T16:00:00"/>
    <d v="2022-05-19T23:59:00"/>
    <d v="2022-06-29T14:07:51"/>
    <n v="0"/>
    <n v="0"/>
    <m/>
    <s v="No"/>
    <m/>
    <s v=" "/>
    <s v="No"/>
    <m/>
    <m/>
    <m/>
    <m/>
    <d v="2022-05-27T16:00:00"/>
    <m/>
    <m/>
    <x v="0"/>
    <x v="0"/>
    <d v="2022-06-29T00:00:00"/>
    <n v="-32.333333333335759"/>
    <x v="0"/>
    <n v="3340284"/>
    <m/>
    <m/>
    <m/>
    <s v="61.608.108-K"/>
    <s v="No"/>
    <m/>
    <m/>
    <m/>
    <m/>
    <s v="Rodrigo Gonzalez"/>
    <s v="rodrigo.gonzalez@ssms.gob.cl"/>
    <m/>
    <m/>
    <m/>
    <m/>
  </r>
  <r>
    <s v="898-74-LP22"/>
    <s v="CONVENIO DE SUMINISTRO OXIGENO LIQUIDO"/>
    <s v="CONVENIO DE SUMINISTRO OXIGENO LIQUIDO MEDICINAL PARA EL HOSPITAL CLAUDIO VICUÑA"/>
    <s v="HOSPITAL CLAUDIO VICUNA"/>
    <m/>
    <m/>
    <x v="2"/>
    <x v="9"/>
    <d v="2022-05-12T15:59:46"/>
    <x v="8"/>
    <x v="1"/>
    <d v="2022-05-27T17:00:00"/>
    <d v="2022-05-16T00:00:00"/>
    <x v="0"/>
    <x v="3"/>
    <s v="No"/>
    <d v="2022-05-19T15:24:00"/>
    <d v="2022-05-20T15:24:00"/>
    <d v="2022-07-27T17:00:00"/>
    <n v="0"/>
    <n v="0"/>
    <m/>
    <s v="Si"/>
    <n v="500000"/>
    <d v="2022-07-28T00:00:00"/>
    <s v="Si"/>
    <m/>
    <m/>
    <m/>
    <m/>
    <d v="2022-05-27T17:00:00"/>
    <m/>
    <m/>
    <x v="0"/>
    <x v="1"/>
    <m/>
    <n v="44708.708333333336"/>
    <x v="3"/>
    <m/>
    <m/>
    <m/>
    <m/>
    <s v="61.602.126-5"/>
    <s v="Si"/>
    <n v="0.05"/>
    <d v="2023-08-30T00:00:00"/>
    <m/>
    <m/>
    <s v="CARMEN GLORIA OSORIO CUETO"/>
    <s v="carmengloriaosorio@redsalud.gov.cl"/>
    <m/>
    <m/>
    <m/>
    <m/>
  </r>
  <r>
    <s v="1057385-14-LE22"/>
    <s v="SUMINISTRO DE OXIGENO MEDICINAL Y OXIDO NITROSO"/>
    <s v="SOL.COMPRA Nº113 DE KN. CHRISTIAN MORENO. SE ADJUNTAN BASES."/>
    <s v="HOSPITAL 21 DE MAYO TALTAL"/>
    <m/>
    <m/>
    <x v="2"/>
    <x v="11"/>
    <d v="2022-05-23T15:52:27"/>
    <x v="8"/>
    <x v="1"/>
    <d v="2022-05-30T15:01:00"/>
    <d v="2022-05-27T16:17:00"/>
    <x v="1"/>
    <x v="1"/>
    <s v="Si"/>
    <d v="2022-05-25T19:00:00"/>
    <d v="2022-05-26T11:00:00"/>
    <d v="2022-06-14T11:24:05"/>
    <n v="0"/>
    <n v="0"/>
    <m/>
    <s v="No"/>
    <m/>
    <s v=" "/>
    <s v="No"/>
    <m/>
    <m/>
    <s v="No"/>
    <m/>
    <d v="2022-05-30T15:01:00"/>
    <m/>
    <m/>
    <x v="0"/>
    <x v="0"/>
    <d v="2022-06-14T00:00:00"/>
    <n v="-14.374305555553292"/>
    <x v="1"/>
    <n v="103224"/>
    <m/>
    <m/>
    <m/>
    <s v="61.606.204-2"/>
    <s v="Si"/>
    <n v="0.05"/>
    <d v="2023-09-30T00:00:00"/>
    <m/>
    <m/>
    <s v="TESORERIA GENERAL DE LA REPUBLICA"/>
    <s v="victoria.torres@redsalud.gov.cl"/>
    <m/>
    <m/>
    <m/>
    <m/>
  </r>
  <r>
    <s v="898-55-LR22"/>
    <s v="SUMINISTRO DE OXIGENO CRIOGENICO CON ESTANQUE"/>
    <s v="Establecen los fines, condiciones y requisitos que deberán ser cumplidos por las empresas oferentes, en todas y cada una de las partes que conformen su oferta disposiciones generales que regirán la Licitación Pública que celebre el Hospital Claudio Vicuña, dependiente del Servicio de Salud Val paraíso San Antonio para la licitación “SUMINISTRO DE OXIGENO CRIOGENICO CON ESTANQUE EN COMODATO PARA EL NUEVO HOSPITAL CLAUDIO VICUÑA”, con el objeto de dar condiciones clínicas a los pacientes que requieran tratamiento de oxigenoterapia en hospitalización cerrada."/>
    <s v="HOSPITAL CLAUDIO VICUNA"/>
    <m/>
    <m/>
    <x v="2"/>
    <x v="9"/>
    <d v="2022-04-27T17:21:30"/>
    <x v="7"/>
    <x v="1"/>
    <d v="2022-05-30T16:00:00"/>
    <d v="2022-04-28T00:00:00"/>
    <x v="0"/>
    <x v="2"/>
    <s v="No"/>
    <d v="2022-05-12T10:25:00"/>
    <d v="2022-05-17T10:25:00"/>
    <d v="2022-06-29T14:32:00"/>
    <n v="0"/>
    <n v="0"/>
    <m/>
    <s v="Si"/>
    <n v="500000"/>
    <d v="2022-08-29T00:00:00"/>
    <s v="Si"/>
    <m/>
    <m/>
    <m/>
    <m/>
    <d v="2022-05-30T16:00:00"/>
    <m/>
    <m/>
    <x v="0"/>
    <x v="1"/>
    <m/>
    <n v="44711.666666666664"/>
    <x v="3"/>
    <m/>
    <m/>
    <m/>
    <m/>
    <s v="61.602.126-5"/>
    <s v="Si"/>
    <n v="0.1"/>
    <d v="2025-09-20T00:00:00"/>
    <m/>
    <m/>
    <s v="Carmen Gloria Osorio Cueto"/>
    <s v="carmengloria.osorio@redsalud.gov.cl"/>
    <m/>
    <m/>
    <m/>
    <m/>
  </r>
  <r>
    <s v="1057417-92-H222"/>
    <s v="ADQUISICIÓN DE ACCESORIOS INSUMOS Y OTROS ELEMENTOS MÉDICOS DEL ÁREA DENTAL ECG Y OXIGENOTERAPIA mss"/>
    <s v="realizar recambio en equipos e instalaciones de apoyo, para mantener la continuidad de servicio. Los insumos y accesorios en óptimas condiciones son fundamental para una atención segura y de calidad para los pacientes del Complejo Asistencial “Dr. Víctor Ríos Ruiz” Los Ángeles."/>
    <s v="COMPLEJO ASISTENCIAL DR.VICTOR RIOS RUIZ"/>
    <m/>
    <m/>
    <x v="2"/>
    <x v="2"/>
    <d v="2022-05-09T16:21:21"/>
    <x v="8"/>
    <x v="1"/>
    <d v="2022-05-31T17:00:00"/>
    <d v="2022-05-10T00:00:00"/>
    <x v="0"/>
    <x v="2"/>
    <s v="No"/>
    <d v="2022-05-19T17:00:00"/>
    <d v="2022-05-24T17:00:00"/>
    <d v="2022-08-09T17:00:00"/>
    <n v="0"/>
    <n v="0"/>
    <m/>
    <s v="Si"/>
    <n v="500000"/>
    <d v="2022-09-08T00:00:00"/>
    <s v="No"/>
    <m/>
    <m/>
    <m/>
    <m/>
    <d v="2022-05-31T17:00:00"/>
    <m/>
    <m/>
    <x v="0"/>
    <x v="1"/>
    <d v="2022-06-28T00:00:00"/>
    <n v="-27.291666666664241"/>
    <x v="3"/>
    <m/>
    <m/>
    <m/>
    <m/>
    <s v="61.607.301-k"/>
    <s v="Si"/>
    <n v="0.05"/>
    <d v="2025-12-22T00:00:00"/>
    <m/>
    <m/>
    <s v="RODOLFO GONZALEZ ARANEDA"/>
    <s v="rodolfo.gonzalez@ssbiobio.cl"/>
    <m/>
    <m/>
    <m/>
    <m/>
  </r>
  <r>
    <s v="1057545-39-LE22"/>
    <s v="CONVENIO SUMINISTRO GASES CLINICOS H. CORRAL"/>
    <s v="El Servicio de Salud Valdivia requiere para el Hospital de Corral comprar a través de un Convenio de Suministro de Gases Clínicos e insumos."/>
    <s v="SERVICIO DE SALUD VALDIVIA"/>
    <m/>
    <m/>
    <x v="2"/>
    <x v="3"/>
    <d v="2022-05-23T15:28:21"/>
    <x v="8"/>
    <x v="1"/>
    <d v="2022-06-02T12:00:00"/>
    <d v="2022-05-25T00:00:00"/>
    <x v="0"/>
    <x v="2"/>
    <s v="No"/>
    <d v="2022-05-28T17:00:00"/>
    <d v="2022-05-30T18:00:00"/>
    <d v="2022-06-17T09:22:48"/>
    <n v="0"/>
    <n v="0"/>
    <m/>
    <s v="No"/>
    <m/>
    <s v=" "/>
    <s v="No"/>
    <m/>
    <m/>
    <m/>
    <m/>
    <d v="2022-06-02T12:00:00"/>
    <m/>
    <m/>
    <x v="0"/>
    <x v="1"/>
    <m/>
    <n v="44714.5"/>
    <x v="3"/>
    <m/>
    <m/>
    <m/>
    <m/>
    <s v="61.607.500-4"/>
    <s v="No"/>
    <m/>
    <m/>
    <m/>
    <m/>
    <s v="Cristina Ampuero"/>
    <s v="cristina.ampuero@redsalud.gob.cl"/>
    <m/>
    <m/>
    <m/>
    <m/>
  </r>
  <r>
    <s v="4738-11-LE22"/>
    <s v="ARRIENDO DE CILINDROS Y RECARGA DE OXIGENO"/>
    <s v="Se requiere contratar los servicios de recarga de oxigeno medicinal y arriendo de cilindros por un periodo de 30 meses"/>
    <s v="I MUNICIPALIDAD DE CODEGUA"/>
    <m/>
    <m/>
    <x v="2"/>
    <x v="10"/>
    <d v="2022-05-23T15:42:26"/>
    <x v="8"/>
    <x v="1"/>
    <d v="2022-06-02T15:00:00"/>
    <d v="2022-05-26T00:00:00"/>
    <x v="0"/>
    <x v="7"/>
    <s v="No"/>
    <d v="2022-05-26T23:00:00"/>
    <d v="2022-05-27T17:00:00"/>
    <d v="2022-07-01T17:16:03"/>
    <n v="0"/>
    <n v="0"/>
    <m/>
    <s v="No"/>
    <m/>
    <s v=" "/>
    <s v="No"/>
    <m/>
    <m/>
    <m/>
    <m/>
    <d v="2022-06-02T15:00:00"/>
    <m/>
    <m/>
    <x v="0"/>
    <x v="0"/>
    <d v="2022-06-30T00:00:00"/>
    <n v="-27.375"/>
    <x v="2"/>
    <n v="3301889"/>
    <m/>
    <m/>
    <m/>
    <s v="69.080.400-K"/>
    <s v="No"/>
    <m/>
    <m/>
    <m/>
    <m/>
    <s v="Maria Carrasco Carrasco"/>
    <s v="mccarrascoc@yahoo.es"/>
    <m/>
    <m/>
    <m/>
    <m/>
  </r>
  <r>
    <s v="4429-45-LE22"/>
    <s v="SERVICIO RECARGA MANTENCION Y ARRIENDO DE CILINDROS DE OXIGENO PARA CESFAM DE HUALPEN"/>
    <s v="SERVICIO RECARGA, MANTENCION Y ARRIENDO DE CILINDROS DE OXIGENO PARA CESFAM DE HUALPEN DECRETO Nº 166"/>
    <s v="MUNICIPALIDAD DE HUALPEN"/>
    <m/>
    <m/>
    <x v="2"/>
    <x v="2"/>
    <d v="2022-05-24T15:27:00"/>
    <x v="8"/>
    <x v="1"/>
    <d v="2022-06-02T16:00:00"/>
    <d v="2022-05-27T00:00:00"/>
    <x v="0"/>
    <x v="2"/>
    <s v="No"/>
    <d v="2022-05-27T17:00:00"/>
    <d v="2022-05-30T16:00:00"/>
    <d v="2022-08-08T16:00:00"/>
    <n v="0"/>
    <n v="0"/>
    <m/>
    <s v="No"/>
    <m/>
    <s v=" "/>
    <s v="No"/>
    <m/>
    <m/>
    <m/>
    <m/>
    <d v="2022-06-02T16:00:00"/>
    <m/>
    <m/>
    <x v="0"/>
    <x v="2"/>
    <m/>
    <n v="44714.666666666664"/>
    <x v="3"/>
    <m/>
    <m/>
    <m/>
    <m/>
    <s v="69.264.400-k"/>
    <s v="Si"/>
    <n v="0.05"/>
    <d v="2024-10-30T00:00:00"/>
    <m/>
    <m/>
    <s v="CARLOS CARES MORALES"/>
    <s v="ccares@hualpenciudad.cl"/>
    <m/>
    <m/>
    <m/>
    <m/>
  </r>
  <r>
    <s v="1057554-50-LR22"/>
    <s v="CS DE OXÍGENO CRIOGÉNICO PARA EL HCVB"/>
    <s v="La necesidad del Hospital Carlos Van Buren de llamar a Licitación Pública a través del portal Mercado Público, para contratar el convenio de suministro de oxígeno criogénico, el arriendo de estanque y sistema de oxígeno para el Hospital Carlos Van Buren, por un período de 24 meses corridos."/>
    <s v="HOSPITAL CARLOS VAN BUREN"/>
    <m/>
    <m/>
    <x v="2"/>
    <x v="9"/>
    <d v="2022-05-04T13:52:54"/>
    <x v="8"/>
    <x v="1"/>
    <d v="2022-06-03T15:00:00"/>
    <d v="2022-05-05T00:00:00"/>
    <x v="0"/>
    <x v="6"/>
    <s v="No"/>
    <d v="2022-05-16T15:00:00"/>
    <d v="2022-05-18T17:00:00"/>
    <d v="2022-07-22T17:00:00"/>
    <n v="0"/>
    <n v="0"/>
    <m/>
    <s v="Si"/>
    <n v="1000000"/>
    <d v="2022-12-03T00:00:00"/>
    <s v="Si"/>
    <m/>
    <m/>
    <m/>
    <m/>
    <d v="2022-06-03T15:00:00"/>
    <m/>
    <m/>
    <x v="0"/>
    <x v="1"/>
    <m/>
    <n v="44715.625"/>
    <x v="3"/>
    <m/>
    <m/>
    <m/>
    <m/>
    <s v="61.602.054-4"/>
    <s v="Si"/>
    <n v="0.1"/>
    <d v="2024-10-11T00:00:00"/>
    <m/>
    <m/>
    <s v="javier olea"/>
    <s v="javier.oleatorres@redsalu.gov.cl"/>
    <m/>
    <m/>
    <m/>
    <m/>
  </r>
  <r>
    <s v="5602-50-LE22"/>
    <s v="Servicio de suministro de gases especiales para el"/>
    <s v="Servicio de suministro de gases especiales para el Laboratorio de Salud Pública Ambiental y Laboral Arica. Res. Ex. N416"/>
    <s v="Seremi de Salud Arica y Parinacota"/>
    <m/>
    <m/>
    <x v="6"/>
    <x v="7"/>
    <d v="2022-05-23T12:30:26"/>
    <x v="8"/>
    <x v="1"/>
    <d v="2022-06-06T15:00:00"/>
    <d v="2022-05-25T00:00:00"/>
    <x v="1"/>
    <x v="1"/>
    <s v="Si"/>
    <d v="2022-05-28T08:00:00"/>
    <d v="2022-05-31T17:00:00"/>
    <d v="2022-07-08T12:59:01"/>
    <n v="0"/>
    <n v="0"/>
    <m/>
    <s v="No"/>
    <m/>
    <s v=" "/>
    <s v="No"/>
    <m/>
    <m/>
    <s v="No"/>
    <m/>
    <d v="2022-06-06T15:00:00"/>
    <m/>
    <m/>
    <x v="0"/>
    <x v="0"/>
    <d v="2022-07-08T00:00:00"/>
    <n v="-31.375"/>
    <x v="2"/>
    <n v="825357"/>
    <m/>
    <m/>
    <m/>
    <s v="61.601.000-K"/>
    <s v="Si"/>
    <n v="0.05"/>
    <d v="2024-09-27T00:00:00"/>
    <m/>
    <m/>
    <s v="Eduardo Flores"/>
    <s v="eduardo.flores@redsalud.gob.cl"/>
    <m/>
    <m/>
    <m/>
    <m/>
  </r>
  <r>
    <s v="1499-76-LE22"/>
    <s v="Oxígeno Líquido"/>
    <s v="El Instituto Nacional del Tórax necesita contar para su gestión con el suministro de oxígeno líquido en forma permanente, con el objeto de poder cumplir y satisfacer debidamente la demanda asistencial que legalmente le ha sido encomendada."/>
    <s v="INSTITUTO NACIONAL DEL TORAX"/>
    <m/>
    <m/>
    <x v="2"/>
    <x v="2"/>
    <d v="2022-05-27T11:56:07"/>
    <x v="8"/>
    <x v="1"/>
    <d v="2022-06-06T18:37:00"/>
    <d v="2022-05-27T00:00:00"/>
    <x v="1"/>
    <x v="1"/>
    <s v="Si"/>
    <d v="2022-06-01T09:31:00"/>
    <d v="2022-06-03T16:00:00"/>
    <d v="2022-06-23T07:57:35"/>
    <n v="0"/>
    <n v="0"/>
    <m/>
    <s v="Si"/>
    <n v="500000"/>
    <d v="2022-09-14T00:00:00"/>
    <s v="Si"/>
    <m/>
    <m/>
    <s v="No"/>
    <m/>
    <d v="2022-06-06T18:37:00"/>
    <m/>
    <m/>
    <x v="0"/>
    <x v="0"/>
    <d v="2022-06-22T00:00:00"/>
    <n v="-15.224305555559113"/>
    <x v="6"/>
    <n v="26520000"/>
    <m/>
    <m/>
    <m/>
    <s v="61.608.402-k"/>
    <s v="Si"/>
    <n v="0.1"/>
    <d v="2023-11-20T00:00:00"/>
    <m/>
    <m/>
    <s v="Enrique Martínez L."/>
    <s v="emartinez@torax.cl"/>
    <m/>
    <m/>
    <m/>
    <m/>
  </r>
  <r>
    <s v="3447-75-LQ22"/>
    <s v="Cilindros de Oxígeno Medicinal DST Área Salud"/>
    <s v="Art. 4º La MAHO en su calidad de administradora de la comuna de Alto Hospicio, llama a licitación pública con el fin de generar un contrato para el Suministro de Servicios de Recarga, Arriendo, Flete, Mantención, Cambio de Válvulas y Adquisición de Accesorios de Oxigenoterapia para Cilindros de Oxígeno Medicinal para los Recintos de Salud dependientes del Departamento de Salud de la Municipalidad de Alto Hospicio, de acuerdo a las características entregadas en las presentes bases administrativas y técnicas adjuntas, en virtud de una mejor y eficiente gestión municipal."/>
    <s v="MUNICIPALIDAD DE ALTO HOSPICIO"/>
    <m/>
    <m/>
    <x v="2"/>
    <x v="15"/>
    <d v="2022-05-16T13:59:17"/>
    <x v="8"/>
    <x v="1"/>
    <d v="2022-06-07T12:00:00"/>
    <d v="2022-05-19T00:00:00"/>
    <x v="0"/>
    <x v="5"/>
    <s v="No"/>
    <d v="2022-05-25T18:00:00"/>
    <d v="2022-05-27T18:00:00"/>
    <m/>
    <n v="0"/>
    <n v="0"/>
    <m/>
    <s v="Si"/>
    <n v="300000"/>
    <d v="2022-10-05T00:00:00"/>
    <s v="Si"/>
    <m/>
    <m/>
    <m/>
    <m/>
    <d v="2022-06-07T12:00:00"/>
    <m/>
    <m/>
    <x v="0"/>
    <x v="0"/>
    <d v="2022-07-12T00:00:00"/>
    <n v="-34.5"/>
    <x v="2"/>
    <n v="77850"/>
    <m/>
    <m/>
    <m/>
    <s v="69.265.100-6"/>
    <s v="Si"/>
    <n v="354167"/>
    <d v="2025-12-08T00:00:00"/>
    <m/>
    <m/>
    <s v="PATRICIO GALLARDO MARTÍNEZ"/>
    <s v="pgallardo@maho.cl"/>
    <m/>
    <m/>
    <m/>
    <m/>
  </r>
  <r>
    <s v="324-136-L122"/>
    <s v="Programa equipo médico"/>
    <s v="Insumos médicos"/>
    <s v="I MUNICIPALIDAD DE CERRILLOS"/>
    <m/>
    <m/>
    <x v="0"/>
    <x v="0"/>
    <d v="2022-05-30T12:25:00"/>
    <x v="8"/>
    <x v="1"/>
    <d v="2022-06-07T15:30:00"/>
    <d v="2022-06-01T00:00:00"/>
    <x v="0"/>
    <x v="5"/>
    <s v="No"/>
    <d v="2022-06-02T15:30:00"/>
    <d v="2022-06-06T15:00:00"/>
    <d v="2022-07-20T18:09:28"/>
    <n v="0"/>
    <n v="0"/>
    <m/>
    <s v="No"/>
    <m/>
    <s v=" "/>
    <s v="No"/>
    <m/>
    <m/>
    <m/>
    <m/>
    <d v="2022-06-07T15:30:00"/>
    <m/>
    <m/>
    <x v="0"/>
    <x v="0"/>
    <d v="2022-07-20T00:00:00"/>
    <n v="-42.354166666664241"/>
    <x v="0"/>
    <n v="17990"/>
    <m/>
    <m/>
    <m/>
    <s v="69.255.000-5"/>
    <s v="No"/>
    <m/>
    <m/>
    <m/>
    <m/>
    <s v="Rodrigo Arriola Poblete"/>
    <s v="rarriola@mcerrillos.cl"/>
    <m/>
    <m/>
    <m/>
    <m/>
  </r>
  <r>
    <s v="2026-75-LP22"/>
    <s v="Convenio de Suministro Oxigeno H. La Calera"/>
    <s v="Las presentes bases norman el proceso de llamado a Licitación Pública, a través del Sistema Mercado Público, para lo cual la Dirección de Salud, hace un llamado para contratar la CONVENIO DE SUMINISTRO DE GASES CLINICOS PARA EL HOSPITAL DR. MARIO SANCHEZ VERGARA”, de acuerdo al detalle y especificaciones técnicas indicadas en Bases Técnicas."/>
    <s v="SERVICIO SALUD VINA DEL MAR QUILLOTA"/>
    <m/>
    <m/>
    <x v="2"/>
    <x v="9"/>
    <d v="2022-05-19T17:03:10"/>
    <x v="8"/>
    <x v="1"/>
    <d v="2022-06-07T16:20:00"/>
    <d v="2022-05-23T00:00:00"/>
    <x v="0"/>
    <x v="2"/>
    <s v="No"/>
    <d v="2022-05-27T20:12:00"/>
    <d v="2022-06-03T20:12:00"/>
    <d v="2022-07-07T10:18:45"/>
    <n v="0"/>
    <n v="0"/>
    <m/>
    <s v="No"/>
    <m/>
    <s v=" "/>
    <s v="Si"/>
    <m/>
    <m/>
    <m/>
    <m/>
    <d v="2022-06-07T16:20:00"/>
    <m/>
    <m/>
    <x v="0"/>
    <x v="0"/>
    <d v="2022-07-07T00:00:00"/>
    <n v="-29.319444444445253"/>
    <x v="0"/>
    <n v="4239500"/>
    <m/>
    <m/>
    <m/>
    <s v="61.606.600-5"/>
    <s v="Si"/>
    <n v="0.05"/>
    <d v="2024-09-17T00:00:00"/>
    <m/>
    <m/>
    <s v="MANUEL MARIN GONZALEZ"/>
    <s v="MANUEL.MARIN@REDSALUD.GOV.CL"/>
    <m/>
    <m/>
    <m/>
    <m/>
  </r>
  <r>
    <s v="1057508-59-LQ22"/>
    <s v="Convenio suministro de gases clinicos HCSF H. San Carlos y CESFAM Violeta Parra SSÑ"/>
    <s v="El objetivo de la licitación pública a través del portal Mercado Público, es suscribir un convenio de suministro de gases clínicos para Hospitales Comunitarios de Salud Familiar, Hospital de San Carlos y CESFAM Violeta Parra, dependientes del Servicio de Salud Ñuble. Se deja expresamente establecido que la Dirección del Servicio o Establecimientos dependientes requerirán la realización de las entregas de acuerdo con los respectivos marcos presupuestarios."/>
    <s v="SERVICIO DE SALUD NUBLE"/>
    <m/>
    <m/>
    <x v="2"/>
    <x v="2"/>
    <d v="2022-05-19T09:44:59"/>
    <x v="8"/>
    <x v="1"/>
    <d v="2022-06-09T17:00:00"/>
    <d v="2022-05-23T00:00:00"/>
    <x v="0"/>
    <x v="2"/>
    <s v="No"/>
    <d v="2022-05-27T23:00:00"/>
    <d v="2022-05-30T17:00:00"/>
    <d v="2022-07-05T09:10:43"/>
    <n v="0"/>
    <n v="0"/>
    <m/>
    <s v="Si"/>
    <n v="500000"/>
    <d v="2022-08-08T00:00:00"/>
    <s v="Si"/>
    <m/>
    <m/>
    <m/>
    <m/>
    <d v="2022-06-09T17:00:00"/>
    <m/>
    <m/>
    <x v="0"/>
    <x v="0"/>
    <d v="2022-07-05T00:00:00"/>
    <n v="-25.291666666664241"/>
    <x v="2"/>
    <n v="169341128"/>
    <m/>
    <m/>
    <m/>
    <s v="61.607.000-2"/>
    <s v="Si"/>
    <n v="0.05"/>
    <d v="2023-09-30T00:00:00"/>
    <m/>
    <m/>
    <s v="Patricia Rosales Concha"/>
    <s v="patricia.rosales@redsalud.gov.cl"/>
    <m/>
    <m/>
    <m/>
    <m/>
  </r>
  <r>
    <s v="2598-15-LE22"/>
    <s v="MANTENCION Y REPARACION RED GASES CLINICOS SAR"/>
    <s v="El Departamento de Salud Municipal Concón, DESAM, requiere el servicio de mantención red de gases clínicos y reparación de bancos de gases clínicos del SAR de Concón"/>
    <s v="I MUNICIPALIDAD DE CONCON"/>
    <m/>
    <m/>
    <x v="5"/>
    <x v="6"/>
    <d v="2022-05-31T17:55:06"/>
    <x v="8"/>
    <x v="1"/>
    <d v="2022-06-10T14:35:00"/>
    <d v="2022-06-02T00:00:00"/>
    <x v="0"/>
    <x v="2"/>
    <s v="No"/>
    <d v="2022-06-04T21:25:00"/>
    <d v="2022-06-06T21:25:00"/>
    <d v="2022-07-12T00:00:00"/>
    <n v="0"/>
    <n v="0"/>
    <m/>
    <s v="No"/>
    <m/>
    <s v=" "/>
    <s v="No"/>
    <m/>
    <m/>
    <m/>
    <m/>
    <d v="2022-06-10T14:35:00"/>
    <m/>
    <m/>
    <x v="0"/>
    <x v="0"/>
    <d v="2022-07-12T00:00:00"/>
    <n v="-31.392361111109494"/>
    <x v="0"/>
    <n v="3900000"/>
    <m/>
    <m/>
    <m/>
    <s v="73.568.600-3"/>
    <s v="Si"/>
    <n v="7.0000000000000007E-2"/>
    <d v="2022-09-30T00:00:00"/>
    <m/>
    <m/>
    <s v="BELARMINO GALLARDO"/>
    <s v="pagosproveedores.saludconcon@gmail.com"/>
    <m/>
    <m/>
    <m/>
    <m/>
  </r>
  <r>
    <s v="2387-73-L122"/>
    <s v="CONT. SUM. DE OXIGENO Y ACETILENO CON ARRIENDO"/>
    <s v="CONTRATO SUMINISTRO DE OXIGENO Y ACETILENO CON ARRIENDO DE ENVASE. SE ADJUNTA BASES ADMINISTRATIVAS ESPECIALES, ANEXOS Y ESPECIFICACIONES TÉCNICAS."/>
    <s v="I MUNICIPALIDAD DE PUCON"/>
    <m/>
    <m/>
    <x v="2"/>
    <x v="3"/>
    <d v="2022-06-06T11:32:47"/>
    <x v="9"/>
    <x v="1"/>
    <d v="2022-06-13T15:00:00"/>
    <d v="2022-06-07T00:00:00"/>
    <x v="1"/>
    <x v="1"/>
    <s v="Si"/>
    <d v="2022-06-08T16:30:00"/>
    <d v="2022-06-09T15:30:00"/>
    <d v="2022-06-24T00:00:00"/>
    <n v="0"/>
    <n v="0"/>
    <m/>
    <s v="No"/>
    <m/>
    <s v=" "/>
    <s v="No"/>
    <m/>
    <m/>
    <s v="No"/>
    <m/>
    <d v="2022-06-13T15:00:00"/>
    <m/>
    <m/>
    <x v="0"/>
    <x v="0"/>
    <d v="2022-06-24T00:00:00"/>
    <n v="-10.375"/>
    <x v="1"/>
    <n v="399976"/>
    <m/>
    <m/>
    <m/>
    <s v="69.191.600-6"/>
    <s v="No"/>
    <m/>
    <m/>
    <m/>
    <m/>
    <s v="MARCIA ORTEGA"/>
    <s v="mortega@municipalidadpucon.cl"/>
    <m/>
    <m/>
    <m/>
    <m/>
  </r>
  <r>
    <s v="2703-150-L122"/>
    <s v="SC 9240 Suministro de oxígeno medicinal SAR."/>
    <s v="SC 9240 Suministro de oxígeno medicinal SAR. Según especificaciones técnicas adjuntas."/>
    <s v="I MUNICIPALIDAD DE TALAGANTE"/>
    <m/>
    <m/>
    <x v="2"/>
    <x v="2"/>
    <d v="2022-06-02T15:00:00"/>
    <x v="9"/>
    <x v="1"/>
    <d v="2022-06-13T15:05:00"/>
    <d v="2022-06-07T00:00:00"/>
    <x v="0"/>
    <x v="2"/>
    <s v="No"/>
    <d v="2022-06-07T09:00:00"/>
    <d v="2022-06-09T10:00:00"/>
    <d v="2022-06-29T00:00:00"/>
    <n v="0"/>
    <n v="0"/>
    <m/>
    <s v="No"/>
    <m/>
    <s v=" "/>
    <s v="No"/>
    <m/>
    <m/>
    <m/>
    <m/>
    <d v="2022-06-13T15:05:00"/>
    <m/>
    <m/>
    <x v="0"/>
    <x v="0"/>
    <d v="2022-06-29T00:00:00"/>
    <n v="-15.371527777781012"/>
    <x v="2"/>
    <n v="44240"/>
    <m/>
    <m/>
    <m/>
    <s v="69.071.800-6"/>
    <s v="Si"/>
    <n v="0.05"/>
    <d v="2024-09-30T00:00:00"/>
    <m/>
    <m/>
    <s v="Víctor Aguilar"/>
    <s v="vaguilar@talasald.cl"/>
    <s v="No se adjudicó el item"/>
    <m/>
    <m/>
    <m/>
  </r>
  <r>
    <s v="5061-91-L122"/>
    <s v="S217 Servicio de suministro oxigeno medicinal y arriendo de cilindros, para establecimientos de salud"/>
    <m/>
    <s v="I MUNICIPALIDAD DE TEMUCO"/>
    <m/>
    <m/>
    <x v="2"/>
    <x v="3"/>
    <d v="2022-06-06T16:29:33"/>
    <x v="9"/>
    <x v="1"/>
    <d v="2022-06-13T15:30:00"/>
    <d v="2022-06-07T00:00:00"/>
    <x v="0"/>
    <x v="3"/>
    <s v="No"/>
    <d v="2022-06-08T15:30:00"/>
    <d v="2022-06-09T18:00:00"/>
    <d v="2022-06-24T00:00:00"/>
    <n v="0"/>
    <n v="0"/>
    <m/>
    <s v="No"/>
    <m/>
    <s v=" "/>
    <s v="No"/>
    <m/>
    <m/>
    <m/>
    <m/>
    <d v="2022-06-13T15:30:00"/>
    <m/>
    <m/>
    <x v="0"/>
    <x v="0"/>
    <d v="2022-06-24T00:00:00"/>
    <n v="-10.354166666664241"/>
    <x v="2"/>
    <n v="4621849"/>
    <m/>
    <m/>
    <m/>
    <s v="69.190.700-7"/>
    <s v="No"/>
    <m/>
    <m/>
    <m/>
    <m/>
    <m/>
    <m/>
    <m/>
    <m/>
    <m/>
    <m/>
  </r>
  <r>
    <s v="1979-138-LQ22"/>
    <s v="147.22 “CONVENIO DE SUMINISTRO DE DISPOSITIVOS MEDICOS PARA POLICLINICO DE ESPECIALIDADES PARA NODO COSTERO: HOSPITAL NVA IMPERIAL.”"/>
    <s v="Se requiere contrato de suministro por el periodo de 18 meses para las adquisiciones de “CONVENIO DE SUMINISTRO DE DISPOSITIVOS MEDICOS PARA POLICLINICO DE ESPECIALIDADES PARA NODO COSTERO: HOSPITAL NVA IMPERIAL.” de acuerdo a necesidades del Hospital Nueva Imperial."/>
    <s v="HOSPITAL DE NUEVA IMPERIAL"/>
    <m/>
    <m/>
    <x v="0"/>
    <x v="0"/>
    <d v="2022-05-26T17:25:46"/>
    <x v="8"/>
    <x v="1"/>
    <d v="2022-06-15T15:00:00"/>
    <d v="2022-06-01T00:00:00"/>
    <x v="0"/>
    <x v="0"/>
    <s v="No"/>
    <d v="2022-06-03T12:00:00"/>
    <d v="2022-06-06T18:00:00"/>
    <d v="2022-07-28T00:00:00"/>
    <n v="0"/>
    <n v="0"/>
    <m/>
    <s v="Si"/>
    <n v="200000"/>
    <d v="2022-09-15T00:00:00"/>
    <s v="No"/>
    <m/>
    <m/>
    <m/>
    <m/>
    <d v="2022-06-15T15:00:00"/>
    <m/>
    <m/>
    <x v="0"/>
    <x v="1"/>
    <d v="2022-07-28T00:00:00"/>
    <n v="-42.375"/>
    <x v="3"/>
    <m/>
    <m/>
    <m/>
    <m/>
    <s v="61.607.401-6"/>
    <s v="Si"/>
    <n v="0.05"/>
    <d v="2024-05-10T00:00:00"/>
    <m/>
    <m/>
    <s v="ROCIO PIZARRO"/>
    <s v="ROCIO.PIZARRO@ASUR.CL"/>
    <m/>
    <m/>
    <m/>
    <m/>
  </r>
  <r>
    <s v="1057049-170-LQ22"/>
    <s v="CSP - SUMINISTRO DE OXÍGENO DOMICILIARIO"/>
    <s v="El objetivo de la Propuesta, es la contratación para 36 meses, del Suministro de Oxígeno Domiciliario para el Hospital Clínico San Borja Arriarán, de acuerdo a lo solicitado en las Especificaciones Técnicas, en concordancia con las Bases Administrativas, Técnicas, Formularios, Anexos, Aclaraciones y otros documentos que pudieran formularse en el transcurso de la licitación. Se entenderá que todo proveedor conoce y acepta irrevocablemente el contenido de estas Bases, por el solo hecho de presentar ofertas en este proceso de licitación."/>
    <s v="HOSPITAL CLINICO SAN BORJA ARRIARAN"/>
    <m/>
    <m/>
    <x v="3"/>
    <x v="5"/>
    <d v="2022-06-06T14:55:18"/>
    <x v="9"/>
    <x v="1"/>
    <d v="2022-06-16T15:30:00"/>
    <d v="2022-06-07T00:00:00"/>
    <x v="1"/>
    <x v="3"/>
    <s v="Si"/>
    <d v="2022-06-11T12:00:00"/>
    <d v="2022-06-13T17:00:00"/>
    <d v="2022-07-11T00:00:00"/>
    <n v="275000000"/>
    <n v="231092436.97478992"/>
    <n v="30"/>
    <s v="Si"/>
    <n v="200000"/>
    <d v="2022-09-14T00:00:00"/>
    <s v="No"/>
    <s v="Contrato"/>
    <n v="36"/>
    <s v="No"/>
    <n v="90"/>
    <d v="2022-09-14T15:30:00"/>
    <m/>
    <m/>
    <x v="0"/>
    <x v="0"/>
    <d v="2022-07-08T00:00:00"/>
    <n v="68.645833333335759"/>
    <x v="2"/>
    <n v="228571428"/>
    <m/>
    <m/>
    <m/>
    <s v="61.608.604-9"/>
    <s v="Si"/>
    <n v="0.05"/>
    <d v="2025-10-18T00:00:00"/>
    <m/>
    <m/>
    <s v="SILVANA ACETO CASSI"/>
    <s v="silvana.aceto@redsalud.gob.cl"/>
    <m/>
    <m/>
    <m/>
    <m/>
  </r>
  <r>
    <s v="1070620-42-LQ22"/>
    <s v="rfm Serv. Recarga O2 Medicinal y otros Gases"/>
    <s v="rfm Serv Recarga O2 Medicinal y otros Gases COMODATO DE ESTANQUE CRIOGENICO - ARRENDAMIENTO CON TRASLADO DE TUBOS DE OXIGENO Y OTROS GASES - INCLUYE RECARGA DE ESTANQUE Y DE TUBOS PARA EL HETG DE IQUIQUE Rex 1162 de 07JUN2022"/>
    <s v="HOSPITAL DOCTOR ERNESTO TORRES GALDAMES"/>
    <m/>
    <m/>
    <x v="2"/>
    <x v="15"/>
    <d v="2022-06-09T13:23:27"/>
    <x v="9"/>
    <x v="1"/>
    <d v="2022-06-20T15:00:00"/>
    <d v="2022-06-13T00:00:00"/>
    <x v="0"/>
    <x v="2"/>
    <s v="No"/>
    <d v="2022-06-13T12:00:00"/>
    <d v="2022-06-15T15:00:00"/>
    <d v="2022-07-29T12:00:00"/>
    <n v="0"/>
    <n v="0"/>
    <m/>
    <s v="Si"/>
    <n v="1000000"/>
    <d v="2022-08-22T00:00:00"/>
    <s v="No"/>
    <m/>
    <m/>
    <m/>
    <m/>
    <d v="2022-06-20T15:00:00"/>
    <m/>
    <m/>
    <x v="0"/>
    <x v="2"/>
    <m/>
    <n v="44732.625"/>
    <x v="3"/>
    <m/>
    <m/>
    <m/>
    <m/>
    <s v="62.000.530-4"/>
    <s v="Si"/>
    <n v="0.05"/>
    <d v="2025-09-30T00:00:00"/>
    <m/>
    <m/>
    <s v="CRISTIAN PALACIOS REYES"/>
    <s v="cristian.palacios@redsalud.gob.cl"/>
    <m/>
    <m/>
    <m/>
    <m/>
  </r>
  <r>
    <s v="1057441-34-LQ22"/>
    <s v="CONVENIO DE MANTENCIÓN PREVENTIVA DE SISTEMA DE GASES CLÍNICOS"/>
    <s v="Conforme a la Ley de Compras Públicas N° 19.886, su Reglamento y modificaciones, el Hospital Provincial de Ovalle llama a licitación pública a empresas o proveedores del rubro, personas naturales o jurídicas, chilenas o extranjeras, así como a Uniones Temporales de Proveedores, para llevar a cabo un CONVENIO DE MANTENCIÓN DE SISTEMA DE GASES CLÍNICOS, por un periodo de 24 (veinticuatro) meses o hasta agotar el presupuesto referencial, para un oportuno y adecuado suministro de estos servicios y así garantizar el correcto funcionamiento del Establecimiento."/>
    <s v="HOSPITAL DE OVALLE"/>
    <m/>
    <m/>
    <x v="5"/>
    <x v="6"/>
    <d v="2022-06-01T13:27:40"/>
    <x v="9"/>
    <x v="1"/>
    <d v="2022-06-20T15:25:00"/>
    <d v="2022-06-02T00:00:00"/>
    <x v="0"/>
    <x v="2"/>
    <s v="No"/>
    <d v="2022-06-09T12:55:00"/>
    <d v="2022-06-15T20:55:00"/>
    <d v="2022-06-29T00:00:00"/>
    <n v="0"/>
    <n v="0"/>
    <m/>
    <s v="Si"/>
    <n v="250000"/>
    <d v="2022-11-21T00:00:00"/>
    <s v="Si"/>
    <m/>
    <m/>
    <m/>
    <m/>
    <d v="2022-06-20T15:25:00"/>
    <m/>
    <m/>
    <x v="0"/>
    <x v="0"/>
    <d v="2022-06-29T00:00:00"/>
    <n v="-8.3576388888905058"/>
    <x v="0"/>
    <n v="70084769"/>
    <m/>
    <m/>
    <m/>
    <s v="61.606.404-5"/>
    <s v="Si"/>
    <n v="0.05"/>
    <d v="2024-11-01T00:00:00"/>
    <m/>
    <m/>
    <s v="Rocío Ávalos Laflor"/>
    <s v="rocio.avalos@redsalud.gov.cl"/>
    <m/>
    <m/>
    <m/>
    <m/>
  </r>
  <r>
    <s v="611669-8-LE22"/>
    <s v="Suministro de gases para la operación del LAC"/>
    <s v="La Superintendencia del Medio Ambiente, en adelante, la SMA o la Superintendencia, en apoyo a la ejecución de sus funciones, establecidas en el artículo segundo de la Ley N° 20.4172010, que crea la Ley Orgánica de la Superintendencia del Medio Ambiente, viene en llamar a licitación pública a proponentes personas naturales o jurídicas, o unión temporal de proveedores, chilenas o extranjeras, con el objeto de adquirir, por medio de un convenio de suministro, los productos “GASES PARA LA OPERACIÓN DEL LABORATORIO DE ALTA COMPLEJIDAD”, cuyos objetivos y alcances se detallan en las Bases Técnicas. El presupuesto máximo disponible para la adquisición de estos productos, asciende a la suma de 12.500.000.- Doce millones quinientos mil pesos, impuestos incluidos, para un período de 24 meses. Los precios ofertados no serán reajustables. La participación de los proponentes y la presentación de las propuestas se efectuarán de conformidad a las estipulaciones de las presentes Bases Administrativas y Técnicas, en lo sucesivo, “las Bases”."/>
    <s v="Superintendencia del Medio Ambiente"/>
    <m/>
    <m/>
    <x v="6"/>
    <x v="8"/>
    <d v="2022-06-07T18:50:00"/>
    <x v="9"/>
    <x v="1"/>
    <d v="2022-06-20T16:00:00"/>
    <d v="2022-06-09T00:00:00"/>
    <x v="0"/>
    <x v="2"/>
    <s v="No"/>
    <d v="2022-06-10T12:00:00"/>
    <d v="2022-06-13T12:00:00"/>
    <d v="2022-07-08T00:00:00"/>
    <n v="0"/>
    <n v="0"/>
    <m/>
    <s v="No"/>
    <m/>
    <s v=" "/>
    <s v="No"/>
    <m/>
    <m/>
    <m/>
    <m/>
    <d v="2022-06-20T16:00:00"/>
    <m/>
    <m/>
    <x v="0"/>
    <x v="0"/>
    <d v="2022-07-08T00:00:00"/>
    <n v="-17.333333333335759"/>
    <x v="0"/>
    <n v="112487"/>
    <m/>
    <m/>
    <m/>
    <s v="61.979.950-k"/>
    <s v="No"/>
    <m/>
    <m/>
    <m/>
    <m/>
    <s v="Paulina Tapia"/>
    <s v="finanzas@sma.gob.cl"/>
    <m/>
    <m/>
    <m/>
    <m/>
  </r>
  <r>
    <s v="1057547-172-LE22"/>
    <s v="MEJORAMIENTO RED DE GASES CLINICOS"/>
    <s v="MEJORAMIENTO RED DE GASES CLINICOS PARA SERVICIO HOSPITALIZADOS DEL HOSPITAL BASE VALDIVIA"/>
    <s v="HOSPITAL BASE VALDIVIA"/>
    <m/>
    <m/>
    <x v="5"/>
    <x v="3"/>
    <d v="2022-06-09T16:19:49"/>
    <x v="9"/>
    <x v="1"/>
    <d v="2022-06-20T19:00:00"/>
    <d v="2022-06-13T00:00:00"/>
    <x v="0"/>
    <x v="2"/>
    <s v="No"/>
    <d v="2022-06-15T19:00:00"/>
    <d v="2022-06-17T19:00:00"/>
    <d v="2022-09-07T19:00:00"/>
    <n v="0"/>
    <n v="0"/>
    <m/>
    <s v="No"/>
    <m/>
    <s v=" "/>
    <s v="Si"/>
    <m/>
    <m/>
    <m/>
    <m/>
    <d v="2022-06-20T19:00:00"/>
    <m/>
    <m/>
    <x v="0"/>
    <x v="2"/>
    <m/>
    <n v="44732.791666666664"/>
    <x v="3"/>
    <m/>
    <m/>
    <m/>
    <m/>
    <s v="61.607.502-0"/>
    <s v="No"/>
    <m/>
    <m/>
    <m/>
    <m/>
    <s v="Alberto Delgado Kauzlarich"/>
    <s v="alberto.delgado@redsalud.gov.cl"/>
    <m/>
    <m/>
    <m/>
    <m/>
  </r>
  <r>
    <s v="898-86-LP22"/>
    <s v="CONVENIO DE SUMINISTRO OXIGENO LIQUIDO"/>
    <s v="CONVENIO DE SUMINISTRO OXIGENO LIQUIDO"/>
    <s v="HOSPITAL CLAUDIO VICUNA"/>
    <m/>
    <m/>
    <x v="2"/>
    <x v="9"/>
    <d v="2022-06-02T17:36:15"/>
    <x v="9"/>
    <x v="1"/>
    <d v="2022-06-22T15:01:00"/>
    <d v="2022-06-07T00:00:00"/>
    <x v="0"/>
    <x v="3"/>
    <s v="No"/>
    <d v="2022-06-11T17:00:00"/>
    <d v="2022-06-13T17:00:00"/>
    <d v="2022-07-05T00:00:00"/>
    <n v="0"/>
    <n v="0"/>
    <m/>
    <s v="Si"/>
    <n v="500000"/>
    <d v="2022-08-22T00:00:00"/>
    <s v="Si"/>
    <m/>
    <m/>
    <m/>
    <m/>
    <d v="2022-06-22T15:01:00"/>
    <m/>
    <m/>
    <x v="0"/>
    <x v="0"/>
    <d v="2022-07-05T00:00:00"/>
    <n v="-12.374305555553292"/>
    <x v="4"/>
    <n v="350"/>
    <m/>
    <m/>
    <m/>
    <s v="61.602.126-5"/>
    <s v="Si"/>
    <n v="0.05"/>
    <d v="2023-09-30T00:00:00"/>
    <m/>
    <m/>
    <s v="CARMEN GLORIA OSORIO CUETO"/>
    <s v="carmengloriaosorio@redsalud.gov.cl"/>
    <m/>
    <m/>
    <m/>
    <m/>
  </r>
  <r>
    <s v="2069-49-LQ22"/>
    <s v="PSD - SERV TERAPIA DE OXIDO NITRICO PARA EL HBLT"/>
    <s v="Con el objeto de cumplir con su fin asistencial, el Hospital Barros Luco Trudeau, Establecimiento Autogestionado en Red, requiere la contratación de terapia para inhalación de Óxido Nítrico para su Servicio de Neonatología y dar cumplimiento a la Guía Clínica Auge establecida por el Ministerio de Salud donde se indica el uso de esta terapia para pacientes con Síndrome de Dificultad Respiratoria SDR del Recién Nacido. Dicha terapia es indicada para el tratamiento de recién nacidos de 34 semanas de gestación o más, con diagnóstico de insuficiencia respiratoria hipóxica asociada a evidencia clínica o ecocardiográfica de hipertensión pulmonar, este tratamiento tiene impacto en la disminución de mortalidad asociada a esta patología, menor conexión a ECMO y disminución de secuelas respiratorias, además de contribuir a mejorar la calidad de vida de los niños que egresan de la unidad de Neonatología. Su acción principal es actuar como fuerte vasodilatador selectivo del territorio pulmonar que permite mejorar la oxigenación en pacientes graves con un índice de oxigenación muy alterado."/>
    <s v="HOSPITAL BARROS LUCO TRUDEAU"/>
    <m/>
    <m/>
    <x v="1"/>
    <x v="1"/>
    <d v="2022-06-01T15:37:34"/>
    <x v="9"/>
    <x v="1"/>
    <d v="2022-06-22T16:00:00"/>
    <d v="2022-06-02T00:00:00"/>
    <x v="1"/>
    <x v="1"/>
    <s v="Si"/>
    <d v="2022-06-01T15:37:34"/>
    <d v="2022-06-15T17:00:00"/>
    <d v="2022-08-18T17:00:00"/>
    <n v="0"/>
    <n v="0"/>
    <m/>
    <s v="Si"/>
    <n v="500000"/>
    <d v="2022-10-21T00:00:00"/>
    <s v="No"/>
    <m/>
    <m/>
    <s v="No"/>
    <m/>
    <d v="2022-06-22T16:00:00"/>
    <m/>
    <m/>
    <x v="0"/>
    <x v="2"/>
    <m/>
    <d v="2022-06-22T16:00:00"/>
    <x v="3"/>
    <m/>
    <m/>
    <m/>
    <m/>
    <s v="61.608.101-2"/>
    <s v="Si"/>
    <n v="0.05"/>
    <d v="2025-01-06T00:00:00"/>
    <m/>
    <m/>
    <s v="FRANCISCO PUL"/>
    <s v="FRANCISCO.EPUL@REDSALUD.GOB.CL"/>
    <m/>
    <m/>
    <m/>
    <m/>
  </r>
  <r>
    <s v="1057509-168-LE22"/>
    <s v="Convenio Suministro de CO2 y Acetileno 2° llamado cav"/>
    <s v="El Hospital Clínico Herminda Martín de Chillán llama a Licitación Pública a través del Portal Mercado Público, para suscribir “Convenio para el suministro de CO2 y Acetileno, 2° llamado”, para uso en los Servicios Clínicos y de mantención, de acuerdo a protocolos técnicos y administrativos establecidos. Se pretende obtener la mejor calidad y oportunidad en el suministro de los gases a un precio conveniente."/>
    <s v="HOSPITAL CLINICO HERMINDA MARTIN"/>
    <m/>
    <m/>
    <x v="6"/>
    <x v="2"/>
    <d v="2022-06-16T11:11:00"/>
    <x v="9"/>
    <x v="1"/>
    <d v="2022-06-28T15:01:00"/>
    <d v="2022-06-20T00:00:00"/>
    <x v="1"/>
    <x v="1"/>
    <s v="Si"/>
    <d v="2022-06-20T10:00:00"/>
    <d v="2022-06-22T17:00:00"/>
    <d v="2022-07-28T17:00:00"/>
    <n v="0"/>
    <n v="0"/>
    <m/>
    <s v="No"/>
    <m/>
    <s v=" "/>
    <s v="No"/>
    <m/>
    <m/>
    <s v="No"/>
    <m/>
    <d v="2022-06-28T15:01:00"/>
    <m/>
    <m/>
    <x v="0"/>
    <x v="3"/>
    <m/>
    <n v="44740.625694444447"/>
    <x v="3"/>
    <m/>
    <m/>
    <m/>
    <m/>
    <s v="61.607.001-0"/>
    <s v="No"/>
    <m/>
    <m/>
    <m/>
    <m/>
    <s v="Tesorería General de la República"/>
    <s v="www.tgr.cl"/>
    <m/>
    <m/>
    <m/>
    <m/>
  </r>
  <r>
    <s v="1057441-36-LQ22"/>
    <s v="CONVENIO DE SUMINISTRO OXÍGENO MEDICINAL Y GASES CLÍNICOS"/>
    <s v="Conforme a la Ley de Compras Públicas, su Reglamento y modificaciones, el Hospital Provincial de Ovalle llama a licitación pública a empresas o proveedores del rubro, personas naturales o jurídicas, chilenas o extranjeras, así como a Uniones Temporales de Proveedores, para celebrar un Convenio de Suministro de Oxígeno Medicinal y Gases Clínicos, por un periodo de 24 (veinticuatro) meses o hasta agotar el presupuesto referencial, para un oportuno y adecuado suministro de estos productos y así garantizar el correcto funcionamiento del Establecimiento."/>
    <s v="HOSPITAL DE OVALLE"/>
    <m/>
    <m/>
    <x v="2"/>
    <x v="11"/>
    <d v="2022-06-06T12:57:38"/>
    <x v="9"/>
    <x v="1"/>
    <d v="2022-06-28T15:25:00"/>
    <d v="2022-06-07T00:00:00"/>
    <x v="0"/>
    <x v="2"/>
    <s v="No"/>
    <d v="2022-06-13T12:00:00"/>
    <d v="2022-06-20T17:06:00"/>
    <d v="2022-08-08T16:50:00"/>
    <n v="0"/>
    <n v="0"/>
    <m/>
    <s v="Si"/>
    <n v="250000"/>
    <d v="2022-12-28T00:00:00"/>
    <s v="No"/>
    <m/>
    <m/>
    <m/>
    <m/>
    <d v="2022-06-28T15:25:00"/>
    <m/>
    <m/>
    <x v="0"/>
    <x v="2"/>
    <m/>
    <n v="44740.642361111109"/>
    <x v="3"/>
    <m/>
    <m/>
    <m/>
    <m/>
    <s v="61.606.404-5"/>
    <s v="Si"/>
    <n v="0.05"/>
    <d v="2024-11-08T00:00:00"/>
    <m/>
    <m/>
    <s v="Rocío Ávalos Laflor"/>
    <s v="rocio.avalos@redsalud.gov.cl"/>
    <m/>
    <m/>
    <m/>
    <m/>
  </r>
  <r>
    <s v="777304-70-LQ22"/>
    <s v="INSUMOS DE RESPIRACION VIA AEREA"/>
    <s v="Las presentes bases de licitación son formuladas para establecer la regulación del proceso de adquisición de INSUMOS DE RESPIRACION VIA AEREA PARA HOSPITAL LA FLORIDA, y reglamentan entre otros aspectos las condiciones que deben cumplir las ofertas, las etapas del proceso licitatorio, su forma de evaluación y adjudicación, las condiciones de los contratos, y todos los aspectos necesarios para el correcto proceso de adquisición. Cabe hacer presente que todos los insumos y suministrados deben ser nuevos y sin uso, todo lo anterior debe ajustarse a las especificaciones de estas bases. Las cantidades de los productos solicitados en la presente licitación son referenciales y estimados, por lo cual, pueden disminuir o aumentar de acuerdo a las necesidades, contingencia, existencias y recursos financieros del Hospital la Florida. No podrá el proveedor ofertar complementos, extras, ni accesorios no contemplados en los requerimientos de estas Bases. Cualquier extra no requerido no será considerado en la evaluación. Los productos solicitados, así como los montos estimados de gasto, asignados a cada uno, se encuentran detallados en las bases Técnicas de licitación."/>
    <s v="HOSPITAL CLINICO METROPOLITANO DE LA FLORIDA DOCTORA ELOISA DIAZ"/>
    <m/>
    <m/>
    <x v="0"/>
    <x v="0"/>
    <d v="2022-06-08T08:01:47"/>
    <x v="9"/>
    <x v="1"/>
    <d v="2022-06-28T16:00:00"/>
    <d v="2022-06-15T00:00:00"/>
    <x v="0"/>
    <x v="9"/>
    <s v="No"/>
    <d v="2022-06-13T23:59:00"/>
    <d v="2022-06-20T16:00:00"/>
    <d v="2022-08-24T17:00:00"/>
    <n v="0"/>
    <n v="0"/>
    <m/>
    <s v="Si"/>
    <n v="100000"/>
    <d v="2022-10-27T00:00:00"/>
    <s v="No"/>
    <m/>
    <m/>
    <m/>
    <m/>
    <d v="2022-06-28T16:00:00"/>
    <m/>
    <m/>
    <x v="0"/>
    <x v="2"/>
    <m/>
    <n v="44740.666666666664"/>
    <x v="3"/>
    <m/>
    <m/>
    <m/>
    <m/>
    <s v="65.075.485-9"/>
    <s v="Si"/>
    <n v="0.1"/>
    <d v="2023-12-20T00:00:00"/>
    <m/>
    <m/>
    <s v="Gustavo Hernandez"/>
    <s v="gustavo.hernandez@hospitallaflorida.cl"/>
    <m/>
    <m/>
    <m/>
    <m/>
  </r>
  <r>
    <s v="1057402-146-LP22"/>
    <s v="INSUMOS MÉDICOS PARA UPC 2022-2023 REPASO"/>
    <s v="El propósito de la licitación es contar con contratos de suministro de “INSUMOS MÉDICOS PARA UPC 2022-2023 REPASO”, que permitan el aprovisionamiento oportuno de los productos necesarios en la atención de los usuarios del Hospital para los años 2022 - 2023, en las circunstancias que estos productos no fueran provistos por la Central Nacional de Abastecimiento de los Servicios de Salud, ni se encuentren disponibles en catálogos electrónicos del Convenio Marco o en las Compras Coordinadas yo Conjuntas del Ministerio de Salud, o bien su adquisición sea desventajosa respecto al resultado de la presente licitación, cuyas condiciones más ventajosas serán informadas en la oportunidad correspondiente a la Dirección de Compras, en conformidad con lo dispuesto en el artículo 15 del D.S. Nº 250, de 2004, del Ministerio de Hacienda. El contrato de suministro anteriormente indicado se hará efectivo cada vez que sea necesario, a través de la emisión de órdenes de compra enviadas al proveedor adjudicado mediante la plataforma www.mercadopublico.cl. Sin perjuicio de lo anterior, durante todo el periodo de vigencia del contrato, los productos serán solicitados en la oportunidad del mes que el Hospital estime pertinente, comprometiéndose el oferente adjudicado a difundir esta modalidad de compra a todas las instancias que participan en su proceso de ventas."/>
    <s v="HOSPITAL CLINICO DE MAGALLANES DR. LAUTARO NAVARRO AVARIA"/>
    <m/>
    <m/>
    <x v="0"/>
    <x v="0"/>
    <d v="2022-06-07T15:55:09"/>
    <x v="9"/>
    <x v="1"/>
    <d v="2022-06-28T16:00:00"/>
    <d v="2022-06-15T00:00:00"/>
    <x v="0"/>
    <x v="9"/>
    <s v="No"/>
    <d v="2022-06-13T16:00:00"/>
    <d v="2022-06-19T20:00:00"/>
    <d v="2022-11-02T20:00:00"/>
    <n v="0"/>
    <n v="0"/>
    <m/>
    <s v="Si"/>
    <n v="200000"/>
    <d v="2022-12-31T00:00:00"/>
    <s v="No"/>
    <m/>
    <m/>
    <m/>
    <m/>
    <d v="2022-06-28T16:00:00"/>
    <m/>
    <m/>
    <x v="0"/>
    <x v="2"/>
    <m/>
    <n v="44740.666666666664"/>
    <x v="3"/>
    <m/>
    <m/>
    <m/>
    <m/>
    <s v="61.607.901-8"/>
    <s v="Si"/>
    <n v="0.05"/>
    <d v="2024-07-01T00:00:00"/>
    <m/>
    <m/>
    <s v="TESORERÍA GENERAL DE LA REPÚBLICA"/>
    <s v="WWW.TGR.CL"/>
    <m/>
    <m/>
    <m/>
    <m/>
  </r>
  <r>
    <s v="5056-32-LQ22"/>
    <s v="SERVICIO DE OXIGENOTERAPIA DOMICILIARIA"/>
    <s v="SERVICIO DE OXIGENOTERAPIA DOMICILIARIA"/>
    <s v="HOSPITAL DE TALCA"/>
    <m/>
    <m/>
    <x v="3"/>
    <x v="5"/>
    <d v="2022-06-17T15:54:20"/>
    <x v="9"/>
    <x v="1"/>
    <d v="2022-06-28T18:00:00"/>
    <d v="2022-06-20T00:00:00"/>
    <x v="0"/>
    <x v="7"/>
    <s v="No"/>
    <d v="2022-06-22T13:00:00"/>
    <d v="2022-06-23T18:30:00"/>
    <d v="2022-07-28T00:00:00"/>
    <n v="0"/>
    <n v="0"/>
    <m/>
    <s v="Si"/>
    <n v="300000"/>
    <d v="2022-09-28T00:00:00"/>
    <s v="No"/>
    <s v="Contrato"/>
    <n v="24"/>
    <s v="No"/>
    <m/>
    <d v="2022-06-28T18:00:00"/>
    <m/>
    <m/>
    <x v="0"/>
    <x v="1"/>
    <m/>
    <n v="44740.75"/>
    <x v="3"/>
    <m/>
    <m/>
    <m/>
    <m/>
    <s v="61.606.901-2"/>
    <s v="Si"/>
    <n v="0.05"/>
    <d v="2024-10-30T00:00:00"/>
    <m/>
    <m/>
    <s v="Mario Muñoz Davila"/>
    <s v="dipresrecepcion@custodium.com"/>
    <m/>
    <m/>
    <m/>
    <m/>
  </r>
  <r>
    <s v="4030-22-L122"/>
    <s v="ADQUISICION DE SUMINISTRO DE OXIGENO"/>
    <s v="ADQUISICION DE SUMINISTRO DE OXIGENO"/>
    <s v="ILUSTRE MUNICIPALIDAD DE CAMINA"/>
    <m/>
    <m/>
    <x v="2"/>
    <x v="15"/>
    <d v="2022-06-21T18:50:45"/>
    <x v="9"/>
    <x v="1"/>
    <d v="2022-06-28T19:00:00"/>
    <d v="2022-06-23T00:00:00"/>
    <x v="0"/>
    <x v="2"/>
    <s v="No"/>
    <d v="2022-06-24T21:17:00"/>
    <d v="2022-06-25T21:17:00"/>
    <d v="2022-06-28T19:18:00"/>
    <n v="0"/>
    <n v="0"/>
    <m/>
    <s v="No"/>
    <m/>
    <s v=" "/>
    <s v="No"/>
    <m/>
    <m/>
    <m/>
    <m/>
    <d v="2022-06-28T19:00:00"/>
    <m/>
    <m/>
    <x v="0"/>
    <x v="1"/>
    <m/>
    <n v="44740.791666666664"/>
    <x v="3"/>
    <m/>
    <m/>
    <m/>
    <m/>
    <s v="69.251.100-K"/>
    <s v="No"/>
    <m/>
    <m/>
    <m/>
    <m/>
    <s v="DEPARTAMENTO DE SALUD"/>
    <s v="MAGDADEPTOSALUD@GMAIL.COM"/>
    <m/>
    <m/>
    <m/>
    <m/>
  </r>
  <r>
    <s v="4281-36-L122"/>
    <s v="RECARGA Y ARRIENDO DE CILINDROS DE OXIGENO."/>
    <s v="ADQUISICIÓN DE CONVENIO DE SUMINSITROS POR RECARGA Y ARRIENDO DE CILINDROS DE OXIGENO MEDICO PARA EL DEPARTAMENTO DE SALUD MUNICIPAL DE CUNCO."/>
    <s v="I MUNICIPALIDAD DE CUNCO"/>
    <m/>
    <m/>
    <x v="2"/>
    <x v="3"/>
    <d v="2022-06-22T11:03:45"/>
    <x v="9"/>
    <x v="1"/>
    <d v="2022-06-30T15:01:00"/>
    <d v="2022-06-24T00:00:00"/>
    <x v="0"/>
    <x v="2"/>
    <s v="No"/>
    <d v="2022-06-25T15:00:00"/>
    <d v="2022-06-28T16:30:00"/>
    <d v="2022-07-12T15:34:32"/>
    <n v="0"/>
    <n v="0"/>
    <m/>
    <s v="Si"/>
    <n v="100000"/>
    <d v="2022-08-26T00:00:00"/>
    <s v="No"/>
    <m/>
    <m/>
    <m/>
    <m/>
    <d v="2022-06-30T15:01:00"/>
    <m/>
    <m/>
    <x v="0"/>
    <x v="0"/>
    <d v="2022-07-12T15:34:32"/>
    <n v="-12.023287037038244"/>
    <x v="2"/>
    <n v="33059"/>
    <m/>
    <m/>
    <m/>
    <s v="69.191.000-8"/>
    <s v="Si"/>
    <n v="0.05"/>
    <d v="2024-09-13T00:00:00"/>
    <m/>
    <m/>
    <s v="ENRIQUE PINILLA JARA"/>
    <s v="enriquepinilla@municunco.cl"/>
    <m/>
    <m/>
    <m/>
    <m/>
  </r>
  <r>
    <s v="1057934-1-LE22"/>
    <s v="Compra de equipamiento clínico y otros"/>
    <s v="La presente licitación pública tiene por objetivo la Compra de equipamiento clínico y otros para el Hospital Las Higueras, de acuerdo al detalle indicado en las bases administrativas y Especificaciones Técnicas adjuntas:"/>
    <s v="SERVICIO DE SALUD DE TALCAHUANO"/>
    <m/>
    <m/>
    <x v="0"/>
    <x v="0"/>
    <d v="2022-06-22T10:01:29"/>
    <x v="9"/>
    <x v="1"/>
    <d v="2022-07-04T15:00:00"/>
    <d v="2022-06-30T00:00:00"/>
    <x v="1"/>
    <x v="1"/>
    <s v="Si"/>
    <d v="2022-06-27T19:26:00"/>
    <d v="2022-06-29T19:26:00"/>
    <d v="2022-07-29T00:00:00"/>
    <n v="36000000"/>
    <n v="30252100.840336137"/>
    <n v="45"/>
    <s v="No"/>
    <m/>
    <s v=" "/>
    <s v="No"/>
    <s v="Spot"/>
    <m/>
    <s v="No"/>
    <n v="120"/>
    <d v="2022-11-01T15:00:00"/>
    <n v="2"/>
    <n v="987413"/>
    <x v="27"/>
    <x v="2"/>
    <m/>
    <d v="2022-11-01T15:00:00"/>
    <x v="3"/>
    <m/>
    <m/>
    <m/>
    <m/>
    <s v="61.607.202-1"/>
    <s v="No"/>
    <m/>
    <m/>
    <m/>
    <m/>
    <s v="John Barahona"/>
    <s v="jhon.barahona@redsalud.gov.cl"/>
    <m/>
    <m/>
    <m/>
    <m/>
  </r>
  <r>
    <s v="1057934-1-LE22"/>
    <s v="Compra de equipamiento clínico y otros"/>
    <s v="La presente licitación pública tiene por objetivo la Compra de equipamiento clínico y otros para el Hospital Las Higueras, de acuerdo al detalle indicado en las bases administrativas y Especificaciones Técnicas adjuntas:"/>
    <s v="SERVICIO DE SALUD DE TALCAHUANO"/>
    <m/>
    <m/>
    <x v="0"/>
    <x v="0"/>
    <d v="2022-06-22T10:01:29"/>
    <x v="9"/>
    <x v="1"/>
    <d v="2022-07-04T15:00:00"/>
    <d v="2022-06-30T00:00:00"/>
    <x v="1"/>
    <x v="1"/>
    <s v="Si"/>
    <d v="2022-06-27T19:26:00"/>
    <d v="2022-06-29T19:26:00"/>
    <d v="2022-07-29T00:00:00"/>
    <n v="36000000"/>
    <n v="30252100.840336137"/>
    <n v="45"/>
    <s v="No"/>
    <m/>
    <s v=" "/>
    <s v="No"/>
    <s v="Spot"/>
    <m/>
    <s v="No"/>
    <n v="120"/>
    <d v="2022-11-01T15:00:00"/>
    <n v="3"/>
    <n v="1659551"/>
    <x v="28"/>
    <x v="2"/>
    <m/>
    <d v="2022-11-01T15:00:00"/>
    <x v="3"/>
    <m/>
    <m/>
    <m/>
    <m/>
    <s v="61.607.202-1"/>
    <s v="No"/>
    <m/>
    <m/>
    <m/>
    <m/>
    <s v="John Barahona"/>
    <s v="jhon.barahona@redsalud.gov.cl"/>
    <m/>
    <m/>
    <m/>
    <m/>
  </r>
  <r>
    <s v="1057934-1-LE22"/>
    <s v="Compra de equipamiento clínico y otros"/>
    <s v="La presente licitación pública tiene por objetivo la Compra de equipamiento clínico y otros para el Hospital Las Higueras, de acuerdo al detalle indicado en las bases administrativas y Especificaciones Técnicas adjuntas:"/>
    <s v="SERVICIO DE SALUD DE TALCAHUANO"/>
    <m/>
    <m/>
    <x v="0"/>
    <x v="0"/>
    <d v="2022-06-22T10:01:29"/>
    <x v="9"/>
    <x v="1"/>
    <d v="2022-07-04T15:00:00"/>
    <d v="2022-06-30T00:00:00"/>
    <x v="1"/>
    <x v="1"/>
    <s v="Si"/>
    <d v="2022-06-27T19:26:00"/>
    <d v="2022-06-29T19:26:00"/>
    <d v="2022-07-29T00:00:00"/>
    <n v="36000000"/>
    <n v="30252100.840336137"/>
    <n v="45"/>
    <s v="No"/>
    <m/>
    <s v=" "/>
    <s v="No"/>
    <s v="Spot"/>
    <m/>
    <s v="No"/>
    <n v="120"/>
    <d v="2022-11-01T15:00:00"/>
    <n v="1"/>
    <n v="2931037"/>
    <x v="29"/>
    <x v="2"/>
    <m/>
    <d v="2022-11-01T15:00:00"/>
    <x v="3"/>
    <m/>
    <m/>
    <m/>
    <m/>
    <s v="61.607.202-1"/>
    <s v="No"/>
    <m/>
    <m/>
    <m/>
    <m/>
    <s v="John Barahona"/>
    <s v="jhon.barahona@redsalud.gov.cl"/>
    <m/>
    <m/>
    <m/>
    <m/>
  </r>
  <r>
    <s v="1057934-1-LE22"/>
    <s v="Compra de equipamiento clínico y otros"/>
    <s v="La presente licitación pública tiene por objetivo la Compra de equipamiento clínico y otros para el Hospital Las Higueras, de acuerdo al detalle indicado en las bases administrativas y Especificaciones Técnicas adjuntas:"/>
    <s v="SERVICIO DE SALUD DE TALCAHUANO"/>
    <m/>
    <m/>
    <x v="0"/>
    <x v="0"/>
    <d v="2022-06-22T10:01:29"/>
    <x v="9"/>
    <x v="1"/>
    <d v="2022-07-04T15:00:00"/>
    <d v="2022-06-30T00:00:00"/>
    <x v="1"/>
    <x v="1"/>
    <s v="Si"/>
    <d v="2022-06-27T19:26:00"/>
    <d v="2022-06-29T19:26:00"/>
    <d v="2022-07-29T00:00:00"/>
    <n v="36000000"/>
    <n v="30252100.840336137"/>
    <n v="45"/>
    <s v="No"/>
    <m/>
    <s v=" "/>
    <s v="No"/>
    <s v="Spot"/>
    <m/>
    <s v="No"/>
    <n v="120"/>
    <d v="2022-11-01T15:00:00"/>
    <n v="2"/>
    <n v="749824"/>
    <x v="30"/>
    <x v="2"/>
    <m/>
    <d v="2022-11-01T15:00:00"/>
    <x v="3"/>
    <m/>
    <m/>
    <m/>
    <m/>
    <s v="61.607.202-1"/>
    <s v="No"/>
    <m/>
    <m/>
    <m/>
    <m/>
    <s v="John Barahona"/>
    <s v="jhon.barahona@redsalud.gov.cl"/>
    <m/>
    <m/>
    <m/>
    <m/>
  </r>
  <r>
    <s v="2026-100-LE22"/>
    <s v="CILINDROS PARA OXIGENO MEDICINAL PARA BASES SAMU"/>
    <s v="“ADQUISICIÓN DE CILINDROS PARA OXIGENO MEDICINAL BASES SAMU DE LA RED”, a cargo del Servicio de Salud Viña del Mar-Quillota."/>
    <s v="SERVICIO SALUD VINA DEL MAR QUILLOTA"/>
    <m/>
    <m/>
    <x v="2"/>
    <x v="9"/>
    <d v="2022-06-22T08:23:12"/>
    <x v="9"/>
    <x v="1"/>
    <d v="2022-07-04T20:00:00"/>
    <d v="2022-06-23T00:00:00"/>
    <x v="0"/>
    <x v="2"/>
    <s v="No"/>
    <d v="2022-06-27T08:00:00"/>
    <d v="2022-06-28T20:00:00"/>
    <d v="2022-08-05T17:00:00"/>
    <n v="0"/>
    <n v="0"/>
    <m/>
    <s v="Si"/>
    <n v="200000"/>
    <d v="2022-04-10T00:00:00"/>
    <s v="No"/>
    <m/>
    <m/>
    <m/>
    <m/>
    <d v="2022-07-04T20:00:00"/>
    <m/>
    <m/>
    <x v="0"/>
    <x v="2"/>
    <m/>
    <n v="44746.833333333336"/>
    <x v="3"/>
    <m/>
    <m/>
    <m/>
    <m/>
    <s v="61.606.600-5"/>
    <s v="Si"/>
    <n v="0.05"/>
    <d v="2022-10-28T00:00:00"/>
    <m/>
    <m/>
    <s v="MANUEL MARÍN"/>
    <s v="manuel.marin@redsalud.gov.cl"/>
    <m/>
    <m/>
    <m/>
    <m/>
  </r>
  <r>
    <s v="2366-82-LE22"/>
    <s v="ADQUISICIÓN EQUIPAMIENTO E INSUMOS REHABILITACIÓN PULMONAR M:834"/>
    <s v="ADQUISICIÓN EQUIPAMIENTO E INSUMOS REHABILITACIÓN PULMONAR M:834"/>
    <s v="I MUNICIPALIDAD DE ARICA"/>
    <m/>
    <m/>
    <x v="0"/>
    <x v="0"/>
    <d v="2022-06-23T16:02:11"/>
    <x v="9"/>
    <x v="1"/>
    <d v="2022-07-05T17:11:00"/>
    <d v="2022-06-30T00:00:00"/>
    <x v="1"/>
    <x v="1"/>
    <s v="Si"/>
    <d v="2022-06-25T17:01:00"/>
    <d v="2022-06-28T17:01:00"/>
    <d v="2022-08-05T15:12:00"/>
    <n v="17500000"/>
    <n v="14705882.352941178"/>
    <m/>
    <s v="No"/>
    <m/>
    <s v=" "/>
    <s v="No"/>
    <m/>
    <m/>
    <s v="No"/>
    <n v="120"/>
    <d v="2022-11-02T17:11:00"/>
    <m/>
    <m/>
    <x v="0"/>
    <x v="2"/>
    <m/>
    <d v="2022-11-02T17:11:00"/>
    <x v="3"/>
    <m/>
    <m/>
    <m/>
    <m/>
    <s v="69.010.100-9"/>
    <s v="Si"/>
    <n v="0.05"/>
    <d v="2022-11-30T00:00:00"/>
    <m/>
    <m/>
    <s v="Jacqueline Morales Álvarez"/>
    <s v="jacqueline.morales@sermusarica.cl"/>
    <m/>
    <m/>
    <m/>
    <m/>
  </r>
  <r>
    <s v="5349-23-LP22"/>
    <s v="CONTRATO DE SUMINISTRO DE GASES CLINICOS CON ARRIENDO DE CILINDROS"/>
    <s v="1.1 ÁMBITO DE APLICACIÓN DE LAS BASES El Hospital Provincial del Huasco, establecimiento de salud dependiente del Servicio de Salud Atacama, ubicado en Avenida Huasco Nº 392, Sector Media Luna, Acceso Sur, de la ciudad y comuna de Vallenar, en adelante indistintamente el Hospital o HPH, requiere suscribir un contrato de SUMINISTRO DE GASES CLINICOS CON ARRIENDO DE CILINDROS, de acuerdo al siguiente detalle N° Ítem PRODUCTO PERIODO CANTIDAD ESTIMADA ANUAL CANTIDAD ESTIMADA TOTAL DEL CONTRATO CANTIDAD DE CILINDROS EN ARRIENDO APROX. 1 Oxígeno medicinal gaseoso para llenado de cilindros de 0.4 y/o 0.7 M3 36 MESES 500 m3 1.500 m3 100 2 Anhídrido carbónico para cilindros de 3 kg 36 MESES 350 kg 1.050 kg 10 3 Aire comprimido para ambulancias para cilindros de 3 m3. 36 MESES 6 m3 18 m3 4 4 Oxígeno medicinal gaseoso, para cilindros de 6 m3 36 MESES 250 m3 750 m3 20 5 Óxido Nitroso con oxígeno, para analgesia del parto, cilindros de 12 kilos 36 MESES 168 kg 504 kg 12 6 Óxido Nitroso para cilindros de 36 kg 36 MESES 504 kg 1.512 kg 10 7 Oxígeno para cilindros de 10 m3. 36 MESES 9.200 m3 27.600 m3 100 8 Nitrógeno para cilindros de 8,5 m3. 36 MESES 59.5 m3 178.5 m3 10 Las características y especificaciones de los productos requeridos se describen en las bases técnicas de la presente licitación. Las condiciones administrativas que regirán la adquisición de los productos quedarán definidas en las presentes bases administrativas."/>
    <s v="HOSPITAL PROVINCIAL DEL HUASCO MSR FERNANDO ARIZTIA RUIZ"/>
    <m/>
    <m/>
    <x v="2"/>
    <x v="11"/>
    <d v="2022-06-16T14:14:17"/>
    <x v="9"/>
    <x v="1"/>
    <d v="2022-07-06T15:01:00"/>
    <d v="2022-06-20T00:00:00"/>
    <x v="0"/>
    <x v="2"/>
    <s v="No"/>
    <d v="2022-06-28T16:00:00"/>
    <d v="2022-06-30T19:00:00"/>
    <d v="2022-08-05T15:30:00"/>
    <n v="0"/>
    <n v="0"/>
    <m/>
    <s v="No"/>
    <m/>
    <s v=" "/>
    <s v="No"/>
    <m/>
    <m/>
    <m/>
    <m/>
    <d v="2022-07-06T15:01:00"/>
    <m/>
    <m/>
    <x v="0"/>
    <x v="2"/>
    <m/>
    <n v="44748.625694444447"/>
    <x v="3"/>
    <m/>
    <m/>
    <m/>
    <m/>
    <s v="61.606.303-0"/>
    <s v="Si"/>
    <n v="0.05"/>
    <d v="2026-01-16T00:00:00"/>
    <m/>
    <m/>
    <s v="Yessenia León"/>
    <s v="Yesenia.leon@redsalud.gov.cl"/>
    <m/>
    <m/>
    <m/>
    <m/>
  </r>
  <r>
    <s v="1057547-210-LE22"/>
    <s v="CONVENIO DE SUMINISTRO OXIGENOTERAPIA ADOMICILIO"/>
    <s v="CONVENIO PARA SUMINISTRO DE OXIGENOTERAPIA DOMICILIARIA PARA PACIENTES DEL HOSPITAL BASE VALDIVIA"/>
    <s v="HOSPITAL BASE VALDIVA"/>
    <m/>
    <m/>
    <x v="3"/>
    <x v="5"/>
    <d v="2022-07-01T16:44:02"/>
    <x v="3"/>
    <x v="1"/>
    <d v="2022-07-07T10:15:00"/>
    <d v="2022-07-04T00:00:00"/>
    <x v="1"/>
    <x v="1"/>
    <s v="Si"/>
    <d v="2022-07-04T09:00:00"/>
    <d v="2022-07-05T19:59:00"/>
    <d v="2022-08-31T00:00:00"/>
    <n v="50000000"/>
    <n v="42016806.722689077"/>
    <n v="30"/>
    <s v="No"/>
    <m/>
    <s v=" "/>
    <s v="No"/>
    <s v="Contrato"/>
    <n v="8"/>
    <s v="No"/>
    <m/>
    <d v="2022-07-07T10:15:00"/>
    <m/>
    <m/>
    <x v="0"/>
    <x v="0"/>
    <d v="2022-01-07T00:00:00"/>
    <n v="181.42708333333576"/>
    <x v="1"/>
    <n v="1193785"/>
    <d v="2022-07-01T00:00:00"/>
    <d v="2023-03-01T00:00:00"/>
    <m/>
    <s v="61.607.502-0"/>
    <s v="No"/>
    <m/>
    <m/>
    <m/>
    <m/>
    <s v="Alberto Delgado K"/>
    <s v="alberto.delgado@redsalud.gov.cl"/>
    <m/>
    <m/>
    <m/>
    <m/>
  </r>
  <r>
    <s v="5153-17-LQ22"/>
    <s v="Serv.Mant. Prev. y Corr. de Equip. Redes de Gases"/>
    <s v="Artículo 1º: Objeto y mandante.- La Universidad de Chile, para su Hospital Clínico de la Universidad de Chile, en adelante e indistintamente el “Hospital Clínico”, establecimiento docente-asistencial de medicina de alta complejidad, llama a licitación pública para la contratación de servicios de servicios de Mantenimiento Preventivo y Correctivo de Redes y Gases Clínicos, en adelante los servicios, la cual se regulará por las presentes Bases"/>
    <s v="UNIVERSIDAD DE CHILE"/>
    <m/>
    <m/>
    <x v="5"/>
    <x v="6"/>
    <d v="2022-06-16T13:03:33"/>
    <x v="9"/>
    <x v="1"/>
    <d v="2022-07-07T16:00:00"/>
    <d v="2022-06-20T00:00:00"/>
    <x v="0"/>
    <x v="2"/>
    <s v="No"/>
    <d v="2022-06-28T10:00:00"/>
    <d v="2022-06-30T18:00:00"/>
    <d v="2022-11-04T18:00:00"/>
    <n v="0"/>
    <n v="0"/>
    <m/>
    <s v="Si"/>
    <n v="500000"/>
    <d v="2023-03-27T00:00:00"/>
    <s v="No"/>
    <m/>
    <m/>
    <m/>
    <m/>
    <d v="2022-07-07T16:00:00"/>
    <m/>
    <m/>
    <x v="0"/>
    <x v="2"/>
    <m/>
    <n v="44749.666666666664"/>
    <x v="3"/>
    <m/>
    <m/>
    <m/>
    <m/>
    <s v="60.910.000-1"/>
    <s v="Si"/>
    <n v="0.05"/>
    <d v="2026-03-16T00:00:00"/>
    <m/>
    <m/>
    <s v="Nancy Miranda"/>
    <s v="nmiranda@hcuch.cl"/>
    <m/>
    <m/>
    <m/>
    <m/>
  </r>
  <r>
    <s v="5052-14-LE22"/>
    <s v="Convenio de insumos para kinesiología y otras áreas"/>
    <s v="El objetivo de la presente licitación, es la adquisición de insumos para kinesiología y otras áreas del servicio de medicina fisica y rehabilitación correspondiente al Hospital Regional de Talca, con el fin de asegurar el abastecimiento en calidad y oportunidad, para satisfacer la demanda de los usuarios."/>
    <s v="HOSPITAL DE TALCA"/>
    <m/>
    <m/>
    <x v="0"/>
    <x v="0"/>
    <d v="2022-06-28T09:31:13"/>
    <x v="9"/>
    <x v="1"/>
    <d v="2022-07-08T15:00:00"/>
    <d v="2022-06-30T00:00:00"/>
    <x v="1"/>
    <x v="1"/>
    <s v="Si"/>
    <d v="2022-06-29T15:00:00"/>
    <d v="2022-07-01T15:00:00"/>
    <d v="2022-08-08T00:00:00"/>
    <n v="7616000"/>
    <n v="6400000"/>
    <n v="30"/>
    <s v="No"/>
    <m/>
    <s v=" "/>
    <s v="No"/>
    <s v="Spot"/>
    <m/>
    <s v="No"/>
    <m/>
    <d v="2022-07-08T15:00:00"/>
    <n v="4"/>
    <n v="24415"/>
    <x v="31"/>
    <x v="2"/>
    <m/>
    <d v="2022-07-08T15:00:00"/>
    <x v="3"/>
    <m/>
    <m/>
    <m/>
    <m/>
    <s v="61.606.901-2"/>
    <s v="No"/>
    <m/>
    <m/>
    <m/>
    <m/>
    <s v="Mario Muñoz Dávila"/>
    <s v="dipresrecepcion@custodium.com"/>
    <m/>
    <m/>
    <m/>
    <m/>
  </r>
  <r>
    <s v="5052-14-LE22"/>
    <s v="Convenio de insumos para kinesiología y otras áreas"/>
    <s v="El objetivo de la presente licitación, es la adquisición de insumos para kinesiología y otras áreas del servicio de medicina fisica y rehabilitación correspondiente al Hospital Regional de Talca, con el fin de asegurar el abastecimiento en calidad y oportunidad, para satisfacer la demanda de los usuarios."/>
    <s v="HOSPITAL DE TALCA"/>
    <m/>
    <m/>
    <x v="0"/>
    <x v="0"/>
    <d v="2022-06-28T09:31:13"/>
    <x v="9"/>
    <x v="1"/>
    <d v="2022-07-08T15:00:00"/>
    <d v="2022-06-30T00:00:00"/>
    <x v="1"/>
    <x v="1"/>
    <s v="Si"/>
    <d v="2022-06-29T15:00:00"/>
    <d v="2022-07-01T15:00:00"/>
    <d v="2022-08-08T00:00:00"/>
    <n v="7616000"/>
    <n v="6400000"/>
    <n v="30"/>
    <s v="No"/>
    <m/>
    <s v=" "/>
    <s v="No"/>
    <s v="Spot"/>
    <m/>
    <s v="No"/>
    <m/>
    <d v="2022-07-08T15:00:00"/>
    <n v="10"/>
    <n v="11655"/>
    <x v="32"/>
    <x v="2"/>
    <m/>
    <d v="2022-07-08T15:00:00"/>
    <x v="3"/>
    <m/>
    <m/>
    <m/>
    <m/>
    <s v="61.606.901-2"/>
    <s v="No"/>
    <m/>
    <m/>
    <m/>
    <m/>
    <s v="Mario Muñoz Dávila"/>
    <s v="dipresrecepcion@custodium.com"/>
    <m/>
    <m/>
    <m/>
    <m/>
  </r>
  <r>
    <s v="898-99-LE22"/>
    <s v="MANT. DE COMPRESORES DE AIRE MEDICINAL Y BOMBA DE"/>
    <s v="La necesidad del Hospital Claudio Vicuña, establecimiento dependiente del Servicio de Salud Valparaíso San Antonio, de contratar servicios de “MANTENCION DE COMPRESORES DE AIRE MEDICINAL Y BOMBA DE VACIO DE LAS REDES DE GASES CLINICOS”."/>
    <s v="HOSPITAL CLAUDIO VICUNA"/>
    <m/>
    <m/>
    <x v="5"/>
    <x v="6"/>
    <d v="2022-06-30T17:22:22"/>
    <x v="9"/>
    <x v="1"/>
    <d v="2022-07-11T15:00:00"/>
    <d v="2022-07-01T00:00:00"/>
    <x v="0"/>
    <x v="2"/>
    <s v="No"/>
    <d v="2022-07-06T15:00:00"/>
    <d v="2022-07-07T15:00:00"/>
    <d v="2022-08-31T20:00:00"/>
    <n v="0"/>
    <n v="0"/>
    <m/>
    <s v="Si"/>
    <n v="500000"/>
    <d v="2022-08-30T00:00:00"/>
    <s v="Si"/>
    <m/>
    <m/>
    <m/>
    <m/>
    <d v="2022-07-11T15:00:00"/>
    <m/>
    <m/>
    <x v="0"/>
    <x v="2"/>
    <m/>
    <n v="44753.625"/>
    <x v="3"/>
    <m/>
    <m/>
    <m/>
    <m/>
    <s v="61.602.126-5"/>
    <s v="Si"/>
    <n v="0.05"/>
    <d v="2023-10-30T00:00:00"/>
    <m/>
    <m/>
    <s v="CARMEN GLORIA OSORIO CUETO"/>
    <s v="carmengloria.osorio@redsalud.gov.cl"/>
    <m/>
    <m/>
    <m/>
    <m/>
  </r>
  <r>
    <s v="1057496-33-LE22"/>
    <s v="Adquisición insumos médicos Hospital San Luis"/>
    <s v="Adquisición insumos médicos Hospital San Luis"/>
    <s v="HOSPITAL SAN LUIS DE BUIN"/>
    <m/>
    <m/>
    <x v="0"/>
    <x v="0"/>
    <d v="2022-06-28T14:45:48"/>
    <x v="9"/>
    <x v="1"/>
    <d v="2022-07-11T16:38:00"/>
    <d v="2022-06-30T00:00:00"/>
    <x v="0"/>
    <x v="0"/>
    <s v="No"/>
    <d v="2022-07-01T18:29:00"/>
    <d v="2022-07-04T18:29:00"/>
    <d v="2022-09-12T16:39:00"/>
    <n v="0"/>
    <n v="0"/>
    <m/>
    <s v="No"/>
    <m/>
    <s v=" "/>
    <s v="No"/>
    <m/>
    <m/>
    <m/>
    <m/>
    <d v="2022-07-11T16:38:00"/>
    <m/>
    <m/>
    <x v="0"/>
    <x v="2"/>
    <m/>
    <n v="44753.693055555559"/>
    <x v="3"/>
    <m/>
    <m/>
    <m/>
    <m/>
    <s v="61.608.105-5"/>
    <s v="No"/>
    <m/>
    <m/>
    <m/>
    <m/>
    <s v="María Eugenia Díaz Molina"/>
    <s v="mariae.diaz@redsalud.gov.cl"/>
    <m/>
    <m/>
    <m/>
    <m/>
  </r>
  <r>
    <s v="5520-52-LE22"/>
    <s v="suministro de gases industriales"/>
    <s v="Por el presente instrumento, IDIEM licita el suministro de gases industriales, por un periodo de 24 meses o hasta la total utilización de los recursos destinados, cualquiera de las circunstancias que se verifique primero, según las características que se han definido en las presentes bases administrativas, bases técnicas y anexos. La licitación se compone de 1 línea de productos."/>
    <s v="UNIVERSIDAD DE CHILE"/>
    <m/>
    <m/>
    <x v="2"/>
    <x v="16"/>
    <d v="2022-07-01T10:34:38"/>
    <x v="3"/>
    <x v="1"/>
    <d v="2022-07-12T19:00:00"/>
    <d v="2022-07-07T00:00:00"/>
    <x v="0"/>
    <x v="2"/>
    <s v="No"/>
    <d v="2022-07-05T18:00:00"/>
    <d v="2022-07-08T18:00:00"/>
    <d v="2022-11-11T18:40:00"/>
    <n v="0"/>
    <n v="0"/>
    <m/>
    <s v="No"/>
    <m/>
    <s v=" "/>
    <s v="No"/>
    <m/>
    <m/>
    <m/>
    <m/>
    <d v="2022-07-12T19:00:00"/>
    <m/>
    <m/>
    <x v="0"/>
    <x v="1"/>
    <m/>
    <n v="44754.791666666664"/>
    <x v="3"/>
    <m/>
    <m/>
    <m/>
    <m/>
    <s v="60.910.000-1"/>
    <s v="No"/>
    <m/>
    <m/>
    <m/>
    <m/>
    <s v="estefanía espinoza"/>
    <s v="estefania.espinoza@idiem.cl"/>
    <m/>
    <m/>
    <m/>
    <m/>
  </r>
  <r>
    <s v="1057544-200-LP22"/>
    <s v="Contratación de servicios de oxigenoterapia domiciliaria"/>
    <s v="Se requiere la Contratación de servicios de oxigenoterapia domiciliaria para el Hospital Las Higueras"/>
    <s v="HOSPITAL LAS HIGUERAS DE TALCAHUANO"/>
    <m/>
    <m/>
    <x v="3"/>
    <x v="5"/>
    <d v="2022-07-05T08:18:22"/>
    <x v="3"/>
    <x v="1"/>
    <d v="2022-07-18T15:00:00"/>
    <d v="2022-07-06T00:00:00"/>
    <x v="1"/>
    <x v="1"/>
    <s v="Si"/>
    <d v="2022-07-09T16:00:00"/>
    <d v="2022-07-11T18:00:00"/>
    <d v="2022-08-16T18:00:00"/>
    <n v="97000000"/>
    <n v="81512605.042016804"/>
    <m/>
    <s v="No"/>
    <m/>
    <s v=" "/>
    <s v="No"/>
    <s v="Contrato"/>
    <n v="24"/>
    <s v="No"/>
    <n v="120"/>
    <d v="2022-11-15T15:00:00"/>
    <m/>
    <m/>
    <x v="0"/>
    <x v="0"/>
    <m/>
    <n v="44880.625"/>
    <x v="3"/>
    <m/>
    <m/>
    <m/>
    <m/>
    <s v="61.607.202-1"/>
    <s v="Si"/>
    <n v="0.1"/>
    <d v="2025-01-20T00:00:00"/>
    <m/>
    <m/>
    <s v="John Barahona"/>
    <s v="jhon.barahona@redsalud.gov.cl"/>
    <m/>
    <m/>
    <m/>
    <m/>
  </r>
  <r>
    <s v="359-45-LP22"/>
    <s v="SUMINISTRO DE OXÍGENO MEDICINAL DOMICILIARIO"/>
    <s v="Que, para tal efecto el CR. Alivio del dolor y cuidados paliativos requiere contratar los servicios de suministro de Oxígeno medicinal domiciliario para los pacientes del Instituto."/>
    <s v="Instituto Nacional del Cancer"/>
    <m/>
    <m/>
    <x v="3"/>
    <x v="5"/>
    <d v="2022-07-06T16:30:29"/>
    <x v="3"/>
    <x v="1"/>
    <d v="2022-07-18T16:00:00"/>
    <d v="2022-07-07T00:00:00"/>
    <x v="1"/>
    <x v="1"/>
    <s v="Si"/>
    <d v="2022-07-09T16:00:00"/>
    <d v="2022-07-12T16:00:00"/>
    <d v="2022-08-02T12:17:00"/>
    <n v="116000000"/>
    <n v="97478991.596638665"/>
    <m/>
    <s v="Si"/>
    <n v="200000"/>
    <d v="2022-11-21T00:00:00"/>
    <s v="No"/>
    <s v="Contrato"/>
    <n v="24"/>
    <s v="No"/>
    <n v="120"/>
    <d v="2022-11-15T16:00:00"/>
    <m/>
    <m/>
    <x v="0"/>
    <x v="2"/>
    <m/>
    <d v="2022-11-15T16:00:00"/>
    <x v="3"/>
    <m/>
    <m/>
    <m/>
    <m/>
    <s v="61.608.404-6"/>
    <s v="Si"/>
    <n v="0.05"/>
    <d v="2024-10-28T00:00:00"/>
    <m/>
    <m/>
    <s v="Jefe de finanzas"/>
    <s v="alexis.ascui@incancer.cl"/>
    <m/>
    <m/>
    <m/>
    <m/>
  </r>
  <r>
    <s v="4401-69-L122"/>
    <s v="Sc 578 Suministro de oxigeno"/>
    <s v="Se solicita la contratación de suministro de oxigeno para dependencias del Departamento de Salud de San Clemente"/>
    <s v="I MUNICIPALIDAD DE SAN CLEMENTE"/>
    <m/>
    <m/>
    <x v="2"/>
    <x v="2"/>
    <d v="2022-07-13T16:23:41"/>
    <x v="3"/>
    <x v="1"/>
    <d v="2022-07-19T15:00:00"/>
    <m/>
    <x v="0"/>
    <x v="5"/>
    <s v="No"/>
    <d v="2022-07-16T19:00:00"/>
    <d v="2022-07-18T14:00:00"/>
    <d v="2022-08-31T17:49:00"/>
    <n v="270000000"/>
    <n v="226890756.30252102"/>
    <m/>
    <s v="No"/>
    <m/>
    <s v=" "/>
    <s v="No"/>
    <s v="Contrato"/>
    <n v="12"/>
    <s v="No"/>
    <m/>
    <d v="2022-07-19T15:00:00"/>
    <m/>
    <m/>
    <x v="0"/>
    <x v="0"/>
    <d v="2022-07-28T00:00:00"/>
    <n v="-8.375"/>
    <x v="0"/>
    <n v="153800"/>
    <m/>
    <m/>
    <m/>
    <s v="69.110.500-8"/>
    <s v="No"/>
    <m/>
    <m/>
    <m/>
    <m/>
    <s v="Carlos Amaro Ortega"/>
    <s v="pagoproveedores@saludsanclemente.cl"/>
    <m/>
    <m/>
    <m/>
    <m/>
  </r>
  <r>
    <s v="1057501-152-LR22"/>
    <s v="Servicios de Oxigenoterapia Domiciliaria"/>
    <s v="El objeto de la presente licitación es llamar a propuesta pública para la “Contratación de SERVICIOS DE OXIGENOTERAPIA DOMICILIARIA”, para beneficiarios del sistema público de salud atendidos en el Complejo Asistencial Dr. Sótero del Río. En atención a lo dispuesto en el Artículo 14° del Reglamento de la Ley Nº 19.886 y dado que los servicios no se encuentran en Convenio Marco de la Dirección de Compras y Contratación Pública, las presentes Bases Administrativas establecen las disposiciones que regirán la licitación y posterior Contrato. Se aplicarán en las presentes Bases Administrativas y en los Anexos, la Ley N°19.886 y su Reglamento, según los términos y definiciones establecidas en el Decreto Nº 250/2004 del Ministerio de Hacienda, que aprueba el Reglamento de la Ley Nº 19.886 y modificaciones con el Decreto Supremo Nº 1763 del 06 de octubre de 2009, de “Bases sobre Contratos Administrativos de Suministro y Prestación de Servicios”"/>
    <s v="COMPLEJO ASISTENCIAL DR. SOTERO DEL RIO"/>
    <m/>
    <m/>
    <x v="3"/>
    <x v="5"/>
    <d v="2022-06-22T15:03:55"/>
    <x v="9"/>
    <x v="1"/>
    <d v="2022-07-22T16:19:00"/>
    <d v="2022-06-23T00:00:00"/>
    <x v="1"/>
    <x v="1"/>
    <s v="Si"/>
    <d v="2022-06-29T15:56:00"/>
    <d v="2022-07-06T15:56:00"/>
    <d v="2022-10-05T00:00:00"/>
    <n v="633127000"/>
    <n v="532039495.79831934"/>
    <m/>
    <s v="Si"/>
    <n v="500000"/>
    <d v="2022-11-07T00:00:00"/>
    <s v="No"/>
    <s v="Contrato"/>
    <n v="36"/>
    <s v="No"/>
    <m/>
    <d v="2022-07-22T16:19:00"/>
    <m/>
    <m/>
    <x v="0"/>
    <x v="2"/>
    <m/>
    <d v="2022-07-22T16:19:00"/>
    <x v="3"/>
    <m/>
    <m/>
    <m/>
    <m/>
    <s v="61.608.502-6"/>
    <s v="Si"/>
    <n v="0.1"/>
    <d v="2026-01-04T00:00:00"/>
    <m/>
    <m/>
    <s v="Ramon Varas"/>
    <s v="ravaras@ssmso.cl"/>
    <m/>
    <m/>
    <m/>
    <m/>
  </r>
  <r>
    <s v="1057545-51-LQ22"/>
    <s v="Convenio de Suministro de Gases Clínicos Hospital La Unión"/>
    <s v="El Servicio de Salud Valdivia requiere contratar para el hospital La Unión el convenio de suministro de gases clínicos"/>
    <s v="SERVICIO DE SALUD VALDIVIA"/>
    <m/>
    <m/>
    <x v="2"/>
    <x v="3"/>
    <d v="2022-07-05T15:03:59"/>
    <x v="3"/>
    <x v="1"/>
    <d v="2022-07-25T16:13:00"/>
    <d v="2022-07-07T00:00:00"/>
    <x v="1"/>
    <x v="1"/>
    <s v="Si"/>
    <d v="2022-07-15T18:47:00"/>
    <d v="2022-07-20T18:47:00"/>
    <d v="2022-10-26T16:14:00"/>
    <n v="0"/>
    <n v="0"/>
    <m/>
    <s v="Si"/>
    <n v="200000"/>
    <d v="2022-11-03T00:00:00"/>
    <s v="No"/>
    <m/>
    <m/>
    <s v="No"/>
    <m/>
    <d v="2022-07-25T16:13:00"/>
    <m/>
    <m/>
    <x v="0"/>
    <x v="1"/>
    <d v="2022-09-08T00:00:00"/>
    <n v="-44.324305555557657"/>
    <x v="3"/>
    <m/>
    <m/>
    <m/>
    <m/>
    <s v="61.607.500-4"/>
    <s v="Si"/>
    <n v="0.1"/>
    <d v="2026-01-05T00:00:00"/>
    <m/>
    <m/>
    <s v="Milton Moraga"/>
    <s v="milton.moraga@redsalud.gov.cl"/>
    <m/>
    <m/>
    <m/>
    <m/>
  </r>
  <r>
    <s v="608-167-LR22"/>
    <s v="KCD_SUMINISTRO DE EQUIPOS PARA OXIGENOTERAPIA DOMICILIRIA"/>
    <s v="KCD_SUMINISTRO DE EQUIPOS PARA OXIGENOTERAPIA DOMICILIRIA"/>
    <s v="HOSPITAL DR GUSTAVO FRICKE"/>
    <m/>
    <m/>
    <x v="3"/>
    <x v="5"/>
    <d v="2022-06-22T12:46:23"/>
    <x v="9"/>
    <x v="1"/>
    <d v="2022-07-25T18:00:00"/>
    <d v="2022-06-22T00:00:00"/>
    <x v="1"/>
    <x v="1"/>
    <s v="Si"/>
    <d v="2022-07-02T15:00:00"/>
    <d v="2022-07-06T16:00:00"/>
    <d v="2022-09-13T00:00:00"/>
    <n v="300890556"/>
    <n v="252849206.72268909"/>
    <m/>
    <s v="Si"/>
    <n v="500000"/>
    <d v="2023-01-21T00:00:00"/>
    <s v="No"/>
    <s v="Contrato"/>
    <n v="36"/>
    <s v="No"/>
    <m/>
    <d v="2022-07-25T18:00:00"/>
    <m/>
    <m/>
    <x v="0"/>
    <x v="2"/>
    <m/>
    <d v="2022-07-25T18:00:00"/>
    <x v="3"/>
    <m/>
    <m/>
    <m/>
    <m/>
    <s v="61.606.602-1"/>
    <s v="Si"/>
    <n v="0.05"/>
    <d v="2025-12-09T00:00:00"/>
    <m/>
    <m/>
    <s v="CRISTIAN ARANGUEZ"/>
    <s v="CRISTIAN.ARANGUEZ@REDSALUD.GOB.CL"/>
    <m/>
    <m/>
    <m/>
    <m/>
  </r>
  <r>
    <s v="324-181-LE22"/>
    <s v="Servicio de Arriendo de Oxigenoterapia"/>
    <s v="Las presentes Bases Administrativas regulan el llamado a Propuesta Pública que realiza la Municipalidad de Cerrillos para efectuar el “SERVICIO DE ARRIENDO DE OXIGENOTERAPIA DOMICILIARIA”. Se necesita el Arriendo de Equipos de Oxigenoterapia domiciliaria para pacientes de la Comuna de Cerrillos, que no se encuentren cubiertos por programas de Salud Pública, el servicio contratado será por un periodo de 36 meses o hasta agotar el presupuesto disponible. Los requisitos y exigencias técnicas se establecen en las presentes Bases Administrativas Generales y Especificaciones Técnicas que son parte de esta licitación. MANDANTE: Municipalidad de Cerrillos. UNIDAD TÉCNICA: DIDECO, Depto. Acción Social. Los requisitos y exigencias técnicas se establecen en las presentes Bases de Especificaciones Técnicas, Bases Administrativas Generales y documentos acompañantes de la presente propuesta."/>
    <s v="I MUNICIPALIDAD DE CERRILLOS"/>
    <m/>
    <m/>
    <x v="3"/>
    <x v="5"/>
    <d v="2022-07-15T10:27:40"/>
    <x v="3"/>
    <x v="1"/>
    <d v="2022-07-27T16:00:00"/>
    <m/>
    <x v="1"/>
    <x v="1"/>
    <s v="Si"/>
    <d v="2022-07-19T10:00:00"/>
    <d v="2022-07-22T10:00:00"/>
    <d v="2022-08-25T00:00:00"/>
    <n v="40361056"/>
    <n v="33916853.781512603"/>
    <m/>
    <s v="No"/>
    <m/>
    <s v=" "/>
    <s v="No"/>
    <s v="Contrato"/>
    <n v="36"/>
    <s v="No"/>
    <m/>
    <d v="2022-07-27T16:00:00"/>
    <m/>
    <m/>
    <x v="0"/>
    <x v="2"/>
    <m/>
    <d v="2022-07-27T16:00:00"/>
    <x v="3"/>
    <m/>
    <m/>
    <m/>
    <m/>
    <s v="69.255.000-5"/>
    <s v="Si"/>
    <n v="0.05"/>
    <d v="2025-10-25T00:00:00"/>
    <m/>
    <m/>
    <s v="Rodrigo Arriola Poblete"/>
    <s v="rarriola@mcerrillos.cl"/>
    <m/>
    <m/>
    <m/>
    <m/>
  </r>
  <r>
    <s v="2258-195-LQ22"/>
    <s v="SERVICIO DE OXIGENOTERAPIA DOMICILIARIA DEL HRA"/>
    <s v="El Hospital Regional de Antofagasta, establecimiento Auto gestionado en Red, dependiente del Servicio de Salud Antofagasta, requiere Licitar “Servicio de oxigenoterapia domiciliaria para el Hospital Regional de Antofagasta”. mediante una licitación pública por servicios requeridos, donde el objetivo primordial es contar con los servicios apropiados Considerando optimizar el uso de los recursos disponibles y realizar un contrato con una empresa responsable de realizar el servicio de prestaciones entregadas a domicilio, transfiriendo al lugar de convalecencia toda tecnología necesaria en equipos e insumos para entregar soporte ventilatorio."/>
    <s v="SERVICIO DE SALUD ANTOFAGASTA HOSPITAL L"/>
    <m/>
    <m/>
    <x v="3"/>
    <x v="5"/>
    <d v="2022-07-13T16:23:41"/>
    <x v="3"/>
    <x v="1"/>
    <d v="2022-07-28T19:46:00"/>
    <m/>
    <x v="0"/>
    <x v="0"/>
    <s v="No"/>
    <d v="2022-07-16T19:00:00"/>
    <d v="2022-07-25T20:19:00"/>
    <d v="2022-09-27T19:47:00"/>
    <n v="270000000"/>
    <n v="226890756.30252102"/>
    <m/>
    <s v="Si"/>
    <n v="1000000"/>
    <d v="2022-12-25T00:00:00"/>
    <s v="No"/>
    <s v="Contrato"/>
    <n v="12"/>
    <s v="No"/>
    <m/>
    <d v="2022-07-28T19:46:00"/>
    <m/>
    <m/>
    <x v="0"/>
    <x v="1"/>
    <m/>
    <n v="44770.823611111111"/>
    <x v="3"/>
    <m/>
    <m/>
    <m/>
    <m/>
    <s v="61.606.201-8"/>
    <s v="Si"/>
    <n v="0.05"/>
    <d v="2023-12-26T00:00:00"/>
    <m/>
    <m/>
    <s v="SERGIO MORENO RIOS"/>
    <s v="jefe.finanzas.hra@redsalud.gov.cl"/>
    <m/>
    <m/>
    <m/>
    <m/>
  </r>
  <r>
    <s v="898-101-LR22"/>
    <s v="SUMINISTRO DE OXIGENO CRIOGENICO CON ESTANQUE"/>
    <s v="Establecen los fines, condiciones y requisitos que deberán ser cumplidos por las empresas oferentes, en todas y cada una de las partes que conformen su oferta disposiciones generales que regirán la Licitación Pública que celebre el Hospital Claudio Vicuña, dependiente del Servicio de Salud Val paraíso San Antonio para la licitación “SUMINISTRO DE OXIGENO CRIOGENICO CON ESTANQUE EN COMODATO PARA EL NUEVO HOSPITAL CLAUDIO VICUÑA”, con el objeto de dar condiciones clínicas a los pacientes que requieran tratamiento de oxigenoterapia en hospitalización cerrada."/>
    <s v="HOSPITAL CLAUDIO VICUNA"/>
    <m/>
    <m/>
    <x v="2"/>
    <x v="9"/>
    <d v="2022-07-01T16:54:39"/>
    <x v="3"/>
    <x v="1"/>
    <d v="2022-08-01T15:15:00"/>
    <d v="2022-07-04T00:00:00"/>
    <x v="0"/>
    <x v="5"/>
    <s v="No"/>
    <d v="2022-07-16T18:59:00"/>
    <d v="2022-07-21T18:59:00"/>
    <d v="2022-08-31T19:48:00"/>
    <n v="0"/>
    <n v="0"/>
    <m/>
    <s v="Si"/>
    <n v="500000"/>
    <d v="2022-11-29T00:00:00"/>
    <s v="Si"/>
    <m/>
    <m/>
    <m/>
    <m/>
    <d v="2022-08-01T15:15:00"/>
    <m/>
    <m/>
    <x v="0"/>
    <x v="1"/>
    <m/>
    <n v="44774.635416666664"/>
    <x v="3"/>
    <m/>
    <m/>
    <m/>
    <m/>
    <s v="61.602.126-5"/>
    <s v="Si"/>
    <n v="0.1"/>
    <d v="2026-03-25T00:00:00"/>
    <m/>
    <m/>
    <s v="Carmen Gloria Osorio Cueto"/>
    <s v="carmengloria.osorio@redsalud.gov.cl"/>
    <m/>
    <m/>
    <m/>
    <m/>
  </r>
  <r>
    <s v="1057539-94-LR22"/>
    <s v="Convenio Suministro CPAP e Insumos HPM"/>
    <s v="Contar con el debido y necesario abastecimiento de Cpap, Mascarillas, Cánulas y equipos en comodato para la correcta ejecución del tratamiento de apnea del sueño en la Unidad del sueño y Neurofisiología, debido al vencimiento próximo de la licitación 1057539-83-LP19, razón por la cual se convoca a la presente licitación pública."/>
    <s v="HOSPITAL PUERTO MONTT"/>
    <m/>
    <m/>
    <x v="0"/>
    <x v="0"/>
    <d v="2022-06-29T10:26:14"/>
    <x v="9"/>
    <x v="1"/>
    <d v="2022-08-02T15:00:00"/>
    <d v="2022-07-14T00:00:00"/>
    <x v="0"/>
    <x v="4"/>
    <s v="No"/>
    <d v="2022-07-15T15:00:00"/>
    <d v="2022-07-18T13:55:00"/>
    <d v="2022-08-29T15:00:00"/>
    <n v="374500000"/>
    <n v="314705882.35294122"/>
    <n v="45"/>
    <s v="Si"/>
    <n v="200000"/>
    <d v="2023-01-25T00:00:00"/>
    <s v="No"/>
    <s v="Contrato"/>
    <n v="36"/>
    <s v="No"/>
    <n v="180"/>
    <d v="2023-01-29T15:00:00"/>
    <m/>
    <m/>
    <x v="0"/>
    <x v="1"/>
    <m/>
    <n v="44955.625"/>
    <x v="3"/>
    <m/>
    <m/>
    <m/>
    <m/>
    <s v="61.975.100-0"/>
    <s v="Si"/>
    <n v="0.05"/>
    <d v="2026-01-25T00:00:00"/>
    <m/>
    <m/>
    <s v="Anelia Soto"/>
    <s v="asoto@ssdr.gob.cl"/>
    <m/>
    <m/>
    <m/>
    <m/>
  </r>
  <r>
    <s v="586-42-LE22"/>
    <s v="Suministro de Gases y Servicio de mantenimiento"/>
    <s v="Suministro de Gases y Servicio de Mantenimiento Preventivo y Correctivo de las Redes de Gases para el Laboratorio Químico del Servicio Nacional de Aduanas"/>
    <s v="SERVICIO NACIONAL DE ADUANAS"/>
    <m/>
    <m/>
    <x v="5"/>
    <x v="6"/>
    <d v="2022-07-25T11:27:03"/>
    <x v="3"/>
    <x v="1"/>
    <d v="2022-08-04T15:00:00"/>
    <d v="2022-08-02T00:00:00"/>
    <x v="0"/>
    <x v="4"/>
    <s v="No"/>
    <d v="2022-07-28T18:00:00"/>
    <d v="2022-08-01T20:00:00"/>
    <d v="2022-08-24T18:00:00"/>
    <n v="0"/>
    <n v="0"/>
    <m/>
    <s v="No"/>
    <m/>
    <s v=" "/>
    <s v="No"/>
    <m/>
    <m/>
    <m/>
    <m/>
    <d v="2022-08-04T15:00:00"/>
    <m/>
    <m/>
    <x v="0"/>
    <x v="0"/>
    <d v="2022-08-29T00:00:00"/>
    <n v="-24.375"/>
    <x v="0"/>
    <n v="3413791"/>
    <m/>
    <m/>
    <m/>
    <s v="60.804.000-5"/>
    <s v="Si"/>
    <n v="0.05"/>
    <d v="2026-11-24T00:00:00"/>
    <m/>
    <m/>
    <s v="Veronica Santoro"/>
    <s v="vsantoro@aduana.cl"/>
    <m/>
    <m/>
    <m/>
    <m/>
  </r>
  <r>
    <s v="1057545-50-LR22"/>
    <s v="Convenio de suministro de Gases Clínicos para Hospitales y SAR"/>
    <s v="el Servicio de Salud Valdivia requiere contratar a través de un convenio el suministro de gases clínicos para el Hospital Los Lagos,Paillaco,Corral y SAR Barrios Bajos"/>
    <s v="SERVICIO DE SALUD VALDIVIA"/>
    <m/>
    <m/>
    <x v="2"/>
    <x v="3"/>
    <d v="2022-07-05T14:16:32"/>
    <x v="3"/>
    <x v="1"/>
    <d v="2022-08-05T11:08:00"/>
    <d v="2022-07-07T00:00:00"/>
    <x v="1"/>
    <x v="1"/>
    <s v="Si"/>
    <d v="2022-07-25T17:43:00"/>
    <d v="2022-08-01T17:43:00"/>
    <d v="2022-11-08T11:09:00"/>
    <n v="0"/>
    <n v="0"/>
    <m/>
    <s v="Si"/>
    <n v="200000"/>
    <d v="2022-11-03T00:00:00"/>
    <s v="No"/>
    <m/>
    <m/>
    <s v="No"/>
    <m/>
    <d v="2022-08-05T11:08:00"/>
    <m/>
    <m/>
    <x v="0"/>
    <x v="2"/>
    <m/>
    <d v="2022-08-05T11:08:00"/>
    <x v="3"/>
    <m/>
    <m/>
    <m/>
    <m/>
    <s v="61.607.500-4"/>
    <s v="Si"/>
    <n v="0.1"/>
    <d v="2025-02-13T00:00:00"/>
    <m/>
    <m/>
    <s v="Carmen Roldan"/>
    <s v="carmen.roldanssv@redsalud.gov.cl"/>
    <m/>
    <m/>
    <m/>
    <m/>
  </r>
  <r>
    <s v="1057545-61-LQ22"/>
    <s v="Convenio de Suministro de Gases Clínicos Hospital Rio Bueno"/>
    <s v="El Servicio de Salud Valdivia requiere contratar a través de un convenio de suministro la provisión de gases clinicos"/>
    <s v="SERVICIO DE SALUD VALDIVIA"/>
    <m/>
    <m/>
    <x v="2"/>
    <x v="3"/>
    <d v="2022-07-19T17:28:50"/>
    <x v="3"/>
    <x v="1"/>
    <d v="2022-08-08T15:03:00"/>
    <d v="2022-07-25T00:00:00"/>
    <x v="1"/>
    <x v="1"/>
    <s v="Si"/>
    <d v="2022-07-29T21:16:00"/>
    <d v="2022-08-03T21:16:00"/>
    <d v="2022-10-26T15:04:00"/>
    <n v="0"/>
    <n v="0"/>
    <m/>
    <s v="Si"/>
    <n v="200000"/>
    <d v="2022-11-07T00:00:00"/>
    <s v="No"/>
    <m/>
    <m/>
    <s v="No"/>
    <m/>
    <d v="2022-08-08T15:03:00"/>
    <m/>
    <m/>
    <x v="0"/>
    <x v="2"/>
    <m/>
    <d v="2022-08-08T15:03:00"/>
    <x v="3"/>
    <m/>
    <m/>
    <m/>
    <m/>
    <s v="61.607.500-4"/>
    <s v="Si"/>
    <n v="0.1"/>
    <d v="2026-01-10T00:00:00"/>
    <m/>
    <m/>
    <s v="Paola Tutt"/>
    <s v="carmen.roldanssv@redsalud.gov.cl"/>
    <m/>
    <m/>
    <m/>
    <m/>
  </r>
  <r>
    <s v="5350-44-L122"/>
    <s v="MEDICAMENTOS FARMACIA CENTRAL"/>
    <s v="USOS FARMACIA CENTRAL"/>
    <s v="I MUNICIPALIDAD DE VALLENAR"/>
    <m/>
    <m/>
    <x v="0"/>
    <x v="0"/>
    <d v="2022-08-01T12:14:54"/>
    <x v="10"/>
    <x v="1"/>
    <d v="2022-08-08T15:36:00"/>
    <d v="2022-08-04T00:00:00"/>
    <x v="0"/>
    <x v="5"/>
    <s v="No"/>
    <d v="2022-08-04T15:36:00"/>
    <d v="2022-08-05T15:36:00"/>
    <d v="2022-08-09T15:37:00"/>
    <n v="0"/>
    <n v="0"/>
    <m/>
    <s v="No"/>
    <m/>
    <s v=" "/>
    <s v="No"/>
    <m/>
    <m/>
    <m/>
    <m/>
    <d v="2022-08-08T15:36:00"/>
    <m/>
    <m/>
    <x v="0"/>
    <x v="0"/>
    <d v="2022-08-17T08:15:54"/>
    <n v="-8.6943749999991269"/>
    <x v="0"/>
    <n v="199200"/>
    <m/>
    <m/>
    <m/>
    <s v="69.030.500-3"/>
    <s v="No"/>
    <m/>
    <m/>
    <m/>
    <m/>
    <s v="DIEGO HUERTA CERDA"/>
    <s v="DIEGO.HUERTA@SALUDVALLENAR.CL"/>
    <m/>
    <m/>
    <m/>
    <m/>
  </r>
  <r>
    <s v="5520-62-LE22"/>
    <s v="SUMINISTRO DE HIELO SECO ARGÓN OXIGENO Y NITROGENO"/>
    <s v="Por el presente instrumento, IDIEM licita la contratación del suministro de hielo seco, argón, oxígeno y nitrógeno, por un periodo de 24 meses o hasta la total utilización de los recursos asignados, cualquiera de las circunstancias que se verifique primero, según las características que se han definido en las presentes bases administrativas, bases técnicas y anexos."/>
    <s v="UNIVERSIDAD DE CHILE"/>
    <m/>
    <m/>
    <x v="6"/>
    <x v="8"/>
    <d v="2022-07-27T11:01:34"/>
    <x v="3"/>
    <x v="1"/>
    <d v="2022-08-09T17:00:00"/>
    <d v="2022-08-02T00:00:00"/>
    <x v="0"/>
    <x v="5"/>
    <s v="No"/>
    <d v="2022-07-27T13:57:00"/>
    <d v="2022-08-04T13:57:00"/>
    <d v="2022-12-12T18:44:00"/>
    <n v="0"/>
    <n v="0"/>
    <m/>
    <s v="No"/>
    <m/>
    <s v=" "/>
    <s v="No"/>
    <m/>
    <m/>
    <m/>
    <m/>
    <d v="2022-08-09T17:00:00"/>
    <m/>
    <m/>
    <x v="0"/>
    <x v="1"/>
    <m/>
    <n v="44782.708333333336"/>
    <x v="3"/>
    <m/>
    <m/>
    <m/>
    <m/>
    <s v="60.910.000-1"/>
    <s v="No"/>
    <m/>
    <m/>
    <m/>
    <m/>
    <s v="Estefanía Espinoza"/>
    <s v="estefania.espinoza@idiem.cl"/>
    <m/>
    <m/>
    <m/>
    <m/>
  </r>
  <r>
    <s v="5056-39-LQ22"/>
    <s v="SERVICIO DE OXIGENOTERAPIA DOMICILIARIA"/>
    <s v="El referente técnico del convenio será el Jefe Unidad Hospitalización Domiciliaria o sub-rogante, quien deberá notificar mediante correo electrónico o memorándum al Departamento de Abastecimiento y a la Unidad de Control y Eficiencia Operacional de la Sub Dirección Administrativa, cuando exista incumplimiento de algún oferente adjudicado en cuanto a la calidad del servicio integral contratado por mantención y que sea distinto a lo indicado en oferta, para lo cual podrá solicitar la aplicación de una sanción por incumplimiento y/o cobro de documento de garantía según lo estipulado en las presentes bases administrativas. Una vez terminado el contrato el referente técnico del convenio o su subrogante deberá completar formulario de conformidad del servicio contratado, evaluando la calidad técnica entregada por proveedor o prestador adjudicado. Se contará además con un referente administrativo del convenio, Jefe de compras generales, quien deberá notificar mediante correo electrónico o memorándum al Departamento de Abastecimiento y a la Unidad de Control y Eficiencia Operacional de la Sub Dirección Administrativa, cuando exista alguna irregularidad en aspectos administrativos asociados al servicio, para lo cual podrá solicitar la aplicación de una sanción por incumplimiento y/o cobro de garantía según lo estipulado en las presentes bases administrativas. Una vez terminado el contrato el referente administrativo deberá completar formulario de conformidad del servicio contratado, evaluando el comportamiento administrativo del convenio."/>
    <s v="HOSPITAL DE TALCA"/>
    <m/>
    <m/>
    <x v="3"/>
    <x v="5"/>
    <d v="2022-08-01T13:07:56"/>
    <x v="10"/>
    <x v="1"/>
    <d v="2022-08-11T18:40:00"/>
    <d v="2022-08-02T00:00:00"/>
    <x v="0"/>
    <x v="7"/>
    <s v="No"/>
    <d v="2022-08-04T18:00:00"/>
    <d v="2022-08-05T18:00:00"/>
    <d v="2022-09-23T18:41:00"/>
    <n v="177205090"/>
    <n v="148911840.33613446"/>
    <m/>
    <s v="Si"/>
    <n v="300000"/>
    <d v="2022-11-30T00:00:00"/>
    <s v="No"/>
    <s v="Contrato"/>
    <n v="24"/>
    <s v="No"/>
    <m/>
    <d v="2022-08-11T18:40:00"/>
    <m/>
    <m/>
    <x v="0"/>
    <x v="0"/>
    <d v="2022-08-25T00:00:00"/>
    <n v="-13.222222222218988"/>
    <x v="6"/>
    <n v="580580"/>
    <m/>
    <m/>
    <m/>
    <s v="61.606.901-2"/>
    <s v="Si"/>
    <n v="0.05"/>
    <d v="2024-11-30T00:00:00"/>
    <m/>
    <m/>
    <s v="Mario Muñoz Davila"/>
    <s v="dipresrecepcion@custodium.com"/>
    <m/>
    <m/>
    <m/>
    <m/>
  </r>
  <r>
    <s v="1057554-86-LE22"/>
    <s v="Convenio de suministro de oxígeno a domicilio para pacientes del Programa de Cuidados Paliativos del Hospital Carlos Van Buren"/>
    <s v="Las presentes Bases Administrativas tienen por objeto regular el llamado a Propuesta Pública para contratar el suministro de oxígeno a domicilio para pacientes del programa de cuidados paliativos del Hospital Carlos Van Buren la que se singulariza en las Bases Administrativas y en las Bases Técnicas de la Propuesta."/>
    <s v="HOSPITAL CARLOS VAN BUREN"/>
    <m/>
    <m/>
    <x v="3"/>
    <x v="5"/>
    <d v="2022-07-25T10:13:00"/>
    <x v="3"/>
    <x v="1"/>
    <d v="2022-08-17T16:30:00"/>
    <d v="2022-07-25T00:00:00"/>
    <x v="1"/>
    <x v="1"/>
    <s v="Si"/>
    <d v="2022-07-30T10:30:00"/>
    <d v="2022-08-04T16:30:00"/>
    <d v="2022-09-22T19:57:00"/>
    <n v="50000000"/>
    <n v="42016806.722689077"/>
    <m/>
    <s v="No"/>
    <m/>
    <m/>
    <s v="No"/>
    <s v="Contrato"/>
    <n v="24"/>
    <s v="No"/>
    <n v="60"/>
    <d v="2022-10-16T16:30:00"/>
    <m/>
    <m/>
    <x v="0"/>
    <x v="0"/>
    <d v="2022-09-12T00:00:00"/>
    <n v="34.6875"/>
    <x v="2"/>
    <n v="49999800"/>
    <m/>
    <m/>
    <m/>
    <s v="61.602.054-4"/>
    <s v="Si"/>
    <n v="0.05"/>
    <d v="2025-01-14T00:00:00"/>
    <m/>
    <m/>
    <s v="Javier Olea Torres"/>
    <s v="javier.oleatorres@redsalud.gov.cl"/>
    <m/>
    <m/>
    <m/>
    <m/>
  </r>
  <r>
    <s v="1057547-269-LE22"/>
    <s v="ADQUISICION MATERIALES PARA TALLER DE GASES CLINIC"/>
    <s v="ADQUISICION MATERIALES PARA TALLER DE GASES CLINICOS DEL HOSPITAL BASE VALDIVIA"/>
    <s v="SERVICIO DE SALUD VALDIVIA"/>
    <m/>
    <m/>
    <x v="2"/>
    <x v="3"/>
    <d v="2022-08-03T11:05:22"/>
    <x v="10"/>
    <x v="1"/>
    <d v="2022-08-16T15:01:00"/>
    <d v="2022-08-08T00:00:00"/>
    <x v="1"/>
    <x v="1"/>
    <s v="Si"/>
    <d v="2022-08-09T09:00:00"/>
    <d v="2022-08-11T19:59:00"/>
    <d v="2022-10-12T19:59:00"/>
    <n v="0"/>
    <n v="0"/>
    <m/>
    <s v="No"/>
    <m/>
    <s v=" "/>
    <s v="No"/>
    <m/>
    <m/>
    <s v="No"/>
    <m/>
    <d v="2022-08-16T15:01:00"/>
    <m/>
    <m/>
    <x v="0"/>
    <x v="0"/>
    <d v="2022-09-12T15:54:46"/>
    <n v="-27.037337962960009"/>
    <x v="0"/>
    <n v="299650"/>
    <m/>
    <m/>
    <m/>
    <s v="61.607.502-0"/>
    <s v="No"/>
    <m/>
    <m/>
    <m/>
    <m/>
    <s v="Alberto Delgado Kauzlarich"/>
    <s v="alberto.delgado@redsalud.gov.cl"/>
    <m/>
    <m/>
    <m/>
    <m/>
  </r>
  <r>
    <s v="621-686-LR22"/>
    <s v="VENTILADOR MECANICO NO INVASIVO BINIVEL 1000017270"/>
    <s v="Bases administrativas y técnicas tipo por las que se regirán los procesos de licitación para la adquisición de fármacos, dispositivos médicos e insumos o alimentos, bajo la modalidad de “distribución directa” destinados al apoyo del ejercicio de acciones de salud, en adelante las “Bases”."/>
    <s v="CENTRAL DE ABASTECIMIENTO"/>
    <m/>
    <m/>
    <x v="0"/>
    <x v="0"/>
    <d v="2022-07-13T15:52:24"/>
    <x v="3"/>
    <x v="1"/>
    <d v="2022-08-16T16:00:00"/>
    <m/>
    <x v="0"/>
    <x v="11"/>
    <s v="No"/>
    <d v="2022-07-25T17:30:00"/>
    <d v="2022-07-28T17:30:00"/>
    <d v="2022-10-18T17:30:00"/>
    <n v="0"/>
    <n v="0"/>
    <m/>
    <s v="Si"/>
    <n v="10000000"/>
    <d v="2022-12-10T00:00:00"/>
    <s v="No"/>
    <m/>
    <m/>
    <m/>
    <m/>
    <d v="2022-08-16T16:00:00"/>
    <m/>
    <m/>
    <x v="0"/>
    <x v="2"/>
    <m/>
    <n v="44789.666666666664"/>
    <x v="3"/>
    <m/>
    <m/>
    <m/>
    <m/>
    <s v="61.608.700-2"/>
    <s v="Si"/>
    <n v="0.1"/>
    <d v="2025-02-27T00:00:00"/>
    <m/>
    <m/>
    <s v="Víctor Barberis Castex"/>
    <s v="vbarberis@cenabast.cl"/>
    <m/>
    <m/>
    <m/>
    <m/>
  </r>
  <r>
    <s v="2258-166-LR22"/>
    <s v="INSUMOS VIA RESPIRATORIA"/>
    <s v="PODER CONTAR CON LOS INSUMOS NECESARIOS SOLICITADOS POR SDE PARA DIFERENTES UNIDADES CLINICAS PARA PACIENTES RESPIRATORIOS QUE SE ENCUENTARN HOSPITALIZADOS EN HOSPITAL REGIONAL ANTOFAGASTA."/>
    <s v="SERVICIO DE SALUD ANTOFAGASTA "/>
    <m/>
    <m/>
    <x v="0"/>
    <x v="0"/>
    <d v="2022-07-25T14:05:22"/>
    <x v="3"/>
    <x v="1"/>
    <d v="2022-08-25T13:20:00"/>
    <d v="2022-07-29T00:00:00"/>
    <x v="1"/>
    <x v="1"/>
    <s v="Si"/>
    <d v="2022-08-09T15:29:00"/>
    <d v="2022-08-19T15:29:00"/>
    <d v="2022-10-26T13:21:00"/>
    <n v="400000000"/>
    <n v="336134453.78151262"/>
    <n v="30"/>
    <s v="Si"/>
    <n v="2000000"/>
    <d v="2023-01-23T00:00:00"/>
    <s v="No"/>
    <s v="Contrato"/>
    <n v="24"/>
    <s v="No"/>
    <n v="150"/>
    <d v="2023-01-22T13:20:00"/>
    <n v="300"/>
    <n v="17180"/>
    <x v="33"/>
    <x v="0"/>
    <m/>
    <d v="2023-01-22T13:20:00"/>
    <x v="1"/>
    <m/>
    <m/>
    <m/>
    <m/>
    <s v="61.606.201-8"/>
    <s v="Si"/>
    <n v="0.05"/>
    <d v="2025-01-17T00:00:00"/>
    <m/>
    <m/>
    <s v="Sergio Moreno Rios"/>
    <s v="jefe.finanzas.hra@redsalud.gov.cl"/>
    <m/>
    <m/>
    <m/>
    <m/>
  </r>
  <r>
    <s v="2258-166-LR22"/>
    <s v="INSUMOS VIA RESPIRATORIA"/>
    <s v="PODER CONTAR CON LOS INSUMOS NECESARIOS SOLICITADOS POR SDE PARA DIFERENTES UNIDADES CLINICAS PARA PACIENTES RESPIRATORIOS QUE SE ENCUENTARN HOSPITALIZADOS EN HOSPITAL REGIONAL ANTOFAGASTA."/>
    <s v="SERVICIO DE SALUD ANTOFAGASTA "/>
    <m/>
    <m/>
    <x v="0"/>
    <x v="0"/>
    <d v="2022-07-25T14:05:22"/>
    <x v="3"/>
    <x v="1"/>
    <d v="2022-08-25T13:20:00"/>
    <d v="2022-07-29T00:00:00"/>
    <x v="1"/>
    <x v="1"/>
    <s v="Si"/>
    <d v="2022-08-09T15:29:00"/>
    <d v="2022-08-19T15:29:00"/>
    <d v="2022-10-26T13:21:00"/>
    <n v="400000000"/>
    <n v="336134453.78151262"/>
    <n v="30"/>
    <s v="Si"/>
    <n v="2000000"/>
    <d v="2023-01-23T00:00:00"/>
    <s v="No"/>
    <s v="Contrato"/>
    <n v="24"/>
    <s v="No"/>
    <n v="150"/>
    <d v="2023-01-22T13:20:00"/>
    <n v="300"/>
    <n v="19034"/>
    <x v="34"/>
    <x v="2"/>
    <m/>
    <d v="2023-01-22T13:20:00"/>
    <x v="3"/>
    <m/>
    <m/>
    <m/>
    <m/>
    <s v="61.606.201-8"/>
    <s v="Si"/>
    <n v="0.05"/>
    <d v="2025-01-17T00:00:00"/>
    <m/>
    <m/>
    <s v="Sergio Moreno Rios"/>
    <s v="jefe.finanzas.hra@redsalud.gov.cl"/>
    <m/>
    <m/>
    <m/>
    <m/>
  </r>
  <r>
    <s v="1057536-65-LR22"/>
    <s v="Convenio Suministro de Fármacos Red SSDR"/>
    <s v="CONVENIO DE SUMINISTRO DE FÁRMACOS PARA LA RED DEL SERVICIO DE SALUD DEL RELONCAVÍ"/>
    <s v="SERVICIO SALUD DEL RELONCAVI"/>
    <m/>
    <m/>
    <x v="0"/>
    <x v="0"/>
    <d v="2022-08-01T11:12:46"/>
    <x v="10"/>
    <x v="1"/>
    <d v="2022-08-31T17:00:00"/>
    <d v="2022-08-04T00:00:00"/>
    <x v="0"/>
    <x v="11"/>
    <s v="No"/>
    <d v="2022-08-16T17:00:00"/>
    <d v="2022-08-22T17:00:00"/>
    <d v="2022-09-20T17:00:00"/>
    <n v="0"/>
    <n v="0"/>
    <m/>
    <s v="Si"/>
    <n v="100000"/>
    <d v="2022-12-01T00:00:00"/>
    <s v="No"/>
    <m/>
    <m/>
    <m/>
    <m/>
    <d v="2022-08-31T17:00:00"/>
    <m/>
    <m/>
    <x v="0"/>
    <x v="2"/>
    <m/>
    <n v="44804.708333333336"/>
    <x v="3"/>
    <m/>
    <m/>
    <m/>
    <m/>
    <s v="61.607.700-7"/>
    <s v="Si"/>
    <n v="0.05"/>
    <d v="2024-08-01T00:00:00"/>
    <m/>
    <m/>
    <s v="TESORERÍA GENERAL DE LA REPÚBLICA"/>
    <s v="FINANZAS@SSDR.GOB.CL"/>
    <m/>
    <m/>
    <m/>
    <m/>
  </r>
  <r>
    <s v="4968-23-B222"/>
    <s v="OXIGENOTERAPIA DOMICILIARIA"/>
    <s v="Que, el Hospital de Quilpué requiere contratar los servicios de OXIGENOTERAPIA DOMICILIARIA, de manera de satisfacer adecuada y oportunamente la demanda asistencial a la población asignada, que legalmente le ha sido encomendada"/>
    <s v="HOSPITAL DE QUILPUE"/>
    <m/>
    <m/>
    <x v="3"/>
    <x v="5"/>
    <d v="2022-04-27T08:13:16"/>
    <x v="7"/>
    <x v="1"/>
    <d v="2022-08-12T16:30:00"/>
    <d v="2022-04-27T00:00:00"/>
    <x v="1"/>
    <x v="1"/>
    <s v="Si"/>
    <d v="2022-05-05T15:00:00"/>
    <d v="2022-05-09T20:00:00"/>
    <d v="2022-06-28T16:34:22"/>
    <n v="61500000"/>
    <n v="51680672.268907562"/>
    <m/>
    <s v="Si"/>
    <n v="500000"/>
    <d v="2022-08-16T00:00:00"/>
    <s v="No"/>
    <s v="Contrato"/>
    <n v="36"/>
    <s v="No"/>
    <n v="90"/>
    <d v="2022-11-10T16:30:00"/>
    <m/>
    <m/>
    <x v="0"/>
    <x v="1"/>
    <m/>
    <n v="44875.6875"/>
    <x v="3"/>
    <m/>
    <m/>
    <m/>
    <m/>
    <s v="61.606.604-8"/>
    <s v="Si"/>
    <n v="0.05"/>
    <d v="2025-10-17T00:00:00"/>
    <m/>
    <m/>
    <m/>
    <m/>
    <m/>
    <m/>
    <m/>
    <m/>
  </r>
  <r>
    <s v="3873-10-LE22"/>
    <s v="ABASTECIMIENTO DE OXIGENO MEDICO Y MANTENCION TEC."/>
    <s v="LICITACIÓN PÚBLICA PARA CONVENIO DE ABASTECIMIENTO DE OXIGENO MEDICO Y MANTENCION TECNICA DE LOS CILINDROS DEL DEPARTAMENTO DE SALUD DE LA COMUNA DE PUNITAQUI"/>
    <s v="I MUNICIPALIDAD DE PUNITAQUI"/>
    <m/>
    <m/>
    <x v="2"/>
    <x v="11"/>
    <d v="2022-01-19T12:37:39"/>
    <x v="4"/>
    <x v="1"/>
    <d v="2022-01-31T16:18:00"/>
    <d v="2022-01-21T00:00:00"/>
    <x v="0"/>
    <x v="2"/>
    <s v="No"/>
    <d v="2022-01-22T16:19:00"/>
    <d v="2022-01-23T16:19:00"/>
    <d v="2022-02-02T16:19:00"/>
    <n v="0"/>
    <n v="0"/>
    <m/>
    <s v="No"/>
    <m/>
    <s v=" "/>
    <s v="No"/>
    <m/>
    <m/>
    <m/>
    <m/>
    <d v="2022-01-31T16:18:00"/>
    <m/>
    <m/>
    <x v="0"/>
    <x v="2"/>
    <m/>
    <n v="44592.679166666669"/>
    <x v="3"/>
    <m/>
    <m/>
    <m/>
    <m/>
    <s v="69.040.900-3"/>
    <s v="No"/>
    <m/>
    <m/>
    <m/>
    <m/>
    <s v="Natalia Molina Toro"/>
    <s v="nmolina@munipunitaqui.cl"/>
    <m/>
    <m/>
    <m/>
    <m/>
  </r>
  <r>
    <s v="1057501-249-LQ22"/>
    <s v="Contratación para el Suministro de Oxigeno Medicinal Liquido"/>
    <s v="La necesidad de contar con oxígeno medicinal líquido para dar cumplimiento con los distintos servicios clínicos del Complejo."/>
    <s v="COMPLEJO ASISTENCIAL DR. SOTERO DEL RIO"/>
    <m/>
    <m/>
    <x v="2"/>
    <x v="2"/>
    <d v="2022-08-02T12:54:55"/>
    <x v="10"/>
    <x v="1"/>
    <d v="2022-08-31T17:00:00"/>
    <d v="2022-08-02T00:00:00"/>
    <x v="1"/>
    <x v="1"/>
    <s v="Si"/>
    <d v="2022-08-05T14:45:00"/>
    <d v="2022-08-08T14:45:00"/>
    <d v="2022-09-30T11:08:00"/>
    <n v="0"/>
    <n v="0"/>
    <m/>
    <s v="Si"/>
    <n v="1000000"/>
    <d v="2022-12-28T00:00:00"/>
    <s v="No"/>
    <m/>
    <m/>
    <s v="No"/>
    <m/>
    <d v="2022-08-31T17:00:00"/>
    <m/>
    <m/>
    <x v="0"/>
    <x v="2"/>
    <m/>
    <d v="2022-08-31T17:00:00"/>
    <x v="3"/>
    <m/>
    <m/>
    <m/>
    <m/>
    <s v="61.608.502-6"/>
    <s v="Si"/>
    <n v="0.05"/>
    <d v="2026-01-20T00:00:00"/>
    <m/>
    <m/>
    <s v="Ramon Varas"/>
    <s v="ravaras@ssmso.cl"/>
    <m/>
    <m/>
    <m/>
    <m/>
  </r>
  <r>
    <s v="1057547-269-LE22"/>
    <s v="ADQUISICION MATERIALES PARA TALLER DE GASES CLINIC"/>
    <s v="ADQUISICION MATERIALES PARA TALLER DE GASES CLINICOS DEL HOSPITAL BASE VALDIVIA"/>
    <s v="SERVICIO DE SALUD VALDIVIA "/>
    <m/>
    <m/>
    <x v="2"/>
    <x v="3"/>
    <d v="2022-08-03T11:05:22"/>
    <x v="10"/>
    <x v="1"/>
    <d v="2022-08-16T15:01:00"/>
    <d v="2022-08-08T00:00:00"/>
    <x v="1"/>
    <x v="1"/>
    <s v="Si"/>
    <d v="2022-08-09T09:00:00"/>
    <d v="2022-08-11T19:59:00"/>
    <d v="2022-10-12T19:59:00"/>
    <n v="0"/>
    <n v="0"/>
    <m/>
    <s v="No"/>
    <m/>
    <s v=" "/>
    <s v="No"/>
    <m/>
    <m/>
    <s v="No"/>
    <m/>
    <d v="2022-08-16T15:01:00"/>
    <m/>
    <m/>
    <x v="0"/>
    <x v="0"/>
    <d v="2022-09-12T15:54:46"/>
    <n v="-27.037337962960009"/>
    <x v="0"/>
    <n v="99750"/>
    <m/>
    <m/>
    <m/>
    <s v="61.607.502-0"/>
    <s v="No"/>
    <m/>
    <m/>
    <m/>
    <m/>
    <s v="Alberto Delgado Kauzlarich"/>
    <s v="alberto.delgado@redsalud.gov.cl"/>
    <m/>
    <m/>
    <m/>
    <m/>
  </r>
  <r>
    <s v="1057509-214-LE22"/>
    <s v="CONVENIO DE SUMINISTRO DE CO2 Y ACETILENO cav"/>
    <s v="El Hospital Clínico Herminda Martín de Chillán llama a Licitación Pública a través del Portal Mercado Público, para suscribir “Convenio para el suministro de CO2 y Acetileno”, para uso en los Servicios Clínicos y de mantención, de acuerdo a protocolos técnicos y administrativos establecidos. Se pretende obtener la mejor calidad y oportunidad en el suministro de los gases a un precio conveniente."/>
    <s v="HOSPITAL CLINICO HERMINDA MARTIN"/>
    <m/>
    <m/>
    <x v="2"/>
    <x v="17"/>
    <d v="2022-08-08T11:48:22"/>
    <x v="10"/>
    <x v="1"/>
    <d v="2022-08-18T17:00:00"/>
    <d v="2022-08-09T00:00:00"/>
    <x v="1"/>
    <x v="1"/>
    <s v="Si"/>
    <d v="2022-08-11T12:00:00"/>
    <d v="2022-08-15T17:00:00"/>
    <d v="2022-09-09T17:00:00"/>
    <n v="0"/>
    <n v="0"/>
    <m/>
    <s v="No"/>
    <m/>
    <s v=" "/>
    <s v="No"/>
    <m/>
    <m/>
    <s v="No"/>
    <m/>
    <d v="2022-08-18T17:00:00"/>
    <m/>
    <m/>
    <x v="0"/>
    <x v="1"/>
    <m/>
    <n v="44791.708333333336"/>
    <x v="3"/>
    <m/>
    <m/>
    <m/>
    <m/>
    <s v="61.607.001-0"/>
    <s v="No"/>
    <m/>
    <m/>
    <m/>
    <m/>
    <s v="Tesorería General de la República"/>
    <s v="www.tgr.cl"/>
    <m/>
    <m/>
    <m/>
    <m/>
  </r>
  <r>
    <s v="1558-27-LE22"/>
    <s v="Suministro de oxígeno gaseoso de uso medicinal."/>
    <s v="Realizar licitación para contrato de suministros oxígeno gaseoso de uso medicinal por un año para pacientes hospital Florencio Vargas Díaz, según lo solicitado por encargado de mantención."/>
    <s v="SERVICIO DE SALUD ATACAMA"/>
    <m/>
    <m/>
    <x v="2"/>
    <x v="14"/>
    <d v="2022-08-04T12:14:32"/>
    <x v="10"/>
    <x v="1"/>
    <d v="2022-08-16T15:05:00"/>
    <d v="2022-08-09T00:00:00"/>
    <x v="1"/>
    <x v="1"/>
    <s v="Si"/>
    <d v="2022-08-07T16:03:00"/>
    <d v="2022-08-08T16:03:00"/>
    <d v="2022-08-17T15:06:00"/>
    <n v="0"/>
    <n v="0"/>
    <m/>
    <s v="No"/>
    <m/>
    <s v=" "/>
    <s v="No"/>
    <m/>
    <m/>
    <s v="No"/>
    <m/>
    <d v="2022-08-16T15:05:00"/>
    <m/>
    <m/>
    <x v="0"/>
    <x v="2"/>
    <m/>
    <d v="2022-08-16T15:05:00"/>
    <x v="3"/>
    <m/>
    <m/>
    <m/>
    <m/>
    <s v="61.606.306-5"/>
    <s v="No"/>
    <m/>
    <m/>
    <m/>
    <m/>
    <s v="Mauricio Blanco Hidalgo"/>
    <s v="mauricio.blancoh@redsalud.gov.cl"/>
    <m/>
    <m/>
    <m/>
    <m/>
  </r>
  <r>
    <s v="1075963-349-LE22"/>
    <s v="CONVENIO DE SUMINISTRO DE GASES MEDICINALES POR 6 MESES"/>
    <s v="CONVENIO DE SUMINISTRO DE GASES MEDICINALES POR 6 MESES."/>
    <s v="HOSP DR JUAN NOE CREVANI"/>
    <m/>
    <m/>
    <x v="2"/>
    <x v="15"/>
    <d v="2022-08-01T14:18:22"/>
    <x v="10"/>
    <x v="1"/>
    <d v="2022-08-11T19:57:00"/>
    <d v="2022-08-09T00:00:00"/>
    <x v="1"/>
    <x v="1"/>
    <s v="Si"/>
    <d v="2022-08-05T17:49:00"/>
    <d v="2022-08-09T17:49:00"/>
    <d v="2022-08-16T19:58:00"/>
    <n v="0"/>
    <n v="0"/>
    <m/>
    <s v="No"/>
    <m/>
    <s v=" "/>
    <s v="No"/>
    <m/>
    <m/>
    <s v="No"/>
    <m/>
    <d v="2022-08-11T19:57:00"/>
    <m/>
    <m/>
    <x v="0"/>
    <x v="0"/>
    <d v="2022-08-18T17:00:22"/>
    <n v="-6.877337962956517"/>
    <x v="1"/>
    <n v="45748938"/>
    <m/>
    <m/>
    <m/>
    <s v="61.606.001-5"/>
    <s v="No"/>
    <m/>
    <m/>
    <m/>
    <m/>
    <s v="RENATA BALTOLU"/>
    <s v="renata.baltolu.z@hjnc.cl"/>
    <m/>
    <m/>
    <m/>
    <m/>
  </r>
  <r>
    <s v="607-105-L122"/>
    <s v="CARGA DE OXÍGENO Y DIÓXIDO DE CARBONO ZOOLÓGICO"/>
    <s v="PARQUE METROPOLITANO DE SANTIAGO"/>
    <m/>
    <m/>
    <m/>
    <x v="2"/>
    <x v="2"/>
    <d v="2022-08-08T09:02:41"/>
    <x v="10"/>
    <x v="1"/>
    <d v="2022-08-16T20:00:00"/>
    <d v="2022-08-09T00:00:00"/>
    <x v="0"/>
    <x v="0"/>
    <s v="No"/>
    <d v="2022-08-09T17:00:00"/>
    <d v="2022-08-11T17:30:00"/>
    <d v="2022-09-14T17:30:00"/>
    <n v="0"/>
    <n v="0"/>
    <m/>
    <s v="No"/>
    <m/>
    <s v=" "/>
    <s v="No"/>
    <m/>
    <m/>
    <m/>
    <m/>
    <d v="2022-08-16T20:00:00"/>
    <m/>
    <m/>
    <x v="0"/>
    <x v="0"/>
    <d v="2022-09-14T00:00:00"/>
    <n v="-28.166666666664241"/>
    <x v="2"/>
    <n v="2945048"/>
    <m/>
    <m/>
    <m/>
    <s v="61.809.000-0"/>
    <s v="No"/>
    <m/>
    <m/>
    <m/>
    <m/>
    <m/>
    <m/>
    <m/>
    <m/>
    <m/>
    <m/>
  </r>
  <r>
    <s v="4642-64-LQ22"/>
    <s v="SUMINISTRO DE GASES MEDICINALES POR 24 MESES."/>
    <s v="SUMINISTRO DE GASES MEDICINALES CON ENTREGA DE EQUIPAMIENTO EN COMODATO PARA EL HOSPITAL DE CARABINEROS, POR UN PERIODO DE 24 MESES, RES. EX. N1055 DE FECHA 02.08.2022 SOLICITUD ERP. 2201360 CR. N126 DE FECHA 02.06.2022."/>
    <s v="FONDO PARA HOSPITALES DE CARABINEROS DE CHILE"/>
    <m/>
    <m/>
    <x v="2"/>
    <x v="2"/>
    <d v="2022-08-08T15:43:34"/>
    <x v="10"/>
    <x v="1"/>
    <d v="2022-09-07T16:00:00"/>
    <d v="2022-08-08T00:00:00"/>
    <x v="0"/>
    <x v="6"/>
    <s v="No"/>
    <d v="2022-08-18T17:30:00"/>
    <d v="2022-08-26T17:30:00"/>
    <d v="2022-10-11T17:30:00"/>
    <n v="0"/>
    <n v="0"/>
    <m/>
    <s v="Si"/>
    <n v="9000000"/>
    <d v="2023-02-15T00:00:00"/>
    <s v="No"/>
    <m/>
    <m/>
    <m/>
    <m/>
    <d v="2022-09-07T16:00:00"/>
    <m/>
    <m/>
    <x v="0"/>
    <x v="0"/>
    <d v="2022-10-24T00:00:00"/>
    <n v="-46.333333333335759"/>
    <x v="6"/>
    <n v="167992550"/>
    <m/>
    <m/>
    <s v="Contrato"/>
    <s v="60.514.000-9"/>
    <s v="Si"/>
    <n v="0.1"/>
    <d v="2025-01-07T00:00:00"/>
    <m/>
    <m/>
    <s v="Elena Molina"/>
    <s v="ELENA.MOLINA@HOSCAR.CL"/>
    <m/>
    <m/>
    <m/>
    <m/>
  </r>
  <r>
    <s v="1549-88-LE22"/>
    <s v="ADQUISICION Y RECARGA DE 1.000 LITROS DE HELIO LIQUIDO PARA RESONADOR MAGNETICO HOSPITAL SAN JOSE POR UN PERIODO DE 12 MESES."/>
    <s v="ADQUISICION Y RECARGA DE 1.000 LITROS DE HELIO LIQUIDO PARA RESONADOR MAGNETICO HOSPITAL SAN JOSE, POR UN PERIODO DE 12 MESES."/>
    <s v="HOSPITAL SAN JOSE"/>
    <m/>
    <m/>
    <x v="7"/>
    <x v="1"/>
    <d v="2022-08-11T10:28:15"/>
    <x v="10"/>
    <x v="1"/>
    <d v="2022-08-17T18:15:00"/>
    <d v="2022-08-12T00:00:00"/>
    <x v="1"/>
    <x v="1"/>
    <s v="Si"/>
    <d v="2022-08-13T17:00:00"/>
    <d v="2022-08-16T18:00:00"/>
    <d v="2022-09-20T18:00:00"/>
    <n v="0"/>
    <n v="0"/>
    <m/>
    <s v="No"/>
    <m/>
    <s v=" "/>
    <s v="No"/>
    <m/>
    <m/>
    <s v="No"/>
    <m/>
    <d v="2022-08-17T18:15:00"/>
    <m/>
    <m/>
    <x v="0"/>
    <x v="0"/>
    <d v="2022-08-31T13:12:18"/>
    <n v="-13.789791666669771"/>
    <x v="0"/>
    <n v="38700000"/>
    <m/>
    <m/>
    <m/>
    <s v="61.608.002-4"/>
    <s v="No"/>
    <m/>
    <m/>
    <m/>
    <m/>
    <s v="TESORERIA GENERAL DE LA REPUBLICA"/>
    <s v="SARA.ITURRA@REDSALUD.GOV.CL"/>
    <m/>
    <m/>
    <m/>
    <m/>
  </r>
  <r>
    <s v="948354-155-LE22"/>
    <s v="Adquisición de Flujómetros de Oxígeno y Reguladores de Vacío Central para el Hospital Dipreca."/>
    <s v="El Hospital de la Dirección de Previsión de Carabineros de Chile, ubicado en Vital Apoquindo N°1.200, Comuna de Las Condes, Región Metropolitana, en adelante “EL HOSPITAL”, llama a Licitación Pública para la Adquisición de Flujómetros de Oxígeno y Reguladores de Vacío Central para el Hospital Dipreca, en adelante “LOS BIENES”, para el referido Centro Asistencial, cuyas características y requisitos técnicos constan en las Bases Administrativas y Técnicas de esta Licitación con sus respectivos anexos."/>
    <s v="FONDO HOSPITAL DE LA DIRECCION DE PREVISION DE CARABINEROS DE CHILE"/>
    <m/>
    <m/>
    <x v="2"/>
    <x v="2"/>
    <d v="2022-08-12T09:59:41"/>
    <x v="10"/>
    <x v="1"/>
    <d v="2022-08-24T16:00:00"/>
    <d v="2022-08-16T00:00:00"/>
    <x v="0"/>
    <x v="2"/>
    <s v="No"/>
    <d v="2022-08-19T15:00:00"/>
    <d v="2022-08-23T15:00:00"/>
    <d v="2022-10-21T18:00:00"/>
    <n v="0"/>
    <n v="0"/>
    <m/>
    <s v="No"/>
    <m/>
    <s v=" "/>
    <s v="Si"/>
    <m/>
    <m/>
    <m/>
    <m/>
    <d v="2022-08-24T16:00:00"/>
    <m/>
    <m/>
    <x v="0"/>
    <x v="0"/>
    <d v="2022-09-22T00:00:00"/>
    <n v="-28.333333333335759"/>
    <x v="0"/>
    <n v="7600000"/>
    <m/>
    <m/>
    <m/>
    <s v="61.513.003-6"/>
    <s v="No"/>
    <m/>
    <m/>
    <m/>
    <m/>
    <s v="Viviana García"/>
    <s v="garciav@hospitaldipreca.cl"/>
    <m/>
    <m/>
    <m/>
    <m/>
  </r>
  <r>
    <s v="1642-30-LE22"/>
    <s v="MANTENCIÓN PREV. Y REPARACIÓN CENTRAL DE OXIGENO"/>
    <s v="El Hospital de Curacaví cuenta con una central de oxígeno que se encuentra ubicada a un costado exterior del Servicio de Medicina Hospitalización, a lo que necesidad de adquirir un convenio para los servicios de “Manutención Preventiva y Reparación de la Central de Oxígeno del Hospital de Curacaví”"/>
    <s v="HOSPITAL DE CURACAVI"/>
    <m/>
    <m/>
    <x v="5"/>
    <x v="6"/>
    <d v="2022-08-12T11:28:30"/>
    <x v="10"/>
    <x v="1"/>
    <d v="2022-08-23T16:30:00"/>
    <d v="2022-08-16T00:00:00"/>
    <x v="0"/>
    <x v="4"/>
    <s v="No"/>
    <d v="2022-08-18T16:30:00"/>
    <d v="2022-08-22T12:00:00"/>
    <d v="2022-09-12T17:00:00"/>
    <n v="0"/>
    <n v="0"/>
    <m/>
    <m/>
    <m/>
    <s v=" "/>
    <s v="Si"/>
    <m/>
    <m/>
    <m/>
    <m/>
    <d v="2022-08-23T16:30:00"/>
    <m/>
    <m/>
    <x v="0"/>
    <x v="1"/>
    <m/>
    <n v="44796.6875"/>
    <x v="3"/>
    <m/>
    <m/>
    <m/>
    <s v="Contrato"/>
    <s v="61.602.125-7"/>
    <s v="Si"/>
    <n v="0.1"/>
    <d v="2024-11-29T00:00:00"/>
    <m/>
    <m/>
    <s v="CHRISTOPHER SALAS"/>
    <s v="christopher.salas@redsalud.gov.cl"/>
    <m/>
    <m/>
    <m/>
    <m/>
  </r>
  <r>
    <s v="5061-119-L122"/>
    <s v="Adquisición e instalación de (25) flexibles de cobre para conexión cilindros de aire y oxigeno medicinal, para establecimientos de Salud Municipal., según especificaciones técnicas adjuntas"/>
    <m/>
    <s v="I MUNICIPALIDAD DE TEMUCO"/>
    <m/>
    <m/>
    <x v="4"/>
    <x v="6"/>
    <d v="2022-08-12T14:36:11"/>
    <x v="10"/>
    <x v="1"/>
    <d v="2022-08-24T15:00:00"/>
    <d v="2022-08-17T00:00:00"/>
    <x v="0"/>
    <x v="4"/>
    <s v="No"/>
    <d v="2022-08-22T12:00:00"/>
    <d v="2022-08-23T18:00:00"/>
    <d v="2022-09-14T13:02:00"/>
    <n v="0"/>
    <n v="0"/>
    <m/>
    <s v="No"/>
    <m/>
    <s v=" "/>
    <s v="Si"/>
    <m/>
    <m/>
    <m/>
    <m/>
    <d v="2022-08-24T15:00:00"/>
    <m/>
    <m/>
    <x v="0"/>
    <x v="0"/>
    <d v="2022-09-07T00:00:00"/>
    <n v="-13.375"/>
    <x v="0"/>
    <n v="4700000"/>
    <m/>
    <m/>
    <s v="Orden de Compra"/>
    <s v="69.190.700-7"/>
    <s v="No"/>
    <m/>
    <m/>
    <m/>
    <m/>
    <m/>
    <m/>
    <m/>
    <m/>
    <m/>
    <m/>
  </r>
  <r>
    <s v="937232-53-LP22"/>
    <s v="SERVICIO DE PROVISIÓN DE OXÍGENO DOMICILIARIO 24 MESES"/>
    <s v="arantizar la provisión del Servicio de Domiciliario de Oxígeno Clínico con la finalidad de permitir el normal funcionamiento de Hospitalización Domiciliaria entregada por el CRS HPC, dando cumplimiento a la normativa vigente y a las regulaciones locales del establecimiento de salud."/>
    <s v="CENTRO DE REFERENCIA DE SALUD HOSPITAL PROVINCIA CORDILLERA"/>
    <m/>
    <m/>
    <x v="3"/>
    <x v="5"/>
    <d v="2022-08-12T16:04:05"/>
    <x v="10"/>
    <x v="1"/>
    <d v="2022-09-01T13:22:00"/>
    <d v="2022-08-17T00:00:00"/>
    <x v="1"/>
    <x v="1"/>
    <s v="Si"/>
    <d v="2022-08-19T16:30:00"/>
    <d v="2022-08-22T16:56:00"/>
    <d v="2022-09-30T19:23:00"/>
    <n v="80000000"/>
    <n v="67226890.756302521"/>
    <m/>
    <s v="No"/>
    <m/>
    <s v=" "/>
    <s v="No"/>
    <s v="Contrato"/>
    <n v="24"/>
    <s v="No"/>
    <m/>
    <d v="2022-09-01T13:22:00"/>
    <m/>
    <m/>
    <x v="0"/>
    <x v="0"/>
    <d v="2022-09-22T00:00:00"/>
    <n v="-20.443055555559113"/>
    <x v="2"/>
    <n v="62161280"/>
    <m/>
    <m/>
    <s v="Contrato"/>
    <s v="61.980.620-4"/>
    <s v="Si"/>
    <n v="0.1"/>
    <d v="2025-01-15T00:00:00"/>
    <m/>
    <m/>
    <s v="Yolanda Cea Quiroz"/>
    <s v="pagos@hpcordillera.cl"/>
    <m/>
    <m/>
    <m/>
    <m/>
  </r>
  <r>
    <s v="1973-38-LE22"/>
    <s v="Suministro Gases Medicinales y Nitrogeno Liquido"/>
    <s v="La propuesta comprende la contratación del Suministro de Gases Medicinales y Nitrógeno Líquido, de acuerdo con lo señalado en las Bases Técnicas, por un período de 36 meses. Formarán parte integrante de estas bases sus eventuales aclaraciones, rectificaciones, enmiendas, formularios y sus anexos; todo ello debidamente publicado en el portal Mercado Público. Se entenderá que todo proveedor conoce y acepta irrevocablemente el contenido de estas Bases, por el solo hecho de presentar ofertas en este proceso de compra."/>
    <s v="CRS DE PENALOLEN CORDILLERA ORIENTE"/>
    <m/>
    <m/>
    <x v="2"/>
    <x v="10"/>
    <d v="2022-08-12T11:02:18"/>
    <x v="10"/>
    <x v="1"/>
    <d v="2022-08-22T17:30:00"/>
    <d v="2022-08-17T00:00:00"/>
    <x v="0"/>
    <x v="0"/>
    <s v="No"/>
    <d v="2022-08-17T17:30:00"/>
    <d v="2022-08-19T17:30:00"/>
    <d v="2022-09-12T18:00:00"/>
    <n v="0"/>
    <n v="0"/>
    <m/>
    <s v="No"/>
    <m/>
    <s v=" "/>
    <s v="No"/>
    <m/>
    <m/>
    <m/>
    <m/>
    <d v="2022-08-22T17:30:00"/>
    <m/>
    <m/>
    <x v="0"/>
    <x v="0"/>
    <d v="2022-09-14T00:00:00"/>
    <n v="-22.270833333335759"/>
    <x v="6"/>
    <n v="11646410"/>
    <m/>
    <m/>
    <s v="Contrato"/>
    <s v="61.953.200-7"/>
    <s v="No"/>
    <m/>
    <m/>
    <m/>
    <m/>
    <s v="Francisco Carcamo"/>
    <s v="fcarcamo@crsoriente.cl"/>
    <m/>
    <m/>
    <m/>
    <m/>
  </r>
  <r>
    <s v="1554-33-LP22"/>
    <s v="Mant. Prev. de Centrales de Gases Clinicos"/>
    <s v="El objeto de la licitación es efectuar el llamado a Licitación pública, y regular la presentación de ofertas a fin de satisfacer las demandas del Servicio, los cuales deberán tener la suficiencia técnica y especializada para prestar colaboración con el Hospital Regional. Dichos requerimientos y servicios deberán enfocar su trabajo en la atención de calidad, con responsabilidad y pertinencia, encontrándose disponibles para el equipo de salud cuando este lo requiera, subordinándose a las normas del establecimiento hospitalario. Los cuáles serán coordinados y supervisados por la contraparte Técnica."/>
    <s v="HOSPITAL COPIAPO"/>
    <m/>
    <m/>
    <x v="5"/>
    <x v="11"/>
    <d v="2022-08-10T17:19:05"/>
    <x v="10"/>
    <x v="1"/>
    <d v="2022-08-30T20:00:00"/>
    <d v="2022-08-17T00:00:00"/>
    <x v="0"/>
    <x v="2"/>
    <s v="No"/>
    <d v="2022-08-24T20:00:00"/>
    <d v="2022-08-26T08:00:00"/>
    <d v="2022-09-30T15:00:00"/>
    <n v="0"/>
    <n v="0"/>
    <m/>
    <s v="Si"/>
    <n v="300000"/>
    <d v="2022-12-29T00:00:00"/>
    <s v="Si"/>
    <m/>
    <m/>
    <m/>
    <m/>
    <d v="2022-08-30T20:00:00"/>
    <m/>
    <m/>
    <x v="0"/>
    <x v="1"/>
    <m/>
    <n v="44803.833333333336"/>
    <x v="3"/>
    <m/>
    <m/>
    <m/>
    <m/>
    <s v="61.606.307-3"/>
    <s v="Si"/>
    <n v="0.05"/>
    <d v="2024-12-01T00:00:00"/>
    <m/>
    <m/>
    <s v="DANARY VERA MORETA"/>
    <s v="DANARY.VERA@REDSALUD.GOV.CL"/>
    <m/>
    <m/>
    <m/>
    <m/>
  </r>
  <r>
    <s v="5461-23-LE22"/>
    <s v="COMPRA INSUMOS MEDICOS AGOSTO 2022"/>
    <s v="ESTA LICITACION TIENE POR OBJETO LA COMPRA DE INSUMOS MEDICOS PARA EL HOSPITAL DE PEÑAFLOR, PERIODO AGOSTO 2022"/>
    <s v="HOSPITAL DE PEÑAFLOR"/>
    <m/>
    <m/>
    <x v="0"/>
    <x v="0"/>
    <d v="2022-08-16T12:27:47"/>
    <x v="10"/>
    <x v="1"/>
    <d v="2022-08-22T15:00:00"/>
    <d v="2022-08-18T00:00:00"/>
    <x v="0"/>
    <x v="5"/>
    <s v="No"/>
    <d v="2022-08-18T12:00:00"/>
    <d v="2022-08-19T12:00:00"/>
    <d v="2022-09-02T17:00:00"/>
    <n v="0"/>
    <n v="0"/>
    <m/>
    <s v="No"/>
    <m/>
    <s v=" "/>
    <s v="No"/>
    <m/>
    <m/>
    <m/>
    <m/>
    <d v="2022-08-22T15:00:00"/>
    <m/>
    <m/>
    <x v="0"/>
    <x v="0"/>
    <d v="2022-09-14T00:00:00"/>
    <n v="-22.375"/>
    <x v="0"/>
    <n v="1169000"/>
    <m/>
    <m/>
    <s v="Orden de Compra"/>
    <s v="61.602.121-4"/>
    <s v="No"/>
    <m/>
    <m/>
    <m/>
    <m/>
    <s v="VIVIANA ARAYA MIRA"/>
    <s v="VIVIANA.ARAYA@REDSALUD.GOV.CL"/>
    <m/>
    <m/>
    <m/>
    <m/>
  </r>
  <r>
    <s v="4030-32-L122"/>
    <s v="ADQUISICION DE MATERIALES TECNOLOGICOS"/>
    <s v="ADQUISICION DE MATERIALES TECNOLOGICOS DEL CONVENIO PMI AÑO 2022"/>
    <s v="ILUSTRE MUNICIPALIDAD DE CAMINA"/>
    <m/>
    <m/>
    <x v="0"/>
    <x v="0"/>
    <d v="2022-08-17T00:19:25"/>
    <x v="10"/>
    <x v="1"/>
    <d v="2022-08-23T15:00:00"/>
    <d v="2022-08-18T00:00:00"/>
    <x v="0"/>
    <x v="5"/>
    <s v="No"/>
    <d v="2022-08-20T23:59:00"/>
    <d v="2022-08-21T23:59:00"/>
    <d v="2022-08-23T16:30:00"/>
    <n v="0"/>
    <n v="0"/>
    <m/>
    <s v="No"/>
    <m/>
    <s v=" "/>
    <s v="No"/>
    <m/>
    <m/>
    <m/>
    <m/>
    <d v="2022-08-23T15:00:00"/>
    <m/>
    <m/>
    <x v="0"/>
    <x v="1"/>
    <d v="2022-10-04T00:00:00"/>
    <n v="-41.375"/>
    <x v="3"/>
    <m/>
    <m/>
    <m/>
    <m/>
    <s v="69.251.100-K"/>
    <s v="No"/>
    <m/>
    <m/>
    <m/>
    <m/>
    <s v="DEPARTAMENTO DE SALUD"/>
    <s v="MAGDADEPTOSALUD@GMAIL.COM"/>
    <m/>
    <m/>
    <m/>
    <m/>
  </r>
  <r>
    <s v="3245-15-LE22"/>
    <s v="Adquisición equipamiento y mobiliario para estable"/>
    <s v="mejorar o renovar equipamiento existente en las dependencias de los establecimientos de salud dependientes de la dirección de salud de la I.Municipalidad de Santo Domingo, para así brindar una atención de calidad a los usuarios inscritos en estos"/>
    <s v="I MUNICIPALIDAD DE SANTO DOMINGO"/>
    <m/>
    <m/>
    <x v="0"/>
    <x v="0"/>
    <d v="2022-08-16T15:34:42"/>
    <x v="10"/>
    <x v="1"/>
    <d v="2022-08-29T15:00:00"/>
    <d v="2022-08-18T00:00:00"/>
    <x v="0"/>
    <x v="0"/>
    <s v="No"/>
    <d v="2022-08-22T12:00:00"/>
    <d v="2022-08-24T20:00:00"/>
    <d v="2023-01-17T10:00:00"/>
    <n v="0"/>
    <n v="0"/>
    <m/>
    <s v="No"/>
    <m/>
    <s v=" "/>
    <s v="No"/>
    <m/>
    <m/>
    <m/>
    <m/>
    <d v="2022-08-29T15:00:00"/>
    <m/>
    <m/>
    <x v="0"/>
    <x v="0"/>
    <d v="2022-10-14T00:00:00"/>
    <n v="-45.375"/>
    <x v="0"/>
    <n v="97000"/>
    <m/>
    <m/>
    <s v="Orden de Compra"/>
    <s v="69.073.500-8"/>
    <s v="No"/>
    <m/>
    <m/>
    <m/>
    <m/>
    <s v="sebastian abarca"/>
    <s v="sabarca@santodomingo.cl"/>
    <m/>
    <m/>
    <m/>
    <m/>
  </r>
  <r>
    <s v="1395-72-LQ22"/>
    <s v="Convenio Fármacos Otros Programas Ministeriales"/>
    <s v="El Servicio de Salud Coquimbo llama a Licitación Pública, a través del Portal Mercado Público, para Convenio de Suministro de Fármacos utilizados en los Programas Ministeriales de los Establecimientos de Atención Primaria de la Región de Coquimbo, por un periodo de 12 meses o hasta la completa utilización de los recursos que financian en convenio."/>
    <s v="SERVICIO DE SALUD COQUIMBO"/>
    <m/>
    <m/>
    <x v="0"/>
    <x v="0"/>
    <d v="2022-08-19T15:31:24"/>
    <x v="10"/>
    <x v="1"/>
    <d v="2022-08-29T16:00:00"/>
    <d v="2022-08-22T00:00:00"/>
    <x v="0"/>
    <x v="6"/>
    <s v="No"/>
    <d v="2022-08-23T12:00:00"/>
    <d v="2022-08-25T17:00:00"/>
    <d v="2022-09-30T17:00:00"/>
    <n v="0"/>
    <n v="0"/>
    <m/>
    <s v="Si"/>
    <n v="1000000"/>
    <d v="2022-11-29T00:00:00"/>
    <s v="No"/>
    <m/>
    <m/>
    <m/>
    <m/>
    <d v="2022-08-29T16:00:00"/>
    <m/>
    <m/>
    <x v="0"/>
    <x v="0"/>
    <d v="2022-10-28T00:00:00"/>
    <n v="-59.333333333335759"/>
    <x v="0"/>
    <n v="3500"/>
    <m/>
    <m/>
    <s v="Contrato"/>
    <s v="61.606.400-2"/>
    <s v="Si"/>
    <n v="0.05"/>
    <d v="2023-12-29T00:00:00"/>
    <m/>
    <m/>
    <s v="Emilia Lopez"/>
    <s v="emilia.lopez@redsalud.gov.cl"/>
    <m/>
    <m/>
    <m/>
    <m/>
  </r>
  <r>
    <s v="2678-30-L122"/>
    <s v="Equipamiento Sala Primeros Auxilios Esc. El Rincon"/>
    <s v="El Departamento de educación, requiere la compra de equipamiento para sala de primeros auxilios y contención de la escuela El Rincón"/>
    <s v="I MUNICIPALIDAD DE MOSTAZAL"/>
    <m/>
    <m/>
    <x v="0"/>
    <x v="0"/>
    <d v="2022-08-19T12:45:50"/>
    <x v="10"/>
    <x v="1"/>
    <d v="2022-08-26T09:00:00"/>
    <d v="2022-08-22T00:00:00"/>
    <x v="0"/>
    <x v="0"/>
    <s v="No"/>
    <d v="2022-08-22T09:30:00"/>
    <d v="2022-08-24T09:30:00"/>
    <d v="2022-09-23T13:48:00"/>
    <n v="0"/>
    <n v="0"/>
    <m/>
    <s v="No"/>
    <m/>
    <s v=" "/>
    <s v="No"/>
    <m/>
    <m/>
    <m/>
    <m/>
    <d v="2022-08-26T09:00:00"/>
    <m/>
    <m/>
    <x v="0"/>
    <x v="1"/>
    <d v="2022-10-18T00:00:00"/>
    <n v="-52.625"/>
    <x v="3"/>
    <m/>
    <m/>
    <m/>
    <s v="Orden de Compra"/>
    <s v="69.080.500-6"/>
    <s v="No"/>
    <m/>
    <m/>
    <m/>
    <m/>
    <s v="Gonzalo Chandia Gonzalez"/>
    <s v="finanza@educacionmostazal.cl"/>
    <m/>
    <m/>
    <m/>
    <m/>
  </r>
  <r>
    <s v="1464-79-LE22"/>
    <s v="Insumos Médicos 2022"/>
    <s v="Cotizar insumos médicos para los servicios clínicos del Hospital de Parral."/>
    <s v="HOSPITAL DE PARRAL"/>
    <m/>
    <m/>
    <x v="0"/>
    <x v="0"/>
    <d v="2022-08-18T17:01:15"/>
    <x v="10"/>
    <x v="1"/>
    <d v="2022-08-25T14:00:00"/>
    <d v="2022-08-22T00:00:00"/>
    <x v="1"/>
    <x v="1"/>
    <s v="Si"/>
    <d v="2022-08-23T12:00:00"/>
    <d v="2022-08-24T13:00:00"/>
    <d v="2022-09-02T16:00:00"/>
    <n v="10000000"/>
    <n v="8403361.3445378151"/>
    <n v="30"/>
    <s v="No"/>
    <m/>
    <s v=" "/>
    <s v="No"/>
    <m/>
    <m/>
    <s v="No"/>
    <m/>
    <d v="2022-08-25T14:00:00"/>
    <n v="10"/>
    <n v="23438"/>
    <x v="35"/>
    <x v="0"/>
    <d v="2022-08-29T00:00:00"/>
    <n v="-3.4166666666642413"/>
    <x v="1"/>
    <n v="29900"/>
    <m/>
    <m/>
    <s v="Orden de Compra"/>
    <s v="61.606.918-7"/>
    <s v="No"/>
    <m/>
    <m/>
    <s v="dipresrecepcion@custodium.com"/>
    <m/>
    <s v="Carmen Gloria Alfaro F."/>
    <s v="mparra@hospitaldeparral.cl"/>
    <m/>
    <m/>
    <m/>
    <m/>
  </r>
  <r>
    <s v="2410-152-LP22"/>
    <s v="SUMINISTRO DE OXIGENO MEDICINAL Y AIRE COMPRIMIDO MEDICINAL"/>
    <s v="Considera el suministro, traslado y arriendo de cilindros oxígeno medicinal y aire comprimido medicinal para los establecimientos de atención primaria, ambulancias y puntos de vacunación de la comuna de Los Ángeles, de acuerdo a Bases técnicas adjuntas."/>
    <s v="MUNICIPALIDAD DE LOS ANGELES"/>
    <m/>
    <m/>
    <x v="2"/>
    <x v="17"/>
    <d v="2022-08-23T09:43:20"/>
    <x v="10"/>
    <x v="1"/>
    <d v="2022-09-13T09:00:00"/>
    <d v="2022-08-23T00:00:00"/>
    <x v="0"/>
    <x v="2"/>
    <s v="No"/>
    <d v="2022-08-30T14:00:00"/>
    <d v="2022-09-02T16:00:00"/>
    <d v="2022-11-11T17:00:00"/>
    <n v="0"/>
    <n v="0"/>
    <m/>
    <s v="No"/>
    <m/>
    <s v=" "/>
    <s v="No"/>
    <m/>
    <m/>
    <m/>
    <m/>
    <d v="2022-09-13T09:00:00"/>
    <m/>
    <m/>
    <x v="0"/>
    <x v="0"/>
    <d v="2022-10-17T00:00:00"/>
    <n v="-33.625"/>
    <x v="0"/>
    <n v="60000000"/>
    <m/>
    <m/>
    <s v="Contrato"/>
    <s v="69.170.102-6"/>
    <s v="Si"/>
    <n v="0.05"/>
    <d v="2025-05-30T00:00:00"/>
    <m/>
    <m/>
    <s v="Oscar Oliva San Martín"/>
    <s v="oscar.oliva@ssbiobio.cl"/>
    <m/>
    <m/>
    <m/>
    <m/>
  </r>
  <r>
    <s v="1979-190-LP22"/>
    <s v="210.22 DISPOSITIVOS MÉDICOS PARA MANEJO VENTILATORIO DE PACIENTES PARA NODO COSTERO: HOSPITAL NVA IMPERIAL"/>
    <s v="Se requiere contrato de suministro por el periodo de 18 meses para las adquisiciones de “DISPOSITIVOS MÉDICOS PARA MANEJO VENTILATORIO DE PACIENTES PARA NODO COSTERO: HOSPITAL NVA IMPERIAL.” de acuerdo a necesidades del Hospital Nueva Imperial."/>
    <s v="HOSPITAL DE NUEVA IMPERIAL"/>
    <m/>
    <m/>
    <x v="0"/>
    <x v="0"/>
    <d v="2022-08-23T17:00:18"/>
    <x v="10"/>
    <x v="1"/>
    <d v="2022-09-12T15:00:00"/>
    <d v="2022-08-29T00:00:00"/>
    <x v="0"/>
    <x v="10"/>
    <s v="No"/>
    <d v="2022-08-30T15:00:00"/>
    <d v="2022-09-02T18:00:00"/>
    <d v="2022-11-14T20:00:00"/>
    <n v="0"/>
    <n v="0"/>
    <m/>
    <s v="Si"/>
    <n v="200000"/>
    <d v="2022-12-12T00:00:00"/>
    <s v="No"/>
    <m/>
    <m/>
    <m/>
    <m/>
    <d v="2022-09-12T15:00:00"/>
    <m/>
    <m/>
    <x v="0"/>
    <x v="1"/>
    <d v="2022-10-27T00:00:00"/>
    <n v="-44.375"/>
    <x v="3"/>
    <m/>
    <m/>
    <m/>
    <m/>
    <s v="61.607.401-6"/>
    <s v="Si"/>
    <n v="0.05"/>
    <d v="2024-08-13T00:00:00"/>
    <m/>
    <m/>
    <s v="ROCIO PIZARRO"/>
    <s v="rocio.pizarro@asur.cl"/>
    <m/>
    <m/>
    <m/>
    <m/>
  </r>
  <r>
    <s v="1979-191-LQ22"/>
    <s v="211.22 DISPOSITIVOS MÉDICOS UTILIZADOS POR SERVICIOS CLÍNICOS Y UNIDADES DE APOYO CLÍNICO PARA NODO COSTERO: HOSPITAL NVA IMPERIAL"/>
    <s v="Se requiere contrato de suministro por el periodo de 18 meses para las adquisiciones de “DISPOSITIVOS MÉDICOS UTILIZADOS POR SERVICIOS CLÍNICOS Y UNIDADES DE APOYO CLÍNICO PARA NODO COSTERO: HOSPITAL NVA IMPERIAL.” de acuerdo a necesidades del Hospital Nueva Imperial."/>
    <s v="HOSPITAL DE NUEVA IMPERIAL"/>
    <m/>
    <m/>
    <x v="0"/>
    <x v="0"/>
    <d v="2022-08-23T17:00:43"/>
    <x v="10"/>
    <x v="1"/>
    <d v="2022-09-12T15:00:00"/>
    <d v="2022-08-29T00:00:00"/>
    <x v="0"/>
    <x v="4"/>
    <s v="No"/>
    <d v="2022-08-30T15:00:00"/>
    <d v="2022-09-02T18:00:00"/>
    <d v="2022-11-14T20:00:00"/>
    <n v="180000000"/>
    <n v="151260504.20168069"/>
    <n v="30"/>
    <s v="Si"/>
    <n v="200000"/>
    <d v="2022-12-12T00:00:00"/>
    <s v="No"/>
    <s v="Contrato"/>
    <n v="18"/>
    <s v="No"/>
    <n v="60"/>
    <d v="2022-11-11T15:00:00"/>
    <m/>
    <m/>
    <x v="0"/>
    <x v="1"/>
    <m/>
    <n v="44876.625"/>
    <x v="3"/>
    <m/>
    <m/>
    <m/>
    <s v="Contrato"/>
    <s v="61.607.401-6"/>
    <s v="Si"/>
    <n v="0.05"/>
    <d v="2024-08-13T00:00:00"/>
    <m/>
    <m/>
    <s v="ROCIO PIZARRO"/>
    <s v="rocio.pizarro@asur.cl"/>
    <m/>
    <m/>
    <m/>
    <m/>
  </r>
  <r>
    <s v="1057858-3-LQ22"/>
    <s v="REPOSICIÓN DE VENTILADORES NO INVASIVOS"/>
    <s v="El Servicio de Salud Metropolitano Central, en adelante “el Servicio”, llama a Propuesta Pública para la “REPOSICIÓN DE VENTILADORES NO INVASIVOS PARA PROGRAMA DE ATENCIÓN DOMICILIARIA DEL SERVICIO DE SALUD METROPOLITANO CENTRAL”.-"/>
    <s v="SERVICIO DE SALUD METROPOLITANO CENTRAL"/>
    <m/>
    <m/>
    <x v="0"/>
    <x v="0"/>
    <d v="2022-08-26T19:08:26"/>
    <x v="10"/>
    <x v="1"/>
    <d v="2022-09-05T19:10:00"/>
    <d v="2022-08-30T00:00:00"/>
    <x v="1"/>
    <x v="1"/>
    <s v="Si"/>
    <d v="2022-08-31T15:00:00"/>
    <d v="2022-09-02T18:00:00"/>
    <d v="2022-11-02T18:00:00"/>
    <n v="272209954"/>
    <n v="228747860.50420168"/>
    <n v="45"/>
    <s v="Si"/>
    <n v="100000"/>
    <d v="2023-01-03T00:00:00"/>
    <s v="No"/>
    <s v="Contrato"/>
    <n v="16"/>
    <s v="No"/>
    <n v="120"/>
    <d v="2023-01-03T19:10:00"/>
    <n v="83"/>
    <n v="2628766"/>
    <x v="36"/>
    <x v="0"/>
    <d v="2022-09-30T00:00:00"/>
    <n v="95.798611111109494"/>
    <x v="2"/>
    <n v="2280000"/>
    <m/>
    <m/>
    <s v="Contrato"/>
    <s v="61.608.600-6"/>
    <s v="Si"/>
    <n v="0.05"/>
    <d v="2024-02-25T00:00:00"/>
    <m/>
    <m/>
    <s v="Ursula Beecher"/>
    <s v="ursula.beecher@redsalud.gov.cl"/>
    <m/>
    <m/>
    <m/>
    <m/>
  </r>
  <r>
    <s v="1549-100-LE22"/>
    <s v="ADQUISICON DE 20 CONCENTRADORES DE OXIGENO POR CONTINGENCIA RESPIRATORIA HOSPITAL SAN JOSE."/>
    <s v="ADQUISICON DE 20 CONCENTRADORES DE OXIGENO POR CONTINGENCIA RESPIRATORIA HOSPITAL SAN JOSE. RESOLUCION 2379 24.08.2022.-"/>
    <s v="HOSPITAL SAN JOSE"/>
    <m/>
    <m/>
    <x v="0"/>
    <x v="0"/>
    <d v="2022-08-30T12:53:13"/>
    <x v="10"/>
    <x v="1"/>
    <d v="2022-09-07T18:00:00"/>
    <d v="2022-08-30T00:00:00"/>
    <x v="1"/>
    <x v="1"/>
    <s v="Si"/>
    <d v="2022-09-02T15:00:00"/>
    <d v="2022-09-05T18:00:00"/>
    <d v="2022-10-07T18:00:00"/>
    <n v="30000000"/>
    <n v="25210084.033613447"/>
    <n v="30"/>
    <s v="No"/>
    <m/>
    <s v=" "/>
    <s v="No"/>
    <s v="Spot"/>
    <m/>
    <s v="No"/>
    <n v="120"/>
    <d v="2023-01-05T18:00:00"/>
    <n v="20"/>
    <m/>
    <x v="0"/>
    <x v="0"/>
    <d v="2022-10-28T00:00:00"/>
    <n v="69.75"/>
    <x v="1"/>
    <n v="1040843"/>
    <m/>
    <m/>
    <s v="Orden de Compra"/>
    <s v="61.608.002-4"/>
    <s v="No"/>
    <m/>
    <m/>
    <m/>
    <m/>
    <s v="TESORERIA GENERAL DE LA REPUBLICA"/>
    <s v="SARA.ITURRA@REDSALUD.GOV.CL"/>
    <m/>
    <m/>
    <m/>
    <m/>
  </r>
  <r>
    <s v="2773-69-LE22"/>
    <s v="Servicio de recarga de oxígeno"/>
    <s v="Servicio de recarga de oxígeno"/>
    <s v="I MUNICIPALIDAD DE CHIGUAYANTE"/>
    <m/>
    <m/>
    <x v="2"/>
    <x v="17"/>
    <d v="2022-08-29T09:33:26"/>
    <x v="10"/>
    <x v="1"/>
    <d v="2022-09-05T15:29:00"/>
    <d v="2022-08-30T00:00:00"/>
    <x v="0"/>
    <x v="2"/>
    <s v="No"/>
    <d v="2022-09-01T15:15:00"/>
    <d v="2022-09-02T15:15:00"/>
    <d v="2022-09-06T15:30:00"/>
    <n v="0"/>
    <n v="0"/>
    <m/>
    <s v="No"/>
    <m/>
    <s v=" "/>
    <s v="No"/>
    <m/>
    <m/>
    <m/>
    <m/>
    <d v="2022-09-05T15:29:00"/>
    <m/>
    <m/>
    <x v="0"/>
    <x v="0"/>
    <d v="2022-11-16T00:00:00"/>
    <n v="-71.354861111110949"/>
    <x v="0"/>
    <n v="251371"/>
    <m/>
    <m/>
    <s v="Contrato"/>
    <s v="69.264.700-9"/>
    <s v="Si"/>
    <n v="0.05"/>
    <d v="2023-09-30T00:00:00"/>
    <m/>
    <m/>
    <s v="Hugolina Sanhueza"/>
    <s v="hsanhueza@daschiguayante.cl"/>
    <m/>
    <m/>
    <m/>
    <m/>
  </r>
  <r>
    <s v="898-147-LR22"/>
    <s v="Suministro de Oxígeno Criogénico con estanque para el Nuevo Hospital Claudio Vicuña"/>
    <s v="La necesidad del Hospital Claudio Vicuña, establecimiento dependiente del Servicio de Salud Valparaíso San Antonio, de contar con un convenio de “Suministro de Oxígeno Criogénico con estanque para el Nuevo Hospital Claudio Vicuña”, que permitirá abastecer de este vital gas clínico las nuevas dependencias del establecimiento."/>
    <s v="HOSPITAL CLAUDIO VICUNA"/>
    <m/>
    <m/>
    <x v="2"/>
    <x v="10"/>
    <d v="2022-09-02T15:43:44"/>
    <x v="11"/>
    <x v="1"/>
    <d v="2022-10-03T15:15:00"/>
    <d v="2022-09-05T00:00:00"/>
    <x v="1"/>
    <x v="1"/>
    <s v="Si"/>
    <d v="2022-09-17T15:54:00"/>
    <d v="2022-09-22T15:54:00"/>
    <d v="2022-11-02T18:38:00"/>
    <n v="0"/>
    <n v="0"/>
    <m/>
    <s v="Si"/>
    <n v="500000"/>
    <d v="2023-01-03T00:00:00"/>
    <s v="Si"/>
    <m/>
    <m/>
    <s v="No"/>
    <m/>
    <d v="2022-10-03T15:15:00"/>
    <m/>
    <m/>
    <x v="0"/>
    <x v="0"/>
    <d v="2022-10-17T00:00:00"/>
    <n v="-13.364583333335759"/>
    <x v="1"/>
    <n v="453396600"/>
    <m/>
    <m/>
    <s v="Contrato"/>
    <s v="61.602.126-5"/>
    <s v="Si"/>
    <n v="0.1"/>
    <d v="2026-04-30T00:00:00"/>
    <m/>
    <m/>
    <s v="Carmen Gloria Osorio Cueto"/>
    <s v="carmengloria.osorio@redsalud.gov.cl"/>
    <m/>
    <m/>
    <m/>
    <m/>
  </r>
  <r>
    <s v="744835-175-L122"/>
    <s v="Recargas de Cilíndros Oxígeno Medicinal"/>
    <s v="Solicitud de Materiales N° 419/2022 Departamento de Salud"/>
    <s v="I MUNICIPALIDAD DE LO ESPEJO"/>
    <m/>
    <m/>
    <x v="2"/>
    <x v="10"/>
    <d v="2022-09-05T13:51:15"/>
    <x v="11"/>
    <x v="1"/>
    <d v="2022-09-12T15:30:00"/>
    <d v="2022-09-06T00:00:00"/>
    <x v="0"/>
    <x v="0"/>
    <s v="No"/>
    <d v="2022-09-08T17:30:00"/>
    <d v="2022-09-09T17:30:00"/>
    <d v="2022-10-13T15:38:00"/>
    <n v="0"/>
    <n v="0"/>
    <m/>
    <s v="No"/>
    <m/>
    <m/>
    <s v="No"/>
    <m/>
    <m/>
    <m/>
    <m/>
    <d v="2022-09-12T15:30:00"/>
    <m/>
    <m/>
    <x v="0"/>
    <x v="1"/>
    <m/>
    <n v="44816.645833333336"/>
    <x v="3"/>
    <m/>
    <m/>
    <m/>
    <m/>
    <s v="69.255.100-1"/>
    <s v="No"/>
    <m/>
    <m/>
    <m/>
    <m/>
    <s v="Ricardo Morales Choupay"/>
    <s v="TESORERIA@LOESPEJO.CL"/>
    <m/>
    <m/>
    <m/>
    <m/>
  </r>
  <r>
    <s v="1718-25-L122"/>
    <s v="SUMINISTRO OXIGENO MEDICINAL Y ARRIENDO CILINDRO"/>
    <s v="SIC 9540 DEPTO DE SALUD SAR Y CENTROS DE SALUD DE LA COMUNA. COMPRA DE SUMINISTRO DE OXIGENO MEDICINAL Y ARRIENDO DE CILINDRO POR 3 MESES DESDE OCTUBRE A DICIEMBRE 2022."/>
    <s v="I MUNICIPALIDAD DE SAN RAMON"/>
    <m/>
    <m/>
    <x v="2"/>
    <x v="10"/>
    <d v="2022-09-06T13:14:07"/>
    <x v="11"/>
    <x v="1"/>
    <d v="2022-09-12T18:00:00"/>
    <d v="2022-09-06T00:00:00"/>
    <x v="0"/>
    <x v="6"/>
    <s v="No"/>
    <d v="2022-09-08T18:00:00"/>
    <d v="2022-09-09T14:00:00"/>
    <d v="2022-10-13T14:00:00"/>
    <n v="0"/>
    <n v="0"/>
    <m/>
    <s v="No"/>
    <m/>
    <m/>
    <s v="No"/>
    <m/>
    <m/>
    <m/>
    <m/>
    <d v="2022-09-12T18:00:00"/>
    <m/>
    <m/>
    <x v="0"/>
    <x v="0"/>
    <d v="2022-10-04T00:00:00"/>
    <n v="-21.25"/>
    <x v="0"/>
    <n v="3814100"/>
    <m/>
    <m/>
    <s v="Orden de Compra"/>
    <s v="69.253.900-1"/>
    <s v="No"/>
    <m/>
    <m/>
    <m/>
    <m/>
    <s v="SAMUEL BUSTOS"/>
    <s v="sbustos@municipalidadsanramon.cl"/>
    <m/>
    <m/>
    <m/>
    <m/>
  </r>
  <r>
    <s v="1057543-80-LQ22"/>
    <s v="SUMINISTRO GASES CLÍNICOS"/>
    <s v="SE REQUIERE SUMINISTRAR SERVICIOS DE GASES CLÍNICOS PARA EL HOSPITAL DE TOMÉ, SEGÚN BASES ADMINISTRATIVAS Y POR UN PERIODO DE 48 MESES."/>
    <s v="SERVICIO DE SALUD TALCAHUANO HOSPITAL DE TOMÉ"/>
    <m/>
    <m/>
    <x v="2"/>
    <x v="17"/>
    <d v="2022-09-02T16:29:55"/>
    <x v="11"/>
    <x v="1"/>
    <d v="2022-09-22T10:00:00"/>
    <m/>
    <x v="1"/>
    <x v="1"/>
    <s v="Si"/>
    <d v="2022-09-09T20:00:00"/>
    <d v="2022-09-12T17:00:00"/>
    <d v="2022-10-24T17:00:00"/>
    <n v="0"/>
    <n v="0"/>
    <m/>
    <s v="Si"/>
    <n v="500000"/>
    <d v="2022-02-12T00:00:00"/>
    <s v="Si"/>
    <m/>
    <m/>
    <s v="No"/>
    <m/>
    <d v="2022-09-22T10:00:00"/>
    <m/>
    <m/>
    <x v="0"/>
    <x v="0"/>
    <d v="2022-10-20T00:00:00"/>
    <n v="-27.583333333335759"/>
    <x v="1"/>
    <n v="185799088"/>
    <m/>
    <m/>
    <s v="Contrato"/>
    <s v="61.607.201-3"/>
    <s v="Si"/>
    <n v="0.05"/>
    <d v="2027-02-02T00:00:00"/>
    <m/>
    <m/>
    <s v="Waldo Solar Ulloa"/>
    <s v="waldo.solar@redsalud.gov.cl"/>
    <m/>
    <m/>
    <m/>
    <m/>
  </r>
  <r>
    <s v="2332-144-L122"/>
    <s v="SERVICIO DE MANTENIMIENTO PREVENTIVO EQUIPOS DE OXIGENO DESAM"/>
    <m/>
    <s v="I MUNICIPALIDAD DE PUERTO MONTT"/>
    <m/>
    <m/>
    <x v="5"/>
    <x v="6"/>
    <d v="2022-09-07T16:36:00"/>
    <x v="11"/>
    <x v="1"/>
    <d v="2022-09-13T16:25:00"/>
    <d v="2022-09-09T00:00:00"/>
    <x v="0"/>
    <x v="2"/>
    <s v="No"/>
    <d v="2022-09-08T18:31:00"/>
    <d v="2022-09-10T16:25:00"/>
    <d v="2022-11-12T16:25:00"/>
    <n v="0"/>
    <n v="0"/>
    <m/>
    <s v="No"/>
    <m/>
    <s v=" "/>
    <s v="No"/>
    <m/>
    <m/>
    <m/>
    <m/>
    <d v="2022-09-13T16:25:00"/>
    <m/>
    <m/>
    <x v="0"/>
    <x v="0"/>
    <d v="2022-12-06T00:00:00"/>
    <n v="-83.315972222218988"/>
    <x v="0"/>
    <n v="2937494"/>
    <m/>
    <m/>
    <s v="Orden de Compra"/>
    <s v="69.220.100-0"/>
    <s v="No"/>
    <m/>
    <m/>
    <m/>
    <m/>
    <m/>
    <m/>
    <m/>
    <m/>
    <m/>
    <m/>
  </r>
  <r>
    <s v="1952-79-LQ22"/>
    <s v="SUMINISTRO OXIGENO LIQUIDO MEDICO H. VILLARRICA"/>
    <s v="Se requiere contar con suministro de oxígeno el cual debe ser de calidad de uso humano, para ser usado en ambiente hospitalario que incluya el oxígeno gaseoso para el respaldo de la red."/>
    <s v="Hospital Villarrica"/>
    <m/>
    <m/>
    <x v="2"/>
    <x v="3"/>
    <d v="2022-09-07T17:25:33"/>
    <x v="11"/>
    <x v="1"/>
    <d v="2022-10-14T15:00:00"/>
    <d v="2022-09-09T00:00:00"/>
    <x v="0"/>
    <x v="3"/>
    <s v="No"/>
    <d v="2022-09-26T18:00:00"/>
    <d v="2022-09-27T18:00:00"/>
    <d v="2022-11-30T17:00:00"/>
    <n v="0"/>
    <n v="0"/>
    <m/>
    <s v="Si"/>
    <n v="300000"/>
    <d v="2022-11-30T00:00:00"/>
    <s v="Si"/>
    <m/>
    <m/>
    <m/>
    <m/>
    <d v="2022-10-14T15:00:00"/>
    <m/>
    <m/>
    <x v="0"/>
    <x v="0"/>
    <d v="2022-12-26T00:00:00"/>
    <n v="-72.375"/>
    <x v="2"/>
    <n v="150426000"/>
    <m/>
    <m/>
    <s v="Contrato"/>
    <s v="61.602.248-2"/>
    <s v="Si"/>
    <n v="0.05"/>
    <d v="2025-01-31T00:00:00"/>
    <m/>
    <m/>
    <s v="Gloria Oñate Salcedo"/>
    <s v="gloria.onate@redsalud.gov.cl"/>
    <m/>
    <m/>
    <m/>
    <m/>
  </r>
  <r>
    <s v="4555-17-LE22"/>
    <s v="SUMINISTRO OXÍGENO MEDICINAL PARA LOS CESFAM"/>
    <s v="ASES ESPECIALES DE LICITACIÓN PÚBLICA PARA LA ADQUISICIÓN DEL SERVICIO SUMINISTRO DE OXÍGENO MEDICINAL PARA LOS CESFAM DE LA COMUNA DE ZAPALLAR."/>
    <s v="I MUNICIPALIDAD DE ZAPALLAR"/>
    <m/>
    <m/>
    <x v="2"/>
    <x v="9"/>
    <d v="2022-09-08T16:19:30"/>
    <x v="11"/>
    <x v="1"/>
    <d v="2022-09-22T19:48:00"/>
    <d v="2022-09-09T00:00:00"/>
    <x v="0"/>
    <x v="2"/>
    <s v="No"/>
    <d v="2022-09-12T12:00:00"/>
    <d v="2022-09-14T19:39:00"/>
    <d v="2022-11-28T19:49:00"/>
    <n v="0"/>
    <n v="0"/>
    <m/>
    <s v="No"/>
    <m/>
    <s v=" "/>
    <s v="No"/>
    <m/>
    <m/>
    <m/>
    <m/>
    <d v="2022-09-22T19:48:00"/>
    <m/>
    <m/>
    <x v="0"/>
    <x v="0"/>
    <d v="2022-10-13T00:00:00"/>
    <n v="-20.17500000000291"/>
    <x v="2"/>
    <n v="24000000"/>
    <m/>
    <m/>
    <s v="Contrato"/>
    <s v="69.050.400-6"/>
    <s v="No"/>
    <m/>
    <m/>
    <m/>
    <m/>
    <s v="Emerson Vergara"/>
    <s v="emerson.vergara@saludzapallar.xl"/>
    <m/>
    <m/>
    <m/>
    <m/>
  </r>
  <r>
    <s v="2258-237-LR22"/>
    <s v="SERVICIO DE OXIGENOTERAPIA DOMICILIARIA DEL HRA"/>
    <s v="objetivo primordial es contar con los servicios apropiados considerando optimizar el uso de los recursos disponibles y realizar un contrato con una empresa responsable de realizar el servicio de prestaciones entregadas a domicilio, transfiriendo al lugar de convalecencia del paciente la tecnología necesaria en equipos e insumos para entregar soporte ventilatorio, a través de la entrega de un equipo concentrador y cilindro tipo E de apoyo ambulatorio junto a servicios de refuerzo."/>
    <s v="SERVICIO DE SALUD ANTOFAGASTA "/>
    <m/>
    <m/>
    <x v="3"/>
    <x v="5"/>
    <d v="2022-09-09T14:53:05"/>
    <x v="11"/>
    <x v="1"/>
    <d v="2022-10-11T15:30:00"/>
    <d v="2022-09-09T00:00:00"/>
    <x v="0"/>
    <x v="7"/>
    <s v="No"/>
    <d v="2022-09-24T18:33:00"/>
    <d v="2022-10-04T18:33:00"/>
    <d v="2022-12-09T18:38:00"/>
    <n v="0"/>
    <n v="0"/>
    <m/>
    <s v="Si"/>
    <n v="2000000"/>
    <d v="2023-04-07T00:00:00"/>
    <s v="No"/>
    <s v="Contrato"/>
    <n v="12"/>
    <s v="No"/>
    <m/>
    <d v="2022-10-11T15:30:00"/>
    <m/>
    <m/>
    <x v="0"/>
    <x v="1"/>
    <m/>
    <n v="44845.645833333336"/>
    <x v="3"/>
    <m/>
    <m/>
    <m/>
    <m/>
    <s v="61.606.201-8"/>
    <s v="Si"/>
    <n v="7.0000000000000007E-2"/>
    <d v="2024-08-15T00:00:00"/>
    <m/>
    <m/>
    <s v="Sergio Moreno Rios"/>
    <s v="JEFE.FINANZAS.HRA@REDSALUD.GOV.CL"/>
    <m/>
    <m/>
    <m/>
    <m/>
  </r>
  <r>
    <s v="1057931-29-LQ22"/>
    <s v="AD. VENTILADORES MECANICOS NO INV. DOMICILIARIOS"/>
    <s v="ADQUIRIR VENTILADORES MECANICOS NO INVASIVOS DOMICILIARIOS"/>
    <s v="SERVICIO DE SALUD TALCAHUANO"/>
    <m/>
    <m/>
    <x v="0"/>
    <x v="0"/>
    <d v="2022-09-06T16:22:20"/>
    <x v="11"/>
    <x v="1"/>
    <d v="2022-09-20T15:01:00"/>
    <d v="2022-09-12T00:00:00"/>
    <x v="1"/>
    <x v="1"/>
    <s v="Si"/>
    <d v="2022-09-12T12:00:00"/>
    <d v="2022-09-13T18:00:00"/>
    <d v="2022-10-25T18:00:00"/>
    <n v="135018000"/>
    <n v="113460504.20168068"/>
    <n v="45"/>
    <s v="Si"/>
    <n v="200000"/>
    <d v="2023-01-19T00:00:00"/>
    <s v="No"/>
    <m/>
    <m/>
    <s v="No"/>
    <n v="120"/>
    <d v="2023-01-18T15:01:00"/>
    <n v="39"/>
    <n v="2599639"/>
    <x v="37"/>
    <x v="0"/>
    <d v="2022-10-06T00:00:00"/>
    <n v="104.62569444444671"/>
    <x v="2"/>
    <n v="95940064"/>
    <m/>
    <m/>
    <s v="Contrato"/>
    <s v="61.607.200-5"/>
    <s v="Si"/>
    <n v="0.1"/>
    <d v="2025-01-25T00:00:00"/>
    <m/>
    <m/>
    <s v="Adrián Mautz Villanueva"/>
    <s v="adrian.mautz@redsalud.gov.cl"/>
    <m/>
    <m/>
    <m/>
    <m/>
  </r>
  <r>
    <s v="1057499-42-LR22"/>
    <s v="ADQUISICIÓN DE VENTILADORES MECÁNICOS NO INVASIVOS DSSMS"/>
    <s v="El objetivo de la presente licitación es adquirir equipamiento y/o equipo nuevo y sin uso, el que deberá contar con la respectiva garantía postventa y capacitación en el uso y funcionamiento del mismo."/>
    <s v="SERVICIO DE SALUD METROPOLITANO SUR"/>
    <m/>
    <m/>
    <x v="0"/>
    <x v="0"/>
    <d v="2022-09-12T15:27:46"/>
    <x v="11"/>
    <x v="1"/>
    <d v="2022-10-12T16:00:00"/>
    <d v="2022-09-12T00:00:00"/>
    <x v="1"/>
    <x v="1"/>
    <s v="Si"/>
    <d v="2022-09-19T23:59:00"/>
    <d v="2022-09-26T18:00:00"/>
    <d v="2022-11-11T19:00:00"/>
    <n v="380820000"/>
    <n v="320016806.72268909"/>
    <n v="30"/>
    <s v="Si"/>
    <n v="2000000"/>
    <d v="2023-01-10T00:00:00"/>
    <s v="No"/>
    <s v="Contrato"/>
    <n v="24"/>
    <s v="No"/>
    <n v="90"/>
    <d v="2023-01-10T16:00:00"/>
    <n v="110"/>
    <n v="2788361"/>
    <x v="38"/>
    <x v="0"/>
    <d v="2022-11-18T00:00:00"/>
    <n v="53.666666666664241"/>
    <x v="0"/>
    <n v="2350000"/>
    <m/>
    <m/>
    <s v="Orden de Compra"/>
    <s v="61.608.108-K"/>
    <s v="Si"/>
    <n v="0.1"/>
    <d v="2025-12-31T00:00:00"/>
    <m/>
    <m/>
    <s v="rodrigo gonzalez"/>
    <s v="rodrigo.gonzalez@ssms.gob.cl"/>
    <m/>
    <m/>
    <m/>
    <m/>
  </r>
  <r>
    <s v="1057535-6-LE22"/>
    <s v="SERVICIO DE MANTENCIÓN GASES CLÍNICOS 2022"/>
    <s v="El Hospital De Misión San Juan de la Costa, dentro de su estrategia de compra, llama a participar en licitación pública de “SERVICIO DE MANTENCIÓN GASES CLÍNICOS 2022”, PARA EL HOSPITAL FÜTA SRÜKA LAWENCHE KÜNKO MAPU MO. Por lo anterior se han definido los presentes Términos Técnicos de referencia, que regulan la prestación o externalización de este servicio y/o Productos."/>
    <s v="HOSPITAL FUTA SRÜKA LAWENCHE KUNKO MAPU MO"/>
    <m/>
    <m/>
    <x v="5"/>
    <x v="6"/>
    <d v="2022-09-09T11:04:52"/>
    <x v="11"/>
    <x v="1"/>
    <d v="2022-09-21T10:00:00"/>
    <d v="2022-09-13T00:00:00"/>
    <x v="0"/>
    <x v="2"/>
    <s v="No"/>
    <d v="2022-09-14T10:00:00"/>
    <d v="2022-09-15T14:00:00"/>
    <d v="2022-09-30T16:00:00"/>
    <n v="0"/>
    <n v="0"/>
    <m/>
    <s v="No"/>
    <m/>
    <s v=" "/>
    <s v="No"/>
    <m/>
    <m/>
    <m/>
    <m/>
    <d v="2022-09-21T10:00:00"/>
    <m/>
    <m/>
    <x v="0"/>
    <x v="0"/>
    <d v="2022-10-06T00:00:00"/>
    <n v="-14.583333333335759"/>
    <x v="0"/>
    <n v="1198000"/>
    <m/>
    <m/>
    <s v="Orden de Compra"/>
    <s v="61.980.070-2"/>
    <s v="No"/>
    <m/>
    <m/>
    <m/>
    <m/>
    <s v="Evelyn Labado Cardenas"/>
    <s v="evelyn.labado@redsalud.gob.cl"/>
    <m/>
    <m/>
    <m/>
    <m/>
  </r>
  <r>
    <s v="1057402-247-LP22"/>
    <s v="Adquisición de Equipos Secundarios de Gases Clínicos para el Hospital Clínico de Magallanes"/>
    <s v="El propósito de la licitación es generar un contrato para el “Suministro de Equipos Secundarios de Gases Clínicos para el Hospital Clínico de Magallanes”, de acuerdo con lo establecido en las presentes Bases Administrativas y Técnicas, en las circunstancias que estos productos no son provistos en el catálogo electrónico del Convenio Marco."/>
    <s v="HOSPITAL CLINICO DE MAGALLANES DR. LAUTARO NAVARRO AVARIA"/>
    <m/>
    <m/>
    <x v="2"/>
    <x v="13"/>
    <d v="2022-09-12T14:15:12"/>
    <x v="11"/>
    <x v="1"/>
    <d v="2022-10-03T15:00:00"/>
    <d v="2022-09-13T00:00:00"/>
    <x v="1"/>
    <x v="1"/>
    <s v="Si"/>
    <d v="2022-09-22T15:00:00"/>
    <d v="2022-09-24T18:00:00"/>
    <d v="2022-12-05T15:00:00"/>
    <n v="0"/>
    <n v="0"/>
    <m/>
    <s v="No"/>
    <m/>
    <s v=" "/>
    <s v="No"/>
    <m/>
    <m/>
    <s v="No"/>
    <m/>
    <d v="2022-10-03T15:00:00"/>
    <m/>
    <m/>
    <x v="0"/>
    <x v="0"/>
    <d v="2022-12-07T00:00:00"/>
    <n v="-64.375"/>
    <x v="2"/>
    <n v="36307124"/>
    <m/>
    <m/>
    <s v="Contrato"/>
    <s v="61.607.901-8"/>
    <s v="Si"/>
    <n v="0.05"/>
    <d v="2024-06-28T00:00:00"/>
    <m/>
    <m/>
    <s v="Tesorería General de la República"/>
    <s v="tesoreria.hcm@redsalud.gov.cl"/>
    <m/>
    <m/>
    <m/>
    <m/>
  </r>
  <r>
    <s v="5349-43-LE22"/>
    <s v="SERVICIO DE MANTENCIÓN PREVENTIVA DE GASES MEDICINALES QUE INCLUYE REPUESTOS DEL HOSPITAL PROVINCIAL DEL HUASCO MONSEÑOR FERNANDO ARIZTÍA RUIZ"/>
    <s v="El Hospital Provincial del Huasco, establecimiento de salud dependiente del Servicio de Salud Atacama, ubicado en Avenida Huasco Nº 392, Sector Media Luna, Acceso Sur, de la ciudad y comuna de Vallenar, en adelante indistintamente el Hospital o HPH, requiere contratar el SERVICIO DE MANTENCIÓN PREVENTIVA DE GASES MEDICINALES QUE INCLUYE REPUESTOS, del Hospital, detallados en el ANEXO Nº1. Las características y especificaciones del servicio requerido se describen en las bases técnicas de la presente licitación. Las condiciones administrativas que regirán la prestación de servicios quedarán definidas en las presentes bases administrativas."/>
    <s v="HOSPITAL PROVINCIAL DEL HUASCO MSR FERNANDO ARIZTIA RUIZ"/>
    <m/>
    <m/>
    <x v="5"/>
    <x v="6"/>
    <d v="2022-09-12T17:28:49"/>
    <x v="11"/>
    <x v="1"/>
    <d v="2022-09-27T15:01:00"/>
    <d v="2022-09-15T00:00:00"/>
    <x v="0"/>
    <x v="2"/>
    <s v="No"/>
    <d v="2022-09-20T16:00:00"/>
    <d v="2022-09-23T19:00:00"/>
    <d v="2022-10-27T15:31:00"/>
    <n v="0"/>
    <n v="0"/>
    <m/>
    <s v="No"/>
    <m/>
    <s v=" "/>
    <s v="No"/>
    <m/>
    <m/>
    <m/>
    <m/>
    <d v="2022-09-27T15:01:00"/>
    <m/>
    <m/>
    <x v="0"/>
    <x v="0"/>
    <d v="2022-10-21T00:00:00"/>
    <n v="-23.374305555553292"/>
    <x v="0"/>
    <n v="20665080"/>
    <m/>
    <m/>
    <s v="Orden de Compra"/>
    <s v="61.606.303-0"/>
    <s v="No"/>
    <m/>
    <m/>
    <m/>
    <m/>
    <s v="Yessenia León"/>
    <s v="Yesenia.leon@redsalud.gov.cl"/>
    <m/>
    <m/>
    <m/>
    <m/>
  </r>
  <r>
    <s v="608-202-LQ22"/>
    <s v="KCD_MANTENIMIENTO DE CENTRALES DE GASES Y SISTEMAS MEDICINALES"/>
    <s v="MANTENIMIENTO DE CENTRALES DE GASES Y SISTEMAS MEDICINALES"/>
    <s v="HOSPITAL DR GUSTAVO FRICKE"/>
    <m/>
    <m/>
    <x v="5"/>
    <x v="6"/>
    <d v="2022-09-13T10:01:34"/>
    <x v="11"/>
    <x v="1"/>
    <d v="2022-10-04T12:00:00"/>
    <d v="2022-09-20T00:00:00"/>
    <x v="0"/>
    <x v="4"/>
    <s v="No"/>
    <d v="2022-09-23T14:00:00"/>
    <d v="2022-09-28T16:00:00"/>
    <d v="2022-11-04T17:00:00"/>
    <n v="0"/>
    <n v="0"/>
    <m/>
    <s v="Si"/>
    <n v="500000"/>
    <d v="2023-03-03T00:00:00"/>
    <s v="Si"/>
    <m/>
    <m/>
    <m/>
    <m/>
    <d v="2022-10-04T12:00:00"/>
    <m/>
    <m/>
    <x v="0"/>
    <x v="0"/>
    <d v="2022-12-20T00:00:00"/>
    <n v="-76.5"/>
    <x v="0"/>
    <n v="243143438"/>
    <m/>
    <m/>
    <s v="Contrato"/>
    <s v="61.606.602-1"/>
    <s v="Si"/>
    <n v="0.05"/>
    <d v="2026-03-01T00:00:00"/>
    <m/>
    <m/>
    <s v="CRISTIAN ARANGUEZ"/>
    <s v="CRISTIAN.ARANGUEZ@REDSALUD.GOB.CL"/>
    <m/>
    <m/>
    <m/>
    <m/>
  </r>
  <r>
    <s v="2026-154-LE22"/>
    <s v="SERVICIO DE RECARGA DE OXIGENO MEDICINAL SAMU"/>
    <s v="Servicio de recarga de oxigeno medicinal para las bases SAMU del Servicio de salud Viña del Mar Quillota para 24 meses."/>
    <s v="SERVICIO SALUD VINA DEL MAR QUILLOTA"/>
    <m/>
    <m/>
    <x v="2"/>
    <x v="9"/>
    <d v="2022-09-14T12:00:46"/>
    <x v="11"/>
    <x v="1"/>
    <d v="2022-09-27T17:00:00"/>
    <d v="2022-09-20T00:00:00"/>
    <x v="0"/>
    <x v="4"/>
    <s v="No"/>
    <d v="2022-09-20T20:00:00"/>
    <d v="2022-09-22T17:00:00"/>
    <d v="2022-10-28T17:00:00"/>
    <n v="0"/>
    <n v="0"/>
    <m/>
    <s v="Si"/>
    <n v="50000"/>
    <d v="2023-01-31T00:00:00"/>
    <s v="No"/>
    <m/>
    <m/>
    <m/>
    <m/>
    <d v="2022-09-27T17:00:00"/>
    <m/>
    <m/>
    <x v="0"/>
    <x v="0"/>
    <d v="2022-11-07T00:00:00"/>
    <n v="-40.291666666664241"/>
    <x v="0"/>
    <n v="49935"/>
    <m/>
    <m/>
    <s v="Contrato"/>
    <s v="61.606.600-5"/>
    <s v="Si"/>
    <n v="0.05"/>
    <d v="2025-02-28T00:00:00"/>
    <m/>
    <m/>
    <s v="MANUEL MARIN"/>
    <s v="manuel.marin@redsalud.gov.cl"/>
    <m/>
    <m/>
    <m/>
    <m/>
  </r>
  <r>
    <s v="956-130-LQ22"/>
    <s v="Adquisición de Ventiladores Mecánicos no Invasivos del Programa de Ventilación Domiciliaria"/>
    <s v="La necesidad de realizar un proceso de licitación para la Adquisición de Ventiladores Mecánicos no Invasivos del Programa de Ventilación Domiciliaria, requeridos por la Subdirección de Desarrollo Institucional de la Dirección del Servicio de Salud Valparaíso – San Antonio."/>
    <s v="SERVICIO DE SALUD VALPARAISO SAN ANTONIO"/>
    <m/>
    <m/>
    <x v="0"/>
    <x v="0"/>
    <d v="2022-09-14T19:37:27"/>
    <x v="11"/>
    <x v="1"/>
    <d v="2022-10-04T16:00:00"/>
    <d v="2022-09-20T00:00:00"/>
    <x v="1"/>
    <x v="1"/>
    <s v="Si"/>
    <d v="2022-09-22T15:00:00"/>
    <d v="2022-09-27T15:00:00"/>
    <d v="2022-12-05T16:00:00"/>
    <n v="169638000"/>
    <n v="142552941.17647061"/>
    <n v="30"/>
    <s v="Si"/>
    <n v="2000000"/>
    <d v="2023-01-02T00:00:00"/>
    <s v="No"/>
    <s v="Contrato"/>
    <n v="24"/>
    <s v="No"/>
    <n v="120"/>
    <d v="2023-02-01T16:00:00"/>
    <n v="49"/>
    <n v="2599639"/>
    <x v="39"/>
    <x v="0"/>
    <d v="2022-10-21T00:00:00"/>
    <n v="103.66666666666424"/>
    <x v="0"/>
    <n v="2590000"/>
    <m/>
    <m/>
    <s v="Contrato"/>
    <s v="61.606.500-9"/>
    <s v="Si"/>
    <n v="0.1"/>
    <d v="2026-12-31T00:00:00"/>
    <m/>
    <m/>
    <s v="Manuel López Rojas"/>
    <s v="horacio.lopez@redsalud.gov.cl"/>
    <m/>
    <m/>
    <m/>
    <m/>
  </r>
  <r>
    <s v="1057545-83-LQ22"/>
    <s v="Conv. de Sum. de Gases Clínicos Hospital La Unión"/>
    <s v="El SSV necesita adquirir a través de un convenio de suministro la provisión de gases clínicos para el Hospital de La Unión, Según Artículo cuarto de las Bases Administrativas."/>
    <s v="SERVICIO DE SALUD VALDIVIA"/>
    <m/>
    <m/>
    <x v="2"/>
    <x v="3"/>
    <d v="2022-09-15T12:59:07"/>
    <x v="11"/>
    <x v="1"/>
    <d v="2022-10-05T12:14:00"/>
    <d v="2022-09-20T00:00:00"/>
    <x v="1"/>
    <x v="1"/>
    <s v="Si"/>
    <d v="2022-09-26T16:26:00"/>
    <d v="2022-09-30T16:26:00"/>
    <d v="2023-01-04T12:15:00"/>
    <n v="0"/>
    <n v="0"/>
    <m/>
    <s v="Si"/>
    <n v="200000"/>
    <d v="2023-01-06T00:00:00"/>
    <s v="No"/>
    <m/>
    <m/>
    <s v="No"/>
    <m/>
    <d v="2022-10-05T12:14:00"/>
    <m/>
    <m/>
    <x v="0"/>
    <x v="0"/>
    <d v="2022-11-18T00:00:00"/>
    <n v="-43.490277777775191"/>
    <x v="2"/>
    <n v="77846034"/>
    <m/>
    <m/>
    <s v="Contrato"/>
    <s v="61.607.500-4"/>
    <s v="Si"/>
    <n v="0.1"/>
    <d v="2025-04-07T00:00:00"/>
    <m/>
    <m/>
    <s v="Carmen Roldan Saldivia"/>
    <s v="carmen.roldanssv@redsalud.gob.cl"/>
    <m/>
    <m/>
    <m/>
    <m/>
  </r>
  <r>
    <s v="2189-46-LQ22"/>
    <s v="REPOSICIÓN VENTILADORES MECANICOS NO INVASIVOS DOMICILIARIOS"/>
    <s v="REPOSICIÓN VENTILADORES MECANICOS NO INVASIVOS (DOMICILIARIOS)"/>
    <s v="SERVICIO DE SALUD DEL MAULE"/>
    <m/>
    <m/>
    <x v="0"/>
    <x v="0"/>
    <d v="2022-09-23T16:48:06"/>
    <x v="11"/>
    <x v="1"/>
    <d v="2022-10-04T12:00:00"/>
    <d v="2022-09-26T00:00:00"/>
    <x v="1"/>
    <x v="1"/>
    <s v="Si"/>
    <d v="2022-09-28T12:00:00"/>
    <d v="2022-09-30T18:00:00"/>
    <d v="2022-10-28T12:00:00"/>
    <n v="131556000"/>
    <n v="110551260.50420168"/>
    <n v="30"/>
    <s v="Si"/>
    <n v="200000"/>
    <d v="2023-03-03T00:00:00"/>
    <s v="No"/>
    <s v="Contrato"/>
    <n v="24"/>
    <s v="No"/>
    <m/>
    <d v="2022-10-04T12:00:00"/>
    <n v="38"/>
    <n v="2599639"/>
    <x v="40"/>
    <x v="1"/>
    <d v="2022-10-26T00:00:00"/>
    <n v="-21.5"/>
    <x v="3"/>
    <m/>
    <m/>
    <m/>
    <s v="Contrato"/>
    <s v="61.606.900-4"/>
    <s v="Si"/>
    <n v="0.1"/>
    <d v="2023-04-26T00:00:00"/>
    <m/>
    <m/>
    <s v="Unidad de Tesorería"/>
    <s v="proveedores@ssmaule.cl"/>
    <m/>
    <m/>
    <m/>
    <m/>
  </r>
  <r>
    <s v="1057890-8-LR22"/>
    <s v="ADQ. EQ VENTILADORES NO INVASIVOS AVNI - AVNIA"/>
    <s v="El Servicio de Salud Metropolitano Sur Oriente requiere adquirir EQUIPOS DE VENTILADORES MECANICOS NO INVASIVOS PARA EL PROGRAMA AVNIAVNIA"/>
    <s v="SERVICIO DE SALUD METROPOLITANO SUR ORIENTE"/>
    <m/>
    <m/>
    <x v="0"/>
    <x v="0"/>
    <d v="2022-09-26T11:34:07"/>
    <x v="11"/>
    <x v="1"/>
    <d v="2022-10-26T15:01:00"/>
    <d v="2022-09-26T00:00:00"/>
    <x v="1"/>
    <x v="1"/>
    <s v="Si"/>
    <d v="2022-10-06T16:00:00"/>
    <d v="2022-10-12T19:00:00"/>
    <d v="2022-12-19T18:00:00"/>
    <n v="463908000"/>
    <n v="389838655.46218491"/>
    <n v="30"/>
    <s v="Si"/>
    <n v="1000000"/>
    <d v="2023-02-03T00:00:00"/>
    <s v="No"/>
    <s v="Contrato"/>
    <n v="24"/>
    <s v="No"/>
    <n v="150"/>
    <d v="2023-03-25T15:01:00"/>
    <m/>
    <m/>
    <x v="0"/>
    <x v="0"/>
    <d v="2022-12-20T00:00:00"/>
    <n v="95.625694444446708"/>
    <x v="2"/>
    <n v="2138900"/>
    <m/>
    <m/>
    <m/>
    <s v="61.608.500-K"/>
    <s v="Si"/>
    <n v="0.1"/>
    <d v="2025-04-04T00:00:00"/>
    <m/>
    <m/>
    <s v="Jonathan Levican"/>
    <s v="jlevican@ssmso.cl"/>
    <m/>
    <m/>
    <m/>
    <m/>
  </r>
  <r>
    <s v="1057486-27-LQ22"/>
    <s v="Adquisición Ventiladores Mecánicos no invasivos"/>
    <s v="Se requiere adquirir una serie de ventiladores mecánicos no invasivos para la atención domiciliara."/>
    <s v="SERVICIO SALUD METROPOLITANO ORIENTE"/>
    <m/>
    <m/>
    <x v="0"/>
    <x v="0"/>
    <d v="2022-09-26T12:10:01"/>
    <x v="11"/>
    <x v="1"/>
    <d v="2022-10-17T15:01:00"/>
    <d v="2022-09-26T00:00:00"/>
    <x v="1"/>
    <x v="1"/>
    <s v="Si"/>
    <d v="2022-10-06T15:00:00"/>
    <d v="2022-10-07T15:00:00"/>
    <d v="2022-11-02T15:02:00"/>
    <n v="193872000"/>
    <n v="162917647.05882353"/>
    <n v="30"/>
    <s v="Si"/>
    <n v="200000"/>
    <d v="2023-02-14T00:00:00"/>
    <s v="No"/>
    <s v="Contrato"/>
    <n v="24"/>
    <s v="No"/>
    <n v="120"/>
    <d v="2023-02-14T15:01:00"/>
    <n v="56"/>
    <m/>
    <x v="0"/>
    <x v="0"/>
    <d v="2022-11-04T00:00:00"/>
    <n v="102.62569444444671"/>
    <x v="0"/>
    <n v="2140000"/>
    <m/>
    <m/>
    <s v="Contrato"/>
    <s v="61.608.400-3"/>
    <s v="Si"/>
    <n v="0.1"/>
    <d v="2024-03-04T00:00:00"/>
    <m/>
    <m/>
    <s v="Ricardo Gonzalez"/>
    <s v="ricardo.gonzalez@saludoriente.cl"/>
    <m/>
    <m/>
    <m/>
    <m/>
  </r>
  <r>
    <s v="2258-239-LE22"/>
    <s v="COMPRA DE REGULADORES DE OXIGENO PARA EL HOSPITAL"/>
    <s v="El objetivo primordial es contar con los insumos apropiados para cilindros de transporte del Hospital Regional de Antofagasta"/>
    <s v="SERVICIO DE SALUD ANTOFAGASTA"/>
    <m/>
    <m/>
    <x v="2"/>
    <x v="6"/>
    <d v="2022-09-21T10:53:57"/>
    <x v="11"/>
    <x v="1"/>
    <d v="2022-10-03T18:30:00"/>
    <d v="2022-09-27T00:00:00"/>
    <x v="0"/>
    <x v="2"/>
    <s v="No"/>
    <d v="2022-09-26T18:30:00"/>
    <d v="2022-09-28T18:30:00"/>
    <d v="2022-11-03T18:00:00"/>
    <n v="0"/>
    <n v="0"/>
    <m/>
    <s v="No"/>
    <m/>
    <s v=" "/>
    <s v="No"/>
    <m/>
    <m/>
    <m/>
    <m/>
    <d v="2022-10-03T18:30:00"/>
    <m/>
    <m/>
    <x v="0"/>
    <x v="0"/>
    <d v="2022-10-18T00:00:00"/>
    <n v="-14.229166666664241"/>
    <x v="0"/>
    <n v="11650000"/>
    <m/>
    <m/>
    <s v="Contrato"/>
    <s v="61.606.201-8"/>
    <s v="No"/>
    <m/>
    <m/>
    <m/>
    <m/>
    <s v="SERGIO MORENO RIOS"/>
    <s v="jefe.finanzas.hra@redsalud.gov.cl"/>
    <m/>
    <m/>
    <m/>
    <m/>
  </r>
  <r>
    <s v="1063538-226-LE22"/>
    <s v="PROV. E INST. RED OXIGENO Y RED DE AIRE"/>
    <s v="El Hospital Base San José de Osorno, en adelante también el “Hospital”, requiere la provisión e instalación de red de oxígeno servicio urgencia pediátrica y red de aire dental servicio DAN del Hospital, de acuerdo a las condiciones establecidas en las presentes bases administrativas, económicas, técnicas y sus anexos. La forma de la presente licitación pública corresponde a aquellas adquisiciones entre 100 y 1000 UTM."/>
    <s v="HOSPITAL BASE OSORNO"/>
    <m/>
    <m/>
    <x v="5"/>
    <x v="6"/>
    <d v="2022-09-21T12:31:00"/>
    <x v="11"/>
    <x v="1"/>
    <d v="2022-10-04T17:01:00"/>
    <d v="2022-09-28T00:00:00"/>
    <x v="0"/>
    <x v="2"/>
    <s v="No"/>
    <d v="2022-09-30T17:00:00"/>
    <d v="2022-10-03T17:00:00"/>
    <d v="2022-12-05T15:01:00"/>
    <n v="0"/>
    <n v="0"/>
    <m/>
    <s v="No"/>
    <m/>
    <m/>
    <s v="Si"/>
    <m/>
    <m/>
    <m/>
    <m/>
    <d v="2022-10-04T17:01:00"/>
    <m/>
    <m/>
    <x v="0"/>
    <x v="0"/>
    <d v="2022-10-28T00:00:00"/>
    <n v="-23.290972222224809"/>
    <x v="0"/>
    <n v="5175752"/>
    <m/>
    <m/>
    <s v="Orden de Compra"/>
    <s v="61.602.260-1"/>
    <s v="No"/>
    <m/>
    <m/>
    <m/>
    <m/>
    <s v="Jose Cordova"/>
    <s v="gestionpagofacturas@redsalud.gob.cl"/>
    <m/>
    <m/>
    <m/>
    <m/>
  </r>
  <r>
    <s v="407-68-LP22"/>
    <s v="SERVICIO DE MANTENIMIENTO PREVENTIVO Y CORRECTIVO DE CENTRAL DE AIRE CENTRAL DE VACÍO Y TOMAS DE GASES MEDICINALES TPC"/>
    <s v="EL HGGB necesita contar con el servicio de mantenimiento preventivo y correctivo de bombas de vacío-compresores de aire – tomas de gases medicinales de la torre del paciente crítico. Por un periodo de 24 meses. Solicitado por Profesional Departamento Desarrollo Industrial, en requerimiento S-COM 28027 de fecha 06.09.2022"/>
    <s v="HOSPITAL GUILLERMO GRANT BENAVENTE "/>
    <m/>
    <m/>
    <x v="5"/>
    <x v="6"/>
    <d v="2022-09-26T07:42:49"/>
    <x v="11"/>
    <x v="1"/>
    <d v="2022-10-17T16:00:00"/>
    <d v="2022-09-28T00:00:00"/>
    <x v="0"/>
    <x v="2"/>
    <s v="No"/>
    <d v="2022-09-30T16:00:00"/>
    <d v="2022-10-06T16:00:00"/>
    <d v="2022-12-19T17:42:00"/>
    <n v="0"/>
    <n v="0"/>
    <m/>
    <s v="Si"/>
    <n v="500000"/>
    <d v="2022-12-29T00:00:00"/>
    <s v="Si"/>
    <m/>
    <m/>
    <m/>
    <m/>
    <d v="2022-10-17T16:00:00"/>
    <m/>
    <m/>
    <x v="0"/>
    <x v="3"/>
    <m/>
    <n v="44851.666666666664"/>
    <x v="3"/>
    <m/>
    <m/>
    <m/>
    <m/>
    <s v="61.602.189-3"/>
    <s v="Si"/>
    <n v="0.1"/>
    <d v="2025-06-27T00:00:00"/>
    <m/>
    <m/>
    <s v="LORETO RODRIGUEZ NEIRA"/>
    <s v="LRODRIGUEZN@SSCONCEPCION.CL"/>
    <m/>
    <m/>
    <m/>
    <m/>
  </r>
  <r>
    <s v="2598-33-LE22"/>
    <s v="SUMINISTRO DE OXIGENO MEDICINAL Y OTROS"/>
    <s v="El Departamento de Salud Municipal Concón, en consideración a la necesidad del Servicio de Atención Primaria de Urgencia de Alta Resolución (SAR), requiere de la contratación del servicio de aprovisionamiento de oxígeno y aire comprimido medicinal, arriendo de cilindros, arriendo de equipo de oxigenoterapia y suministro de repuestos y accesorios, además de eventuales reparaciones, que permitan satisfacer la demanda de aquellos pacientes que requieren de este servicio."/>
    <s v="I MUNICIPALIDAD DE CONCON"/>
    <m/>
    <m/>
    <x v="2"/>
    <x v="9"/>
    <d v="2022-09-23T13:18:50"/>
    <x v="11"/>
    <x v="1"/>
    <d v="2022-09-30T12:35:00"/>
    <d v="2022-09-28T00:00:00"/>
    <x v="0"/>
    <x v="2"/>
    <s v="No"/>
    <d v="2022-09-26T17:00:00"/>
    <d v="2022-09-27T17:00:00"/>
    <d v="2022-10-07T15:36:00"/>
    <n v="0"/>
    <n v="0"/>
    <m/>
    <s v="No"/>
    <m/>
    <s v=" "/>
    <s v="No"/>
    <m/>
    <m/>
    <m/>
    <m/>
    <d v="2022-09-30T12:35:00"/>
    <m/>
    <m/>
    <x v="0"/>
    <x v="0"/>
    <d v="2022-10-12T00:00:00"/>
    <n v="-11.475694444445253"/>
    <x v="0"/>
    <n v="6590400"/>
    <m/>
    <m/>
    <s v="Contrato"/>
    <s v="73.568.600-3"/>
    <s v="Si"/>
    <n v="0.05"/>
    <d v="2024-01-31T00:00:00"/>
    <m/>
    <m/>
    <s v="BELARMINO GALLARDO"/>
    <s v="pagosproveedores.saludconcon@gmail.com"/>
    <m/>
    <m/>
    <m/>
    <m/>
  </r>
  <r>
    <s v="1057804-12-LP22"/>
    <s v="Adquisición Ventiladores Mecánicos No Invasivos pa"/>
    <s v="Adquisición Ventiladores Mecánicos no Invasivos para Programa de Atención Domiciliaria del Servicio de Salud Biobío"/>
    <s v="SERVICIO DE SALUD BIO BIO"/>
    <m/>
    <m/>
    <x v="0"/>
    <x v="0"/>
    <d v="2022-09-27T16:22:30"/>
    <x v="11"/>
    <x v="1"/>
    <d v="2022-10-17T15:03:00"/>
    <d v="2022-09-29T00:00:00"/>
    <x v="1"/>
    <x v="1"/>
    <s v="Si"/>
    <d v="2022-10-04T12:30:00"/>
    <d v="2022-10-12T19:41:00"/>
    <d v="2022-11-18T18:36:00"/>
    <n v="0"/>
    <n v="0"/>
    <m/>
    <s v="No"/>
    <m/>
    <s v=" "/>
    <s v="No"/>
    <m/>
    <m/>
    <s v="No"/>
    <n v="90"/>
    <d v="2023-01-15T15:03:00"/>
    <m/>
    <m/>
    <x v="0"/>
    <x v="0"/>
    <d v="2022-11-10T00:00:00"/>
    <n v="66.627083333332848"/>
    <x v="0"/>
    <n v="2350000"/>
    <m/>
    <m/>
    <s v="Orden de Compra"/>
    <s v="61.607.300-1"/>
    <s v="Si"/>
    <n v="0.1"/>
    <d v="2025-03-28T00:00:00"/>
    <m/>
    <m/>
    <s v="Teresa Espinoza"/>
    <s v="teresa.espinoza@ssbiobio.cl"/>
    <m/>
    <m/>
    <m/>
    <m/>
  </r>
  <r>
    <s v="3651-44-L122"/>
    <s v="SUMINISTRO OXIGENO Y AIRE COMPRIMIDO 2022-2023"/>
    <s v="PRESUPUESTO MUNICIPAL"/>
    <s v="I MUNICIPALIDAD DE QUILLECO"/>
    <m/>
    <m/>
    <x v="2"/>
    <x v="17"/>
    <d v="2022-09-26T13:15:55"/>
    <x v="11"/>
    <x v="1"/>
    <d v="2022-10-03T15:00:00"/>
    <d v="2022-09-29T00:00:00"/>
    <x v="1"/>
    <x v="1"/>
    <s v="Si"/>
    <d v="2022-09-28T13:00:00"/>
    <d v="2022-09-29T13:30:00"/>
    <d v="2022-10-28T20:00:00"/>
    <n v="0"/>
    <n v="0"/>
    <m/>
    <s v="No"/>
    <m/>
    <s v=" "/>
    <s v="No"/>
    <m/>
    <m/>
    <s v="No"/>
    <m/>
    <d v="2022-10-03T15:00:00"/>
    <m/>
    <m/>
    <x v="0"/>
    <x v="0"/>
    <d v="2022-10-21T00:00:00"/>
    <n v="-17.375"/>
    <x v="1"/>
    <n v="6000000"/>
    <m/>
    <m/>
    <s v="Contrato"/>
    <s v="69.170.402-5"/>
    <s v="No"/>
    <m/>
    <m/>
    <m/>
    <m/>
    <s v="Elizabeth Contreras Contreras"/>
    <s v="elyfinanzas@gmail.com"/>
    <m/>
    <m/>
    <m/>
    <m/>
  </r>
  <r>
    <s v="3246-97-LE22"/>
    <s v="GA 34 GM ADQ. DE OXIG. PLANTA CRIOGENICA BACM FACH"/>
    <s v="GA 34 GM ADQUISICIÓN DE OXIGENO LIQUIDO PLANTA CRIOGENICA DE LA BASE AÉREA CERRO MORENO FACH ANTOFAGASTA."/>
    <s v="BASE AÉREA CERRO MORENO FACH ANTOFAGASTA."/>
    <m/>
    <m/>
    <x v="2"/>
    <x v="7"/>
    <d v="2022-09-28T12:28:35"/>
    <x v="11"/>
    <x v="1"/>
    <d v="2022-10-05T11:00:00"/>
    <d v="2022-09-29T00:00:00"/>
    <x v="0"/>
    <x v="2"/>
    <s v="No"/>
    <d v="2022-09-30T11:00:00"/>
    <d v="2022-10-03T10:00:00"/>
    <d v="2022-11-08T11:00:00"/>
    <n v="0"/>
    <n v="0"/>
    <m/>
    <s v="No"/>
    <m/>
    <s v=" "/>
    <s v="No"/>
    <m/>
    <m/>
    <m/>
    <m/>
    <d v="2022-10-05T11:00:00"/>
    <m/>
    <m/>
    <x v="0"/>
    <x v="0"/>
    <d v="2022-10-20T00:00:00"/>
    <n v="-14.541666666664241"/>
    <x v="2"/>
    <n v="6104224"/>
    <m/>
    <m/>
    <s v="Orden de Compra"/>
    <s v="61.103.019-3"/>
    <s v="No"/>
    <m/>
    <m/>
    <m/>
    <m/>
    <s v="Jorge Ledezma"/>
    <s v="jledezma@fach.mil.cl"/>
    <m/>
    <m/>
    <m/>
    <m/>
  </r>
  <r>
    <s v="1641-259-LR22"/>
    <s v="CFC SERVICIO DE OXIGENOTERAPIA PARA PACIENTES"/>
    <s v="El objeto de la presente licitación es la contratación de “SERVICIO DE OXIGENO TERAPIA PARA PACIENTES ADULTOS Y PEDIATRICOS DEL SERVICIO DE HOSPITALIZACIÓN DOMICILIARIA”"/>
    <s v="HOSPITAL SAN JUAN DE DIOS"/>
    <m/>
    <m/>
    <x v="3"/>
    <x v="5"/>
    <d v="2022-09-28T15:13:30"/>
    <x v="11"/>
    <x v="1"/>
    <d v="2022-10-28T16:00:00"/>
    <d v="2022-09-29T00:00:00"/>
    <x v="1"/>
    <x v="1"/>
    <s v="Si"/>
    <d v="2022-10-07T16:00:00"/>
    <d v="2022-10-12T16:00:00"/>
    <d v="2023-04-25T16:00:00"/>
    <n v="0"/>
    <n v="0"/>
    <m/>
    <s v="Si"/>
    <n v="2000000"/>
    <d v="2023-04-25T00:00:00"/>
    <s v="No"/>
    <s v="Contrato"/>
    <n v="36"/>
    <s v="No"/>
    <m/>
    <d v="2022-10-28T16:00:00"/>
    <m/>
    <m/>
    <x v="0"/>
    <x v="0"/>
    <d v="2022-11-23T00:00:00"/>
    <n v="-25.333333333335759"/>
    <x v="1"/>
    <n v="686243698"/>
    <m/>
    <m/>
    <s v="Contrato"/>
    <s v="61.608.204-3"/>
    <s v="Si"/>
    <n v="0.05"/>
    <d v="2026-08-05T00:00:00"/>
    <m/>
    <m/>
    <s v="Rodrigo Bravo"/>
    <s v="rodrigo.bravog@redsalud.gov.cl"/>
    <m/>
    <m/>
    <m/>
    <m/>
  </r>
  <r>
    <s v="1057918-4-LQ22"/>
    <s v="ADQUISICIÓN VENTILADORES MECÁNICOS"/>
    <s v="SE REQUIERE ADQUIRIR (55) VENTILADORES PARA LA RED. SE ADJUNTAN ANTECEDENTES TÉCNICOS Y ADMINISTRATIVOS."/>
    <s v="SERVICIO DE SALUD LIBERTADOR BDO OHIGGINS"/>
    <m/>
    <m/>
    <x v="0"/>
    <x v="0"/>
    <d v="2022-10-03T17:23:02"/>
    <x v="0"/>
    <x v="1"/>
    <d v="2022-10-24T15:00:00"/>
    <d v="2022-10-05T00:00:00"/>
    <x v="1"/>
    <x v="1"/>
    <s v="Si"/>
    <d v="2022-10-10T17:00:00"/>
    <d v="2022-10-17T18:00:00"/>
    <d v="2022-11-14T18:00:00"/>
    <n v="0"/>
    <n v="0"/>
    <n v="30"/>
    <s v="Si"/>
    <n v="1000000"/>
    <d v="2023-01-24T00:00:00"/>
    <s v="No"/>
    <s v="Contrato"/>
    <n v="24"/>
    <s v="No"/>
    <n v="90"/>
    <d v="2023-01-22T15:00:00"/>
    <n v="55"/>
    <m/>
    <x v="0"/>
    <x v="0"/>
    <d v="2022-12-05T00:00:00"/>
    <n v="48.625"/>
    <x v="0"/>
    <n v="2290000"/>
    <m/>
    <m/>
    <s v="Contrato"/>
    <s v="61.606.800-8"/>
    <s v="Si"/>
    <n v="0.15"/>
    <d v="2024-11-30T00:00:00"/>
    <m/>
    <m/>
    <s v="SERVICIO DE SALUD OHIGGINS"/>
    <s v="proveedores@saludohiggins.cl"/>
    <m/>
    <m/>
    <m/>
    <m/>
  </r>
  <r>
    <s v="1057495-25-LP22"/>
    <s v="ARRIENDO ESTACIÓN CRIOGENICA Y OXIGENO MEDICINAL"/>
    <s v="El Hospital Dr. Lucio Córdova llama a licitación pública Contratación de ARRIENDO de Estación Criogénica y suministro de oxígeno medicinal, siendo el objetivo principal de poder contar con los respaldos técnicos correspondiente para darle continuidad al suministro de oxígeno medicinal al establecimiento, siendo la medida de contingencia para un sobre consumo en las áreas clínicas, insumo vital para enfrentar la pandemia SARS-CoV-2."/>
    <s v="HOSPITAL LUCIO CORDOVA"/>
    <m/>
    <m/>
    <x v="2"/>
    <x v="2"/>
    <d v="2022-09-30T08:42:47"/>
    <x v="11"/>
    <x v="1"/>
    <d v="2022-10-20T16:00:00"/>
    <d v="2022-10-04T00:00:00"/>
    <x v="0"/>
    <x v="5"/>
    <s v="No"/>
    <d v="2022-10-07T15:00:00"/>
    <d v="2022-10-13T17:00:00"/>
    <d v="2022-11-11T16:00:00"/>
    <n v="0"/>
    <n v="0"/>
    <m/>
    <s v="Si"/>
    <n v="500000"/>
    <d v="2023-02-17T00:00:00"/>
    <s v="Si"/>
    <m/>
    <m/>
    <m/>
    <m/>
    <d v="2022-10-20T16:00:00"/>
    <m/>
    <m/>
    <x v="0"/>
    <x v="3"/>
    <m/>
    <n v="44854.666666666664"/>
    <x v="3"/>
    <m/>
    <m/>
    <m/>
    <s v="Contrato"/>
    <s v="61.608.104-7"/>
    <s v="Si"/>
    <n v="0.1"/>
    <d v="2025-01-31T00:00:00"/>
    <m/>
    <m/>
    <s v="Elena Olguin"/>
    <s v="elena.olguin@redsalud.gov.cl"/>
    <m/>
    <m/>
    <m/>
    <m/>
  </r>
  <r>
    <s v="1057780-45-LE22"/>
    <s v="Compra ventilador no invasivo DSSAN"/>
    <s v="La presente licitación tiene como objetivo la adquisición de un ventilador no invasivo para el establecimiento DSSAN, detallado en las especificaciones técnicas (Formulario Nº 6 “Oferta Técnica” y Formulario N° 7 Oferta Económica”) y en las presentes bases. Sólo se aceptarán ofertas por equipos nuevos."/>
    <s v="SERVICIO DE SALUD ARAUCANIA NORTE"/>
    <m/>
    <m/>
    <x v="0"/>
    <x v="0"/>
    <d v="2022-10-03T17:43:49"/>
    <x v="0"/>
    <x v="1"/>
    <d v="2022-10-13T17:30:00"/>
    <d v="2022-10-05T00:00:00"/>
    <x v="0"/>
    <x v="6"/>
    <s v="No"/>
    <d v="2022-10-06T17:30:00"/>
    <d v="2022-10-07T17:30:00"/>
    <d v="2022-11-02T17:30:00"/>
    <n v="6924000"/>
    <n v="5818487.3949579839"/>
    <m/>
    <s v="No"/>
    <m/>
    <s v=" "/>
    <s v="No"/>
    <s v="Contrato"/>
    <n v="24"/>
    <s v="No"/>
    <m/>
    <d v="2022-10-13T17:30:00"/>
    <m/>
    <m/>
    <x v="0"/>
    <x v="0"/>
    <d v="2022-10-21T00:00:00"/>
    <n v="-7.2708333333357587"/>
    <x v="2"/>
    <n v="2788577"/>
    <m/>
    <m/>
    <s v="Orden de Compra"/>
    <s v="61.955.100-1"/>
    <s v="Si"/>
    <n v="0.05"/>
    <d v="2025-02-09T00:00:00"/>
    <m/>
    <m/>
    <s v="Jaime Jiménez Ortiz"/>
    <s v="jjimenezortiz@araucanianorte.cl"/>
    <m/>
    <m/>
    <m/>
    <m/>
  </r>
  <r>
    <s v="4375-261-LE22"/>
    <s v="ACCESORIOS CLINICOS"/>
    <s v="El HGGB necesita contar con la adquisición de flujometros y humidificador para la unidad de emergencia adulto."/>
    <s v="HOSPITAL GUILLERMO GRANT BENAVENTE"/>
    <m/>
    <m/>
    <x v="2"/>
    <x v="6"/>
    <d v="2022-09-28T10:50:42"/>
    <x v="11"/>
    <x v="1"/>
    <d v="2022-10-11T16:00:00"/>
    <d v="2022-10-05T00:00:00"/>
    <x v="0"/>
    <x v="2"/>
    <s v="No"/>
    <d v="2022-10-03T16:00:00"/>
    <d v="2022-10-05T16:00:00"/>
    <d v="2022-12-12T16:00:00"/>
    <n v="0"/>
    <n v="0"/>
    <m/>
    <s v="No"/>
    <m/>
    <s v=" "/>
    <s v="No"/>
    <m/>
    <m/>
    <m/>
    <m/>
    <d v="2022-10-11T16:00:00"/>
    <m/>
    <m/>
    <x v="0"/>
    <x v="0"/>
    <d v="2022-11-04T00:00:00"/>
    <n v="-23.333333333335759"/>
    <x v="0"/>
    <n v="1920000"/>
    <m/>
    <m/>
    <s v="Orden de Compra"/>
    <s v="61.602.189-3"/>
    <s v="No"/>
    <m/>
    <m/>
    <m/>
    <m/>
    <s v="LORETO RODRIGUEZ NEIRA"/>
    <s v="LRODRIGUEZN@SSCONCEPCION.CL"/>
    <m/>
    <m/>
    <m/>
    <m/>
  </r>
  <r>
    <s v="1057510-45-LP22"/>
    <s v="CONVENIO DE MANTENCIÓN SUMINISTRO REPARACIÓN E INSTALACIÓN DE REDES DE GASES CLINICOS Y SISTEMAS RELACIONADOS HOSPITAL DE SAN CARLOS DR. BENICIO ARZOLA MEDINA"/>
    <s v="El Hospital de San Carlos Dr. Benicio Arzola Medina requiere suscribir convenio de mantenimiento, suministro, reparación e instalación de redes de gases clínicos y sistemas relacionados, de acuerdo a las presentes bases administrativas y técnicas."/>
    <s v="HOSPITAL DE SAN CARLOS DR BENICIO ARZOLA MEDINA"/>
    <m/>
    <m/>
    <x v="5"/>
    <x v="6"/>
    <d v="2022-09-30T12:48:27"/>
    <x v="11"/>
    <x v="1"/>
    <d v="2022-10-20T17:00:00"/>
    <d v="2022-10-05T00:00:00"/>
    <x v="0"/>
    <x v="2"/>
    <s v="No"/>
    <d v="2022-10-11T17:00:00"/>
    <d v="2022-10-14T16:00:00"/>
    <d v="2022-10-24T17:00:00"/>
    <n v="0"/>
    <n v="0"/>
    <m/>
    <s v="No"/>
    <m/>
    <s v=" "/>
    <s v="No"/>
    <m/>
    <m/>
    <m/>
    <m/>
    <d v="2022-10-20T17:00:00"/>
    <m/>
    <m/>
    <x v="0"/>
    <x v="1"/>
    <m/>
    <n v="44854.708333333336"/>
    <x v="3"/>
    <m/>
    <m/>
    <m/>
    <m/>
    <s v="61.607.002-9"/>
    <s v="Si"/>
    <n v="0.05"/>
    <d v="2026-02-15T00:00:00"/>
    <m/>
    <m/>
    <s v="CRISTIAN SILVA RIVERA"/>
    <s v="cristianma.silva@redsalud.gov.cl"/>
    <m/>
    <m/>
    <m/>
    <m/>
  </r>
  <r>
    <s v="4013-31-LE22"/>
    <s v="Compra de servicio de entrega y recarga de oxígeno medicinal"/>
    <s v="Contrato de suministro de entrega y Recarga de Oxígeno Medicinal”, con la finalidad de otorgar a los usuarios de los Centros de Salud de la Comuna una atención oportuna y de calidad, cuyas características y especificaciones técnicas constan en estas Bases."/>
    <s v="I MUNICIPALIDAD DE PUCHUNCAVI"/>
    <m/>
    <m/>
    <x v="2"/>
    <x v="3"/>
    <d v="2022-09-30T11:16:00"/>
    <x v="11"/>
    <x v="1"/>
    <d v="2022-10-12T15:10:00"/>
    <d v="2022-10-07T00:00:00"/>
    <x v="0"/>
    <x v="7"/>
    <s v="No"/>
    <d v="2022-10-04T20:28:00"/>
    <d v="2022-10-06T17:28:00"/>
    <d v="2022-10-28T15:04:00"/>
    <n v="0"/>
    <n v="0"/>
    <m/>
    <s v="No"/>
    <m/>
    <s v=" "/>
    <s v="No"/>
    <m/>
    <m/>
    <m/>
    <m/>
    <d v="2022-10-12T15:10:00"/>
    <m/>
    <m/>
    <x v="0"/>
    <x v="0"/>
    <d v="2022-10-20T00:00:00"/>
    <n v="-7.3680555555547471"/>
    <x v="2"/>
    <n v="10462450"/>
    <m/>
    <m/>
    <s v="Contrato"/>
    <s v="69.060.800-6"/>
    <s v="No"/>
    <m/>
    <m/>
    <m/>
    <m/>
    <s v="Bárbara Bernal Arancibia"/>
    <s v="bbernal@munipuchuncavi.cl"/>
    <m/>
    <m/>
    <m/>
    <m/>
  </r>
  <r>
    <s v="5053-117-LP22"/>
    <s v="SUMINISTRO DE OXIGENO MEDICINAL Y OTROS"/>
    <s v="El objetivo de la presente licitación es la compra de Suministro de Oxígeno Medicinal y otros gases clínicos para el Hospital Regional de Talca, con el fin de asegurar el abastecimiento en calidad y oportunidad, para satisfacer la demanda de los usuarios."/>
    <s v="HOSPITAL DE TALCA"/>
    <m/>
    <m/>
    <x v="2"/>
    <x v="2"/>
    <d v="2022-10-03T12:41:56"/>
    <x v="0"/>
    <x v="1"/>
    <d v="2022-10-13T15:05:00"/>
    <d v="2022-10-07T00:00:00"/>
    <x v="0"/>
    <x v="7"/>
    <s v="No"/>
    <d v="2022-10-05T09:00:00"/>
    <d v="2022-10-07T20:00:00"/>
    <d v="2022-11-14T20:00:00"/>
    <n v="0"/>
    <n v="0"/>
    <m/>
    <s v="No"/>
    <m/>
    <s v=" "/>
    <s v="No"/>
    <m/>
    <m/>
    <m/>
    <m/>
    <d v="2022-10-13T15:05:00"/>
    <m/>
    <m/>
    <x v="0"/>
    <x v="0"/>
    <d v="2022-11-17T00:00:00"/>
    <n v="-34.371527777781012"/>
    <x v="2"/>
    <n v="73139407"/>
    <m/>
    <m/>
    <s v="Contrato"/>
    <s v="61.606.901-2"/>
    <s v="Si"/>
    <n v="0.05"/>
    <d v="2023-12-15T00:00:00"/>
    <m/>
    <m/>
    <s v="Mario Muñoz Davila"/>
    <s v="dipresrecepcion@custodio.cl"/>
    <m/>
    <m/>
    <m/>
    <m/>
  </r>
  <r>
    <s v="2921-11-L122"/>
    <s v="Adquisicion de oxigeno y arriendo de cilindros"/>
    <s v="Adquirir suministro de oxigeno medico para el CGR de la comuna."/>
    <s v="I MUNICIPALIDAD DE JUAN FERNANDEZ"/>
    <m/>
    <m/>
    <x v="2"/>
    <x v="9"/>
    <d v="2022-10-04T17:27:00"/>
    <x v="0"/>
    <x v="1"/>
    <d v="2022-10-11T19:58:00"/>
    <d v="2022-10-07T00:00:00"/>
    <x v="0"/>
    <x v="2"/>
    <s v="No"/>
    <d v="2022-10-06T13:00:00"/>
    <d v="2022-10-06T18:00:00"/>
    <d v="2022-10-18T19:07:00"/>
    <n v="0"/>
    <n v="0"/>
    <m/>
    <s v="No"/>
    <m/>
    <s v=" "/>
    <s v="No"/>
    <m/>
    <m/>
    <m/>
    <m/>
    <d v="2022-10-11T19:58:00"/>
    <m/>
    <m/>
    <x v="0"/>
    <x v="1"/>
    <d v="2022-10-11T00:00:00"/>
    <n v="0.8319444444423425"/>
    <x v="3"/>
    <m/>
    <m/>
    <m/>
    <s v="Contrato"/>
    <s v="69.252.300-8"/>
    <s v="No"/>
    <m/>
    <m/>
    <m/>
    <m/>
    <s v="Pamela Olivares"/>
    <s v="dsm@comunajuanfernandez.cl"/>
    <m/>
    <m/>
    <m/>
    <m/>
  </r>
  <r>
    <s v="2311-137-L122"/>
    <s v="CONVENIO DE SUMINISTRO OXIGENO MEDICO PARA CESFAM LONTUE Y MOLINA"/>
    <m/>
    <s v="IMunicipalidad de Molina"/>
    <m/>
    <m/>
    <x v="2"/>
    <x v="2"/>
    <d v="2022-10-05T09:26:28"/>
    <x v="0"/>
    <x v="1"/>
    <d v="2022-10-13T16:22:00"/>
    <d v="2022-10-07T00:00:00"/>
    <x v="0"/>
    <x v="7"/>
    <s v="No"/>
    <d v="2022-10-06T17:22:00"/>
    <d v="2022-10-07T10:22:00"/>
    <d v="2022-10-20T18:22:00"/>
    <n v="0"/>
    <n v="0"/>
    <m/>
    <s v="No"/>
    <m/>
    <s v=" "/>
    <s v="No"/>
    <m/>
    <m/>
    <m/>
    <m/>
    <d v="2022-10-13T16:22:00"/>
    <m/>
    <m/>
    <x v="0"/>
    <x v="0"/>
    <d v="2022-10-26T00:00:00"/>
    <n v="-12.318055555559113"/>
    <x v="2"/>
    <n v="147608"/>
    <m/>
    <m/>
    <s v="Orden de Compra"/>
    <m/>
    <s v="No"/>
    <m/>
    <m/>
    <m/>
    <m/>
    <m/>
    <m/>
    <m/>
    <m/>
    <m/>
    <m/>
  </r>
  <r>
    <s v="3213-5-LE22"/>
    <s v="Contrato de Suministro Oxigeno Medicinal"/>
    <s v="LLama a Licitación Pública para el Contrato de Suministro por el servicio de abastecimiento de Oxigeno de Uso Medicinal para los establecimientos y ambulancias del Departamento de Salud Municipal y para el Complejo Educacional del Departamento de Administración de Educación Municipal por el periodo de 24 meses."/>
    <s v="I MUNICIPALIDAD DE COLLIPULLI"/>
    <m/>
    <m/>
    <x v="2"/>
    <x v="3"/>
    <d v="2022-10-06T11:36:06"/>
    <x v="0"/>
    <x v="1"/>
    <d v="2022-10-18T16:00:00"/>
    <d v="2022-10-08T00:00:00"/>
    <x v="0"/>
    <x v="2"/>
    <s v="No"/>
    <d v="2022-10-12T14:00:00"/>
    <d v="2022-10-13T14:00:00"/>
    <d v="2022-10-21T15:00:00"/>
    <n v="0"/>
    <n v="0"/>
    <m/>
    <s v="Si"/>
    <n v="100000"/>
    <d v="2022-12-19T00:00:00"/>
    <s v="No"/>
    <m/>
    <m/>
    <m/>
    <m/>
    <d v="2022-10-18T16:00:00"/>
    <m/>
    <m/>
    <x v="0"/>
    <x v="1"/>
    <d v="2022-10-28T00:00:00"/>
    <n v="-9.3333333333357587"/>
    <x v="3"/>
    <m/>
    <m/>
    <m/>
    <s v="Contrato"/>
    <s v="69.180.500-k"/>
    <s v="No"/>
    <m/>
    <m/>
    <m/>
    <m/>
    <s v="Cristian Fuentes Hernández"/>
    <s v="dsmfinanzas@municollipulli.cl"/>
    <m/>
    <m/>
    <m/>
    <m/>
  </r>
  <r>
    <s v="1057544-318-LQ22"/>
    <s v="CONTRATACIÓN DE SUMINISTRO DE OXÍGENO CRIOGÉNICO PARA EL HOSPITAL LAS HIGUERAS TALCAHUANO"/>
    <s v="Las presentes especificaciones técnicas, tienen por objetivo la contratación de suministro de oxígeno criogénico líquido en el Hospital, incluyendo el suministro de oxígeno gaseoso en cilindros para uso exclusivo de respaldo para la red, el transporte, el mantenimiento, monitoreo continuo y remoto de los estanques, del consumo y el abastecimiento oportuno sin quiebre de stock para el uso medicinal del oxígeno, de acuerdo a las especificaciones técnicas adjuntas."/>
    <s v="SERVICIO DE SALUD DE TALCAHUANO"/>
    <m/>
    <m/>
    <x v="2"/>
    <x v="17"/>
    <d v="2022-10-06T14:21:30"/>
    <x v="0"/>
    <x v="1"/>
    <d v="2022-10-27T15:01:00"/>
    <d v="2022-10-08T00:00:00"/>
    <x v="0"/>
    <x v="5"/>
    <s v="No"/>
    <d v="2022-10-12T15:00:00"/>
    <d v="2022-10-20T17:00:00"/>
    <d v="2022-11-24T17:00:00"/>
    <n v="0"/>
    <n v="0"/>
    <m/>
    <s v="Si"/>
    <n v="2000000"/>
    <d v="2023-02-04T00:00:00"/>
    <s v="Si"/>
    <m/>
    <m/>
    <m/>
    <m/>
    <d v="2022-10-27T15:01:00"/>
    <m/>
    <m/>
    <x v="0"/>
    <x v="3"/>
    <m/>
    <n v="44861.625694444447"/>
    <x v="3"/>
    <m/>
    <m/>
    <m/>
    <m/>
    <s v="61.607.202-1"/>
    <s v="Si"/>
    <n v="0.1"/>
    <d v="2025-04-22T00:00:00"/>
    <m/>
    <m/>
    <s v="John Barahona"/>
    <s v="jhon.barahona@redsalud.gov.cl"/>
    <m/>
    <m/>
    <m/>
    <m/>
  </r>
  <r>
    <s v="3630-19-L122"/>
    <s v="SUMINISTRO OXIGENO MEDICINAL"/>
    <s v="El departamento de salud de la municipalidad de Máfil requiere adquirir suministro de oxígeno medicinal, para abastecer los centros de atención de salud de la comuna, el oferente deberá asegurar la entrega en la comuna de los servicios indicados en los plazos propuestos."/>
    <s v="I MUNICIPALIDAD DE MAFIL"/>
    <m/>
    <m/>
    <x v="2"/>
    <x v="3"/>
    <d v="2022-10-06T14:45:15"/>
    <x v="0"/>
    <x v="1"/>
    <d v="2022-10-12T15:00:00"/>
    <d v="2022-10-08T00:00:00"/>
    <x v="0"/>
    <x v="2"/>
    <s v="No"/>
    <d v="2022-10-09T17:00:00"/>
    <d v="2022-10-10T17:00:00"/>
    <d v="2022-10-19T15:01:00"/>
    <n v="0"/>
    <n v="0"/>
    <m/>
    <s v="No"/>
    <m/>
    <s v=" "/>
    <s v="No"/>
    <m/>
    <m/>
    <m/>
    <m/>
    <d v="2022-10-12T15:00:00"/>
    <m/>
    <m/>
    <x v="0"/>
    <x v="0"/>
    <d v="2022-10-27T00:00:00"/>
    <n v="-14.375"/>
    <x v="2"/>
    <n v="2000000"/>
    <m/>
    <m/>
    <s v="Contrato"/>
    <s v="69.200.500-7"/>
    <s v="No"/>
    <m/>
    <m/>
    <m/>
    <m/>
    <s v="PATRICIO SUBIABRE"/>
    <s v="csubiabre@saludmafil.cl"/>
    <m/>
    <m/>
    <m/>
    <m/>
  </r>
  <r>
    <s v="1057417-222-LQ22"/>
    <s v="CONVENIO SUMINISTRO DE OXIGENO LIQUIDO MEDICINAL PARA EL COMPLEJO ASISTENCIALmss"/>
    <s v="CONVENIO SUMINISTRO DE OXIGENO LIQUIDO MEDICINAL PARA EL COMPLEJO ASISTENCIAL"/>
    <s v="COMPLEJO ASISTENCIAL DR.VICTOR RIOS RUIZ"/>
    <m/>
    <m/>
    <x v="2"/>
    <x v="17"/>
    <d v="2022-10-07T15:48:03"/>
    <x v="0"/>
    <x v="1"/>
    <d v="2022-10-27T17:00:00"/>
    <d v="2022-10-08T00:00:00"/>
    <x v="0"/>
    <x v="2"/>
    <s v="No"/>
    <d v="2022-10-17T17:00:00"/>
    <d v="2022-10-20T17:00:00"/>
    <d v="2023-01-05T17:00:00"/>
    <n v="0"/>
    <n v="0"/>
    <m/>
    <s v="Si"/>
    <n v="500000"/>
    <d v="2023-02-06T00:00:00"/>
    <s v="Si"/>
    <m/>
    <m/>
    <m/>
    <m/>
    <d v="2022-10-27T17:00:00"/>
    <m/>
    <m/>
    <x v="0"/>
    <x v="2"/>
    <m/>
    <n v="44861.708333333336"/>
    <x v="3"/>
    <m/>
    <m/>
    <m/>
    <m/>
    <s v="61.607.301-k"/>
    <s v="Si"/>
    <n v="0.05"/>
    <d v="2026-05-13T00:00:00"/>
    <m/>
    <m/>
    <s v="RODOLFO GONZALEZ ARANEDA"/>
    <s v="rodolfo.gonzalez@ssbiobio.cl"/>
    <m/>
    <m/>
    <m/>
    <m/>
  </r>
  <r>
    <s v="1057417-245-LP22"/>
    <s v="CONVENIO DE ADQUISICIÓN DE ACCESORIOS MÉDICOS DE OXIGENOTERAPIA"/>
    <s v="Con la finalidad de poder realizar recambio en equipos e instalaciones de apoyo, para mantener la continuidad de servicio. Los accesorios médicos en óptimas condiciones son fundamental para una atención segura y de calidad para el paciente."/>
    <s v="COMPLEJO ASISTENCIAL DR.VICTOR RIOS RUIZ"/>
    <m/>
    <m/>
    <x v="2"/>
    <x v="6"/>
    <d v="2022-10-11T16:35:21"/>
    <x v="0"/>
    <x v="1"/>
    <d v="2022-11-02T17:00:00"/>
    <d v="2022-10-11T00:00:00"/>
    <x v="0"/>
    <x v="2"/>
    <s v="No"/>
    <d v="2022-10-21T16:00:00"/>
    <d v="2022-10-25T17:00:00"/>
    <d v="2023-01-11T17:00:00"/>
    <n v="0"/>
    <n v="0"/>
    <m/>
    <s v="Si"/>
    <n v="500000"/>
    <d v="2023-07-05T00:00:00"/>
    <s v="No"/>
    <m/>
    <m/>
    <m/>
    <m/>
    <d v="2022-11-02T17:00:00"/>
    <m/>
    <m/>
    <x v="0"/>
    <x v="0"/>
    <d v="2022-11-30T00:00:00"/>
    <n v="-27.291666666664241"/>
    <x v="0"/>
    <n v="58823402"/>
    <m/>
    <m/>
    <s v="Contrato"/>
    <s v="61.607.301-K"/>
    <s v="Si"/>
    <n v="0.05"/>
    <d v="2025-04-20T00:00:00"/>
    <m/>
    <m/>
    <s v="RODOLFO GONZALES ARANEDA"/>
    <s v="rodolfo.gonzales@ssbiobio.cl"/>
    <m/>
    <m/>
    <m/>
    <m/>
  </r>
  <r>
    <s v="5053-83-LE22"/>
    <s v="MANTENCION PREVENTIVA TOMAS DE GASES CLINICOS"/>
    <s v="El objetivo de la presente licitación, es la adquisición del servicio de Mantención Preventiva de puestos de tomas gases medicinales del Hospital Regional de Talca, con el fin de asegurar el abastecimiento en calidad y oportunidad, para satisfacer la demanda de los usuarios."/>
    <s v="HOSPITAL DE TALCA"/>
    <m/>
    <m/>
    <x v="5"/>
    <x v="6"/>
    <d v="2022-10-05T10:20:18"/>
    <x v="0"/>
    <x v="1"/>
    <d v="2022-10-17T16:13:00"/>
    <d v="2022-10-12T00:00:00"/>
    <x v="0"/>
    <x v="7"/>
    <s v="No"/>
    <d v="2022-10-08T13:52:00"/>
    <d v="2022-10-11T13:52:00"/>
    <d v="2022-11-02T16:14:00"/>
    <n v="0"/>
    <n v="0"/>
    <m/>
    <s v="No"/>
    <m/>
    <s v=" "/>
    <s v="No"/>
    <m/>
    <m/>
    <m/>
    <m/>
    <d v="2022-10-17T16:13:00"/>
    <m/>
    <m/>
    <x v="0"/>
    <x v="1"/>
    <d v="2022-11-15T00:00:00"/>
    <n v="-28.324305555557657"/>
    <x v="3"/>
    <m/>
    <m/>
    <m/>
    <m/>
    <s v="61.606.901-2"/>
    <s v="Si"/>
    <n v="0.05"/>
    <d v="2024-01-31T00:00:00"/>
    <m/>
    <m/>
    <s v="Mario Muñoz Davila"/>
    <s v="dipresrecepcion@custodium.com"/>
    <m/>
    <m/>
    <m/>
    <m/>
  </r>
  <r>
    <s v="1057539-142-LP22"/>
    <s v="ARRIENDO VENTILADORES MECANICOS SOLIC 09"/>
    <s v="Arriendo de 2 Ventiladores Mecánicos invasivo / no invasivo para servicio de UPC Pediátrica del Hospital Puerto Montt, Solicitud N° 09."/>
    <s v="HOSPITAL PUERTO MONTT"/>
    <m/>
    <m/>
    <x v="0"/>
    <x v="0"/>
    <d v="2022-10-08T11:52:40"/>
    <x v="0"/>
    <x v="1"/>
    <d v="2022-10-20T15:00:00"/>
    <d v="2022-10-12T00:00:00"/>
    <x v="0"/>
    <x v="10"/>
    <s v="No"/>
    <d v="2022-10-13T15:00:00"/>
    <d v="2022-10-17T15:00:00"/>
    <d v="2022-12-20T15:00:00"/>
    <n v="0"/>
    <n v="0"/>
    <m/>
    <s v="No"/>
    <m/>
    <s v=" "/>
    <s v="No"/>
    <m/>
    <m/>
    <m/>
    <m/>
    <d v="2022-10-20T15:00:00"/>
    <m/>
    <m/>
    <x v="0"/>
    <x v="0"/>
    <d v="2022-11-28T00:00:00"/>
    <n v="-38.375"/>
    <x v="0"/>
    <n v="44386476"/>
    <m/>
    <m/>
    <s v="Contrato"/>
    <s v="61.975.100-0"/>
    <s v="Si"/>
    <n v="0.1"/>
    <d v="2024-02-21T00:00:00"/>
    <m/>
    <m/>
    <s v="Anelia soto"/>
    <s v="asoto@ssdr.gob.cl"/>
    <m/>
    <m/>
    <m/>
    <m/>
  </r>
  <r>
    <s v="1499-143-LQ22"/>
    <s v="Gases medicinales de distintos tipos y formatos"/>
    <s v="El Instituto Nacional del Tórax necesita contar para su gestión Gases medicinales de distintos tipos y formatos, en forma permanente, con el objeto de poder cumplir y satisfacer debidamente la demanda asistencial que legalmente le ha sido encomendada."/>
    <s v="INSTITUTO NACIONAL DEL TORAX"/>
    <m/>
    <m/>
    <x v="2"/>
    <x v="2"/>
    <d v="2022-10-12T15:16:00"/>
    <x v="0"/>
    <x v="1"/>
    <d v="2022-11-02T18:03:00"/>
    <m/>
    <x v="0"/>
    <x v="5"/>
    <s v="No"/>
    <d v="2022-10-22T09:12:00"/>
    <d v="2022-10-28T17:00:00"/>
    <d v="2022-12-12T16:00:00"/>
    <n v="0"/>
    <n v="0"/>
    <m/>
    <s v="Si"/>
    <n v="1000000"/>
    <d v="2023-10-02T00:00:00"/>
    <s v="No"/>
    <m/>
    <m/>
    <m/>
    <m/>
    <d v="2022-11-02T18:03:00"/>
    <m/>
    <m/>
    <x v="0"/>
    <x v="1"/>
    <d v="2022-11-02T00:00:00"/>
    <n v="0.75208333333284827"/>
    <x v="3"/>
    <m/>
    <m/>
    <m/>
    <m/>
    <s v="61.608.402-k"/>
    <s v="Si"/>
    <n v="0.1"/>
    <d v="2025-05-09T00:00:00"/>
    <m/>
    <m/>
    <s v="Enrique Martínez L."/>
    <s v="emartinez@torax.cl"/>
    <m/>
    <m/>
    <m/>
    <m/>
  </r>
  <r>
    <s v="1057935-5-LE22"/>
    <s v="Adquisición de 07 ventiladores mecánicos no invasivos para programa ventilados"/>
    <s v="De acuerdo a lo estipulado en la Resolución Exenta N° 3549 de fecha 12.10.2022"/>
    <s v="SERVICIO DE SALUD VALDIVIA"/>
    <m/>
    <m/>
    <x v="0"/>
    <x v="0"/>
    <d v="2022-10-13T08:50:21"/>
    <x v="0"/>
    <x v="1"/>
    <d v="2022-10-24T15:01:00"/>
    <d v="2022-10-13T00:00:00"/>
    <x v="0"/>
    <x v="0"/>
    <s v="No"/>
    <d v="2022-10-19T09:00:00"/>
    <d v="2022-10-21T19:00:00"/>
    <d v="2023-01-23T19:00:00"/>
    <n v="0"/>
    <n v="0"/>
    <m/>
    <s v="No"/>
    <m/>
    <s v=" "/>
    <s v="No"/>
    <m/>
    <m/>
    <m/>
    <m/>
    <d v="2022-10-24T15:01:00"/>
    <m/>
    <m/>
    <x v="0"/>
    <x v="0"/>
    <d v="2022-11-10T00:00:00"/>
    <n v="-16.374305555553292"/>
    <x v="0"/>
    <n v="2350000"/>
    <m/>
    <m/>
    <s v="Orden de Compra"/>
    <s v="61.607.500-4"/>
    <s v="No"/>
    <m/>
    <m/>
    <m/>
    <m/>
    <s v="Carmen Roldan"/>
    <s v="carmen.roldanssv@redsalud.gob.cl"/>
    <m/>
    <m/>
    <m/>
    <m/>
  </r>
  <r>
    <s v="5221-44-LE22"/>
    <s v="REPOSICION VENTILADORES RED ASISTENCIAL MAGALLANES"/>
    <s v="REPOSICIÓN DE VENTILADORES MECANICOS NO INVASIVOS, PROGRAMAS VENTILATORIOS DE LA RED ASISTENCIAL MAGALLANES LUGAR DE ENTREGA DE BS: Servicio de Salud Magallanes, Lautaro Navarro 829, Punta Arenas. PLAZO DE ENTREGA 30/11/2022"/>
    <s v="REPOSICIÓN DE VENTILADORES MECANICOS NO INVASIVOS, PROGRAMAS VENTILATORIOS DE LA RED ASISTENCIAL MAGALLANES LUGAR DE ENTREGA DE BS: Servicio de Salud Magallanes, Lautaro Navarro 829, Punta Arenas. PLAZO DE ENTREGA 30/11/2022"/>
    <m/>
    <m/>
    <x v="0"/>
    <x v="0"/>
    <d v="2022-10-14T11:36:26"/>
    <x v="0"/>
    <x v="1"/>
    <d v="2022-10-24T16:00:00"/>
    <d v="2022-10-17T00:00:00"/>
    <x v="0"/>
    <x v="5"/>
    <s v="No"/>
    <d v="2022-10-19T12:00:00"/>
    <d v="2022-10-21T16:00:00"/>
    <d v="2022-11-30T15:04:00"/>
    <n v="0"/>
    <n v="0"/>
    <m/>
    <s v="No"/>
    <m/>
    <s v=" "/>
    <s v="No"/>
    <s v="Contrato"/>
    <n v="24"/>
    <s v="No"/>
    <n v="180"/>
    <d v="2023-04-22T16:00:00"/>
    <m/>
    <m/>
    <x v="0"/>
    <x v="0"/>
    <d v="2022-11-15T00:00:00"/>
    <n v="158.66666666666424"/>
    <x v="0"/>
    <n v="2890000"/>
    <m/>
    <m/>
    <s v="Contrato"/>
    <s v="61.607.900-k"/>
    <s v="Si"/>
    <n v="0.1"/>
    <d v="2025-02-11T00:00:00"/>
    <m/>
    <m/>
    <s v="TESORERIA GENERAL DE LA REPUBLICA"/>
    <s v="tesoreria.dssm@redsalud.gov.cl"/>
    <m/>
    <m/>
    <m/>
    <m/>
  </r>
  <r>
    <s v="1057864-3-LR22"/>
    <s v="REPOSICIÓN DE 100 VENTILADORES DE USO DOMICILIARIO"/>
    <s v="Reposicionar los ventiladores domiciliarios utilizados por el Servicio dentro de la Red de Atención Domiciliaria"/>
    <s v="SERVICIO DE SALUD METROPOLITANO NORTE"/>
    <m/>
    <m/>
    <x v="0"/>
    <x v="0"/>
    <d v="2022-10-17T16:15:56"/>
    <x v="0"/>
    <x v="1"/>
    <d v="2022-11-21T15:00:00"/>
    <d v="2022-10-18T00:00:00"/>
    <x v="0"/>
    <x v="4"/>
    <s v="No"/>
    <d v="2022-10-27T15:00:00"/>
    <d v="2022-11-02T18:00:00"/>
    <d v="2022-12-09T18:00:00"/>
    <n v="0"/>
    <n v="0"/>
    <m/>
    <s v="Si"/>
    <n v="500000"/>
    <d v="2023-02-15T00:00:00"/>
    <s v="No"/>
    <m/>
    <m/>
    <m/>
    <m/>
    <d v="2022-11-21T15:00:00"/>
    <m/>
    <m/>
    <x v="0"/>
    <x v="1"/>
    <d v="2022-12-05T00:00:00"/>
    <n v="-13.375"/>
    <x v="3"/>
    <m/>
    <m/>
    <m/>
    <s v="Orden de Compra"/>
    <s v="61.608.000-8"/>
    <s v="Si"/>
    <n v="0.1"/>
    <d v="2025-03-26T00:00:00"/>
    <m/>
    <m/>
    <s v="Manuel González"/>
    <s v="consultaprov.ssmn@redsalud.gov.cl"/>
    <m/>
    <m/>
    <m/>
    <m/>
  </r>
  <r>
    <s v="705290-36-LE22"/>
    <s v="SUMINISTRO DE OXIGENO DOMICILIARIO"/>
    <s v="Las presentes Bases constituyen el instrumento guía destinado a la CONTRATACIÓN DE SUMINISTRO DE OXIGENO DOMICILIARIO PARA LA UNIDAD DE HOSPITALIZACION DOMICILIARIA DEL HOSPITAL DR. FELIX BULNES CERDA, en adelante Hospital, éstas, establecen los fines, condiciones y requisitos que deberán ser cumplidos por los oferentes, en todas y cada una de las partes que conformen su oferta, además de regular el todo el proceso licitatorio hasta la suscripción del correspondiente contrato."/>
    <s v="SERVICIO SALUD OCCIDENTE HOSPITAL DR FELIX BULNES CERDA"/>
    <m/>
    <m/>
    <x v="3"/>
    <x v="5"/>
    <d v="2022-10-14T12:45:31"/>
    <x v="0"/>
    <x v="1"/>
    <d v="2022-10-24T16:00:00"/>
    <d v="2022-10-18T00:00:00"/>
    <x v="1"/>
    <x v="1"/>
    <s v="Si"/>
    <d v="2022-10-18T12:00:00"/>
    <d v="2022-10-19T15:55:00"/>
    <d v="2022-12-07T19:22:00"/>
    <n v="0"/>
    <n v="0"/>
    <m/>
    <s v="No"/>
    <m/>
    <s v=" "/>
    <s v="No"/>
    <s v="Contrato"/>
    <m/>
    <s v="No"/>
    <m/>
    <d v="2022-10-24T16:00:00"/>
    <m/>
    <m/>
    <x v="0"/>
    <x v="0"/>
    <d v="2022-12-07T00:00:00"/>
    <n v="-43.333333333335759"/>
    <x v="2"/>
    <n v="308000"/>
    <m/>
    <m/>
    <s v="Contrato"/>
    <s v="61.608.205-1"/>
    <s v="No"/>
    <m/>
    <m/>
    <m/>
    <m/>
    <s v="RODRIGO QUIDEL"/>
    <s v="rodrigo.quidel@redsalud.gov.cl"/>
    <m/>
    <m/>
    <m/>
    <m/>
  </r>
  <r>
    <s v="1499-152-LQ22"/>
    <s v="Máscaras con Cpap y equipo en comodato"/>
    <s v="El Instituto Nacional del Tórax necesita contar para su gestión Máscaras de diferentes medidas y diseños con Cpap y equipos comodato para la Unidad de medicina del Sueño en forma permanente, con el objeto de poder cumplir y satisfacer debidamente la demanda asistencial que legalmente le ha sido encomendada."/>
    <s v="INSTITUTO NACIONAL DEL TORAX"/>
    <m/>
    <m/>
    <x v="0"/>
    <x v="0"/>
    <d v="2022-10-14T10:52:06"/>
    <x v="0"/>
    <x v="1"/>
    <d v="2022-11-03T19:28:00"/>
    <d v="2022-10-18T00:00:00"/>
    <x v="1"/>
    <x v="1"/>
    <s v="Si"/>
    <d v="2022-10-24T09:15:00"/>
    <d v="2022-10-28T17:00:00"/>
    <d v="2022-12-12T17:00:00"/>
    <n v="0"/>
    <n v="0"/>
    <n v="30"/>
    <s v="Si"/>
    <n v="1000000"/>
    <d v="2023-02-11T00:00:00"/>
    <s v="No"/>
    <s v="Contrato"/>
    <n v="12"/>
    <s v="No"/>
    <n v="100"/>
    <d v="2023-02-11T19:28:00"/>
    <m/>
    <m/>
    <x v="0"/>
    <x v="1"/>
    <d v="2022-11-11T00:00:00"/>
    <n v="92.81111111111386"/>
    <x v="3"/>
    <m/>
    <m/>
    <m/>
    <s v="Contrato"/>
    <s v="61.608.402-k"/>
    <s v="Si"/>
    <n v="0.1"/>
    <d v="2024-05-05T00:00:00"/>
    <m/>
    <m/>
    <s v="Rocío Madrid A."/>
    <s v="rmadrid@torax.cl"/>
    <m/>
    <m/>
    <m/>
    <m/>
  </r>
  <r>
    <s v="3710-286-L122"/>
    <s v="REGULADORES DE OXIGENO PARA CURACIONES CESFAM VICTORIA"/>
    <s v="REGULADORES DE OXIGENO PARA CURACIONES CESFAM VICTORIA SM-6849"/>
    <s v="I MUNICIPALIDAD DE VICTORIA"/>
    <m/>
    <m/>
    <x v="2"/>
    <x v="3"/>
    <d v="2022-10-14T15:47:00"/>
    <x v="0"/>
    <x v="1"/>
    <d v="2022-10-21T17:37:00"/>
    <d v="2022-10-19T00:00:00"/>
    <x v="0"/>
    <x v="2"/>
    <s v="No"/>
    <d v="2022-10-17T19:37:00"/>
    <d v="2022-10-18T19:37:00"/>
    <d v="2022-11-21T17:38:00"/>
    <n v="0"/>
    <n v="0"/>
    <m/>
    <s v="No"/>
    <m/>
    <s v=" "/>
    <s v="No"/>
    <m/>
    <m/>
    <m/>
    <m/>
    <d v="2022-10-21T17:37:00"/>
    <m/>
    <m/>
    <x v="0"/>
    <x v="0"/>
    <d v="2022-10-28T00:00:00"/>
    <n v="-6.265972222223354"/>
    <x v="0"/>
    <n v="200000"/>
    <m/>
    <m/>
    <s v="Orden de Compra"/>
    <s v="69.180.900-5"/>
    <s v="No"/>
    <m/>
    <m/>
    <m/>
    <m/>
    <s v="Sofia Rutsche Cerva"/>
    <s v="finanzascefamvictoria@gmail.com"/>
    <m/>
    <m/>
    <m/>
    <m/>
  </r>
  <r>
    <s v="2921-13-L122"/>
    <s v="Abastecimiento Oxigeno Medico"/>
    <s v="Adquisición Abastecimiento Oxigeno Medico"/>
    <s v="I MUNICIPALIDAD DE JUAN FERNANDEZ"/>
    <m/>
    <m/>
    <x v="2"/>
    <x v="9"/>
    <d v="2022-10-14T16:58:32"/>
    <x v="0"/>
    <x v="1"/>
    <d v="2022-10-21T15:30:00"/>
    <d v="2022-10-19T00:00:00"/>
    <x v="0"/>
    <x v="0"/>
    <s v="No"/>
    <d v="2022-10-18T18:00:00"/>
    <d v="2022-10-19T18:00:00"/>
    <d v="2022-11-04T18:48:00"/>
    <n v="0"/>
    <n v="0"/>
    <m/>
    <s v="No"/>
    <m/>
    <s v=" "/>
    <s v="No"/>
    <m/>
    <m/>
    <m/>
    <m/>
    <d v="2022-10-21T15:30:00"/>
    <m/>
    <m/>
    <x v="0"/>
    <x v="1"/>
    <d v="2022-10-21T00:00:00"/>
    <n v="0.64583333333575865"/>
    <x v="3"/>
    <m/>
    <m/>
    <m/>
    <m/>
    <s v="69.252.300-8"/>
    <s v="No"/>
    <m/>
    <m/>
    <m/>
    <m/>
    <s v="Pamela Olivares"/>
    <s v="dsm@comunajuanfernandez.cl"/>
    <m/>
    <m/>
    <m/>
    <m/>
  </r>
  <r>
    <s v="744835-200-L122"/>
    <s v="CARGAS DE CILINDRO DE OXIGENO"/>
    <s v="LA I. MUNICIPALIDAD DE LO ESPEJO, REQUIERE CARGAS DE CILINDROS DE OXIGENO PARA DISTRIBUIR EN DIFERENTES CESFAM DE LA COMUNA."/>
    <s v="I MUNICIPALIDAD DE LO ESPEJO"/>
    <m/>
    <m/>
    <x v="2"/>
    <x v="10"/>
    <d v="2022-10-17T12:05:05"/>
    <x v="0"/>
    <x v="1"/>
    <d v="2022-10-24T16:30:00"/>
    <d v="2022-10-19T00:00:00"/>
    <x v="0"/>
    <x v="0"/>
    <s v="No"/>
    <d v="2022-10-19T12:00:00"/>
    <d v="2022-10-21T16:00:00"/>
    <d v="2022-11-30T15:30:00"/>
    <n v="0"/>
    <n v="0"/>
    <m/>
    <s v="No"/>
    <m/>
    <s v=" "/>
    <s v="No"/>
    <m/>
    <m/>
    <m/>
    <m/>
    <d v="2022-10-24T16:30:00"/>
    <m/>
    <m/>
    <x v="0"/>
    <x v="1"/>
    <d v="2022-10-24T00:00:00"/>
    <n v="0.6875"/>
    <x v="3"/>
    <m/>
    <m/>
    <m/>
    <m/>
    <s v="69.255.100-1"/>
    <s v="No"/>
    <m/>
    <m/>
    <m/>
    <m/>
    <s v="RICARDO MORALES CHOUPAY"/>
    <s v="TESORERIA@LOESPEJO.CL"/>
    <m/>
    <m/>
    <m/>
    <m/>
  </r>
  <r>
    <s v="2102-76-LE22"/>
    <s v="CONVENIO SUMINISTRO DE OXIGENO GASEOSO MEDICINAL"/>
    <s v="SOLICITUD DE COMPRA 195 DPTO. OPERACIONES."/>
    <s v="SERVICIO NACIONAL DE SALUD HOSPITAL DE LEBU"/>
    <m/>
    <m/>
    <x v="2"/>
    <x v="17"/>
    <d v="2022-10-18T14:46:00"/>
    <x v="0"/>
    <x v="1"/>
    <d v="2022-11-04T16:35:00"/>
    <d v="2022-10-20T00:00:00"/>
    <x v="1"/>
    <x v="1"/>
    <s v="Si"/>
    <d v="2022-10-21T16:48:00"/>
    <d v="2022-10-22T16:48:00"/>
    <d v="2022-11-18T16:36:00"/>
    <n v="0"/>
    <n v="0"/>
    <m/>
    <s v="No"/>
    <m/>
    <s v=" "/>
    <s v="No"/>
    <m/>
    <m/>
    <s v="No"/>
    <m/>
    <d v="2022-11-04T16:35:00"/>
    <m/>
    <m/>
    <x v="0"/>
    <x v="0"/>
    <d v="2022-12-12T00:00:00"/>
    <n v="-37.309027777781012"/>
    <x v="1"/>
    <n v="55930000"/>
    <m/>
    <m/>
    <s v="Contrato"/>
    <s v="61.602.212-1"/>
    <s v="No"/>
    <m/>
    <m/>
    <m/>
    <m/>
    <s v="CLAUDIA AVELLO CARRASCO"/>
    <s v="jefeabastecimiento@hospitalsantaisabel.cl"/>
    <m/>
    <m/>
    <m/>
    <m/>
  </r>
  <r>
    <s v="1627-115-LQ22"/>
    <s v="SUM OXÍGENO MEDICINAL Y ARRIENDO DE CILINDROS"/>
    <s v="LLAMA A LICITACIÓN PÚBLICA Y APRUEBA BASES TÉCNICAS Y ADMINISTRATIVAS PARA EL SUMINISTRO DE OXÍGENO MEDICINAL Y ARRIENDO DE CILINDROS PARA EL HOSPITAL DE SAN FERNANDO."/>
    <s v="HOSPITAL DE SAN FERNANDO"/>
    <m/>
    <m/>
    <x v="2"/>
    <x v="2"/>
    <d v="2022-10-18T16:22:30"/>
    <x v="0"/>
    <x v="1"/>
    <d v="2022-11-07T15:30:00"/>
    <d v="2022-10-21T00:00:00"/>
    <x v="0"/>
    <x v="2"/>
    <s v="No"/>
    <d v="2022-10-21T19:00:00"/>
    <d v="2022-10-24T19:00:00"/>
    <d v="2023-01-20T17:00:00"/>
    <n v="0"/>
    <n v="0"/>
    <m/>
    <s v="Si"/>
    <n v="3000000"/>
    <d v="2023-03-07T00:00:00"/>
    <s v="No"/>
    <m/>
    <m/>
    <m/>
    <m/>
    <d v="2022-11-07T15:30:00"/>
    <m/>
    <m/>
    <x v="0"/>
    <x v="2"/>
    <m/>
    <n v="44872.645833333336"/>
    <x v="3"/>
    <m/>
    <m/>
    <m/>
    <m/>
    <s v="61.602.145-1"/>
    <s v="Si"/>
    <n v="0.1"/>
    <d v="2025-05-20T00:00:00"/>
    <m/>
    <m/>
    <s v="Cristian Moreno Gutiérrez"/>
    <s v="cmoreno@hospitalsanfernando.cl"/>
    <m/>
    <m/>
    <m/>
    <m/>
  </r>
  <r>
    <s v="4968-65-LP22"/>
    <s v="OXIGENOTERAPIA DOMICILIARIA"/>
    <s v="Qué, el Hospital de Quilpué requiere contratar los servicios de “OXIGENOTERAPIA DOMICILIARIA”, de manera de satisfacer adecuada y oportunamente la demanda asistencial a la población asignada, que legalmente le ha sido encomendada, de conformidad a correo electrónico de 30 de agosto de Jefe de Unidad de Abastecimiento y Solicitud de compra Nº 144 de Unidad Laboratorio CAE de 2022."/>
    <s v="HOSPITAL DE QUILPUE"/>
    <m/>
    <m/>
    <x v="3"/>
    <x v="5"/>
    <d v="2022-10-19T10:01:50"/>
    <x v="0"/>
    <x v="1"/>
    <d v="2022-11-02T15:00:00"/>
    <d v="2022-10-21T00:00:00"/>
    <x v="1"/>
    <x v="1"/>
    <s v="Si"/>
    <d v="2022-10-23T19:00:00"/>
    <d v="2022-10-26T19:00:00"/>
    <d v="2023-01-09T19:00:00"/>
    <n v="0"/>
    <n v="0"/>
    <m/>
    <s v="No"/>
    <m/>
    <s v=" "/>
    <s v="No"/>
    <s v="Contrato"/>
    <m/>
    <s v="No"/>
    <m/>
    <d v="2022-11-02T15:00:00"/>
    <m/>
    <m/>
    <x v="0"/>
    <x v="0"/>
    <d v="2022-11-24T00:00:00"/>
    <n v="-21.375"/>
    <x v="2"/>
    <n v="65016000"/>
    <m/>
    <m/>
    <s v="Contrato"/>
    <s v="61.606.604-8"/>
    <s v="Si"/>
    <n v="0.05"/>
    <d v="2026-04-06T00:00:00"/>
    <m/>
    <m/>
    <s v="HECTOR BASTIAS"/>
    <s v="HECTOR.BASTIAS@REDSALUD.GOV.CL"/>
    <m/>
    <m/>
    <m/>
    <m/>
  </r>
  <r>
    <s v="2703-265-L122"/>
    <s v="SC 9128 Servicio de reparación y normalización de manifold de oxigeno"/>
    <s v="Servicio de reparación y normalización de manifold de oxigeno"/>
    <s v="I MUNICIPALIDAD DE TALAGANTE"/>
    <m/>
    <m/>
    <x v="3"/>
    <x v="6"/>
    <d v="2022-10-19T10:56:26"/>
    <x v="0"/>
    <x v="1"/>
    <d v="2022-11-04T15:30:00"/>
    <d v="2022-10-21T00:00:00"/>
    <x v="0"/>
    <x v="0"/>
    <s v="No"/>
    <d v="2022-10-28T14:33:00"/>
    <d v="2022-11-03T14:33:00"/>
    <d v="2022-11-29T12:34:00"/>
    <n v="0"/>
    <n v="0"/>
    <m/>
    <s v="No"/>
    <m/>
    <s v=" "/>
    <s v="No"/>
    <m/>
    <m/>
    <m/>
    <m/>
    <d v="2022-11-04T15:30:00"/>
    <m/>
    <m/>
    <x v="0"/>
    <x v="1"/>
    <d v="2022-11-08T00:00:00"/>
    <n v="-3.3541666666642413"/>
    <x v="3"/>
    <m/>
    <m/>
    <m/>
    <m/>
    <s v="69.071.800-6"/>
    <s v="No"/>
    <m/>
    <m/>
    <m/>
    <m/>
    <s v="Sindy Ahumada"/>
    <s v="sahumada@talasalud.cl"/>
    <m/>
    <m/>
    <m/>
    <m/>
  </r>
  <r>
    <s v="1398-137-L122"/>
    <s v="Oxímetro de Pulso para Adulto"/>
    <m/>
    <s v="SERVICIO DE SALUD LIBERTADOR BDO OHIGGINS"/>
    <m/>
    <m/>
    <x v="0"/>
    <x v="0"/>
    <d v="2022-10-20T12:31:09"/>
    <x v="0"/>
    <x v="1"/>
    <d v="2022-10-25T15:34:00"/>
    <d v="2022-10-21T00:00:00"/>
    <x v="1"/>
    <x v="1"/>
    <s v="Si"/>
    <d v="2022-10-21T15:34:00"/>
    <d v="2022-10-22T15:34:00"/>
    <d v="2022-11-25T15:34:00"/>
    <n v="0"/>
    <n v="0"/>
    <m/>
    <s v="No"/>
    <m/>
    <s v=" "/>
    <s v="No"/>
    <m/>
    <m/>
    <s v="No"/>
    <m/>
    <d v="2022-10-25T15:34:00"/>
    <m/>
    <m/>
    <x v="0"/>
    <x v="0"/>
    <d v="2022-12-30T00:00:00"/>
    <n v="-65.351388888891961"/>
    <x v="0"/>
    <n v="22150"/>
    <m/>
    <m/>
    <s v="Orden de Compra"/>
    <m/>
    <s v="No"/>
    <m/>
    <m/>
    <m/>
    <m/>
    <m/>
    <m/>
    <m/>
    <m/>
    <m/>
    <m/>
  </r>
  <r>
    <s v="1395-95-LP22"/>
    <s v="Reposición Ventiladores Mecánicos No Invasivos Del Programa De Ventilación Domiciliaria Región de Coquimbo"/>
    <s v="Reposición Ventiladores Mecánicos No Invasivos Del Programa De Ventilación Domiciliaria, Región de Coquimbo"/>
    <s v="SERVICIO DE SALUD COQUIMBO"/>
    <m/>
    <m/>
    <x v="0"/>
    <x v="0"/>
    <d v="2022-10-21T09:48:47"/>
    <x v="0"/>
    <x v="1"/>
    <d v="2022-11-10T17:00:00"/>
    <d v="2022-10-21T00:00:00"/>
    <x v="0"/>
    <x v="4"/>
    <s v="No"/>
    <d v="2022-10-26T17:00:00"/>
    <d v="2022-10-31T17:30:00"/>
    <d v="2022-12-09T17:30:00"/>
    <n v="0"/>
    <n v="0"/>
    <m/>
    <s v="Si"/>
    <n v="1000000"/>
    <d v="2023-05-21T00:00:00"/>
    <s v="No"/>
    <m/>
    <m/>
    <m/>
    <m/>
    <d v="2022-11-10T17:00:00"/>
    <m/>
    <m/>
    <x v="0"/>
    <x v="3"/>
    <m/>
    <n v="44875.708333333336"/>
    <x v="3"/>
    <m/>
    <m/>
    <m/>
    <m/>
    <s v="61.606.400-2"/>
    <s v="Si"/>
    <n v="0.05"/>
    <d v="2025-12-31T00:00:00"/>
    <m/>
    <m/>
    <s v="Tesorería General de la Republica"/>
    <s v="emilia.lopez@redsalud.gov.cl"/>
    <m/>
    <m/>
    <m/>
    <m/>
  </r>
  <r>
    <s v="5061-163-L122"/>
    <s v="S377 Servicio de suministro oxigeno medico, aire medicinal y arriendo de cilindros, para establecimientos de salud municipal."/>
    <m/>
    <s v="I MUNICIPALIDAD DE TEMUCO"/>
    <m/>
    <m/>
    <x v="2"/>
    <x v="3"/>
    <d v="2022-10-24T09:56:28"/>
    <x v="0"/>
    <x v="1"/>
    <d v="2022-11-24T00:00:00"/>
    <m/>
    <x v="0"/>
    <x v="2"/>
    <s v="No"/>
    <m/>
    <m/>
    <m/>
    <n v="0"/>
    <n v="0"/>
    <m/>
    <m/>
    <m/>
    <s v=" "/>
    <m/>
    <m/>
    <m/>
    <m/>
    <m/>
    <d v="2022-11-24T00:00:00"/>
    <m/>
    <m/>
    <x v="0"/>
    <x v="4"/>
    <m/>
    <n v="44889"/>
    <x v="3"/>
    <m/>
    <m/>
    <m/>
    <m/>
    <m/>
    <m/>
    <m/>
    <m/>
    <m/>
    <m/>
    <m/>
    <m/>
    <m/>
    <m/>
    <m/>
    <m/>
  </r>
  <r>
    <s v="1057501-462-LR22"/>
    <s v="CONTRATACIÓN DE “SUMINISTRO DE TERAPIA DE ÓXIDO NÍTRICO POR INHALACIÓN”"/>
    <s v="El Complejo Asistencial Dr. Sótero del Río, en adelante El Complejo Asistencial, domiciliado en Avda. Melchor Concha y Toro Nº 3459, Comuna de Puente Alto, necesita contratar los servicios de suministros de terapia de oxido nítrico por inhalación, para pacientes beneficiarios del Hospital."/>
    <s v="COMPLEJO ASISTENCIAL DR. SOTERO DEL RIO"/>
    <m/>
    <m/>
    <x v="1"/>
    <x v="1"/>
    <d v="2022-10-19T16:23:48"/>
    <x v="0"/>
    <x v="1"/>
    <d v="2022-11-21T15:07:00"/>
    <d v="2022-10-25T00:00:00"/>
    <x v="1"/>
    <x v="1"/>
    <s v="Si"/>
    <d v="2022-10-30T18:41:00"/>
    <d v="2022-11-10T18:41:00"/>
    <d v="2022-12-29T15:08:00"/>
    <n v="0"/>
    <n v="0"/>
    <m/>
    <s v="Si"/>
    <n v="500000"/>
    <d v="2023-02-16T00:00:00"/>
    <s v="No"/>
    <m/>
    <m/>
    <s v="No"/>
    <m/>
    <d v="2022-11-21T15:07:00"/>
    <m/>
    <m/>
    <x v="0"/>
    <x v="2"/>
    <m/>
    <d v="2022-11-21T15:07:00"/>
    <x v="3"/>
    <m/>
    <m/>
    <m/>
    <s v="Contrato"/>
    <s v="61.608.502-6"/>
    <s v="Si"/>
    <n v="0.1"/>
    <d v="2026-04-15T00:00:00"/>
    <m/>
    <m/>
    <s v="RAMON VARAS"/>
    <s v="ravaras@ssmso.cl"/>
    <m/>
    <m/>
    <m/>
    <m/>
  </r>
  <r>
    <s v="1057539-170-LP22"/>
    <s v="Convenio Suministro CPAP y Mascarillas HPM"/>
    <s v="Contar con el debido y necesario abastecimiento de Cpap y Mascarillas para la correcta ejecución del tratamiento de apnea del sueño en la Unidad del sueño y Neurofisiología, y que la licitación 1057539-94-LR22 quedo desierta, se convoca a la presente licitación pública."/>
    <s v="HOSPITAL PUERTO MONTT SERVICIO DE SALUD DEL RELONCAVI"/>
    <m/>
    <m/>
    <x v="0"/>
    <x v="0"/>
    <d v="2022-10-25T14:16:21"/>
    <x v="0"/>
    <x v="1"/>
    <d v="2022-11-09T15:00:00"/>
    <d v="2022-10-26T00:00:00"/>
    <x v="1"/>
    <x v="1"/>
    <s v="Si"/>
    <d v="2022-11-02T15:00:00"/>
    <d v="2022-11-04T15:00:00"/>
    <d v="2022-12-06T15:00:00"/>
    <n v="98100000"/>
    <n v="82436974.789915964"/>
    <n v="30"/>
    <s v="Si"/>
    <n v="100000"/>
    <d v="2023-05-08T00:00:00"/>
    <s v="No"/>
    <s v="Contrato"/>
    <n v="24"/>
    <s v="No"/>
    <n v="180"/>
    <d v="2023-05-08T15:00:00"/>
    <m/>
    <m/>
    <x v="0"/>
    <x v="0"/>
    <d v="2022-12-22T00:00:00"/>
    <n v="137.625"/>
    <x v="1"/>
    <n v="78436910"/>
    <m/>
    <m/>
    <s v="Contrato"/>
    <s v="61.975.100-0"/>
    <s v="Si"/>
    <n v="0.05"/>
    <d v="2025-05-04T00:00:00"/>
    <m/>
    <m/>
    <s v="Anelia Soto"/>
    <s v="asoto@ssdr.gob.cl"/>
    <m/>
    <m/>
    <m/>
    <m/>
  </r>
  <r>
    <s v="1057532-102-LQ22"/>
    <s v="Convenio de Oxigeno Medicinal"/>
    <s v="CONVENIO DE SUMINISTRO DE OXIGENO PARA LA RED DE HOSPITALES DE BAJA Y MEDIANA COMPLEJIDAD, ASÍ COMO SAMU DEPENDIENTES DEL SERVICIO DE SALUD OSORNO de acuerdo a las condiciones establecidas en las presentes bases administrativas, técnicas y anexos, autoridad competente del Servicio de Salud, y de acuerdo a lo solicitado en los Formularios B.03 Nº 31 del Departamento de Articulación de la Red."/>
    <s v="SERVICIO DE SALUD OSORNO"/>
    <m/>
    <m/>
    <x v="2"/>
    <x v="3"/>
    <d v="2022-10-24T12:40:00"/>
    <x v="0"/>
    <x v="1"/>
    <d v="2022-11-14T15:00:00"/>
    <d v="2022-10-26T00:00:00"/>
    <x v="1"/>
    <x v="1"/>
    <s v="Si"/>
    <d v="2022-11-02T17:00:00"/>
    <d v="2022-11-07T18:00:00"/>
    <d v="2022-12-27T09:37:00"/>
    <n v="0"/>
    <n v="0"/>
    <m/>
    <s v="Si"/>
    <n v="3000000"/>
    <d v="2023-02-14T00:00:00"/>
    <s v="No"/>
    <m/>
    <m/>
    <s v="No"/>
    <m/>
    <d v="2022-11-14T15:00:00"/>
    <m/>
    <m/>
    <x v="0"/>
    <x v="0"/>
    <d v="2022-12-23T00:00:00"/>
    <n v="-38.375"/>
    <x v="1"/>
    <n v="177821765"/>
    <m/>
    <m/>
    <s v="Contrato"/>
    <s v="61.607.600-0"/>
    <s v="Si"/>
    <n v="0.05"/>
    <d v="2025-03-31T00:00:00"/>
    <m/>
    <m/>
    <s v="Rodrigo Martinez"/>
    <s v="rodrigo.martineza@redsalud.gob.cl"/>
    <m/>
    <m/>
    <m/>
    <m/>
  </r>
  <r>
    <s v="407-80-LE22"/>
    <s v="SERVICIO DE MANTENIMIENTO PREVENTIVO Y CORRECTIVO DE COLUMNAS DE GASES"/>
    <s v="El HGGB necesita contar con el servicio de mantenimiento preventivo y correctivo de columna de gases del pabellón CMA. Solicitado por Profesional Departamento Equipos Médicos, en requerimiento S-COM 26870"/>
    <s v="HOSPITAL GUILLERMO GRANT BENAVENTE"/>
    <m/>
    <m/>
    <x v="5"/>
    <x v="6"/>
    <d v="2022-10-24T10:29:42"/>
    <x v="0"/>
    <x v="1"/>
    <d v="2022-11-04T16:00:00"/>
    <d v="2022-10-26T00:00:00"/>
    <x v="0"/>
    <x v="10"/>
    <s v="No"/>
    <d v="2022-10-26T16:00:00"/>
    <d v="2022-10-28T16:00:00"/>
    <d v="2023-01-04T16:38:00"/>
    <n v="0"/>
    <n v="0"/>
    <m/>
    <s v="Si"/>
    <n v="200000"/>
    <d v="2022-12-30T00:00:00"/>
    <s v="No"/>
    <m/>
    <m/>
    <m/>
    <m/>
    <d v="2022-11-04T16:00:00"/>
    <m/>
    <m/>
    <x v="0"/>
    <x v="1"/>
    <d v="2022-11-04T00:00:00"/>
    <n v="0.66666666666424135"/>
    <x v="3"/>
    <m/>
    <m/>
    <m/>
    <m/>
    <s v="61.602.189-3"/>
    <m/>
    <m/>
    <m/>
    <m/>
    <m/>
    <m/>
    <m/>
    <m/>
    <m/>
    <m/>
    <m/>
  </r>
  <r>
    <s v="2189-59-LQ22"/>
    <s v="REP VENTILADORES MECANICOS NO INVASIVOS DOMICILIARIOS 2do LLAMADO"/>
    <s v="REPOSICIÓN VENTILADORES MECANICOS NO INVASIVOS DOMICILIARIOS"/>
    <s v="SERVICIO DE SALUD DEL MAULE"/>
    <m/>
    <m/>
    <x v="0"/>
    <x v="0"/>
    <d v="2022-10-26T14:42:18"/>
    <x v="0"/>
    <x v="1"/>
    <d v="2022-11-07T15:00:00"/>
    <d v="2022-10-27T00:00:00"/>
    <x v="0"/>
    <x v="9"/>
    <s v="No"/>
    <d v="2022-11-02T15:00:00"/>
    <d v="2022-11-03T18:00:00"/>
    <d v="2022-11-18T17:45:00"/>
    <n v="0"/>
    <n v="0"/>
    <m/>
    <s v="Si"/>
    <n v="200000"/>
    <d v="2023-06-04T00:00:00"/>
    <s v="No"/>
    <m/>
    <m/>
    <m/>
    <m/>
    <d v="2022-11-07T15:00:00"/>
    <m/>
    <m/>
    <x v="0"/>
    <x v="0"/>
    <d v="2022-11-28T00:00:00"/>
    <n v="-20.375"/>
    <x v="2"/>
    <n v="2195933"/>
    <m/>
    <m/>
    <s v="Orden de Compra"/>
    <s v="61.606.900-4"/>
    <s v="Si"/>
    <n v="0.1"/>
    <d v="2023-04-28T00:00:00"/>
    <m/>
    <m/>
    <s v="Unidad de Tesorería"/>
    <s v="proveedores@ssmaule.cl"/>
    <m/>
    <m/>
    <m/>
    <m/>
  </r>
  <r>
    <s v="769-95-LE22"/>
    <s v="VENTILADORES RED ASISTENCIAL SSA PP 106-2022"/>
    <s v="La presente propuesta tiene por objetivo la adquisición de 12 Ventiladores Mecánicos No Invasivos para la Red Asistencial Región de Antofagasta."/>
    <s v="SERVICIO DE SALUD ANTOFAGASTA"/>
    <m/>
    <m/>
    <x v="0"/>
    <x v="0"/>
    <d v="2022-10-25T16:48:00"/>
    <x v="0"/>
    <x v="1"/>
    <d v="2022-11-09T15:00:00"/>
    <d v="2022-10-27T00:00:00"/>
    <x v="0"/>
    <x v="0"/>
    <s v="No"/>
    <d v="2022-11-04T16:00:00"/>
    <d v="2022-11-07T16:00:00"/>
    <d v="2022-11-22T13:21:00"/>
    <n v="0"/>
    <n v="0"/>
    <m/>
    <s v="Si"/>
    <n v="200000"/>
    <d v="2023-10-02T00:00:00"/>
    <s v="No"/>
    <m/>
    <m/>
    <m/>
    <m/>
    <d v="2022-11-09T15:00:00"/>
    <m/>
    <m/>
    <x v="0"/>
    <x v="0"/>
    <d v="2022-11-28T00:00:00"/>
    <n v="-18.375"/>
    <x v="0"/>
    <n v="2230000"/>
    <m/>
    <m/>
    <s v="Orden de Compra"/>
    <s v="61.606.200-K"/>
    <s v="Si"/>
    <n v="0.05"/>
    <d v="2025-12-31T00:00:00"/>
    <m/>
    <m/>
    <s v="JUANA OPAZO"/>
    <s v="juana.opazo@ssantofagasta.cl"/>
    <m/>
    <m/>
    <m/>
    <m/>
  </r>
  <r>
    <s v="355-19-LQ22"/>
    <s v="MANTENCIÓN REDES DE GASES CLÍNICOS Y VACÍO"/>
    <s v="El Hospital Hanga Roa de Isla de Pascua llama a Licitación Pública para contratar un convenio de reparación y mantención de los sistemas de generación y redes de gases clínicos y vacío, por un periodo de 24 meses."/>
    <s v="Servicio de Salud Metropolitano Oriente"/>
    <m/>
    <m/>
    <x v="5"/>
    <x v="6"/>
    <d v="2022-10-26T17:15:59"/>
    <x v="0"/>
    <x v="1"/>
    <d v="2022-11-10T20:00:00"/>
    <d v="2022-11-02T00:00:00"/>
    <x v="0"/>
    <x v="2"/>
    <s v="No"/>
    <d v="2022-11-02T20:00:00"/>
    <d v="2022-11-04T22:00:00"/>
    <d v="2022-12-28T20:00:00"/>
    <n v="0"/>
    <n v="0"/>
    <m/>
    <s v="Si"/>
    <n v="200000"/>
    <d v="2023-02-28T00:00:00"/>
    <s v="No"/>
    <m/>
    <m/>
    <m/>
    <m/>
    <d v="2022-11-10T20:00:00"/>
    <m/>
    <m/>
    <x v="0"/>
    <x v="0"/>
    <d v="2022-12-22T00:00:00"/>
    <n v="-41.166666666664241"/>
    <x v="0"/>
    <n v="100077178"/>
    <m/>
    <m/>
    <s v="Contrato"/>
    <s v="61.979.270-k"/>
    <s v="Si"/>
    <n v="0.05"/>
    <d v="2025-02-28T00:00:00"/>
    <m/>
    <m/>
    <s v="Antonio Espinoza C."/>
    <s v="antonio.espinoza@hospitalhangaroa.cl"/>
    <m/>
    <m/>
    <m/>
    <m/>
  </r>
  <r>
    <s v="1057547-417-LE22"/>
    <s v="MEJORAMIENTO RED DE GASES CLINICOS SALA 513 GINE"/>
    <s v="MEJORAMIENTO RED DE GASES CLINICOS SALA 513 DE GINECOLOGIA DEL HOSPITAL BASE VALDIVIA"/>
    <s v="SERVICIO DE SALUD VALDIVIA"/>
    <m/>
    <m/>
    <x v="2"/>
    <x v="3"/>
    <d v="2022-10-27T15:36:23"/>
    <x v="0"/>
    <x v="1"/>
    <d v="2022-11-07T19:59:00"/>
    <d v="2022-11-02T00:00:00"/>
    <x v="0"/>
    <x v="8"/>
    <s v="No"/>
    <d v="2022-11-02T09:00:00"/>
    <d v="2022-11-04T19:59:00"/>
    <d v="2022-11-25T11:07:32"/>
    <n v="0"/>
    <n v="0"/>
    <m/>
    <s v="No"/>
    <m/>
    <s v=" "/>
    <s v="Si"/>
    <m/>
    <m/>
    <m/>
    <m/>
    <d v="2022-11-07T19:59:00"/>
    <m/>
    <m/>
    <x v="0"/>
    <x v="0"/>
    <d v="2022-11-25T00:00:00"/>
    <n v="-17.167361111110949"/>
    <x v="0"/>
    <n v="9726562"/>
    <m/>
    <m/>
    <s v="Contrato"/>
    <s v="61.607.502-0"/>
    <m/>
    <m/>
    <m/>
    <m/>
    <m/>
    <m/>
    <m/>
    <m/>
    <m/>
    <m/>
    <m/>
  </r>
  <r>
    <s v="652-59-LE22"/>
    <s v="ADQ. VENTILADORES MECANICOS NO INVASIVOS"/>
    <s v="El servicio de Salud requiere la compra de 08 ventiladores mecánicos no invasivos según bases de licitación adjuntas."/>
    <s v="SERVICIO DE SALUD ARAUCO"/>
    <m/>
    <m/>
    <x v="0"/>
    <x v="0"/>
    <d v="2022-10-28T16:15:16"/>
    <x v="0"/>
    <x v="1"/>
    <d v="2022-11-07T15:30:00"/>
    <d v="2022-11-02T00:00:00"/>
    <x v="0"/>
    <x v="0"/>
    <s v="No"/>
    <d v="2022-10-31T18:00:00"/>
    <d v="2022-11-02T20:00:00"/>
    <d v="2022-11-22T19:00:00"/>
    <n v="0"/>
    <n v="0"/>
    <m/>
    <s v="No"/>
    <m/>
    <s v=" "/>
    <s v="No"/>
    <m/>
    <m/>
    <m/>
    <m/>
    <d v="2022-11-07T15:30:00"/>
    <m/>
    <m/>
    <x v="0"/>
    <x v="1"/>
    <d v="2022-11-22T00:00:00"/>
    <n v="-14.354166666664241"/>
    <x v="3"/>
    <m/>
    <m/>
    <m/>
    <m/>
    <s v="61.954.500-1"/>
    <s v="Si"/>
    <n v="0.1"/>
    <d v="2025-03-18T00:00:00"/>
    <m/>
    <m/>
    <s v="Paola Ávila Licancura"/>
    <s v="paola.avila@ssarauco.cl"/>
    <m/>
    <m/>
    <m/>
    <m/>
  </r>
  <r>
    <s v="1057489-471-LE22"/>
    <s v="Convenio de Suministro de Mascarillas para Ventilación Mecánica por 24 meses en el Hospital del Salvador"/>
    <s v="Que, el Hospital del Salvador necesita contar con un Convenio de Suministro de Mascarillas para Ventilación Mecánica por 24 meses en el Hospital del Salvador con la finalidad de satisfacer de manera adecuada y eficiente la labor asistencial; Que, por la cuantía determinada, la presente licitación se ubica en el tramo para aquellas contrataciones iguales o superiores a 100 UTM e inferiores a 1.000 UTM, en conformidad al Artículo 19º bis del Reglamento de la Ley Nº19.886;"/>
    <s v="HOSPITAL DEL SALVADOR"/>
    <m/>
    <m/>
    <x v="0"/>
    <x v="0"/>
    <d v="2022-10-27T18:10:42"/>
    <x v="0"/>
    <x v="1"/>
    <d v="2022-11-07T15:00:00"/>
    <d v="2022-11-04T00:00:00"/>
    <x v="1"/>
    <x v="1"/>
    <s v="Si"/>
    <d v="2022-11-02T16:00:00"/>
    <d v="2022-11-04T16:00:00"/>
    <d v="2023-02-08T16:00:00"/>
    <n v="0"/>
    <n v="0"/>
    <m/>
    <s v="No"/>
    <m/>
    <s v=" "/>
    <s v="No"/>
    <m/>
    <m/>
    <s v="No"/>
    <m/>
    <d v="2022-11-07T15:00:00"/>
    <m/>
    <m/>
    <x v="0"/>
    <x v="2"/>
    <m/>
    <d v="2022-11-07T15:00:00"/>
    <x v="3"/>
    <m/>
    <m/>
    <m/>
    <m/>
    <s v="61.608.406-2"/>
    <s v="No"/>
    <m/>
    <m/>
    <m/>
    <m/>
    <s v="DANIELA LOPEZ"/>
    <s v="DLOPEZ@HSALVADOR.CL"/>
    <m/>
    <m/>
    <m/>
    <m/>
  </r>
  <r>
    <s v="1641-285-LR22"/>
    <s v="SERV. SUM. GASES EN CILINDROS Y EQ. SECUNDARIOS"/>
    <s v="La presente licitación para la adquisición de “SERVICIO DE SUMINISTRO DE GASES MEDICINALES EN CILINDROS Y EQUIPOS SECUNDARIOS” según lo indicado en las Bases de Licitación."/>
    <s v="SERVICIO DE SALUD OCCIDENTE HOSPITAL SAN JUAN DE DIOS"/>
    <m/>
    <m/>
    <x v="2"/>
    <x v="2"/>
    <d v="2022-11-03T10:13:27"/>
    <x v="1"/>
    <x v="1"/>
    <d v="2022-12-05T16:00:00"/>
    <d v="2022-11-07T00:00:00"/>
    <x v="0"/>
    <x v="2"/>
    <s v="No"/>
    <d v="2022-11-14T16:00:00"/>
    <d v="2022-11-18T16:00:00"/>
    <d v="2023-01-18T16:00:00"/>
    <n v="0"/>
    <n v="0"/>
    <m/>
    <s v="Si"/>
    <n v="1000000"/>
    <d v="2023-06-03T00:00:00"/>
    <s v="No"/>
    <m/>
    <m/>
    <m/>
    <m/>
    <d v="2022-12-05T16:00:00"/>
    <m/>
    <m/>
    <x v="0"/>
    <x v="2"/>
    <m/>
    <n v="44900.666666666664"/>
    <x v="3"/>
    <m/>
    <m/>
    <m/>
    <m/>
    <s v="61.608.204-3"/>
    <s v="Si"/>
    <n v="0.05"/>
    <d v="2026-03-17T00:00:00"/>
    <m/>
    <m/>
    <s v="Juan Carlos Piñeiro"/>
    <s v="juancarlos.pineiro@redsalud.gov.cl"/>
    <m/>
    <m/>
    <m/>
    <m/>
  </r>
  <r>
    <s v="1175-232-LP22"/>
    <s v="LIC 221.22 Adq. ventiladores mecánicos no invasivo"/>
    <s v="Se requiere la ADQUISICIÓN DE VENTILADORES MECÁNICOS NO INVASIVOS”., nuevos y sin uso. Las características técnicas, se detallan en el ANEXO Nº 4 de las presentes Bases. Debe cumplir con todas las características marcadas como obligatorias para que la oferta sea admisible."/>
    <s v="SERVICIO DE SALUD ARAUCANIA SUR"/>
    <m/>
    <m/>
    <x v="0"/>
    <x v="0"/>
    <d v="2022-11-04T15:38:23"/>
    <x v="1"/>
    <x v="1"/>
    <d v="2022-11-14T16:00:00"/>
    <d v="2022-11-07T00:00:00"/>
    <x v="0"/>
    <x v="4"/>
    <s v="No"/>
    <d v="2022-11-08T10:00:00"/>
    <d v="2022-11-10T17:45:00"/>
    <d v="2023-02-13T18:00:00"/>
    <n v="0"/>
    <n v="0"/>
    <m/>
    <s v="No"/>
    <m/>
    <s v=" "/>
    <s v="No"/>
    <m/>
    <m/>
    <m/>
    <m/>
    <d v="2022-11-14T16:00:00"/>
    <m/>
    <m/>
    <x v="0"/>
    <x v="1"/>
    <d v="2022-12-06T00:00:00"/>
    <n v="-21.333333333335759"/>
    <x v="3"/>
    <m/>
    <m/>
    <m/>
    <s v="Orden de Compra"/>
    <s v="61.607.400-8"/>
    <s v="Si"/>
    <n v="0.05"/>
    <d v="2026-01-27T00:00:00"/>
    <m/>
    <m/>
    <s v="MARIELA ÑANCULEF"/>
    <s v="mariela.nanculef@redsalud.gov.cl"/>
    <m/>
    <m/>
    <m/>
    <m/>
  </r>
  <r>
    <s v="3881-44-LE22"/>
    <s v="AYUDAS TECNICAS QUE REQUIERE LA I.MUNICIPALIDAD DE"/>
    <s v="ADQUISICION DE AYUDAS TÉCNICAS QUE REQUIERE LA I.MUNICIPALIDAD DE PINTO"/>
    <s v="I MUNICIPALIDAD DE PINTO"/>
    <m/>
    <m/>
    <x v="0"/>
    <x v="0"/>
    <d v="2022-11-04T12:57:02"/>
    <x v="1"/>
    <x v="1"/>
    <d v="2022-11-09T20:30:00"/>
    <d v="2022-11-08T00:00:00"/>
    <x v="0"/>
    <x v="4"/>
    <s v="No"/>
    <d v="2022-11-07T18:35:00"/>
    <d v="2022-11-08T18:35:00"/>
    <d v="2022-11-14T18:44:00"/>
    <n v="0"/>
    <n v="0"/>
    <m/>
    <s v="No"/>
    <m/>
    <s v=" "/>
    <s v="No"/>
    <m/>
    <m/>
    <m/>
    <m/>
    <d v="2022-11-09T20:30:00"/>
    <m/>
    <m/>
    <x v="0"/>
    <x v="0"/>
    <d v="2022-11-16T00:00:00"/>
    <n v="-6.1458333333357587"/>
    <x v="0"/>
    <n v="504000"/>
    <m/>
    <m/>
    <s v="Orden de Compra"/>
    <s v="69.141.000-5"/>
    <s v="No"/>
    <m/>
    <m/>
    <m/>
    <m/>
    <s v="MARGARITA TOBAR AQUEVEQUE"/>
    <s v="dafpinto@munipinto.cl"/>
    <m/>
    <m/>
    <m/>
    <m/>
  </r>
  <r>
    <s v="1080093-14-L122"/>
    <s v="PRODUCTOS MÉDICOS PARA ATENCIÓN DOMICILIARIA APS 2022"/>
    <m/>
    <s v="SERVICIO DE SALUD MAGALLANES"/>
    <m/>
    <m/>
    <x v="0"/>
    <x v="0"/>
    <d v="2022-11-07T15:31:43"/>
    <x v="1"/>
    <x v="1"/>
    <d v="2022-11-14T18:00:00"/>
    <d v="2022-11-08T00:00:00"/>
    <x v="0"/>
    <x v="4"/>
    <s v="No"/>
    <d v="2022-11-09T17:00:00"/>
    <d v="2022-11-10T19:00:00"/>
    <d v="2022-11-25T16:00:00"/>
    <n v="0"/>
    <n v="0"/>
    <m/>
    <s v="No"/>
    <m/>
    <s v=" "/>
    <s v="No"/>
    <m/>
    <m/>
    <m/>
    <m/>
    <d v="2022-11-14T18:00:00"/>
    <m/>
    <m/>
    <x v="0"/>
    <x v="0"/>
    <d v="2022-11-30T00:00:00"/>
    <n v="-15.25"/>
    <x v="0"/>
    <n v="39990"/>
    <m/>
    <m/>
    <s v="Orden de Compra"/>
    <m/>
    <s v="No"/>
    <m/>
    <m/>
    <m/>
    <m/>
    <m/>
    <m/>
    <m/>
    <m/>
    <m/>
    <m/>
  </r>
  <r>
    <s v="1057418-34-LE22"/>
    <s v="ADQUISICIÓN DE INSUMOS CLINICOS PARA DIVERSOS SERVICIOS DEL HFC MULCHÉN"/>
    <s v="el Hospital cuenta según requerimiento imperioso de realizar Adquisición de Insumos Clínicos para diversos servicios del HFC Mulchén, según solicitudes de adquisición HFCM 17172 y 16527, emitida por Carolina Andias Químico Farmacéutico, HFCM 16429 emitida por Kendy Reyes Tapia Jefe CCR, HFCM 17074 emitida por Sara Ulloa Carrasco Matrona Jefe, HFCM 17145 emitida por Flor Contreras Placencia Enfermera Coordinadora del Hospital Mulchén, y HFCM 16378 Elizabeth Rozas Ramirez Enfermera Coordinadora CECOSF Villa la Granja."/>
    <s v="HOSPITAL DE MULCHEN"/>
    <m/>
    <m/>
    <x v="0"/>
    <x v="0"/>
    <d v="2022-11-04T14:51:01"/>
    <x v="1"/>
    <x v="1"/>
    <d v="2022-11-14T15:00:00"/>
    <d v="2022-11-08T00:00:00"/>
    <x v="0"/>
    <x v="2"/>
    <s v="No"/>
    <d v="2022-11-09T18:00:00"/>
    <d v="2022-11-10T18:00:00"/>
    <d v="2022-11-18T18:00:00"/>
    <n v="0"/>
    <n v="0"/>
    <m/>
    <s v="No"/>
    <m/>
    <s v=" "/>
    <s v="No"/>
    <m/>
    <m/>
    <m/>
    <m/>
    <d v="2022-11-14T15:00:00"/>
    <m/>
    <m/>
    <x v="0"/>
    <x v="5"/>
    <d v="2022-11-21T00:00:00"/>
    <n v="-6.375"/>
    <x v="0"/>
    <n v="2000"/>
    <m/>
    <m/>
    <s v="Orden de Compra"/>
    <s v="61.607.302-8"/>
    <s v="No"/>
    <m/>
    <m/>
    <m/>
    <m/>
    <s v="VANESSA MEDINA"/>
    <s v="vanessa.medina@ssbiobio.cl"/>
    <m/>
    <m/>
    <m/>
    <m/>
  </r>
  <r>
    <s v="1155-72-LQ22"/>
    <s v="INSUMOS PARA USO EN PACIENTES Y ANESTESIA"/>
    <s v="Que, el Hospital Dr. Eduardo Pereira Ramírez, requiere, Adquisición de Insumos para uso en pacientes y anestesia Respiratorios, solicitados por el centro de Costo Unidad de Tratamiento Intensivo, para la realización de procedimientos en nuestro establecimiento."/>
    <s v="HOSPITAL DR. EDUARDO PEREIRA RAMIREZ"/>
    <m/>
    <m/>
    <x v="0"/>
    <x v="0"/>
    <d v="2022-11-04T11:40:09"/>
    <x v="1"/>
    <x v="1"/>
    <d v="2022-11-24T15:30:00"/>
    <d v="2022-11-08T00:00:00"/>
    <x v="0"/>
    <x v="2"/>
    <s v="No"/>
    <d v="2022-11-14T12:00:00"/>
    <d v="2022-11-17T21:00:00"/>
    <d v="2023-02-13T21:00:00"/>
    <n v="0"/>
    <n v="0"/>
    <m/>
    <s v="Si"/>
    <n v="500000"/>
    <d v="2023-02-22T00:00:00"/>
    <s v="No"/>
    <m/>
    <m/>
    <m/>
    <m/>
    <d v="2022-11-24T15:30:00"/>
    <m/>
    <m/>
    <x v="0"/>
    <x v="2"/>
    <m/>
    <n v="44889.645833333336"/>
    <x v="3"/>
    <m/>
    <m/>
    <m/>
    <m/>
    <s v="61.602.057-9"/>
    <s v="Si"/>
    <n v="0.05"/>
    <d v="2026-04-17T00:00:00"/>
    <m/>
    <m/>
    <s v="Elizabeth Altamirano Tobar"/>
    <s v="hep.jefeconta@redsalud.gov.cl"/>
    <m/>
    <m/>
    <m/>
    <m/>
  </r>
  <r>
    <s v="1057501-465-LQ22"/>
    <s v="CONVENIO RESPIRATORIO"/>
    <s v="POR CONTAR CON LOS INSUMOS NECESARIOS PARA LA ATENCIÓN DE PACIENTES"/>
    <s v="COMPLEJO ASISTENCIAL DR. SOTERO DEL RIO"/>
    <m/>
    <m/>
    <x v="0"/>
    <x v="0"/>
    <d v="2022-11-03T11:35:18"/>
    <x v="1"/>
    <x v="1"/>
    <d v="2022-11-23T16:00:00"/>
    <d v="2022-11-08T00:00:00"/>
    <x v="0"/>
    <x v="2"/>
    <s v="No"/>
    <d v="2022-11-14T17:10:00"/>
    <d v="2022-11-15T17:10:00"/>
    <d v="2022-12-14T15:00:00"/>
    <n v="0"/>
    <n v="0"/>
    <m/>
    <s v="Si"/>
    <n v="500000"/>
    <d v="2023-03-03T00:00:00"/>
    <s v="No"/>
    <m/>
    <m/>
    <m/>
    <m/>
    <d v="2022-11-23T16:00:00"/>
    <m/>
    <m/>
    <x v="0"/>
    <x v="0"/>
    <d v="2022-12-30T00:00:00"/>
    <n v="-36.333333333335759"/>
    <x v="0"/>
    <n v="2000"/>
    <m/>
    <m/>
    <s v="Orden de Compra"/>
    <s v="61.608.502-6"/>
    <s v="Si"/>
    <n v="0.05"/>
    <d v="2026-04-15T00:00:00"/>
    <m/>
    <m/>
    <s v="ramón varas"/>
    <s v="ravaras@ssmso.cl"/>
    <m/>
    <m/>
    <m/>
    <m/>
  </r>
  <r>
    <s v="2381-82-LE22"/>
    <s v="ADQUISICIÓN DE ACCESORIOS INSUMOS Y MEDICAMENTOS S"/>
    <s v="ADQUISICIÓN DE ACCESORIOS INSUMOS Y MEDICAMENTOS SAPU, SAR Y CARROS DE PARO NOVIEMBRE-DICIEMBRE 2022"/>
    <s v="I MUNICIPALIDAD DE COPIAPO"/>
    <m/>
    <m/>
    <x v="0"/>
    <x v="0"/>
    <d v="2022-11-03T11:00:28"/>
    <x v="1"/>
    <x v="1"/>
    <d v="2022-11-14T19:53:00"/>
    <d v="2022-11-08T00:00:00"/>
    <x v="0"/>
    <x v="2"/>
    <s v="No"/>
    <d v="2022-11-07T14:34:00"/>
    <d v="2022-11-08T14:34:00"/>
    <d v="2022-11-29T19:54:00"/>
    <n v="0"/>
    <n v="0"/>
    <m/>
    <s v="No"/>
    <m/>
    <s v=" "/>
    <s v="No"/>
    <m/>
    <m/>
    <m/>
    <m/>
    <d v="2022-11-14T19:53:00"/>
    <m/>
    <m/>
    <x v="0"/>
    <x v="0"/>
    <d v="2022-11-22T00:00:00"/>
    <n v="-7.171527777776646"/>
    <x v="0"/>
    <n v="3700"/>
    <m/>
    <m/>
    <s v="Orden de Compra"/>
    <s v="69.030.200-4"/>
    <m/>
    <m/>
    <m/>
    <m/>
    <m/>
    <s v="Jorge Rojas"/>
    <s v="jorge.rojas@dasmcopiapo.cl"/>
    <m/>
    <m/>
    <m/>
    <m/>
  </r>
  <r>
    <s v="1080093-17-LE22"/>
    <s v="INSUMOS ATENCIÓN DE PACIENTES EN LAS SALAS IRA"/>
    <s v="INSUMOS OPERACIONALES PARA DESARROLLO DE LA ATENCIÓN DE PACIENTES EN LAS SALAS IRA"/>
    <s v="SERVICIO DE SALUD MAGALLANES"/>
    <m/>
    <m/>
    <x v="0"/>
    <x v="0"/>
    <d v="2022-11-02T16:44:02"/>
    <x v="1"/>
    <x v="1"/>
    <d v="2022-11-14T19:12:00"/>
    <d v="2022-11-09T00:00:00"/>
    <x v="1"/>
    <x v="1"/>
    <s v="Si"/>
    <d v="2022-11-03T19:13:00"/>
    <d v="2022-11-09T19:13:00"/>
    <d v="2022-12-15T19:12:00"/>
    <n v="0"/>
    <n v="0"/>
    <m/>
    <s v="No"/>
    <m/>
    <s v=" "/>
    <s v="No"/>
    <m/>
    <m/>
    <s v="No"/>
    <m/>
    <d v="2022-11-14T19:12:00"/>
    <m/>
    <m/>
    <x v="0"/>
    <x v="0"/>
    <d v="2022-11-25T00:00:00"/>
    <n v="-10.19999999999709"/>
    <x v="1"/>
    <n v="1600000"/>
    <m/>
    <m/>
    <s v="Orden de Compra"/>
    <s v="61.607.900-k"/>
    <s v="No"/>
    <m/>
    <m/>
    <m/>
    <m/>
    <s v="Carolina Ojeda Aguilar"/>
    <s v="tesoreria.dssm@redsalud.gov.cl"/>
    <m/>
    <m/>
    <m/>
    <m/>
  </r>
  <r>
    <s v="1057536-182-LE22"/>
    <s v="COMPRA DE EQUIPO VENTILADOR MECANICO NO INVASIVO"/>
    <s v="SE SOLICITA LA ADQUICISION DE 10 VENTILADORES MECANICOS NO INVASIVOS PARA PROGRAMA DE ATENCION DOMICILIARIA, POR ACCIONES DE LOS EQUIPOS CLINICOS DE LA RED DEL SERVICIO DE SALUD DEL RELONCAVI EN LA ZONA."/>
    <s v="SERVICIO SALUD DEL RELONCAVI"/>
    <m/>
    <m/>
    <x v="0"/>
    <x v="0"/>
    <d v="2022-11-08T16:57:08"/>
    <x v="1"/>
    <x v="1"/>
    <d v="2022-11-18T16:30:00"/>
    <d v="2022-11-09T00:00:00"/>
    <x v="1"/>
    <x v="1"/>
    <s v="Si"/>
    <d v="2022-11-14T19:49:00"/>
    <d v="2022-11-16T19:49:00"/>
    <d v="2022-12-09T16:37:00"/>
    <n v="0"/>
    <n v="0"/>
    <m/>
    <s v="Si"/>
    <n v="500000"/>
    <d v="2023-05-18T00:00:00"/>
    <s v="No"/>
    <s v="Contrato"/>
    <m/>
    <s v="No"/>
    <n v="180"/>
    <d v="2023-05-17T16:30:00"/>
    <m/>
    <m/>
    <x v="0"/>
    <x v="0"/>
    <d v="2022-12-13T00:00:00"/>
    <n v="155.6875"/>
    <x v="0"/>
    <n v="2300000"/>
    <m/>
    <m/>
    <s v="Contrato"/>
    <s v="61.607.700-7"/>
    <s v="Si"/>
    <n v="0.1"/>
    <d v="2025-02-18T00:00:00"/>
    <m/>
    <m/>
    <s v="PATRICIA MAYORGA"/>
    <s v="PMAYORGA@SSDR.GOB.CL"/>
    <m/>
    <m/>
    <m/>
    <m/>
  </r>
  <r>
    <s v="3824-39-LE22"/>
    <s v="Servicio de Suministro de Oxigeno Medicinal"/>
    <s v="El objetivo es disponer del suministro equipos, oxígeno y recargas de oxígeno en las dependencias del CESFAM Juan Pablo II, SAPU y entrega en domicilio a la red de pacientes oxígeno dependientes de la comuna de Padre Hurtado, facilitando el acceso de los usuarios que requieran de los tratamientos que utilizan este elemento, indicado por personal médico autorizado para dichos fines, por 24 meses."/>
    <s v="I MUNICIPALIDAD DE PADRE HURTADO"/>
    <m/>
    <m/>
    <x v="3"/>
    <x v="5"/>
    <d v="2022-11-09T14:05:16"/>
    <x v="1"/>
    <x v="1"/>
    <d v="2022-11-21T15:00:00"/>
    <d v="2022-11-09T00:00:00"/>
    <x v="1"/>
    <x v="1"/>
    <s v="Si"/>
    <d v="2022-11-11T18:00:00"/>
    <d v="2022-11-15T14:00:00"/>
    <d v="2022-12-29T16:00:00"/>
    <n v="0"/>
    <n v="0"/>
    <m/>
    <s v="Si"/>
    <n v="500000"/>
    <d v="2023-01-20T00:00:00"/>
    <s v="No"/>
    <s v="Contrato"/>
    <m/>
    <s v="No"/>
    <m/>
    <d v="2022-11-21T15:00:00"/>
    <m/>
    <m/>
    <x v="0"/>
    <x v="2"/>
    <m/>
    <d v="2022-11-21T15:00:00"/>
    <x v="3"/>
    <m/>
    <m/>
    <m/>
    <m/>
    <s v="69.261.400-3"/>
    <s v="Si"/>
    <n v="0.05"/>
    <d v="2025-02-28T00:00:00"/>
    <m/>
    <m/>
    <s v="Valeria Valderrama Droguett"/>
    <s v="vvalderrama@mph.cl"/>
    <m/>
    <m/>
    <m/>
    <m/>
  </r>
  <r>
    <s v="1057544-358-LP22"/>
    <s v="Contratación de servicios de mantenimiento preventivo y correctivo de ventiladores mecánicos"/>
    <s v="La presente licitación contempla la mantención preventiva y correctiva de diversos equipos médicos del Hospital Las Higueras de Talcahuano, de acuerdo con las especificaciones técnicas adjuntas."/>
    <s v="SERVICIO DE SALUD DE TALCAHUANO"/>
    <m/>
    <m/>
    <x v="0"/>
    <x v="0"/>
    <d v="2022-11-09T12:19:44"/>
    <x v="1"/>
    <x v="1"/>
    <d v="2022-11-21T15:00:00"/>
    <d v="2022-11-11T00:00:00"/>
    <x v="0"/>
    <x v="10"/>
    <s v="No"/>
    <d v="2022-11-14T14:00:00"/>
    <d v="2022-11-17T17:00:00"/>
    <d v="2022-12-22T17:00:00"/>
    <n v="0"/>
    <n v="0"/>
    <m/>
    <s v="No"/>
    <m/>
    <s v=" "/>
    <s v="No"/>
    <m/>
    <m/>
    <m/>
    <m/>
    <d v="2022-11-21T15:00:00"/>
    <m/>
    <m/>
    <x v="0"/>
    <x v="0"/>
    <d v="2022-12-21T00:00:00"/>
    <n v="-29.375"/>
    <x v="0"/>
    <n v="27160000"/>
    <m/>
    <m/>
    <s v="Contrato"/>
    <s v="61.607.202-1"/>
    <s v="Si"/>
    <n v="0.1"/>
    <d v="2025-04-21T00:00:00"/>
    <m/>
    <m/>
    <s v="John Barahona"/>
    <s v="jhon.barahona@redsalud.gov.cl"/>
    <m/>
    <m/>
    <m/>
    <m/>
  </r>
  <r>
    <s v="1057922-32-L122"/>
    <s v="Adquisición Equipo Ventilación Mecánica no Invasiva"/>
    <m/>
    <s v="SERVICIO DE SALUD OSORNO"/>
    <m/>
    <m/>
    <x v="0"/>
    <x v="0"/>
    <d v="2022-11-10T16:47:04"/>
    <x v="1"/>
    <x v="1"/>
    <d v="2022-11-17T15:00:00"/>
    <d v="2022-11-11T00:00:00"/>
    <x v="0"/>
    <x v="0"/>
    <s v="No"/>
    <d v="2022-11-11T15:00:00"/>
    <d v="2022-11-14T15:00:00"/>
    <d v="2022-12-01T14:40:00"/>
    <n v="0"/>
    <n v="0"/>
    <m/>
    <s v="No"/>
    <m/>
    <s v=" "/>
    <s v="No"/>
    <m/>
    <m/>
    <m/>
    <m/>
    <d v="2022-11-17T15:00:00"/>
    <m/>
    <m/>
    <x v="0"/>
    <x v="0"/>
    <d v="2022-12-06T00:00:00"/>
    <n v="-18.375"/>
    <x v="2"/>
    <n v="2876110"/>
    <m/>
    <m/>
    <s v="Orden de Compra"/>
    <m/>
    <s v="No"/>
    <m/>
    <m/>
    <m/>
    <m/>
    <m/>
    <m/>
    <m/>
    <m/>
    <m/>
    <m/>
  </r>
  <r>
    <s v="898-197-LQ22"/>
    <s v="Convenio de Suministro de Oxigeno y Gases Clinicos"/>
    <s v="Convenio de Suministro de Oxigeno y Gases Clínicos"/>
    <s v="HOSPITAL CLAUDIO VICUNA"/>
    <m/>
    <m/>
    <x v="2"/>
    <x v="9"/>
    <d v="2022-11-09T15:29:12"/>
    <x v="1"/>
    <x v="1"/>
    <d v="2022-11-29T09:00:00"/>
    <d v="2022-11-15T00:00:00"/>
    <x v="0"/>
    <x v="3"/>
    <s v="No"/>
    <d v="2022-11-15T17:00:00"/>
    <d v="2022-11-17T17:00:00"/>
    <d v="2022-12-30T17:00:00"/>
    <n v="0"/>
    <n v="0"/>
    <m/>
    <s v="Si"/>
    <n v="200000"/>
    <d v="2023-02-28T00:00:00"/>
    <s v="No"/>
    <m/>
    <m/>
    <m/>
    <m/>
    <d v="2022-11-29T09:00:00"/>
    <m/>
    <m/>
    <x v="0"/>
    <x v="0"/>
    <d v="2022-12-19T00:00:00"/>
    <n v="-19.625"/>
    <x v="0"/>
    <n v="52462816"/>
    <m/>
    <m/>
    <s v="Contrato"/>
    <s v="61.602.126-5"/>
    <s v="Si"/>
    <n v="0.05"/>
    <d v="2024-12-30T00:00:00"/>
    <m/>
    <m/>
    <s v="CARMEN GLORIA OSORIO CUETO"/>
    <s v="carmengloria.osorio@redsalud.gov.cl"/>
    <m/>
    <m/>
    <m/>
    <m/>
  </r>
  <r>
    <s v="2664-39-LE22"/>
    <s v="OXIGENO Y AIRE MEDICINAL"/>
    <s v="PROVEER DE OXIGENO Y AIRE MEDICINAL A LOS CENTROS DE SALUD Y AMBULANCIAS."/>
    <s v="I. MUNICIPALIDAD DE TOME"/>
    <m/>
    <m/>
    <x v="2"/>
    <x v="17"/>
    <d v="2022-11-10T15:20:00"/>
    <x v="1"/>
    <x v="1"/>
    <d v="2022-11-25T15:10:00"/>
    <d v="2022-11-15T00:00:00"/>
    <x v="1"/>
    <x v="1"/>
    <s v="Si"/>
    <d v="2022-11-14T20:00:00"/>
    <d v="2022-11-15T19:00:00"/>
    <d v="2022-12-02T16:00:00"/>
    <n v="0"/>
    <n v="0"/>
    <m/>
    <s v="No"/>
    <m/>
    <s v=" "/>
    <s v="No"/>
    <m/>
    <m/>
    <s v="No"/>
    <m/>
    <d v="2022-11-25T15:10:00"/>
    <m/>
    <m/>
    <x v="0"/>
    <x v="0"/>
    <d v="2022-11-29T00:00:00"/>
    <n v="-3.3680555555547471"/>
    <x v="1"/>
    <n v="10800000"/>
    <m/>
    <m/>
    <s v="Contrato"/>
    <s v="69.150.102-7"/>
    <s v="Si"/>
    <n v="0.05"/>
    <d v="2024-11-29T00:00:00"/>
    <m/>
    <m/>
    <s v="CLAUDIA CANALES VERGARA"/>
    <s v="claudia.canales@disamtome.cl"/>
    <m/>
    <m/>
    <m/>
    <m/>
  </r>
  <r>
    <s v="1398-153-LE22"/>
    <s v="INSUMOS DE VENTILACIÓN MECÁNICA"/>
    <s v="Con la finalidad de adquirir insumos para ser distribuidos en la Dirección de Servicio de Salud, es que mediante este acto e instrumento se viene en llamar a Licitación Pública a través del portal www.mercadopublico.cl, conforme a procedimiento que regula la Ley Nº 19.886, de Bases Sobre Contratos Administrativos de Suministro y Prestación de Servicios y su Reglamento."/>
    <s v="SERVICIO DE SALUD LIBERTADOR BDO OHIGGINS"/>
    <m/>
    <m/>
    <x v="0"/>
    <x v="0"/>
    <d v="2022-11-15T10:22:55"/>
    <x v="1"/>
    <x v="1"/>
    <d v="2022-11-23T14:00:00"/>
    <d v="2022-11-17T00:00:00"/>
    <x v="1"/>
    <x v="1"/>
    <s v="Si"/>
    <d v="2022-11-17T18:30:00"/>
    <d v="2022-11-21T17:00:00"/>
    <d v="2022-12-30T13:21:00"/>
    <n v="0"/>
    <n v="0"/>
    <m/>
    <s v="No"/>
    <m/>
    <s v=" "/>
    <s v="No"/>
    <m/>
    <m/>
    <s v="No"/>
    <m/>
    <d v="2022-11-23T14:00:00"/>
    <m/>
    <m/>
    <x v="0"/>
    <x v="0"/>
    <d v="2022-12-09T00:00:00"/>
    <n v="-15.416666666664241"/>
    <x v="1"/>
    <n v="998450"/>
    <m/>
    <m/>
    <s v="Orden de Compra"/>
    <s v="61.606.800-8"/>
    <s v="No"/>
    <m/>
    <m/>
    <m/>
    <m/>
    <s v="Bastián Uribe"/>
    <s v="proveedores@saludohiggins.cl"/>
    <m/>
    <m/>
    <m/>
    <m/>
  </r>
  <r>
    <s v="1057448-133-LE22"/>
    <s v="ADQUISICIÓN DE VENTILADORES MECÁNICOS NO INVASIVOS PARA PACIENTES DEL PROGRAMA DE VENTILACIÓN DOMICILIARIA"/>
    <s v="ADQUISICIÓN DE VENTILADORES MECÁNICOS NO INVASIVOS PARA PACIENTES DEL PROGRAMA DE VENTILACIÓN DOMICILIARIA"/>
    <s v="SERVICIO DE SALUD IQUIQUE"/>
    <m/>
    <m/>
    <x v="0"/>
    <x v="0"/>
    <d v="2022-11-18T12:21:07"/>
    <x v="1"/>
    <x v="1"/>
    <d v="2022-11-23T16:00:00"/>
    <d v="2022-11-18T00:00:00"/>
    <x v="0"/>
    <x v="0"/>
    <s v="No"/>
    <d v="2022-11-21T10:00:00"/>
    <d v="2022-11-22T15:00:00"/>
    <d v="2022-12-23T15:00:00"/>
    <n v="0"/>
    <n v="0"/>
    <m/>
    <s v="No"/>
    <m/>
    <s v=" "/>
    <s v="No"/>
    <m/>
    <m/>
    <m/>
    <m/>
    <d v="2022-11-23T16:00:00"/>
    <m/>
    <m/>
    <x v="0"/>
    <x v="0"/>
    <d v="2022-12-26T00:00:00"/>
    <n v="-32.333333333335759"/>
    <x v="2"/>
    <n v="2876212"/>
    <m/>
    <m/>
    <s v="Orden de Compra"/>
    <s v="61.606.100-3"/>
    <s v="No"/>
    <m/>
    <m/>
    <m/>
    <m/>
    <s v="YESELIN VIOLETA CASTILLO JARA"/>
    <s v="yeselin.castillo@redsalud.gob.cl"/>
    <m/>
    <m/>
    <m/>
    <m/>
  </r>
  <r>
    <s v="1057448-135-LR22"/>
    <s v="&quot;CONVENIO SUMINISTRO DE OXÍGENO CRIOGÉNICO CON ESTANQUE EN COMODATO PARA EL HOSPITAL DE ALTO HOSPICIO POR 60 MESES”"/>
    <s v="“CONVENIO SUMINISTRO DE OXÍGENO CRIOGÉNICO CON ESTANQUE EN COMODATO PARA EL HOSPITAL DE ALTO HOSPICIO POR 60 MESES” FR 1062"/>
    <s v="SERVICIO DE SALUD IQUIQUE"/>
    <m/>
    <m/>
    <x v="2"/>
    <x v="15"/>
    <d v="2022-11-19T00:23:16"/>
    <x v="1"/>
    <x v="1"/>
    <d v="2022-12-19T17:30:00"/>
    <d v="2022-11-21T00:00:00"/>
    <x v="1"/>
    <x v="1"/>
    <s v="Si"/>
    <d v="2022-12-05T15:30:00"/>
    <d v="2022-12-10T18:00:00"/>
    <d v="2023-01-27T17:25:00"/>
    <n v="0"/>
    <n v="0"/>
    <m/>
    <s v="Si"/>
    <n v="1000000"/>
    <d v="2023-03-20T00:00:00"/>
    <s v="Si"/>
    <m/>
    <m/>
    <s v="No"/>
    <m/>
    <d v="2022-12-19T17:30:00"/>
    <m/>
    <m/>
    <x v="0"/>
    <x v="1"/>
    <m/>
    <n v="44914.729166666664"/>
    <x v="3"/>
    <m/>
    <m/>
    <m/>
    <s v="Contrato"/>
    <s v="61.606.100-3"/>
    <s v="Si"/>
    <n v="0.05"/>
    <d v="2028-04-20T00:00:00"/>
    <m/>
    <m/>
    <s v="JAIME ABARZUA"/>
    <s v="JAIME.ABARZUA@REDSALUD.GOB.CL"/>
    <m/>
    <m/>
    <m/>
    <m/>
  </r>
  <r>
    <s v="5061-198-L122"/>
    <s v="S460 Servicio de suministro oxigeno medico, aire medicinal y arriendo de cilindros, para establecimientos de salud municipal."/>
    <m/>
    <s v="I MUNICIPALIDAD DE TEMUCO"/>
    <m/>
    <m/>
    <x v="2"/>
    <x v="3"/>
    <d v="2022-11-18T12:58:08"/>
    <x v="1"/>
    <x v="1"/>
    <d v="2022-11-25T15:00:00"/>
    <d v="2022-11-21T00:00:00"/>
    <x v="0"/>
    <x v="0"/>
    <s v="No"/>
    <d v="2022-11-21T18:00:00"/>
    <d v="2022-11-22T18:00:00"/>
    <d v="2022-12-16T18:00:00"/>
    <n v="0"/>
    <n v="0"/>
    <m/>
    <s v="No"/>
    <m/>
    <m/>
    <s v="No"/>
    <m/>
    <m/>
    <m/>
    <m/>
    <d v="2022-11-25T15:00:00"/>
    <m/>
    <m/>
    <x v="0"/>
    <x v="0"/>
    <d v="2022-12-13T00:00:00"/>
    <n v="-17.375"/>
    <x v="2"/>
    <n v="4873950"/>
    <m/>
    <m/>
    <s v="Orden de Compra"/>
    <m/>
    <s v="No"/>
    <m/>
    <m/>
    <m/>
    <m/>
    <m/>
    <m/>
    <m/>
    <m/>
    <m/>
    <m/>
  </r>
  <r>
    <s v="507428-115-LQ22"/>
    <s v="SUMINIS. OXIGENO LIQUIDO Y GASES CLINICOS QUELLON"/>
    <s v="Que, existe la necesidad de suministrar gases clínicos para apoyo de soporte vital de pacientes Nuevo Hospital de Quellón."/>
    <s v="SERVICIO DE SALUD CHILOE"/>
    <m/>
    <m/>
    <x v="2"/>
    <x v="18"/>
    <d v="2022-11-21T09:46:39"/>
    <x v="1"/>
    <x v="1"/>
    <d v="2022-12-21T17:00:00"/>
    <d v="2022-11-22T00:00:00"/>
    <x v="0"/>
    <x v="2"/>
    <s v="No"/>
    <d v="2022-12-09T16:00:00"/>
    <d v="2022-12-13T17:00:00"/>
    <d v="2023-01-20T17:00:00"/>
    <n v="0"/>
    <n v="0"/>
    <m/>
    <s v="Si"/>
    <n v="500000"/>
    <d v="2023-04-20T00:00:00"/>
    <s v="Si"/>
    <m/>
    <m/>
    <m/>
    <m/>
    <d v="2022-12-21T17:00:00"/>
    <m/>
    <m/>
    <x v="0"/>
    <x v="2"/>
    <m/>
    <n v="44916.708333333336"/>
    <x v="3"/>
    <m/>
    <m/>
    <m/>
    <s v="Orden de Compra"/>
    <s v="61.979.210-6"/>
    <s v="Si"/>
    <n v="0.05"/>
    <d v="2025-03-31T00:00:00"/>
    <m/>
    <m/>
    <s v="Marcelo Momberg Suarez"/>
    <s v="marcelo.momberg@redsalud.gov.cl"/>
    <m/>
    <m/>
    <m/>
    <m/>
  </r>
  <r>
    <s v="3944-26-L122"/>
    <s v="LICITACION CONCENTRADOR DE OXIGENO PORTATIL"/>
    <m/>
    <s v="I MUNICIPALIDAD DE PERALILLO"/>
    <m/>
    <m/>
    <x v="0"/>
    <x v="0"/>
    <d v="2022-11-22T11:55:08"/>
    <x v="1"/>
    <x v="1"/>
    <d v="2022-11-28T17:06:00"/>
    <d v="2022-11-22T00:00:00"/>
    <x v="1"/>
    <x v="1"/>
    <s v="Si"/>
    <d v="2022-11-23T17:06:00"/>
    <d v="2022-11-24T17:06:00"/>
    <d v="2022-11-30T19:19:00"/>
    <n v="2450000"/>
    <n v="2058823.5294117648"/>
    <m/>
    <s v="No"/>
    <m/>
    <s v=" "/>
    <s v="No"/>
    <s v="Spot"/>
    <m/>
    <s v="No"/>
    <m/>
    <d v="2022-11-28T17:06:00"/>
    <n v="1"/>
    <n v="2057852"/>
    <x v="41"/>
    <x v="0"/>
    <d v="2022-12-01T00:00:00"/>
    <n v="-2.2874999999985448"/>
    <x v="1"/>
    <n v="2057852"/>
    <m/>
    <m/>
    <s v="Orden de Compra"/>
    <s v="69.091.500-6"/>
    <s v="No"/>
    <m/>
    <m/>
    <m/>
    <m/>
    <m/>
    <m/>
    <m/>
    <m/>
    <m/>
    <m/>
  </r>
  <r>
    <s v="1057495-36-LP22"/>
    <s v="ARRIENDO ESTACION CRIOGENICA PARA EL HDLC"/>
    <s v="El Hospital Dr. Lucio Córdova llama a licitación pública Contratación de ARRIENDO de Estación Criogénica y suministro de oxígeno medicinal, siendo el objetivo principal de poder contar con los respaldos técnicos correspondiente para darle continuidad al suministro de oxígeno medicinal al establecimiento, siendo la medida de contingencia para un sobre consumo en las áreas clínicas, insumo vital para enfrentar la pandemia SARS-CoV-2."/>
    <s v="HOSPITAL LUCIO CORDOVA"/>
    <m/>
    <m/>
    <x v="2"/>
    <x v="10"/>
    <d v="2022-11-22T16:12:40"/>
    <x v="1"/>
    <x v="1"/>
    <d v="2022-12-12T16:00:00"/>
    <d v="2022-11-23T00:00:00"/>
    <x v="0"/>
    <x v="0"/>
    <s v="No"/>
    <d v="2022-11-29T16:00:00"/>
    <d v="2022-12-02T16:00:00"/>
    <d v="2022-12-21T09:14:51"/>
    <n v="0"/>
    <n v="0"/>
    <m/>
    <s v="Si"/>
    <n v="500000"/>
    <d v="2023-01-23T00:00:00"/>
    <s v="Si"/>
    <m/>
    <m/>
    <m/>
    <m/>
    <d v="2022-12-12T16:00:00"/>
    <m/>
    <m/>
    <x v="0"/>
    <x v="0"/>
    <d v="2022-12-21T00:00:00"/>
    <n v="-8.3333333333357587"/>
    <x v="6"/>
    <n v="62924000"/>
    <m/>
    <m/>
    <s v="Contrato"/>
    <s v="61.608.104-7"/>
    <m/>
    <m/>
    <m/>
    <m/>
    <m/>
    <m/>
    <m/>
    <m/>
    <m/>
    <m/>
    <m/>
  </r>
  <r>
    <s v="1075963-573-LE22"/>
    <s v="CONVENIO SUMINISTRO DE OXIGENO LIQUIDO POR 3 MESES"/>
    <s v="CONVENIO SUMINISTRO DE OXIGENO LIQUIDO, POR 3 MESES."/>
    <s v="HOSPITAL DR JUAN NOE CREVANI"/>
    <m/>
    <m/>
    <x v="2"/>
    <x v="15"/>
    <d v="2022-11-22T12:33:50"/>
    <x v="1"/>
    <x v="1"/>
    <d v="2022-12-01T14:25:00"/>
    <d v="2022-11-24T00:00:00"/>
    <x v="0"/>
    <x v="0"/>
    <s v="No"/>
    <d v="2022-11-25T21:07:00"/>
    <d v="2022-11-29T21:07:00"/>
    <d v="2022-12-05T15:26:00"/>
    <n v="0"/>
    <n v="0"/>
    <m/>
    <s v="No"/>
    <m/>
    <s v=" "/>
    <s v="No"/>
    <m/>
    <m/>
    <m/>
    <m/>
    <d v="2022-12-01T14:25:00"/>
    <m/>
    <m/>
    <x v="0"/>
    <x v="1"/>
    <d v="2022-12-06T00:00:00"/>
    <n v="-4.3993055555547471"/>
    <x v="3"/>
    <m/>
    <m/>
    <m/>
    <m/>
    <s v="61.606.001-5"/>
    <s v="No"/>
    <m/>
    <m/>
    <m/>
    <m/>
    <s v="Renata Baltolu Zenteno"/>
    <s v="renata.baltolu.z@hjnc.cl"/>
    <m/>
    <m/>
    <m/>
    <m/>
  </r>
  <r>
    <s v="2710-161-LE22"/>
    <s v="CONTRATO SUMINISTRO OXIGENO MEDICINAL APS OVALLE"/>
    <s v="SE REQUIERE EL SERVICIO DE OXIGENO MEDICINAL PARA LOS CENTROS APS DE LA COMUNA DE OVALLE, DEBE INCLUIR RECARGA, PRUEBAS HIDRAULICAS YO CAMBIOS DE VALVULAS. SEGÚN SOLICITUD N 19-2022 DE UNIDAD DE ADQUISICIONES."/>
    <s v="MUNICIPALIDAD DE OVALLE"/>
    <m/>
    <m/>
    <x v="2"/>
    <x v="11"/>
    <d v="2022-11-22T18:23:21"/>
    <x v="1"/>
    <x v="1"/>
    <d v="2022-12-02T11:11:00"/>
    <d v="2022-11-24T00:00:00"/>
    <x v="0"/>
    <x v="7"/>
    <s v="No"/>
    <d v="2022-11-25T21:52:00"/>
    <d v="2022-11-28T21:52:00"/>
    <d v="2022-12-16T20:00:00"/>
    <n v="0"/>
    <n v="0"/>
    <m/>
    <s v="Si"/>
    <n v="200000"/>
    <d v="2023-03-01T00:00:00"/>
    <s v="No"/>
    <m/>
    <m/>
    <m/>
    <m/>
    <d v="2022-12-02T11:11:00"/>
    <m/>
    <m/>
    <x v="0"/>
    <x v="2"/>
    <m/>
    <n v="44897.46597222222"/>
    <x v="3"/>
    <m/>
    <m/>
    <m/>
    <m/>
    <s v="69.040.700-0"/>
    <s v="Si"/>
    <n v="0.05"/>
    <d v="2025-03-31T00:00:00"/>
    <m/>
    <m/>
    <s v="Violeta Zumaran Naranjo"/>
    <s v="violetazumaran@departamentodesaludovalle.cl"/>
    <m/>
    <m/>
    <m/>
    <m/>
  </r>
  <r>
    <s v="1499-172-LQ22"/>
    <s v="Máscaras de diferentes medidas y diseños con Cpap y equipos comodato para la Unidad de medicina del Sueño"/>
    <s v="Contar con los Insumos de consumo necesarios para la gestión del Instituto Nacional del Tórax para dar un servicio con la efectividad, seguridad y condiciones de calidad que cada paciente requiere."/>
    <s v="INSTITUTO NACIONAL DEL TORAX"/>
    <m/>
    <m/>
    <x v="0"/>
    <x v="0"/>
    <d v="2022-11-22T11:32:36"/>
    <x v="1"/>
    <x v="1"/>
    <d v="2022-12-12T18:45:00"/>
    <d v="2022-11-24T00:00:00"/>
    <x v="1"/>
    <x v="1"/>
    <s v="Si"/>
    <d v="2022-12-02T12:28:00"/>
    <d v="2022-12-07T17:00:00"/>
    <d v="2023-01-20T16:16:00"/>
    <n v="0"/>
    <n v="0"/>
    <m/>
    <s v="Si"/>
    <n v="1000000"/>
    <d v="2023-03-22T00:00:00"/>
    <s v="No"/>
    <m/>
    <m/>
    <s v="No"/>
    <m/>
    <d v="2022-12-12T18:45:00"/>
    <m/>
    <m/>
    <x v="0"/>
    <x v="0"/>
    <d v="2022-12-23T00:00:00"/>
    <n v="-10.21875"/>
    <x v="1"/>
    <n v="136074395"/>
    <m/>
    <m/>
    <s v="Contrato"/>
    <s v="61.608.402-K"/>
    <s v="Si"/>
    <n v="0.1"/>
    <d v="2024-06-19T00:00:00"/>
    <m/>
    <m/>
    <s v="Enrique Martínez L."/>
    <s v="emartinez@torax.cl"/>
    <m/>
    <m/>
    <m/>
    <m/>
  </r>
  <r>
    <s v="2207-67-LP22"/>
    <s v="CONVENIO DE SUMINSTRO DE OXIGENO"/>
    <s v="ADQUIRIR CONVENIO DE SUMINISTRO DE OXIGENO"/>
    <s v="HOSPITAL DE PICHILEMU"/>
    <m/>
    <m/>
    <x v="2"/>
    <x v="2"/>
    <d v="2022-11-24T18:15:18"/>
    <x v="1"/>
    <x v="1"/>
    <d v="2022-12-14T15:31:00"/>
    <d v="2022-11-25T00:00:00"/>
    <x v="0"/>
    <x v="7"/>
    <s v="No"/>
    <d v="2022-11-27T21:56:00"/>
    <d v="2022-11-28T21:56:00"/>
    <d v="2023-01-17T15:32:00"/>
    <n v="0"/>
    <n v="0"/>
    <m/>
    <s v="No"/>
    <m/>
    <s v=" "/>
    <s v="No"/>
    <m/>
    <m/>
    <m/>
    <m/>
    <d v="2022-12-14T15:31:00"/>
    <m/>
    <m/>
    <x v="0"/>
    <x v="0"/>
    <d v="2023-01-09T00:00:00"/>
    <n v="-25.353472222224809"/>
    <x v="2"/>
    <n v="73391820"/>
    <m/>
    <m/>
    <s v="Contrato"/>
    <s v="61.602.153-2"/>
    <s v="Si"/>
    <n v="2000000"/>
    <d v="2024-12-31T00:00:00"/>
    <m/>
    <m/>
    <s v="Teresa Pávez"/>
    <s v="teresa.pavez@saludohiggins.cl"/>
    <m/>
    <m/>
    <m/>
    <m/>
  </r>
  <r>
    <s v="1382-38-LE22"/>
    <s v="Adquisición insumos Sala ERA"/>
    <s v="Se requiere la ADQUISICIÓN INSUMOS PROGRAMAS DE SALUD RESPIRATORIOS IRA - ERA PARA EL CONSULTORIO MIRAFLORES, nuevos y sin uso, que cumplan con los requisitos técnicos y características obligatorias establecidas en las presentes bases, para que su oferta sea admisible de evaluación"/>
    <s v="CONSULTORIO MIRAFLORES (TEMUCO)"/>
    <m/>
    <m/>
    <x v="0"/>
    <x v="0"/>
    <d v="2022-11-23T15:43:20"/>
    <x v="1"/>
    <x v="1"/>
    <d v="2022-11-29T20:00:00"/>
    <d v="2022-11-25T00:00:00"/>
    <x v="1"/>
    <x v="1"/>
    <s v="Si"/>
    <d v="2022-11-26T15:00:00"/>
    <d v="2022-11-28T15:00:00"/>
    <d v="2022-12-15T18:47:00"/>
    <n v="5390090"/>
    <n v="4529487.3949579829"/>
    <n v="45"/>
    <s v="No"/>
    <m/>
    <s v=" "/>
    <s v="No"/>
    <s v="Spot"/>
    <m/>
    <s v="No"/>
    <n v="60"/>
    <d v="2023-01-28T20:00:00"/>
    <n v="20"/>
    <n v="15320"/>
    <x v="42"/>
    <x v="0"/>
    <d v="2022-12-07T00:00:00"/>
    <n v="52.833333333335759"/>
    <x v="1"/>
    <n v="15320"/>
    <m/>
    <m/>
    <s v="Orden de Compra"/>
    <s v="70.744.700-1"/>
    <s v="No"/>
    <m/>
    <m/>
    <m/>
    <m/>
    <s v="EDUARDO ROCHA FUENTEALBA"/>
    <s v="eduardo.rocha@redsalud.gov.cl"/>
    <m/>
    <m/>
    <m/>
    <m/>
  </r>
  <r>
    <s v="1382-38-LE22"/>
    <s v="Adquisición insumos Sala ERA"/>
    <s v="Se requiere la ADQUISICIÓN INSUMOS PROGRAMAS DE SALUD RESPIRATORIOS IRA - ERA PARA EL CONSULTORIO MIRAFLORES, nuevos y sin uso, que cumplan con los requisitos técnicos y características obligatorias establecidas en las presentes bases, para que su oferta sea admisible de evaluación"/>
    <s v="CONSULTORIO MIRAFLORES (TEMUCO)"/>
    <m/>
    <m/>
    <x v="0"/>
    <x v="0"/>
    <d v="2022-11-23T15:43:20"/>
    <x v="1"/>
    <x v="1"/>
    <d v="2022-11-29T20:00:00"/>
    <d v="2022-11-25T00:00:00"/>
    <x v="1"/>
    <x v="1"/>
    <s v="Si"/>
    <d v="2022-11-26T15:00:00"/>
    <d v="2022-11-28T15:00:00"/>
    <d v="2022-12-15T18:47:00"/>
    <n v="5390090"/>
    <n v="4529487.3949579829"/>
    <n v="45"/>
    <s v="No"/>
    <m/>
    <s v=" "/>
    <s v="No"/>
    <s v="Spot"/>
    <m/>
    <s v="No"/>
    <n v="60"/>
    <d v="2023-01-28T20:00:00"/>
    <n v="20"/>
    <n v="17286"/>
    <x v="43"/>
    <x v="0"/>
    <d v="2022-12-07T00:00:00"/>
    <n v="52.833333333335759"/>
    <x v="1"/>
    <n v="17286"/>
    <m/>
    <m/>
    <s v="Orden de Compra"/>
    <s v="70.744.700-1"/>
    <s v="No"/>
    <m/>
    <m/>
    <m/>
    <m/>
    <s v="EDUARDO ROCHA FUENTEALBA"/>
    <s v="eduardo.rocha@redsalud.gov.cl"/>
    <m/>
    <m/>
    <m/>
    <m/>
  </r>
  <r>
    <s v="4707-70-L122"/>
    <s v="SUMINISTRO ANUAL DE OXIGENO"/>
    <s v="SUMINISTRO ANUAL DE OXIGENO"/>
    <s v="I. MUNICIPALIDAD DE SAN NICOLAS"/>
    <m/>
    <m/>
    <x v="2"/>
    <x v="17"/>
    <d v="2022-11-25T16:37:15"/>
    <x v="1"/>
    <x v="1"/>
    <d v="2022-11-30T18:21:00"/>
    <d v="2022-11-28T00:00:00"/>
    <x v="0"/>
    <x v="7"/>
    <s v="No"/>
    <d v="2022-11-28T20:21:00"/>
    <d v="2022-11-29T20:21:00"/>
    <d v="2022-12-30T18:22:00"/>
    <n v="0"/>
    <n v="0"/>
    <m/>
    <s v="No"/>
    <m/>
    <s v=" "/>
    <s v="No"/>
    <m/>
    <m/>
    <m/>
    <m/>
    <d v="2022-11-30T18:21:00"/>
    <m/>
    <m/>
    <x v="0"/>
    <x v="0"/>
    <d v="2022-12-22T00:00:00"/>
    <n v="-21.235416666670062"/>
    <x v="0"/>
    <n v="5000000"/>
    <m/>
    <m/>
    <s v="Orden de Compra"/>
    <s v="69.140.802-7"/>
    <s v="No"/>
    <m/>
    <m/>
    <m/>
    <m/>
    <s v="NERIS LAGOS RUIZ"/>
    <s v="finanzassaludsannicolas@gmail.com"/>
    <m/>
    <m/>
    <m/>
    <m/>
  </r>
  <r>
    <s v="1057496-70-LE22"/>
    <s v="Mantenimiento Preventivo Tomas de Gases Clínicos"/>
    <s v="“MANTENIMIENTO PREVENTIVO Y CORRECTIVO DE COMPRESOR, TOMAS DE GASES CLÍNICOS DIAMOND-AGA, CENTRAL DE AIRE, CENTRAL DE VACÍO, CAJA DE VÁLVULAS Y ALARMAS PARA HOSPITAL SAN LUIS DE BUIN-PAINE”"/>
    <s v="HOSPITAL SAN LUIS DE BUIN-PAINE"/>
    <m/>
    <m/>
    <x v="5"/>
    <x v="6"/>
    <d v="2022-11-29T17:15:20"/>
    <x v="1"/>
    <x v="1"/>
    <d v="2022-12-09T15:04:00"/>
    <d v="2022-11-30T00:00:00"/>
    <x v="0"/>
    <x v="4"/>
    <s v="No"/>
    <d v="2022-12-02T20:47:00"/>
    <d v="2022-12-05T20:47:00"/>
    <d v="2023-02-14T10:05:00"/>
    <n v="0"/>
    <n v="0"/>
    <m/>
    <s v="No"/>
    <m/>
    <s v=" "/>
    <s v="Si"/>
    <m/>
    <m/>
    <m/>
    <m/>
    <d v="2022-12-09T15:04:00"/>
    <m/>
    <m/>
    <x v="0"/>
    <x v="3"/>
    <m/>
    <n v="44904.62777777778"/>
    <x v="3"/>
    <m/>
    <m/>
    <m/>
    <s v="Contrato"/>
    <s v="61.608.105-5"/>
    <s v="Si"/>
    <n v="500000"/>
    <d v="2025-03-19T00:00:00"/>
    <m/>
    <m/>
    <s v="MARÍA EUGENIA DÍAZ MOLINA"/>
    <s v="mariae.diaz@redsalud.gov.cl"/>
    <m/>
    <m/>
    <m/>
    <m/>
  </r>
  <r>
    <s v="948355-82-LQ22"/>
    <s v="Adquisición de Insumos Médicos por Sistema de Suministro para el Hospital de la Dirección de Previsión de Carabineros de Chile."/>
    <s v="El Hospital de la Dirección de Previsión de Carabineros de Chile, ubicado en Av. Vital Apoquindo N° 1.200, Comuna de Las Condes, Región Metropolitana, en adelante “EL HOSPITAL”, llama a Licitación Pública para la Adquisición de Insumos Médicos por Sistema de Suministro, en adelante “LOS INSUMOS”, para un período de 24 meses o hasta que se consuma la totalidad del monto contratado, según lo que primero ocurra, para el referido Centro Asistencial, cuyas características y requisitos técnicos constan en las Bases Administrativas y Técnicas de esta Licitación con sus respectivos Anexos."/>
    <s v="HOSPITAL DE  CARABINEROS DE CHILE"/>
    <m/>
    <m/>
    <x v="0"/>
    <x v="0"/>
    <d v="2022-11-24T18:43:12"/>
    <x v="1"/>
    <x v="1"/>
    <d v="2022-12-07T16:00:00"/>
    <d v="2022-11-30T00:00:00"/>
    <x v="0"/>
    <x v="10"/>
    <s v="No"/>
    <d v="2022-12-01T17:00:00"/>
    <d v="2022-12-05T17:00:00"/>
    <d v="2023-03-07T18:00:00"/>
    <n v="0"/>
    <n v="0"/>
    <m/>
    <s v="Si"/>
    <n v="300000"/>
    <d v="2023-04-06T00:00:00"/>
    <s v="No"/>
    <m/>
    <m/>
    <m/>
    <m/>
    <d v="2022-12-07T16:00:00"/>
    <m/>
    <m/>
    <x v="0"/>
    <x v="2"/>
    <m/>
    <n v="44902.666666666664"/>
    <x v="3"/>
    <m/>
    <m/>
    <m/>
    <s v="Contrato"/>
    <s v="61.513.003-6"/>
    <s v="Si"/>
    <n v="0.05"/>
    <d v="2025-07-03T00:00:00"/>
    <m/>
    <m/>
    <s v="viviana garcia"/>
    <s v="tesoreria1@hospitaldipreca.cl"/>
    <m/>
    <m/>
    <m/>
    <m/>
  </r>
  <r>
    <s v="1057490-75-LP22"/>
    <s v="SUMINISTRO DE GASES CLÍNICOS"/>
    <s v="SUMINISTRO DE GASES CLÍNICOS EN CILINDROS"/>
    <s v="Instituto Nacional de Neurocirugía"/>
    <m/>
    <m/>
    <x v="2"/>
    <x v="10"/>
    <d v="2022-11-28T16:50:49"/>
    <x v="1"/>
    <x v="1"/>
    <d v="2022-12-09T18:00:00"/>
    <d v="2022-11-30T00:00:00"/>
    <x v="0"/>
    <x v="6"/>
    <s v="No"/>
    <d v="2022-12-02T18:00:00"/>
    <d v="2022-12-06T18:00:00"/>
    <d v="2023-02-06T18:00:00"/>
    <n v="0"/>
    <n v="0"/>
    <m/>
    <s v="Si"/>
    <n v="200000"/>
    <d v="2023-03-12T00:00:00"/>
    <s v="Si"/>
    <m/>
    <m/>
    <m/>
    <m/>
    <d v="2022-12-09T18:00:00"/>
    <m/>
    <m/>
    <x v="0"/>
    <x v="2"/>
    <m/>
    <n v="44904.75"/>
    <x v="3"/>
    <m/>
    <m/>
    <m/>
    <s v="Contrato"/>
    <s v="61.608.407-0"/>
    <s v="Si"/>
    <n v="0.05"/>
    <d v="2025-05-06T00:00:00"/>
    <m/>
    <m/>
    <s v="Daniel Cabañas Perez"/>
    <s v="daniel.cabana@redsalud.gob.cl"/>
    <m/>
    <m/>
    <m/>
    <m/>
  </r>
  <r>
    <s v="2153-92-LE22"/>
    <s v="SUMINISTRO OXIGENO CLINICO"/>
    <s v="el CHSJM tiene la necesidad de levantar proceso de compra de servicio de suministro Oxigeno Clínico, servicio utilizado en Hospitalización, Servicio de Urgencia y ambulancias de traslado de Urgencia"/>
    <s v="Hospital Sanatorio San José de Maipo"/>
    <m/>
    <m/>
    <x v="2"/>
    <x v="10"/>
    <d v="2022-11-29T09:46:53"/>
    <x v="1"/>
    <x v="1"/>
    <d v="2022-12-09T15:03:00"/>
    <d v="2022-12-01T00:00:00"/>
    <x v="0"/>
    <x v="6"/>
    <s v="No"/>
    <d v="2022-12-02T15:01:00"/>
    <d v="2022-12-07T15:02:00"/>
    <d v="2022-12-29T18:49:00"/>
    <n v="0"/>
    <n v="0"/>
    <m/>
    <s v="Si"/>
    <n v="200000"/>
    <d v="2020-12-08T00:00:00"/>
    <s v="No"/>
    <m/>
    <m/>
    <m/>
    <m/>
    <d v="2022-12-09T15:03:00"/>
    <m/>
    <m/>
    <x v="0"/>
    <x v="0"/>
    <d v="2022-12-19T00:00:00"/>
    <n v="-9.3729166666671517"/>
    <x v="2"/>
    <n v="32521680"/>
    <m/>
    <m/>
    <s v="Contrato"/>
    <s v="61.608.503-4"/>
    <s v="Si"/>
    <n v="0.05"/>
    <d v="2021-02-08T00:00:00"/>
    <m/>
    <m/>
    <s v="CARLOS VILLALOBOS"/>
    <s v="CVILLALOBOST@SSMSO.CL"/>
    <m/>
    <m/>
    <m/>
    <m/>
  </r>
  <r>
    <s v="514862-48-LE22"/>
    <s v="ADQ. DE CONCENTR.DE OXIGENO Y FILTROS 10028877"/>
    <s v="ADQ. DE CONCENTR.DE OXIGENO Y FILTROS SOLPED 10028877"/>
    <s v="CORPORACION MUNICIPAL DE PEÑALOLEN"/>
    <m/>
    <m/>
    <x v="0"/>
    <x v="0"/>
    <d v="2022-11-30T14:02:51"/>
    <x v="1"/>
    <x v="1"/>
    <d v="2022-12-09T15:00:00"/>
    <d v="2022-12-01T00:00:00"/>
    <x v="1"/>
    <x v="1"/>
    <s v="Si"/>
    <d v="2022-12-01T23:59:00"/>
    <d v="2022-12-02T18:00:00"/>
    <d v="2023-01-09T18:00:00"/>
    <n v="0"/>
    <n v="0"/>
    <m/>
    <s v="No"/>
    <m/>
    <s v=" "/>
    <s v="No"/>
    <m/>
    <m/>
    <s v="No"/>
    <m/>
    <d v="2022-12-09T15:00:00"/>
    <m/>
    <m/>
    <x v="0"/>
    <x v="0"/>
    <d v="2022-12-22T00:00:00"/>
    <n v="-12.375"/>
    <x v="1"/>
    <n v="676129"/>
    <m/>
    <m/>
    <s v="Orden de Compra"/>
    <s v="71.234.100-9"/>
    <s v="No"/>
    <m/>
    <m/>
    <m/>
    <m/>
    <s v="Sthefany Trujillo"/>
    <s v="strujillo.sobarzo@cormup.cl"/>
    <m/>
    <m/>
    <m/>
    <m/>
  </r>
  <r>
    <s v="1057421-36-LE22"/>
    <s v="Conv. Mat. prev. y correc. de sist. gases clinicos"/>
    <s v="Las presentes bases tienen por objeto la contratación de un Servicio de Mantención Preventiva y Correctiva para sistema de Gases para el Hospital Familiar y Comunitario de Laja, que permitan mantenerlos en óptimas condiciones de operación, seguridad y dentro de los parámetros de funcionamiento definidos por el fabricante, ubicado en Avda. Los Ríos N°840, Laja."/>
    <s v="HOSPITAL DE LAJA"/>
    <m/>
    <m/>
    <x v="5"/>
    <x v="6"/>
    <d v="2022-11-29T08:42:45"/>
    <x v="1"/>
    <x v="1"/>
    <d v="2022-12-09T15:03:00"/>
    <m/>
    <x v="0"/>
    <x v="10"/>
    <s v="No"/>
    <d v="2022-12-02T21:46:00"/>
    <d v="2022-12-05T16:00:00"/>
    <d v="2022-12-12T16:00:00"/>
    <n v="0"/>
    <n v="0"/>
    <m/>
    <s v="No"/>
    <m/>
    <s v=" "/>
    <s v="Si"/>
    <m/>
    <m/>
    <m/>
    <m/>
    <d v="2022-12-09T15:03:00"/>
    <m/>
    <m/>
    <x v="0"/>
    <x v="2"/>
    <m/>
    <n v="44904.627083333333"/>
    <x v="3"/>
    <m/>
    <m/>
    <m/>
    <s v="Contrato"/>
    <s v="61.607.306-0"/>
    <s v="Si"/>
    <n v="0.05"/>
    <d v="2026-01-29T00:00:00"/>
    <m/>
    <m/>
    <s v="Gladys Fernandez Castro"/>
    <s v="yesenia.fernandez@ssbiobio.cl"/>
    <m/>
    <m/>
    <m/>
    <m/>
  </r>
  <r>
    <s v="407-103-LQ22"/>
    <s v="SERVICIO DE MANTENIMIENTO PREVENTIVO Y CORRECTIVO DE CENTRAL DE AIRE CENTRAL DE VACÍO Y TOMAS DE GASES MEDICINALES TPC"/>
    <s v="EL HGGB necesita contar con el servicio de mantenimiento preventivo y correctivo de bombas de vacío-compresores de aire – tomas de gases medicinales de la torre del paciente crítico. Por un periodo de 24 meses. Solicitado por Profesional Departamento Desarrollo Industrial, en requerimiento S-COM 28027 de fecha 06.09.2022"/>
    <s v="HOSPITAL GUILLERMO GRANT BENAVENTE"/>
    <m/>
    <m/>
    <x v="5"/>
    <x v="6"/>
    <d v="2022-11-30T12:06:40"/>
    <x v="1"/>
    <x v="1"/>
    <d v="2022-12-19T16:00:00"/>
    <d v="2022-12-02T00:00:00"/>
    <x v="0"/>
    <x v="10"/>
    <s v="No"/>
    <d v="2022-12-06T16:00:00"/>
    <d v="2022-12-08T16:00:00"/>
    <d v="2023-02-20T16:00:00"/>
    <n v="0"/>
    <n v="0"/>
    <m/>
    <s v="Si"/>
    <n v="500000"/>
    <d v="2023-02-28T00:00:00"/>
    <s v="Si"/>
    <m/>
    <m/>
    <m/>
    <m/>
    <d v="2022-12-19T16:00:00"/>
    <m/>
    <m/>
    <x v="0"/>
    <x v="2"/>
    <m/>
    <n v="44914.666666666664"/>
    <x v="3"/>
    <m/>
    <m/>
    <m/>
    <s v="Contrato"/>
    <s v="61.602.189-3"/>
    <s v="Si"/>
    <n v="0.1"/>
    <d v="2025-06-27T00:00:00"/>
    <m/>
    <m/>
    <s v="LORETO RODRIGUEZ NEIRA"/>
    <s v="LRODRIGUEZN@SSCONCEPCION.CL"/>
    <m/>
    <m/>
    <m/>
    <m/>
  </r>
  <r>
    <s v="2137-35-LE22"/>
    <s v="LICITACION GASES CLINICOS REP. E INSUMOS ASOCIADOS"/>
    <s v="LA NECESIDAD DEL HOSPITAL DE ACHAO DE ADQUIRIR GASES CLÍNICOS,REPUESTOS E INSUMOS ASOCIADOS"/>
    <s v="HOSPITAL DE ACHAO"/>
    <m/>
    <m/>
    <x v="2"/>
    <x v="18"/>
    <d v="2022-12-01T12:12:42"/>
    <x v="2"/>
    <x v="1"/>
    <d v="2022-12-12T16:17:00"/>
    <d v="2022-12-02T00:00:00"/>
    <x v="0"/>
    <x v="2"/>
    <s v="No"/>
    <d v="2022-12-04T14:47:00"/>
    <d v="2022-12-05T14:47:00"/>
    <d v="2022-12-13T16:18:00"/>
    <n v="0"/>
    <n v="0"/>
    <m/>
    <s v="Si"/>
    <n v="500000"/>
    <d v="2023-04-12T00:00:00"/>
    <s v="Si"/>
    <m/>
    <m/>
    <m/>
    <m/>
    <d v="2022-12-12T16:17:00"/>
    <m/>
    <m/>
    <x v="0"/>
    <x v="0"/>
    <d v="2023-01-03T00:00:00"/>
    <n v="-21.321527777778101"/>
    <x v="2"/>
    <n v="25230030"/>
    <m/>
    <m/>
    <s v="Contrato"/>
    <s v="61.602.278-4"/>
    <s v="Si"/>
    <n v="0.1"/>
    <d v="2025-01-31T00:00:00"/>
    <m/>
    <m/>
    <s v="MARCO GALLARDO CARDENAS"/>
    <s v="mar.gallardo@redsalud.gov.cl"/>
    <m/>
    <m/>
    <m/>
    <m/>
  </r>
  <r>
    <s v="1395-129-LP22"/>
    <s v="Reposición Ventiladores Mecánicos No Invasivos Del Programa De Ventilación Domiciliaria Región de Coquimbo"/>
    <s v="Reposición Ventiladores Mecánicos No Invasivos Del Programa De Ventilación Domiciliaria Región de Coquimbo"/>
    <s v="SERVICIO DE SALUD COQUIMBO"/>
    <m/>
    <m/>
    <x v="0"/>
    <x v="0"/>
    <d v="2022-11-30T11:41:43"/>
    <x v="1"/>
    <x v="1"/>
    <d v="2022-12-12T17:30:00"/>
    <d v="2022-12-05T00:00:00"/>
    <x v="1"/>
    <x v="1"/>
    <s v="Si"/>
    <d v="2022-12-02T17:00:00"/>
    <d v="2022-12-06T17:30:00"/>
    <d v="2023-01-03T17:30:00"/>
    <n v="0"/>
    <n v="0"/>
    <m/>
    <s v="Si"/>
    <n v="1000000"/>
    <d v="2023-06-29T00:00:00"/>
    <s v="No"/>
    <m/>
    <m/>
    <s v="No"/>
    <m/>
    <d v="2022-12-12T17:30:00"/>
    <m/>
    <m/>
    <x v="0"/>
    <x v="0"/>
    <d v="2022-12-21T00:00:00"/>
    <n v="-8.2708333333357587"/>
    <x v="0"/>
    <n v="71775000"/>
    <m/>
    <m/>
    <s v="Orden de Compra"/>
    <s v="61.606.400-2"/>
    <s v="Si"/>
    <n v="0.05"/>
    <d v="2024-01-01T00:00:00"/>
    <m/>
    <m/>
    <s v="Tesorería General de la Republica"/>
    <s v="emilia.lopez@redsalud.gov.cl"/>
    <m/>
    <m/>
    <m/>
    <m/>
  </r>
  <r>
    <s v="635-189-L122"/>
    <s v="Adquisición de ventilador no invasivo, OT 1494"/>
    <m/>
    <s v="SERVICIO DE SALUD DE ARICA"/>
    <m/>
    <m/>
    <x v="0"/>
    <x v="0"/>
    <d v="2022-12-02T15:58:23"/>
    <x v="2"/>
    <x v="1"/>
    <d v="2022-12-09T15:00:00"/>
    <d v="2022-12-05T00:00:00"/>
    <x v="0"/>
    <x v="0"/>
    <s v="No"/>
    <d v="2022-12-05T12:00:00"/>
    <d v="2022-12-06T17:30:00"/>
    <d v="2022-12-16T17:00:00"/>
    <n v="0"/>
    <n v="0"/>
    <m/>
    <s v="No"/>
    <m/>
    <s v=" "/>
    <s v="No"/>
    <m/>
    <m/>
    <m/>
    <m/>
    <d v="2022-12-09T15:00:00"/>
    <m/>
    <m/>
    <x v="0"/>
    <x v="0"/>
    <d v="2022-12-29T00:00:00"/>
    <n v="-19.375"/>
    <x v="0"/>
    <n v="2900000"/>
    <m/>
    <m/>
    <s v="Orden de Compra"/>
    <m/>
    <s v="No"/>
    <m/>
    <m/>
    <m/>
    <m/>
    <m/>
    <m/>
    <m/>
    <m/>
    <m/>
    <m/>
  </r>
  <r>
    <s v="1175-248-LP22"/>
    <s v="LIC 249.22 Adq. ventiladores mecánicos no invasivo"/>
    <s v="Se requiere la ADQUISICIÓN DE VENTILADORES MECÁNICOS NO INVASIVOS”., nuevos y sin uso. Las características técnicas, se detallan en el ANEXO Nº 4 de las presentes Bases. Debe cumplir con todas las características marcadas como obligatorias para que la oferta sea admisible."/>
    <s v="SERVICIO DE SALUD ARAUCANIA SUR"/>
    <m/>
    <m/>
    <x v="0"/>
    <x v="0"/>
    <d v="2022-12-02T16:03:30"/>
    <x v="2"/>
    <x v="1"/>
    <d v="2022-12-12T16:30:00"/>
    <d v="2022-12-05T00:00:00"/>
    <x v="0"/>
    <x v="6"/>
    <s v="No"/>
    <d v="2022-12-06T10:00:00"/>
    <d v="2022-12-07T17:45:00"/>
    <d v="2023-03-13T18:00:00"/>
    <n v="0"/>
    <n v="0"/>
    <m/>
    <s v="No"/>
    <m/>
    <s v=" "/>
    <s v="No"/>
    <m/>
    <m/>
    <m/>
    <m/>
    <d v="2022-12-12T16:30:00"/>
    <m/>
    <m/>
    <x v="0"/>
    <x v="0"/>
    <d v="2022-12-19T00:00:00"/>
    <n v="-6.3125"/>
    <x v="0"/>
    <n v="2300000"/>
    <m/>
    <m/>
    <s v="Orden de Compra"/>
    <s v="61.607.400-8"/>
    <s v="Si"/>
    <n v="0.05"/>
    <d v="2026-02-02T00:00:00"/>
    <m/>
    <m/>
    <s v="MARIELA ÑANCULEF"/>
    <s v="mariela.nanculef@redsalud.gov.cl"/>
    <m/>
    <m/>
    <m/>
    <m/>
  </r>
  <r>
    <s v="1057937-65-LE22"/>
    <s v="Compra de 01 Ventilador Mecánico"/>
    <s v="Compra de 01 Ventilador Mecánico para la Unidad de Hematooncología"/>
    <s v="SERVICIO DE SALUD VALDIVIA"/>
    <m/>
    <m/>
    <x v="0"/>
    <x v="0"/>
    <d v="2022-12-02T16:39:02"/>
    <x v="2"/>
    <x v="1"/>
    <d v="2022-12-07T19:00:00"/>
    <d v="2022-12-05T00:00:00"/>
    <x v="0"/>
    <x v="5"/>
    <s v="No"/>
    <d v="2022-12-04T20:19:00"/>
    <d v="2022-12-05T19:19:00"/>
    <d v="2023-03-10T16:14:00"/>
    <n v="0"/>
    <n v="0"/>
    <m/>
    <s v="No"/>
    <m/>
    <s v=" "/>
    <s v="No"/>
    <m/>
    <m/>
    <m/>
    <m/>
    <d v="2022-12-07T19:00:00"/>
    <m/>
    <m/>
    <x v="0"/>
    <x v="1"/>
    <d v="2022-12-07T00:00:00"/>
    <n v="0.79166666666424135"/>
    <x v="3"/>
    <m/>
    <m/>
    <m/>
    <m/>
    <s v="61.607.502-0"/>
    <s v="No"/>
    <m/>
    <m/>
    <m/>
    <m/>
    <s v="Marianela Beltrán"/>
    <s v="marianela.beltran@redsalud.gov.cl"/>
    <m/>
    <m/>
    <m/>
    <m/>
  </r>
  <r>
    <s v="4776-45-LE22"/>
    <s v="SERVICIO DE MANTENCIÓN DEL SISTEMA DE CENTRAL DE GASES CLÍNICAS Y RED DE OXÍGENO PARA ELCENTRO DE REHABILITACIÓN CAPREDENA LA FLORIDA"/>
    <s v="El objeto de la presente licitación es la contratación del SERVICIO DE MANTENCIÓN DEL SISTEMA CENTRAL DE GASES CLÍNICOS Y RED DE OXÍGENO, PARA EL CENTRO DE REHABILITACIÓN CAPREDENA LA FLORIDA, por el período de 24 meses."/>
    <s v="CAJA DE PREVISION DE LA DEFENSA NACIONAL"/>
    <m/>
    <m/>
    <x v="5"/>
    <x v="6"/>
    <d v="2022-12-14T11:57:12"/>
    <x v="2"/>
    <x v="1"/>
    <d v="2023-01-06T15:00:00"/>
    <m/>
    <x v="0"/>
    <x v="10"/>
    <s v="No"/>
    <d v="2022-12-20T15:00:00"/>
    <d v="2022-12-22T17:00:00"/>
    <d v="2023-02-07T15:04:00"/>
    <n v="0"/>
    <n v="0"/>
    <m/>
    <s v="No"/>
    <m/>
    <s v=" "/>
    <s v="No"/>
    <m/>
    <m/>
    <m/>
    <m/>
    <d v="2023-01-06T15:00:00"/>
    <m/>
    <m/>
    <x v="0"/>
    <x v="6"/>
    <m/>
    <n v="44932.625"/>
    <x v="3"/>
    <m/>
    <m/>
    <m/>
    <m/>
    <s v="61.108.000-k"/>
    <s v="Si"/>
    <n v="0.05"/>
    <d v="2025-04-14T00:00:00"/>
    <m/>
    <m/>
    <s v="HERNÁN HERNÁNDEZ LINCUÑIR"/>
    <s v="HERNAN.HERNANDEZ@CAPREDENA.GOB.CL"/>
    <m/>
    <m/>
    <m/>
    <m/>
  </r>
  <r>
    <s v="1057935-9-LE22"/>
    <s v="Adquisición de ventiladores mecánicos no invasivos y vitrinas refrigeradas para establecimientos dependientes del Servicio de Salud Valdivia"/>
    <s v="De acuerdo a lo estipulado en la Resolución Exenta N° 4438 de fecha 09.12.2022."/>
    <s v="SERVICIO DE SALUD VALDIVIA"/>
    <m/>
    <m/>
    <x v="0"/>
    <x v="0"/>
    <d v="2022-12-09T16:23:41"/>
    <x v="2"/>
    <x v="1"/>
    <d v="2022-12-15T09:00:00"/>
    <d v="2022-12-13T00:00:00"/>
    <x v="0"/>
    <x v="0"/>
    <s v="No"/>
    <d v="2022-12-12T12:00:00"/>
    <d v="2022-12-13T19:00:00"/>
    <d v="2022-12-21T12:53:28"/>
    <n v="0"/>
    <n v="0"/>
    <m/>
    <s v="No"/>
    <m/>
    <s v=" "/>
    <s v="No"/>
    <m/>
    <m/>
    <m/>
    <m/>
    <d v="2022-12-15T09:00:00"/>
    <m/>
    <m/>
    <x v="0"/>
    <x v="0"/>
    <d v="2022-12-21T00:00:00"/>
    <n v="-5.625"/>
    <x v="0"/>
    <n v="2300000"/>
    <m/>
    <m/>
    <s v="Contrato"/>
    <s v="61.607.500-4"/>
    <m/>
    <m/>
    <m/>
    <m/>
    <m/>
    <m/>
    <m/>
    <m/>
    <m/>
    <m/>
    <m/>
  </r>
  <r>
    <s v="1057434-65-LE22"/>
    <s v="CONVENIO SUMINISTRO DE OXIGENO GASEOSO MEDICINAL Y DOMICILIARIO PARA EL CESFAM DR. V.M. FERNANDEZ"/>
    <s v="LA NECESIDAD DE CONTRATAR SERVICIOS PARA EL SUMINISTRO DE GASES MEDICINALES, CILINDROS, ENVASES, VÁLVULAS, ADAPTADORES, CONECTORES Y OTROS, TANTO PARA EL CESFAM DR. VÍCTOR M. FERNÁNDEZ COMO PARA PACIENTES BENEFICIARIOS DE ESTE CENTRO DE SALUD, QUE REQUIERAN TRATAMIENTOS DE OXIGENOTERAPIA EN SUS RESPECTIVOS DOMICILIOS."/>
    <s v="_x0009_SERVICIO DE SALUD CONCEPCION "/>
    <m/>
    <m/>
    <x v="3"/>
    <x v="5"/>
    <d v="2022-12-11T14:37:58"/>
    <x v="2"/>
    <x v="1"/>
    <d v="2022-12-22T12:00:00"/>
    <d v="2022-12-13T00:00:00"/>
    <x v="1"/>
    <x v="1"/>
    <s v="Si"/>
    <d v="2022-12-19T17:00:00"/>
    <d v="2022-12-20T18:00:00"/>
    <d v="2023-03-17T14:39:56"/>
    <n v="20000000"/>
    <n v="16806722.68907563"/>
    <m/>
    <s v="No"/>
    <m/>
    <m/>
    <s v="No"/>
    <s v="Contrato"/>
    <n v="24"/>
    <s v="No"/>
    <m/>
    <d v="2022-12-22T12:00:00"/>
    <m/>
    <m/>
    <x v="0"/>
    <x v="0"/>
    <d v="2023-03-17T00:00:00"/>
    <n v="-84.5"/>
    <x v="1"/>
    <n v="10000000"/>
    <d v="2023-03-17T00:00:00"/>
    <d v="2025-03-17T00:00:00"/>
    <s v="Contrato"/>
    <s v="61.607.104-1"/>
    <s v="Si"/>
    <n v="0.05"/>
    <d v="2025-04-15T00:00:00"/>
    <s v="Dra. Viviana Fuentealba Figueroa"/>
    <s v="jefemedicinacvmf@ssconcepcion.cl"/>
    <s v="Luis Carrasco Pizarro"/>
    <s v="jefefinanzascvmf@ssconcepcion.cl"/>
    <m/>
    <m/>
    <m/>
    <m/>
  </r>
  <r>
    <s v="812261-98-LE22"/>
    <s v="SERVICIO DE OXIGENOTERAPIA PEDIATRICA A DOMICILIO"/>
    <s v="Las presentes bases de licitación son formuladas para establecer la regulación del proceso de adquisición del SERVICIO DE OXIGENOTERAPIA PEDIATRICA A DOMICILIO y reglamentan entre otros aspectos las condiciones que deben cumplir las ofertas, las etapas del proceso licitatorio, su forma de evaluación y adjudicación, las condiciones del contrato y todos los aspectos necesarios para el correcto proceso de adquisición."/>
    <s v="HOSPITAL CLINICO METROPOLITANO DE LA FLORIDA DOCTORA ELOISA DIAZ"/>
    <m/>
    <m/>
    <x v="3"/>
    <x v="5"/>
    <d v="2022-12-15T10:38:08"/>
    <x v="2"/>
    <x v="1"/>
    <d v="2022-12-26T16:00:00"/>
    <d v="2022-12-16T00:00:00"/>
    <x v="1"/>
    <x v="1"/>
    <s v="Si"/>
    <d v="2022-12-18T23:59:00"/>
    <d v="2022-12-20T17:00:00"/>
    <d v="2023-02-08T17:00:00"/>
    <n v="39278836"/>
    <n v="33007425.210084036"/>
    <m/>
    <s v="No"/>
    <m/>
    <s v=" "/>
    <s v="No"/>
    <s v="Contrato"/>
    <n v="12"/>
    <s v="No"/>
    <m/>
    <d v="2022-12-26T16:00:00"/>
    <m/>
    <m/>
    <x v="0"/>
    <x v="0"/>
    <d v="2023-08-02T00:00:00"/>
    <n v="-218.33333333333576"/>
    <x v="2"/>
    <s v="18.763.248"/>
    <m/>
    <m/>
    <s v="Contrato"/>
    <s v="65.075.485-9"/>
    <s v="Si"/>
    <n v="0.05"/>
    <d v="2024-06-07T00:00:00"/>
    <m/>
    <m/>
    <s v="Gustavo Hernandez"/>
    <s v="gustavo.hernandez@hospitallaflorida.cl"/>
    <m/>
    <m/>
    <m/>
    <m/>
  </r>
  <r>
    <s v="1747-43-LE22"/>
    <s v="Suministro de Oxigeno Medicinal Metros Cubicos"/>
    <s v="Las siguientes bases constituyen las especificaciones administrativas por las que deberán regirse las empresas, personas naturales o personas jurídicas interesadas en participar en el llamado a propuesta pública para licitar en “Suministro de oxígeno medicinal metros cúbicos” del Hospital Comunitario de Mejillones, que requiere contratar con Empresas especializadas en venta y recarga de oxígeno medicinal. Esto con el fin de ayudar de la mejor forma a los pacientes que se encuentren hospitalizados, acudan a urgencias o dispongan de oxígeno domiciliario"/>
    <s v="HOSPITAL DE MEJILLONES"/>
    <m/>
    <m/>
    <x v="2"/>
    <x v="15"/>
    <d v="2022-12-16T09:31:30"/>
    <x v="2"/>
    <x v="1"/>
    <d v="2022-12-22T20:00:00"/>
    <d v="2022-12-19T00:00:00"/>
    <x v="1"/>
    <x v="1"/>
    <s v="Si"/>
    <d v="2022-12-19T20:00:00"/>
    <d v="2022-12-20T17:00:00"/>
    <d v="2022-12-29T15:00:00"/>
    <n v="0"/>
    <n v="0"/>
    <m/>
    <s v="No"/>
    <m/>
    <s v=" "/>
    <s v="No"/>
    <m/>
    <m/>
    <s v="No"/>
    <m/>
    <d v="2022-12-22T20:00:00"/>
    <m/>
    <m/>
    <x v="0"/>
    <x v="2"/>
    <m/>
    <d v="2022-12-22T20:00:00"/>
    <x v="3"/>
    <m/>
    <m/>
    <m/>
    <s v="Orden de Compra"/>
    <s v="61.606.205-0"/>
    <s v="No"/>
    <m/>
    <m/>
    <m/>
    <m/>
    <s v="Constanza Marambio"/>
    <s v="constanza.marambio.e@redsalud.gov.cl"/>
    <m/>
    <m/>
    <m/>
    <m/>
  </r>
  <r>
    <s v="1655-71-LE22"/>
    <s v="“CONVENIO DE SUMINISTRO DEL SERVICIO DE ARRIENDO Y"/>
    <s v="“CONVENIO DE SUMINISTRO DEL SERVICIO DE ARRIENDO Y RECARGA DE GASES CLINICOS, OXIGENO MEDICINAL Y AIRE COMPRIMIDO, PARA CENTROS DE SALUD DEPENDIENTES DE LA DIRECCIÓN DE ATENCIÓN PRIMARIA SSMC"/>
    <s v="SERVICIO DE SALUD METROPOLITANO CENTRAL"/>
    <m/>
    <m/>
    <x v="2"/>
    <x v="2"/>
    <d v="2022-12-19T13:02:21"/>
    <x v="2"/>
    <x v="1"/>
    <d v="2023-01-03T18:00:00"/>
    <d v="2022-12-21T00:00:00"/>
    <x v="0"/>
    <x v="2"/>
    <s v="No"/>
    <d v="2022-12-26T18:00:00"/>
    <d v="2022-12-27T18:00:00"/>
    <d v="2023-02-01T18:00:00"/>
    <n v="0"/>
    <n v="0"/>
    <m/>
    <s v="No"/>
    <m/>
    <m/>
    <s v="No"/>
    <m/>
    <m/>
    <m/>
    <m/>
    <d v="2023-01-03T18:00:00"/>
    <m/>
    <m/>
    <x v="0"/>
    <x v="2"/>
    <m/>
    <n v="44929.75"/>
    <x v="3"/>
    <m/>
    <m/>
    <m/>
    <s v="Contrato"/>
    <s v="61.608.605-7"/>
    <s v="Si"/>
    <n v="0.05"/>
    <d v="2026-04-30T00:00:00"/>
    <m/>
    <m/>
    <s v="francisco Roa"/>
    <s v="Francisco.roab@redsalud.gov.cl"/>
    <m/>
    <m/>
    <m/>
    <m/>
  </r>
  <r>
    <s v="1057448-139-LR22"/>
    <s v="CONVENIO DE SUMINISTRO DE GASES MEDICINALES ARRIENDO DE CILINDROS TRANSPORTE MANTENCIONES PREVENTIVA Y CORRECTIVAS DE BANCOS DE GASES MEDICINALES HOSPITAL DE ALTO HOSPICIO POR 36 MESES”"/>
    <s v="ADQUISICION “CONVENIO DE SUMINISTRO DE GASES MEDICINALES, ARRIENDO DE CILINDROS, TRANSPORTE, MANTENCIONES PREVENTIVA Y CORRECTIVAS DE BANCOS DE GASES MEDICINALES, HOSPITAL DE ALTO HOSPICIO, POR 36 MESES”"/>
    <s v="SERVICIO DE SALUD IQUIQUE"/>
    <s v="Suministro de Oxígeno Medicinal en m3 (6 ~ 10)"/>
    <m/>
    <x v="2"/>
    <x v="15"/>
    <d v="2022-12-07T11:24:30"/>
    <x v="2"/>
    <x v="1"/>
    <d v="2023-01-09T15:00:00"/>
    <d v="2022-12-23T00:00:00"/>
    <x v="0"/>
    <x v="6"/>
    <s v="No"/>
    <d v="2022-12-21T09:00:00"/>
    <d v="2022-12-27T16:00:00"/>
    <d v="2023-02-03T15:01:48"/>
    <n v="330000000"/>
    <n v="277310924.36974794"/>
    <m/>
    <s v="Si"/>
    <n v="1000000"/>
    <d v="2023-07-05T00:00:00"/>
    <s v="Si"/>
    <s v="Contrato"/>
    <n v="36"/>
    <s v="No"/>
    <m/>
    <d v="2023-01-09T15:00:00"/>
    <m/>
    <m/>
    <x v="0"/>
    <x v="1"/>
    <m/>
    <d v="2023-01-09T15:00:00"/>
    <x v="3"/>
    <m/>
    <m/>
    <m/>
    <m/>
    <m/>
    <m/>
    <m/>
    <m/>
    <m/>
    <m/>
    <m/>
    <m/>
    <m/>
    <m/>
    <m/>
    <m/>
  </r>
  <r>
    <s v="898-220-LQ22"/>
    <s v="OXIGENOTERAPIA DOMICILIARIA PARA PACIENTES DEL HOSPITAL CLAUDIO VICUÑA DE SAN ANTONIO"/>
    <s v="OXIGENOTERAPIA DOMICILIARIA PARA PACIENTES DEL HOSPITAL CLAUDIO VICUÑA DE SAN ANTONIO"/>
    <s v="HOSPITAL CLAUDIO VICUÑA "/>
    <m/>
    <m/>
    <x v="3"/>
    <x v="5"/>
    <d v="2022-12-26T10:41:32"/>
    <x v="2"/>
    <x v="1"/>
    <d v="2023-01-16T17:00:00"/>
    <d v="2022-12-26T00:00:00"/>
    <x v="0"/>
    <x v="7"/>
    <s v="Si"/>
    <d v="2022-12-29T17:00:00"/>
    <d v="2022-12-30T17:00:00"/>
    <d v="2023-01-24T00:00:00"/>
    <n v="0"/>
    <n v="0"/>
    <m/>
    <s v="Si"/>
    <n v="500000"/>
    <d v="2023-02-28T00:00:00"/>
    <s v="No"/>
    <s v="Contrato"/>
    <m/>
    <s v="No"/>
    <m/>
    <d v="2023-01-16T17:00:00"/>
    <m/>
    <m/>
    <x v="0"/>
    <x v="4"/>
    <m/>
    <n v="44942.708333333336"/>
    <x v="3"/>
    <m/>
    <m/>
    <m/>
    <m/>
    <s v="61.602.126-5"/>
    <s v="Si"/>
    <n v="0.05"/>
    <d v="2023-11-04T00:00:00"/>
    <m/>
    <m/>
    <m/>
    <s v="sara.iturra@redsalud.gov.cl"/>
    <m/>
    <m/>
    <m/>
    <m/>
  </r>
  <r>
    <s v="1549-150-LP22"/>
    <s v="ARRIENDO DE 05 VENTILADORES MECANICOS NO INVASIVOS"/>
    <s v="ARRIENDO DE 05 VENTILADORES MECANICOS NO INVASIVOS UNIDAD DE KINESIOLOGIA POR 03 MESES"/>
    <s v="HOSPITAL SAN JOSE"/>
    <m/>
    <m/>
    <x v="0"/>
    <x v="0"/>
    <d v="2022-12-26T11:28:33"/>
    <x v="2"/>
    <x v="1"/>
    <d v="2023-01-16T15:00:00"/>
    <d v="2022-12-27T00:00:00"/>
    <x v="0"/>
    <x v="4"/>
    <s v="No"/>
    <d v="2023-01-03T15:00:00"/>
    <d v="2023-01-09T17:00:00"/>
    <d v="2023-03-16T17:00:00"/>
    <n v="0"/>
    <n v="0"/>
    <m/>
    <s v="No"/>
    <m/>
    <s v=" "/>
    <s v="No"/>
    <m/>
    <m/>
    <m/>
    <m/>
    <d v="2023-01-16T15:00:00"/>
    <m/>
    <m/>
    <x v="0"/>
    <x v="6"/>
    <m/>
    <n v="44942.625"/>
    <x v="3"/>
    <m/>
    <m/>
    <m/>
    <s v="Contrato"/>
    <s v="61.608.002-4"/>
    <s v="Si"/>
    <n v="0.05"/>
    <d v="2023-11-04T00:00:00"/>
    <m/>
    <m/>
    <s v="HOSPITAL SAN JOSE"/>
    <s v="sara.iturra@redsalud.gov.cl"/>
    <m/>
    <m/>
    <m/>
    <m/>
  </r>
  <r>
    <s v="1380-280-LQ22"/>
    <s v="PPTA 332-22 CONT. SERVICIO TERAPIA OXIDO NITRICO"/>
    <s v="Revisar punto N° 3 del Ítem I &quot;Del objeto de la contratación&quot;."/>
    <s v="HOSPITAL DOCTOR HERNAN HENRIQUEZ ARAVENA"/>
    <m/>
    <m/>
    <x v="1"/>
    <x v="1"/>
    <d v="2022-12-26T11:58:07"/>
    <x v="2"/>
    <x v="1"/>
    <d v="2023-01-06T15:01:00"/>
    <m/>
    <x v="0"/>
    <x v="4"/>
    <s v="No"/>
    <d v="2023-01-03T10:00:00"/>
    <d v="2023-01-05T15:00:00"/>
    <m/>
    <n v="0"/>
    <n v="0"/>
    <m/>
    <m/>
    <m/>
    <s v=" "/>
    <m/>
    <m/>
    <m/>
    <m/>
    <m/>
    <d v="2023-01-06T15:01:00"/>
    <m/>
    <m/>
    <x v="0"/>
    <x v="4"/>
    <m/>
    <n v="44932.625694444447"/>
    <x v="3"/>
    <m/>
    <m/>
    <m/>
    <m/>
    <s v="61.602.232-6"/>
    <m/>
    <m/>
    <m/>
    <m/>
    <m/>
    <m/>
    <m/>
    <m/>
    <m/>
    <m/>
    <m/>
  </r>
  <r>
    <s v="4776-45-LE22"/>
    <s v="SERVICIO DE MANTENCIÓN DEL SISTEMA DE CENTRAL DE GASES CLÍNICAS Y RED DE OXÍGENO PARA ELCENTRO DE REHABILITACIÓN CAPREDENA LA FLORIDA"/>
    <s v="El objeto de la presente licitación es la contratación del SERVICIO DE MANTENCIÓN DEL SISTEMA CENTRAL DE GASES CLÍNICOS Y RED DE OXÍGENO, PARA EL CENTRO DE REHABILITACIÓN CAPREDENA LA FLORIDA, por el período de 24 meses."/>
    <s v="CAJA DE PREVISION DE LA DEFENSA NACIONAL"/>
    <m/>
    <m/>
    <x v="5"/>
    <x v="6"/>
    <d v="2022-12-14T11:57:12"/>
    <x v="2"/>
    <x v="1"/>
    <d v="2023-01-06T15:00:00"/>
    <m/>
    <x v="0"/>
    <x v="10"/>
    <s v="No"/>
    <d v="2022-12-20T15:00:00"/>
    <d v="2022-12-22T17:00:00"/>
    <d v="2023-02-07T15:04:00"/>
    <n v="0"/>
    <n v="0"/>
    <m/>
    <s v="No"/>
    <m/>
    <s v=" "/>
    <s v="No"/>
    <m/>
    <m/>
    <m/>
    <m/>
    <d v="2023-01-06T15:00:00"/>
    <m/>
    <m/>
    <x v="0"/>
    <x v="6"/>
    <m/>
    <n v="44932.625"/>
    <x v="3"/>
    <m/>
    <m/>
    <m/>
    <s v="Contrato"/>
    <s v="61.108.000-k"/>
    <s v="Si"/>
    <n v="0.05"/>
    <d v="2025-04-14T00:00:00"/>
    <m/>
    <m/>
    <s v="HERNÁN HERNÁNDEZ LINCUÑIR"/>
    <s v="HERNAN.HERNANDEZ@CAPREDENA.GOB.CL"/>
    <m/>
    <m/>
    <m/>
    <m/>
  </r>
  <r>
    <s v="4429-105-LE22"/>
    <s v="EQUIPAMIENTO CLINICO MENOR INSUMOS Y OTROS"/>
    <s v="EQUIPMAIENTO CLINICO MENOR, INSUOS Y OTROS PARA CENTROS DE SALUD DE LA COMUNA"/>
    <s v="MUNICIPALIDAD DE HUALPEN"/>
    <m/>
    <m/>
    <x v="0"/>
    <x v="0"/>
    <d v="2022-12-27T13:55:18"/>
    <x v="2"/>
    <x v="1"/>
    <d v="2023-01-06T10:00:00"/>
    <m/>
    <x v="1"/>
    <x v="1"/>
    <s v="Si"/>
    <d v="2022-12-30T18:00:00"/>
    <d v="2023-01-02T18:00:00"/>
    <d v="2023-03-15T14:29:00"/>
    <n v="0"/>
    <n v="0"/>
    <n v="30"/>
    <s v="No"/>
    <m/>
    <s v=" "/>
    <s v="No"/>
    <s v="Spot"/>
    <m/>
    <s v="No"/>
    <n v="60"/>
    <d v="2023-03-07T10:00:00"/>
    <n v="8"/>
    <n v="25222"/>
    <x v="44"/>
    <x v="2"/>
    <m/>
    <d v="2023-03-07T10:00:00"/>
    <x v="3"/>
    <m/>
    <m/>
    <m/>
    <m/>
    <s v="69.264.400-k"/>
    <s v="Si"/>
    <n v="0.05"/>
    <d v="2024-04-30T00:00:00"/>
    <m/>
    <m/>
    <s v="Carlos Cares Morales"/>
    <s v="ccares@hualpenciudad.cl"/>
    <m/>
    <m/>
    <m/>
    <m/>
  </r>
  <r>
    <s v="2710-227-LE22"/>
    <s v="CONTRATO SUMINISTRO OXIGENO MEDICINAL APS OVALLE"/>
    <s v="SE REQUIERE EL SERVICIO DE OXIGENO MEDICINAL PARA LOS CENTROS APS DE LA COMUNA DE OVALLE, DEBE INCLUIR RECARGA, PRUEBAS HIDRAULICAS YO CAMBIOS DE VALVULAS. SEGÚN SOLICITUD N 19-2022 DE UNIDAD DE ADQUISICIONES."/>
    <s v="MUNICIPALIDAD DE OVALLE"/>
    <m/>
    <m/>
    <x v="2"/>
    <x v="11"/>
    <d v="2022-12-27T18:50:48"/>
    <x v="2"/>
    <x v="1"/>
    <d v="2023-01-06T15:00:00"/>
    <m/>
    <x v="0"/>
    <x v="2"/>
    <s v="No"/>
    <d v="2022-12-30T23:59:00"/>
    <d v="2023-01-03T23:59:00"/>
    <d v="2023-01-20T14:25:00"/>
    <n v="0"/>
    <n v="0"/>
    <m/>
    <s v="Si"/>
    <n v="200000"/>
    <d v="2023-04-05T00:00:00"/>
    <s v="No"/>
    <m/>
    <m/>
    <m/>
    <m/>
    <d v="2023-01-06T15:00:00"/>
    <m/>
    <m/>
    <x v="0"/>
    <x v="1"/>
    <d v="2023-01-06T00:00:00"/>
    <n v="0.625"/>
    <x v="3"/>
    <m/>
    <m/>
    <m/>
    <m/>
    <s v="69.040.700-0"/>
    <s v="Si"/>
    <n v="0.05"/>
    <d v="2025-03-31T00:00:00"/>
    <m/>
    <m/>
    <s v="Violeta Zumaran Naranjo"/>
    <s v="violetazumaran@departamentodesaludovalle.cl"/>
    <m/>
    <m/>
    <m/>
    <m/>
  </r>
  <r>
    <s v="1057501-516-LQ22"/>
    <s v="Contratación Servicio de Suministro de Oxigeno Medicinal Liquido"/>
    <s v="La propuesta comprende la contratación de suministro de oxígeno líquido para dos tanques criogénicos"/>
    <s v="COMPLEJO ASISTENCIAL DR. SOTERO DEL RIO"/>
    <m/>
    <m/>
    <x v="2"/>
    <x v="2"/>
    <d v="2022-12-28T16:40:49"/>
    <x v="2"/>
    <x v="1"/>
    <d v="2023-02-03T16:36:00"/>
    <d v="2022-12-29T00:00:00"/>
    <x v="1"/>
    <x v="1"/>
    <s v="Si"/>
    <d v="2023-01-06T16:55:00"/>
    <d v="2023-01-12T16:55:00"/>
    <d v="2023-03-01T16:37:00"/>
    <n v="0"/>
    <n v="0"/>
    <m/>
    <s v="Si"/>
    <n v="1000000"/>
    <d v="2023-05-02T00:00:00"/>
    <s v="Si"/>
    <m/>
    <m/>
    <s v="No"/>
    <m/>
    <d v="2023-02-03T16:36:00"/>
    <m/>
    <m/>
    <x v="0"/>
    <x v="2"/>
    <m/>
    <d v="2023-02-03T16:36:00"/>
    <x v="3"/>
    <m/>
    <m/>
    <m/>
    <s v="Contrato"/>
    <s v="61.608.502-6"/>
    <s v="Si"/>
    <n v="0.2"/>
    <d v="2025-08-28T00:00:00"/>
    <m/>
    <m/>
    <s v="Gabriela Reyes"/>
    <s v="greyes@ssmso.cl"/>
    <m/>
    <m/>
    <m/>
    <m/>
  </r>
  <r>
    <s v="2258-319-LR22"/>
    <s v="SERVICIO DE OXIGENOTERAPIA DOMICILIARIA DEL HRA"/>
    <s v="objetivo primordial es contar con los servicios apropiados considerando optimizar el uso de los recursos disponibles y realizar un contrato con una empresa responsable de realizar el servicio de prestaciones entregadas a domicilio, transfiriendo al lugar de convalecencia del paciente la tecnología necesaria en equipos e insumos para entregar soporte ventilatorio, a través de la entrega de un equipo concentrador y cilindro tipo E de apoyo ambulatorio junto a servicios de refuerzo."/>
    <s v="SERVICIO DE SALUD ANTOFAGASTA"/>
    <m/>
    <m/>
    <x v="3"/>
    <x v="5"/>
    <d v="2022-12-28T16:59:35"/>
    <x v="2"/>
    <x v="1"/>
    <d v="2023-01-27T19:56:00"/>
    <d v="2022-12-29T00:00:00"/>
    <x v="0"/>
    <x v="3"/>
    <s v="Si"/>
    <d v="2023-01-12T20:39:00"/>
    <d v="2023-01-20T20:39:00"/>
    <d v="2023-03-28T19:57:00"/>
    <n v="0"/>
    <n v="0"/>
    <m/>
    <s v="Si"/>
    <n v="2000000"/>
    <d v="2023-07-26T00:00:00"/>
    <s v="No"/>
    <s v="Contrato"/>
    <n v="12"/>
    <s v="No"/>
    <m/>
    <d v="2023-01-27T19:56:00"/>
    <m/>
    <m/>
    <x v="0"/>
    <x v="6"/>
    <m/>
    <n v="44953.830555555556"/>
    <x v="3"/>
    <m/>
    <m/>
    <m/>
    <s v="Contrato"/>
    <s v="61.606.201-8"/>
    <s v="Si"/>
    <n v="7.0000000000000007E-2"/>
    <d v="2024-08-06T00:00:00"/>
    <m/>
    <m/>
    <s v="YESICA QUIZPE VIZA"/>
    <s v="JEFE.FINANZAS.HRA@REDSALUD.GOV.CL"/>
    <m/>
    <m/>
    <m/>
    <m/>
  </r>
  <r>
    <s v="3705-118-LE22"/>
    <s v="CONVENIO DE SUMINISTRO DE OXIGENO 2023"/>
    <s v="CONVENIO DE SUMINISTRO DE OXIGENO 2023"/>
    <s v="I MUNICIPALIDAD DE LOS SAUCES"/>
    <m/>
    <m/>
    <x v="2"/>
    <x v="3"/>
    <d v="2022-12-30T16:03:43"/>
    <x v="2"/>
    <x v="1"/>
    <d v="2023-01-09T15:01:00"/>
    <d v="2023-01-03T00:00:00"/>
    <x v="0"/>
    <x v="7"/>
    <s v="No"/>
    <d v="2023-01-03T17:30:00"/>
    <d v="2023-01-04T17:31:00"/>
    <d v="2023-01-31T17:30:00"/>
    <n v="0"/>
    <n v="0"/>
    <m/>
    <s v="No"/>
    <m/>
    <s v=" "/>
    <s v="No"/>
    <m/>
    <m/>
    <m/>
    <m/>
    <d v="2023-01-09T15:01:00"/>
    <m/>
    <m/>
    <x v="0"/>
    <x v="2"/>
    <m/>
    <n v="44935.625694444447"/>
    <x v="3"/>
    <m/>
    <m/>
    <m/>
    <s v="Orden de Compra"/>
    <s v="69.180.300-7"/>
    <s v="No"/>
    <m/>
    <m/>
    <m/>
    <m/>
    <s v="MERY HERNANDEZ ZUÑIGA"/>
    <s v="mhernandez@munilossauces.com"/>
    <m/>
    <m/>
    <m/>
    <m/>
  </r>
  <r>
    <s v="1242121-17-LP22"/>
    <s v="CONVENIO DE SUMINISTRO DE INSUMOS PARA GASES CLÍNICOS"/>
    <s v="Conforme a la Ley de Compras Públicas, su Reglamento y modificaciones, el Hospital Provincial de Ovalle llama a licitación pública a empresas o proveedores del rubro, personas naturales o jurídicas, chilenas o extranjeras, así como a Uniones Temporales de Proveedores, para celebrar un CONVENIO DE SUMINISTRO DE INSUMOS PARA GASES CLÍNICOS, por un periodo de 36 (treinta y seis) meses o hasta agotar el presupuesto máximo referencial, para un oportuno y adecuado suministro de estos productos y así garantizar el correcto funcionamiento del Establecimiento."/>
    <s v="Hospital de Ovalle"/>
    <m/>
    <m/>
    <x v="2"/>
    <x v="6"/>
    <d v="2022-12-30T14:00:21"/>
    <x v="2"/>
    <x v="1"/>
    <d v="2023-01-23T15:00:00"/>
    <d v="2023-01-03T00:00:00"/>
    <x v="1"/>
    <x v="1"/>
    <s v="Si"/>
    <d v="2023-01-10T19:00:00"/>
    <d v="2023-01-17T19:00:00"/>
    <d v="2023-03-03T19:00:00"/>
    <n v="0"/>
    <n v="0"/>
    <m/>
    <s v="Si"/>
    <n v="150000"/>
    <d v="2023-06-22T00:00:00"/>
    <s v="No"/>
    <m/>
    <m/>
    <s v="No"/>
    <m/>
    <d v="2023-01-23T15:00:00"/>
    <m/>
    <m/>
    <x v="0"/>
    <x v="2"/>
    <m/>
    <d v="2023-01-23T15:00:00"/>
    <x v="3"/>
    <m/>
    <m/>
    <m/>
    <s v="Contrato"/>
    <s v="61.606.404-5"/>
    <s v="Si"/>
    <n v="0.05"/>
    <d v="2026-05-04T00:00:00"/>
    <m/>
    <m/>
    <s v="Rocio Avalos Laflor"/>
    <s v="rocio.avalos@redsalud.gov.cl"/>
    <m/>
    <m/>
    <m/>
    <m/>
  </r>
  <r>
    <s v="1057489-627-LQ22"/>
    <s v="Convenio de Suministro de Mascarillas Facial Total y Accesorios por 24 meses para Hospital del Salvador"/>
    <s v="Que, el Hospital del Salvador necesita contar con un Convenio de Suministro de Mascarillas Facial Total y Accesorios por 24 meses para Hospital del Salvador con la finalidad de satisfacer de manera adecuada y eficiente la labor asistencial; Que, por la cuantía determinada, la presente licitación se ubica en el tramo para contrataciones iguales o superiores a 1.000 UTM e inferiores a 5.000 UTM, de conformidad al Artículo 19º bis del Reglamento de la Ley Nº19.886; en conformidad al Artículo 19º bis del Reglamento de la Ley Nº19.886;"/>
    <s v="HOSPITAL DEL SALVADOR"/>
    <m/>
    <m/>
    <x v="0"/>
    <x v="0"/>
    <d v="2022-12-29T17:38:36"/>
    <x v="2"/>
    <x v="1"/>
    <d v="2023-01-10T12:30:00"/>
    <d v="2023-01-03T00:00:00"/>
    <x v="0"/>
    <x v="6"/>
    <s v="No"/>
    <d v="2023-01-04T15:30:00"/>
    <d v="2023-01-06T15:30:00"/>
    <d v="2023-04-11T16:00:00"/>
    <n v="0"/>
    <n v="0"/>
    <m/>
    <s v="Si"/>
    <n v="2500000"/>
    <d v="2023-04-11T00:00:00"/>
    <s v="No"/>
    <m/>
    <m/>
    <m/>
    <m/>
    <d v="2023-01-10T12:30:00"/>
    <m/>
    <m/>
    <x v="0"/>
    <x v="6"/>
    <m/>
    <n v="44936.520833333336"/>
    <x v="3"/>
    <m/>
    <m/>
    <m/>
    <s v="Contrato"/>
    <s v="61.608.406-2"/>
    <s v="Si"/>
    <n v="0.1"/>
    <d v="2025-04-14T00:00:00"/>
    <m/>
    <m/>
    <s v="DANIELA LOPEZ"/>
    <s v="DLOPEZ@HSALVADOR.CL"/>
    <m/>
    <m/>
    <m/>
    <m/>
  </r>
  <r>
    <s v="2107-200-LP22"/>
    <s v="SUM. DE RECARGA Y ARRIENDO DE CILINDROS DE GASES"/>
    <s v="El Hospital Santa Cruz, como establecimiento de salud, requiere suscribir un convenio de suministro para el arriendo y recarga de diversos gases de uso hospitalario incluyendo el mantenimiento de cilindros propios, en sentido de resguardar la disponibilidad de este elemento en unidades sin acceso a la red."/>
    <s v="HOSPITAL DE SANTA CRUZ"/>
    <m/>
    <m/>
    <x v="2"/>
    <x v="2"/>
    <d v="2022-12-29T12:02:01"/>
    <x v="2"/>
    <x v="1"/>
    <d v="2023-01-18T12:00:00"/>
    <d v="2023-01-03T00:00:00"/>
    <x v="0"/>
    <x v="6"/>
    <s v="No"/>
    <d v="2023-01-05T17:00:00"/>
    <d v="2023-01-06T17:00:00"/>
    <d v="2023-02-22T12:00:00"/>
    <n v="0"/>
    <n v="0"/>
    <m/>
    <s v="Si"/>
    <n v="1000000"/>
    <d v="2023-04-18T00:00:00"/>
    <s v="No"/>
    <m/>
    <m/>
    <m/>
    <m/>
    <d v="2023-01-18T12:00:00"/>
    <m/>
    <m/>
    <x v="0"/>
    <x v="6"/>
    <m/>
    <n v="44944.5"/>
    <x v="3"/>
    <m/>
    <m/>
    <m/>
    <s v="Contrato"/>
    <s v="61.602.148-6"/>
    <s v="Si"/>
    <n v="0.05"/>
    <d v="2028-05-19T00:00:00"/>
    <m/>
    <m/>
    <s v="Leonor bozo Pavez"/>
    <s v="leonor.bozo@saludohiggins.cl"/>
    <m/>
    <m/>
    <m/>
    <m/>
  </r>
  <r>
    <s v="2069-123-LQ22"/>
    <s v="CGM MANT PREV Y CORR VENTILADORES PHILIPS Y MAQUET"/>
    <s v="El Hospital Barros Luco Trudeau, Establecimiento Autogestionado en Red, desarrolla labores asistenciales de carácter ambulatorio, hospitalizados y de urgencia utilizando una serie de equipos los que requieren estar en óptimas condiciones para el desarrollo de las funciones asistenciales del hospital. Que, además para los fines precedentes, el proveedor que se adjudique, será responsables de cumplir estricta y cabalmente con los requerimientos y especificaciones consagrados en los documentos de la presente licitación. Por lo antes expuesto, se requiere contratar el Servicio de Mantenimiento preventivo y correctivo de sus ventiladores mecánicos marca Philips-Respironics y Maquet, en las condiciones establecidas en las bases de licitación y a las recomendaciones del fabricante, y de esta manera garantizar el funcionamiento continuo, aportando mayor seguridad, tanto para el paciente como el usuario y prolongar la vida útil de los equipos y la reparación de estos, los cuales se señalan en el numeral 1.1 de las bases administrativas adjuntas. En el aspecto técnico se evaluará la oferta que cumpla con los requisitos señalados en las bases y la idoneidad y calidad técnica del oferente, con el objeto de asegurar que el adjudicatario se ajuste a los requisitos que el Hospital Barros Luco Trudeau ha especificado para la ejecución del contrato licitado. En el aspecto económico se espera recibir ofertas ventajosas dentro de los precios de mercado, factor que también será evaluado. Asimismo, se hace presente que este proceso de licitación se hará mediante modalidad de adjudicación múltiple, por lo cual cada oferente podrá ofertar por ítems independientes, sin embargo, la oferta deberá incluir la totalidad de los equipos mencionados en cada uno de los subítem, de no ser así la oferta se declara inadmisible."/>
    <s v="HOSPITAL BARROS LUCO TRUDEAU"/>
    <m/>
    <m/>
    <x v="0"/>
    <x v="0"/>
    <d v="2023-01-03T12:24:12"/>
    <x v="4"/>
    <x v="2"/>
    <d v="2023-01-13T16:00:00"/>
    <d v="2023-01-05T00:00:00"/>
    <x v="0"/>
    <x v="10"/>
    <s v="No"/>
    <d v="2023-01-06T16:00:00"/>
    <d v="2023-01-11T18:00:00"/>
    <d v="2023-04-10T18:00:00"/>
    <n v="0"/>
    <n v="0"/>
    <m/>
    <s v="Si"/>
    <n v="1000000"/>
    <d v="2023-05-13T00:00:00"/>
    <s v="No"/>
    <m/>
    <m/>
    <m/>
    <m/>
    <d v="2023-01-13T16:00:00"/>
    <m/>
    <m/>
    <x v="0"/>
    <x v="6"/>
    <m/>
    <n v="44939.666666666664"/>
    <x v="3"/>
    <m/>
    <m/>
    <m/>
    <s v="Contrato"/>
    <s v="61.608.101-2"/>
    <s v="Si"/>
    <n v="0.05"/>
    <d v="2026-12-08T00:00:00"/>
    <m/>
    <m/>
    <s v="Jefa departamento gestión financiera y contable"/>
    <s v="francisco.epul@redsalud.gob.cl"/>
    <m/>
    <m/>
    <m/>
    <m/>
  </r>
  <r>
    <s v="2694-3-LE23"/>
    <s v="SERV.CARGA ARRIENDO MANTENCIÓN Y FLET OXIGENO"/>
    <s v="SERVICIO DE CARGA DE OXIGENO MEDICINAL, ARRIENDO DE CILINDROS, MANTENCIÓN DE CILINDROS Y FLETE ENTREGA Y RETIRO DE CILINDROS"/>
    <s v="I MUNICIPALIDAD DE CARTAGENA"/>
    <m/>
    <m/>
    <x v="2"/>
    <x v="9"/>
    <d v="2023-01-03T17:43:48"/>
    <x v="4"/>
    <x v="2"/>
    <d v="2023-01-16T16:00:00"/>
    <d v="2023-01-06T00:00:00"/>
    <x v="0"/>
    <x v="7"/>
    <s v="No"/>
    <d v="2023-01-06T21:33:00"/>
    <d v="2023-01-09T16:00:00"/>
    <d v="2023-01-27T18:50:00"/>
    <n v="0"/>
    <n v="0"/>
    <m/>
    <s v="No"/>
    <m/>
    <s v=" "/>
    <s v="No"/>
    <m/>
    <m/>
    <m/>
    <m/>
    <d v="2023-01-16T16:00:00"/>
    <m/>
    <m/>
    <x v="0"/>
    <x v="6"/>
    <m/>
    <n v="44942.666666666664"/>
    <x v="3"/>
    <m/>
    <m/>
    <m/>
    <m/>
    <s v="69.073.600-4"/>
    <s v="No"/>
    <m/>
    <m/>
    <m/>
    <m/>
    <s v="LORETO SERRANO GARCIA"/>
    <s v="loretosg@live.com"/>
    <m/>
    <m/>
    <m/>
    <m/>
  </r>
  <r>
    <s v="4594-1-LE23"/>
    <s v="SUMINISTRO DE OXIGENOOTROS SERVICIOS Y MATERIALES"/>
    <s v="Necesidad de contar con suministro de oxígeno y otros servicios y materiales utilizados en distintas áreas de los Centros de Salud del DESAMU de Coihueco."/>
    <s v="I MUNICIPALIDAD DE COIHUECO"/>
    <m/>
    <m/>
    <x v="2"/>
    <x v="17"/>
    <d v="2023-01-05T16:37:52"/>
    <x v="4"/>
    <x v="2"/>
    <d v="2023-01-18T15:07:00"/>
    <d v="2023-01-06T00:00:00"/>
    <x v="0"/>
    <x v="7"/>
    <s v="No"/>
    <d v="2023-01-11T15:30:00"/>
    <d v="2023-01-12T19:56:00"/>
    <d v="2023-02-17T15:08:00"/>
    <n v="0"/>
    <n v="0"/>
    <m/>
    <s v="No"/>
    <m/>
    <s v=" "/>
    <s v="No"/>
    <m/>
    <m/>
    <m/>
    <m/>
    <d v="2023-01-18T15:07:00"/>
    <m/>
    <m/>
    <x v="0"/>
    <x v="6"/>
    <m/>
    <n v="44944.629861111112"/>
    <x v="3"/>
    <m/>
    <m/>
    <m/>
    <s v="Orden de Compra"/>
    <s v="69.141.102-8"/>
    <s v="No"/>
    <m/>
    <m/>
    <m/>
    <m/>
    <s v="RICHARD MUÑOZ CATALAN"/>
    <s v="rmunoz@desamucoihueco.cl"/>
    <m/>
    <m/>
    <m/>
    <m/>
  </r>
  <r>
    <s v="1057495-1-LE23"/>
    <s v="MANTENIMIENTO PREVENT Y CORRECT GASES MEDICINALES"/>
    <s v="El objetivo de la presente licitación es generar un convenio por el servicio de mantenimiento preventivo y reparativo de gases medicinales y mantención y adquisición de accesorios medicinales."/>
    <s v="HOSPITAL LUCIO CORDOVA"/>
    <m/>
    <m/>
    <x v="5"/>
    <x v="6"/>
    <d v="2023-01-06T14:24:58"/>
    <x v="4"/>
    <x v="2"/>
    <d v="2023-01-16T16:00:00"/>
    <d v="2023-01-06T00:00:00"/>
    <x v="0"/>
    <x v="10"/>
    <s v="No"/>
    <d v="2023-01-11T16:00:00"/>
    <d v="2023-01-12T17:00:00"/>
    <d v="2023-02-03T16:00:00"/>
    <n v="0"/>
    <n v="0"/>
    <m/>
    <s v="No"/>
    <m/>
    <s v=" "/>
    <s v="Si"/>
    <m/>
    <m/>
    <m/>
    <m/>
    <d v="2023-01-16T16:00:00"/>
    <m/>
    <m/>
    <x v="0"/>
    <x v="6"/>
    <m/>
    <n v="44942.666666666664"/>
    <x v="3"/>
    <m/>
    <m/>
    <m/>
    <s v="Contrato"/>
    <s v="61.608.104-7"/>
    <s v="Si"/>
    <n v="0.1"/>
    <d v="2025-03-03T00:00:00"/>
    <m/>
    <m/>
    <s v="Elena Olguín Vilches"/>
    <s v="elena.olguin@redsalud.gov.cl"/>
    <m/>
    <m/>
    <m/>
    <m/>
  </r>
  <r>
    <s v="3260-2-L123"/>
    <s v="Abastecimiento de Oxigeno medico"/>
    <s v="Abastecimiento de Oxigeno medico y Mantención técnica de cilindros”, lo anterior con el objetivo de abastecer a los establecimientos de salud de la comuna y contar con los cilindro en optimas condiciones para el traslado del producto. El departamento de salud cuenta con tubos y/o cilindros que son de su propiedad."/>
    <s v="I MUNICIPALIDAD DE RIO HURTADO"/>
    <m/>
    <m/>
    <x v="2"/>
    <x v="11"/>
    <d v="2023-01-06T14:09:48"/>
    <x v="4"/>
    <x v="2"/>
    <d v="2023-01-12T14:57:00"/>
    <d v="2023-01-06T00:00:00"/>
    <x v="0"/>
    <x v="2"/>
    <s v="No"/>
    <d v="2023-01-09T16:57:00"/>
    <d v="2023-01-10T16:57:00"/>
    <d v="2023-01-13T14:58:00"/>
    <n v="0"/>
    <n v="0"/>
    <m/>
    <s v="No"/>
    <m/>
    <s v=" "/>
    <s v="No"/>
    <m/>
    <m/>
    <m/>
    <m/>
    <d v="2023-01-12T14:57:00"/>
    <m/>
    <m/>
    <x v="0"/>
    <x v="6"/>
    <m/>
    <n v="44938.622916666667"/>
    <x v="3"/>
    <m/>
    <m/>
    <m/>
    <s v="Contrato"/>
    <s v="69.041.000-1"/>
    <s v="No"/>
    <m/>
    <m/>
    <m/>
    <m/>
    <s v="Patricio Aguilera Díaz"/>
    <s v="paguilera@riohurtado.cl"/>
    <m/>
    <m/>
    <m/>
    <m/>
  </r>
  <r>
    <s v="1067355-1-LE23"/>
    <s v="Convenio Suministro Oxigeno"/>
    <s v="Suministrar oxigeno clinico al Hospital"/>
    <s v="HOSPITAL SANTA ELISA DE SAN JOSE DE LA MARIQUINA"/>
    <m/>
    <m/>
    <x v="2"/>
    <x v="3"/>
    <d v="2023-01-06T12:12:28"/>
    <x v="4"/>
    <x v="2"/>
    <d v="2023-01-16T15:01:00"/>
    <d v="2023-01-09T00:00:00"/>
    <x v="0"/>
    <x v="0"/>
    <s v="No"/>
    <d v="2023-01-11T15:31:00"/>
    <d v="2023-01-13T15:31:00"/>
    <d v="2023-02-17T15:07:00"/>
    <n v="0"/>
    <n v="0"/>
    <m/>
    <s v="No"/>
    <m/>
    <s v=" "/>
    <s v="Si"/>
    <m/>
    <m/>
    <m/>
    <m/>
    <d v="2023-01-16T15:01:00"/>
    <m/>
    <m/>
    <x v="0"/>
    <x v="6"/>
    <m/>
    <n v="44942.625694444447"/>
    <x v="3"/>
    <m/>
    <m/>
    <m/>
    <s v="Contrato"/>
    <s v="61.980.670-0"/>
    <s v="No"/>
    <m/>
    <m/>
    <m/>
    <m/>
    <s v="Michael Zieballe"/>
    <s v="michael.zieballe@redsalud.gov.cl"/>
    <m/>
    <m/>
    <m/>
    <m/>
  </r>
  <r>
    <s v="2296-4-LE23"/>
    <s v="ADQUISICIÓN DE IMPLEMENTOS PARA PROCEDIMIENTOS VETERINARIOS"/>
    <s v="ADQUISICIÓN DE IMPLEMENTOS PARA PROCEDIMIENTOS VETERINARIOS, SEGÚN BASES"/>
    <s v="I MUNICIPALIDAD DE CONCHALI"/>
    <m/>
    <m/>
    <x v="0"/>
    <x v="0"/>
    <d v="2023-01-11T17:09:49"/>
    <x v="4"/>
    <x v="2"/>
    <d v="2023-01-23T17:32:00"/>
    <d v="2023-01-12T00:00:00"/>
    <x v="1"/>
    <x v="1"/>
    <s v="Si"/>
    <d v="2023-01-14T20:53:00"/>
    <d v="2023-01-17T20:53:00"/>
    <d v="2023-02-03T17:33:00"/>
    <n v="0"/>
    <n v="0"/>
    <m/>
    <s v="No"/>
    <m/>
    <s v=" "/>
    <s v="No"/>
    <m/>
    <m/>
    <s v="No"/>
    <m/>
    <d v="2023-01-23T17:32:00"/>
    <m/>
    <m/>
    <x v="0"/>
    <x v="3"/>
    <m/>
    <n v="44949.730555555558"/>
    <x v="3"/>
    <m/>
    <m/>
    <m/>
    <s v="Orden de Compra"/>
    <s v="69.070.200-2"/>
    <s v="No"/>
    <m/>
    <m/>
    <m/>
    <m/>
    <s v="CLAUDIA GUERRERO"/>
    <s v="pagoproveedores@conchali.cl"/>
    <m/>
    <m/>
    <m/>
    <m/>
  </r>
  <r>
    <s v="3019-1-LE23"/>
    <s v="RECARGA DE OXIGENO"/>
    <s v="SE REQUIERE DISPONER DE OXIGENO PERMANENTE EN DEPENDENCIAS DE CESFAM-SAR DR. JUAN CARTES Y AMBULANCIAS, PARA PODER ACTUAR OPORTUNAMENTE Y PROPORCIONAR OXIGENO A AQUELLOS USUARIOS QUE DESARROLLAN UN CUADRO RESPIRATORIO OBSTRUCTIVO AGUDO DENTRO DEL ESTBLECIMIENTO DE SALUD O MIENTRAS ES TRASLADADO A OTRO ESTABLECIMIENTO HOSPITALARIO Y QUE REQUIEREN DE OXIGENO DE APOYO HASTA LOGRAR SU MEJOR CLINICA."/>
    <s v="I.MUNICIPALIDAD DE LOTA "/>
    <m/>
    <m/>
    <x v="2"/>
    <x v="17"/>
    <d v="2023-01-10T16:36:00"/>
    <x v="4"/>
    <x v="2"/>
    <d v="2023-01-16T15:22:00"/>
    <d v="2023-01-12T00:00:00"/>
    <x v="0"/>
    <x v="0"/>
    <s v="No"/>
    <d v="2023-01-12T14:11:00"/>
    <d v="2023-01-13T16:11:00"/>
    <d v="2023-01-16T15:30:00"/>
    <n v="0"/>
    <n v="0"/>
    <m/>
    <s v="No"/>
    <m/>
    <s v=" "/>
    <s v="No"/>
    <m/>
    <m/>
    <m/>
    <m/>
    <d v="2023-01-16T15:22:00"/>
    <m/>
    <m/>
    <x v="0"/>
    <x v="6"/>
    <m/>
    <n v="44942.640277777777"/>
    <x v="3"/>
    <m/>
    <m/>
    <m/>
    <s v="Orden de Compra"/>
    <s v="69.259.900-4"/>
    <s v="No"/>
    <m/>
    <m/>
    <m/>
    <m/>
    <s v="YENNY SANCHEZ SALINAS"/>
    <s v="YENNY.SANCHEZ@DASLOTA.CL"/>
    <m/>
    <m/>
    <m/>
    <m/>
  </r>
  <r>
    <s v="1952-10-L123"/>
    <s v="MANTENCION PREVENTIVA Y CORRECTIVA CONCENTRADORES DE OXIGENO, DEL HOSPITAL DE VILLARRICA"/>
    <m/>
    <s v="Hospital Villarrica"/>
    <m/>
    <m/>
    <x v="0"/>
    <x v="0"/>
    <d v="2023-01-13T17:36:49"/>
    <x v="4"/>
    <x v="2"/>
    <d v="2023-01-19T15:00:00"/>
    <d v="2023-01-13T00:00:00"/>
    <x v="0"/>
    <x v="4"/>
    <s v="No"/>
    <d v="2023-01-16T17:00:00"/>
    <d v="2023-01-17T17:00:00"/>
    <d v="2023-02-18T18:40:00"/>
    <n v="0"/>
    <n v="0"/>
    <m/>
    <s v="No"/>
    <m/>
    <m/>
    <s v="No"/>
    <m/>
    <m/>
    <m/>
    <m/>
    <d v="2023-01-19T15:00:00"/>
    <m/>
    <m/>
    <x v="0"/>
    <x v="6"/>
    <m/>
    <n v="44945.625"/>
    <x v="3"/>
    <m/>
    <m/>
    <m/>
    <s v="Orden de Compra"/>
    <s v="61.602.248-2"/>
    <s v="No"/>
    <m/>
    <m/>
    <m/>
    <m/>
    <m/>
    <m/>
    <m/>
    <m/>
    <m/>
    <m/>
  </r>
  <r>
    <s v="1057439-119-LE22"/>
    <s v="Adquisición de flujómetros y tomas murales HLS"/>
    <s v="Se solicita adquisición de tomas de aire medicinal, vacío y oxigeno de conexión Diamond y flujometros de aire medicinal y oxigeno de 15 LPM conexión Diamond para contar con stock y poder realizar reposición de elementos para el Hospital de La Serena."/>
    <s v="HOSPITAL LA SERENA"/>
    <m/>
    <m/>
    <x v="2"/>
    <x v="6"/>
    <d v="2023-01-09T10:44:24"/>
    <x v="4"/>
    <x v="2"/>
    <d v="2023-01-19T17:00:00"/>
    <d v="2023-01-16T00:00:00"/>
    <x v="0"/>
    <x v="2"/>
    <s v="No"/>
    <d v="2023-01-14T17:00:00"/>
    <d v="2023-01-16T20:00:00"/>
    <d v="2023-03-20T17:00:00"/>
    <n v="0"/>
    <n v="0"/>
    <m/>
    <s v="No"/>
    <m/>
    <s v=" "/>
    <s v="No"/>
    <m/>
    <m/>
    <m/>
    <m/>
    <d v="2023-01-19T17:00:00"/>
    <m/>
    <m/>
    <x v="0"/>
    <x v="6"/>
    <m/>
    <n v="44945.708333333336"/>
    <x v="3"/>
    <m/>
    <m/>
    <m/>
    <s v="Orden de Compra"/>
    <s v="61.606.402-9"/>
    <s v="No"/>
    <m/>
    <m/>
    <m/>
    <m/>
    <s v="Alejandra Ramirez Flores"/>
    <s v="Alejandral.ramirez@redsalud.gov.cl"/>
    <m/>
    <m/>
    <m/>
    <m/>
  </r>
  <r>
    <s v="4324-3-L123"/>
    <s v="SUMINISTRO DE RECARGA ARRIENDO Y TRASLADO DE OXIGENO MEDICINAL"/>
    <s v="SUMINISTRO DE RECARGA, ARRIENDO Y TRASLADO DE OXIGENO MEDICINAL"/>
    <s v="I MUNICIPALIDAD DE PERQUENCO"/>
    <m/>
    <m/>
    <x v="2"/>
    <x v="3"/>
    <d v="2023-01-12T12:12:30"/>
    <x v="4"/>
    <x v="2"/>
    <d v="2023-01-18T16:00:00"/>
    <d v="2023-01-16T00:00:00"/>
    <x v="0"/>
    <x v="6"/>
    <s v="No"/>
    <d v="2023-01-16T15:24:00"/>
    <d v="2023-01-17T15:25:00"/>
    <d v="2023-01-19T13:25:00"/>
    <n v="0"/>
    <n v="0"/>
    <m/>
    <s v="No"/>
    <m/>
    <s v=" "/>
    <s v="No"/>
    <m/>
    <m/>
    <m/>
    <m/>
    <d v="2023-01-18T16:00:00"/>
    <m/>
    <m/>
    <x v="0"/>
    <x v="6"/>
    <m/>
    <n v="44944.666666666664"/>
    <x v="3"/>
    <m/>
    <m/>
    <m/>
    <s v="Orden de Compra"/>
    <s v="69.190.300-1"/>
    <s v="No"/>
    <m/>
    <m/>
    <m/>
    <m/>
    <s v="CAROLINA ALARCON"/>
    <s v="calarcon@dsmperquenco.cl"/>
    <m/>
    <m/>
    <m/>
    <m/>
  </r>
  <r>
    <s v="2320-2-LE23"/>
    <s v="CONTRATACIÓN CONVENIO SUMINISTRO SERVICIO DE OXIGE"/>
    <s v="CONTRATACIÓN CONVENIO SUMINISTRO SERVICIO DE OXIGENO MEDICINAL, CON ARRIENDO DE CILINDRO Y SOLO LLENADO, PARA TODOS LOS CENTROS DE SALUD DE LA DIRECCIÓN COMUNAL DE SALUD DE SAN JAVIER."/>
    <s v="I MUNICIPALIDAD DE SAN JAVIER"/>
    <m/>
    <m/>
    <x v="2"/>
    <x v="2"/>
    <d v="2023-01-12T15:27:56"/>
    <x v="4"/>
    <x v="2"/>
    <d v="2023-01-19T15:00:00"/>
    <d v="2023-01-16T00:00:00"/>
    <x v="0"/>
    <x v="7"/>
    <s v="No"/>
    <d v="2023-01-16T17:30:00"/>
    <d v="2023-01-17T17:30:00"/>
    <d v="2023-02-28T17:30:00"/>
    <n v="0"/>
    <n v="0"/>
    <m/>
    <s v="No"/>
    <m/>
    <s v=" "/>
    <s v="No"/>
    <m/>
    <m/>
    <m/>
    <m/>
    <d v="2023-01-19T15:00:00"/>
    <m/>
    <m/>
    <x v="0"/>
    <x v="6"/>
    <m/>
    <n v="44945.625"/>
    <x v="3"/>
    <m/>
    <m/>
    <m/>
    <s v="Contrato"/>
    <s v="69.130.100-1"/>
    <s v="No"/>
    <m/>
    <m/>
    <m/>
    <m/>
    <s v="CECILIA RAMIREZ HERNANDEZ"/>
    <s v="CECILIA.RAMIREZ@SALUDSANJAVIER.CL"/>
    <m/>
    <m/>
    <m/>
    <m/>
  </r>
  <r>
    <s v="1464-1-LE23"/>
    <s v="Gases Medicinales 2023"/>
    <s v="Contrato suministro Gases Medicinales con Cilindros en diferentes medidas con entrega dos veces por semana y pedidos extras si fuera necesario para el Hospital de Parral."/>
    <s v="HOSPITAL DE PARRAL"/>
    <m/>
    <m/>
    <x v="2"/>
    <x v="2"/>
    <d v="2023-01-05T15:50:09"/>
    <x v="4"/>
    <x v="2"/>
    <d v="2023-01-16T15:09:00"/>
    <d v="2023-01-16T00:00:00"/>
    <x v="0"/>
    <x v="7"/>
    <s v="No"/>
    <d v="2023-01-11T19:44:00"/>
    <d v="2023-01-13T19:44:00"/>
    <d v="2023-01-24T16:21:00"/>
    <n v="0"/>
    <n v="0"/>
    <m/>
    <s v="No"/>
    <m/>
    <s v=" "/>
    <s v="No"/>
    <m/>
    <m/>
    <m/>
    <m/>
    <d v="2023-01-16T15:09:00"/>
    <m/>
    <m/>
    <x v="0"/>
    <x v="6"/>
    <m/>
    <n v="44942.631249999999"/>
    <x v="3"/>
    <m/>
    <m/>
    <m/>
    <s v="Contrato"/>
    <s v="61.606.918-7"/>
    <s v="Si"/>
    <n v="0.05"/>
    <d v="2025-01-31T00:00:00"/>
    <m/>
    <m/>
    <s v="Marcelo Benavides Contreras"/>
    <s v="mbenavides@hospitaldeparral.cl"/>
    <m/>
    <m/>
    <m/>
    <m/>
  </r>
  <r>
    <s v="2189-2-LE23"/>
    <s v="Adq. EquipoEquipamiento Rehabilitación Cesfam Sagrada Familia"/>
    <s v="Adq. Equipo/Equipamiento Rehabilitación Cesfam Sagrada Familia"/>
    <s v="SERVICIO DE SALUD DEL MAULE"/>
    <m/>
    <m/>
    <x v="0"/>
    <x v="0"/>
    <d v="2023-01-12T12:14:08"/>
    <x v="4"/>
    <x v="2"/>
    <d v="2023-01-27T12:00:00"/>
    <d v="2023-01-16T00:00:00"/>
    <x v="0"/>
    <x v="0"/>
    <s v="No"/>
    <d v="2023-01-17T12:00:00"/>
    <d v="2023-01-19T18:00:00"/>
    <d v="2023-03-31T17:34:00"/>
    <n v="0"/>
    <n v="0"/>
    <m/>
    <s v="No"/>
    <m/>
    <s v=" "/>
    <s v="No"/>
    <m/>
    <m/>
    <m/>
    <m/>
    <d v="2023-01-27T12:00:00"/>
    <m/>
    <m/>
    <x v="0"/>
    <x v="6"/>
    <m/>
    <n v="44953.5"/>
    <x v="3"/>
    <m/>
    <m/>
    <m/>
    <s v="Orden de Compra"/>
    <s v="61.606.900-4"/>
    <s v="Si"/>
    <n v="0.1"/>
    <d v="2023-08-28T00:00:00"/>
    <m/>
    <m/>
    <s v="Unidad de Tesorería"/>
    <s v="proveedores@ssmaule.cl"/>
    <m/>
    <m/>
    <m/>
    <m/>
  </r>
  <r>
    <s v="1242134-1-LQ23"/>
    <s v="CONVENIO DE SUMINISTRO OXÍGENO MEDICINAL Y GASES CLÍNICOS"/>
    <s v="Conforme a la Ley de Compras Públicas, su Reglamento y modificaciones, el Hospital Provincial de Ovalle llama a licitación pública a empresas o proveedores del rubro, personas naturales o jurídicas, chilenas o extranjeras, así como a Uniones Temporales de Proveedores, para celebrar un Convenio de Suministro de Oxígeno Medicinal y Gases Clínicos, por un periodo de 24 (veinticuatro) meses o hasta agotar el presupuesto referencial, para un oportuno y adecuado suministro de estos productos y así garantizar el correcto funcionamiento del Establecimiento."/>
    <s v="Hospital de Ovalle"/>
    <m/>
    <m/>
    <x v="2"/>
    <x v="11"/>
    <d v="2023-01-18T13:38:46"/>
    <x v="4"/>
    <x v="2"/>
    <d v="2023-02-07T15:25:00"/>
    <d v="2023-01-20T00:00:00"/>
    <x v="0"/>
    <x v="7"/>
    <s v="No"/>
    <d v="2023-01-23T15:30:00"/>
    <d v="2023-01-30T16:50:00"/>
    <d v="2023-03-20T16:50:00"/>
    <n v="0"/>
    <n v="0"/>
    <m/>
    <s v="Si"/>
    <n v="250000"/>
    <d v="2023-08-07T00:00:00"/>
    <s v="No"/>
    <m/>
    <m/>
    <m/>
    <m/>
    <d v="2023-02-07T15:25:00"/>
    <m/>
    <m/>
    <x v="0"/>
    <x v="6"/>
    <m/>
    <n v="44964.642361111109"/>
    <x v="3"/>
    <m/>
    <m/>
    <m/>
    <s v="Contrato"/>
    <s v="61.606.404-5"/>
    <s v="Si"/>
    <n v="0.1"/>
    <d v="2025-06-20T00:00:00"/>
    <m/>
    <m/>
    <s v="Rocío Ávalos Laflor"/>
    <s v="rocio.avalos@redsalud.gov.cl"/>
    <m/>
    <m/>
    <m/>
    <m/>
  </r>
  <r>
    <s v="1260057-2-LE23"/>
    <s v="COMPRA INSUMOS MEDICOS FEBRERO 2023"/>
    <s v="ESTA LICITACION TIENE POR OBJETO LA COMPRA DE INSUMOS MEDICOS PARA EL HOSPITAL DE PEÑAFLOR, PERIODO FEBRERO 2023"/>
    <s v="Hospital de Peñaflor"/>
    <m/>
    <m/>
    <x v="0"/>
    <x v="0"/>
    <d v="2023-01-18T12:22:57"/>
    <x v="4"/>
    <x v="2"/>
    <d v="2023-01-25T12:00:00"/>
    <d v="2023-01-20T00:00:00"/>
    <x v="0"/>
    <x v="0"/>
    <s v="No"/>
    <d v="2023-01-20T12:00:00"/>
    <d v="2023-01-23T12:00:00"/>
    <d v="2023-02-08T17:00:00"/>
    <n v="0"/>
    <n v="0"/>
    <n v="30"/>
    <s v="No"/>
    <m/>
    <s v=" "/>
    <s v="No"/>
    <s v="Spot"/>
    <m/>
    <s v="No"/>
    <m/>
    <d v="2023-01-25T12:00:00"/>
    <n v="10"/>
    <m/>
    <x v="0"/>
    <x v="6"/>
    <m/>
    <n v="44951.5"/>
    <x v="3"/>
    <m/>
    <m/>
    <m/>
    <s v="Orden de Compra"/>
    <s v="61.602.121-4"/>
    <s v="No"/>
    <m/>
    <m/>
    <m/>
    <m/>
    <s v="VIVIANA ARAYA MIRA"/>
    <s v="VIVIANA.ARAYA@REDSALUD.GOV.CL"/>
    <m/>
    <m/>
    <m/>
    <m/>
  </r>
  <r>
    <s v="1624-1-L123"/>
    <s v="CONVENIO SUMINISTRO OXIGENO MÉDICO"/>
    <m/>
    <s v="HOSPITAL DE NANCAGUA"/>
    <m/>
    <m/>
    <x v="2"/>
    <x v="2"/>
    <d v="2023-01-17T11:24:00"/>
    <x v="4"/>
    <x v="2"/>
    <d v="2023-01-26T15:00:00"/>
    <m/>
    <x v="0"/>
    <x v="7"/>
    <s v="No"/>
    <d v="2023-01-17T11:24:00"/>
    <d v="2023-01-23T14:14:00"/>
    <d v="2023-02-10T14:14:00"/>
    <n v="0"/>
    <n v="0"/>
    <m/>
    <s v="No"/>
    <m/>
    <s v=" "/>
    <s v="No"/>
    <m/>
    <m/>
    <m/>
    <m/>
    <d v="2023-01-26T15:00:00"/>
    <m/>
    <m/>
    <x v="0"/>
    <x v="6"/>
    <m/>
    <n v="44952.625"/>
    <x v="3"/>
    <m/>
    <m/>
    <m/>
    <s v="Orden de Compra"/>
    <m/>
    <s v="No"/>
    <m/>
    <m/>
    <m/>
    <m/>
    <m/>
    <m/>
    <m/>
    <m/>
    <m/>
    <m/>
  </r>
  <r>
    <s v="1057554-175-LR22"/>
    <s v="CONTRATO DE SUMINISTRO DE OXÍGENO CRIOGÉNICO Y EL ARRENDAMIENTO DE ESTANQUE PARA EL HOSPITAL CARLOS VAN BUREN"/>
    <s v="La necesidad del Hospital Carlos Van Buren de llamar a Licitación Pública a través del portal Mercado Público, para contratar el convenio de suministro de oxígeno criogénico y el arrendamiento de estanque para el Hospital Carlos Van Buren, por un período de 36 meses corridos."/>
    <s v="SERVICIO NACIONAL DE SALUD HOSPITAL CARLOS VAN BUREN"/>
    <m/>
    <m/>
    <x v="2"/>
    <x v="9"/>
    <d v="2023-01-19T00:00:00"/>
    <x v="4"/>
    <x v="2"/>
    <d v="2023-02-20T00:00:00"/>
    <d v="2023-01-23T00:00:00"/>
    <x v="0"/>
    <x v="3"/>
    <s v="No"/>
    <m/>
    <m/>
    <m/>
    <n v="0"/>
    <n v="0"/>
    <m/>
    <m/>
    <m/>
    <s v=" "/>
    <m/>
    <m/>
    <m/>
    <m/>
    <m/>
    <d v="2023-02-20T00:00:00"/>
    <m/>
    <m/>
    <x v="0"/>
    <x v="4"/>
    <m/>
    <n v="44977"/>
    <x v="3"/>
    <m/>
    <m/>
    <m/>
    <m/>
    <m/>
    <m/>
    <m/>
    <m/>
    <m/>
    <m/>
    <m/>
    <m/>
    <m/>
    <m/>
    <m/>
    <m/>
  </r>
  <r>
    <s v="4401-10-LE23"/>
    <s v="SC 7 Suministro de oxigeno "/>
    <s v="Contar con convenio de suministro de oxigeno para los distintos centros dependientes del departamento de salud de la Municipalidad de San Clemente."/>
    <s v="I MUNICIPALIDAD DE SAN CLEMENTE"/>
    <m/>
    <m/>
    <x v="2"/>
    <x v="2"/>
    <d v="2023-01-20T00:00:00"/>
    <x v="4"/>
    <x v="2"/>
    <d v="2023-02-01T00:00:00"/>
    <d v="2023-01-23T00:00:00"/>
    <x v="0"/>
    <x v="7"/>
    <s v="No"/>
    <m/>
    <m/>
    <m/>
    <n v="0"/>
    <n v="0"/>
    <m/>
    <m/>
    <m/>
    <s v=" "/>
    <m/>
    <m/>
    <m/>
    <m/>
    <m/>
    <d v="2023-02-01T00:00:00"/>
    <m/>
    <m/>
    <x v="0"/>
    <x v="4"/>
    <m/>
    <n v="44958"/>
    <x v="3"/>
    <m/>
    <m/>
    <m/>
    <m/>
    <m/>
    <m/>
    <m/>
    <m/>
    <m/>
    <m/>
    <m/>
    <m/>
    <m/>
    <m/>
    <m/>
    <m/>
  </r>
  <r>
    <s v="2098-7-LE23"/>
    <s v="ADQUISICIÓN DE INSUMOS CLINICOS PARA SERVICIO DE URGENCIA"/>
    <s v="HOSPITAL CURANILAHUE REQUIERE AL COMPRA DE INSUMOS CLINICOS PARA SERVICIO DE PEDIATRIA Y URGENCIA DE NUESTRO ESTABLECIMIENTO."/>
    <s v="SERVICIO NACIONAL DE SALUD HOSPITAL DE C"/>
    <m/>
    <m/>
    <x v="0"/>
    <x v="0"/>
    <d v="2023-01-20T00:00:00"/>
    <x v="4"/>
    <x v="2"/>
    <d v="2023-01-31T00:00:00"/>
    <d v="2023-01-23T00:00:00"/>
    <x v="0"/>
    <x v="0"/>
    <s v="No"/>
    <d v="2023-01-23T17:00:00"/>
    <d v="2023-01-24T17:00:00"/>
    <d v="2023-03-30T14:28:00"/>
    <n v="0"/>
    <n v="0"/>
    <m/>
    <s v="No"/>
    <m/>
    <s v=" "/>
    <m/>
    <m/>
    <m/>
    <m/>
    <m/>
    <d v="2023-01-31T00:00:00"/>
    <m/>
    <m/>
    <x v="0"/>
    <x v="4"/>
    <m/>
    <n v="44957"/>
    <x v="3"/>
    <m/>
    <m/>
    <m/>
    <m/>
    <m/>
    <m/>
    <m/>
    <m/>
    <m/>
    <m/>
    <m/>
    <m/>
    <m/>
    <m/>
    <m/>
    <m/>
  </r>
  <r>
    <s v="1979-10-LP23"/>
    <s v="12.23 “SUMINISTRO DE OXIGENO LIQUIDO MEDICINAL PARA NODO COSTERO HOSPITAL NUEVA IMPERIAL”."/>
    <s v="Se requiere contar con suministro de oxígeno líquido que incluya el oxígeno gaseoso para el respaldo de la red.   En este caso, los cilindros no tendrán costo de arrendamiento."/>
    <s v="SERVICIO DE SALUD ARAUCANIA SUR HOSPITAL DE NUEVA IMPERIAL"/>
    <m/>
    <m/>
    <x v="2"/>
    <x v="3"/>
    <d v="2023-01-23T17:08:48"/>
    <x v="4"/>
    <x v="2"/>
    <d v="2023-02-03T15:00:00"/>
    <d v="2023-01-24T00:00:00"/>
    <x v="0"/>
    <x v="8"/>
    <s v="No"/>
    <m/>
    <m/>
    <m/>
    <n v="0"/>
    <n v="0"/>
    <m/>
    <m/>
    <m/>
    <s v=" "/>
    <s v="Si"/>
    <m/>
    <m/>
    <m/>
    <m/>
    <d v="2023-02-03T15:00:00"/>
    <m/>
    <m/>
    <x v="0"/>
    <x v="4"/>
    <m/>
    <n v="44960.625"/>
    <x v="3"/>
    <m/>
    <m/>
    <m/>
    <m/>
    <m/>
    <m/>
    <m/>
    <m/>
    <m/>
    <m/>
    <m/>
    <m/>
    <m/>
    <m/>
    <m/>
    <m/>
  </r>
  <r>
    <s v="1077195-1-L123"/>
    <s v="Suministro helio estación CLX 19 Rapa Nui"/>
    <s v="Suministro de gas helio para la estación CLX19 ubicada en Rapa Nui, Isla de Pascua. Esta estación utiliza el aire atmosférico para realizar mediciones de radionucleidos atrapados en los filtros y realizan una lectura de ellos. El equipo (SAUNA) que realiza esta función posee una tecnología que funciona en base al gas helio."/>
    <s v="Comisión Chilena de Energía Nuclear"/>
    <m/>
    <m/>
    <x v="7"/>
    <x v="1"/>
    <d v="2023-01-23T12:11:24"/>
    <x v="4"/>
    <x v="2"/>
    <d v="2023-01-30T15:00:00"/>
    <d v="2023-01-24T00:00:00"/>
    <x v="0"/>
    <x v="7"/>
    <s v="No"/>
    <m/>
    <m/>
    <m/>
    <n v="0"/>
    <n v="0"/>
    <m/>
    <m/>
    <m/>
    <s v=" "/>
    <m/>
    <m/>
    <m/>
    <m/>
    <m/>
    <d v="2023-01-30T15:00:00"/>
    <m/>
    <m/>
    <x v="0"/>
    <x v="4"/>
    <m/>
    <n v="44956.625"/>
    <x v="3"/>
    <m/>
    <m/>
    <m/>
    <m/>
    <m/>
    <m/>
    <m/>
    <m/>
    <m/>
    <m/>
    <m/>
    <m/>
    <m/>
    <m/>
    <m/>
    <m/>
  </r>
  <r>
    <s v="1075963-317-LQ22"/>
    <s v="SUMINISTRO DE GASES CLÍNICOS MEDICINALES PARA HOSPITAL DE ARICA"/>
    <s v="SUMINISTRO DE GASES CLÍNICOS MEDICINALES PARA HOSPITAL DE ARICA, POR 36 MESES"/>
    <s v="SERVICIO DE SALUD ARICA HOSP DR JUAN NOE CREVANI"/>
    <m/>
    <m/>
    <x v="2"/>
    <x v="15"/>
    <d v="2023-01-23T15:25:51"/>
    <x v="4"/>
    <x v="2"/>
    <d v="2023-02-13T15:30:00"/>
    <d v="2023-01-24T00:00:00"/>
    <x v="1"/>
    <x v="1"/>
    <s v="Si"/>
    <m/>
    <m/>
    <m/>
    <n v="0"/>
    <n v="0"/>
    <m/>
    <s v="Si"/>
    <m/>
    <s v=" "/>
    <s v="No"/>
    <m/>
    <m/>
    <s v="No"/>
    <m/>
    <d v="2023-02-13T15:30:00"/>
    <m/>
    <m/>
    <x v="0"/>
    <x v="2"/>
    <m/>
    <d v="2023-02-13T15:30:00"/>
    <x v="3"/>
    <m/>
    <m/>
    <m/>
    <m/>
    <m/>
    <m/>
    <m/>
    <m/>
    <m/>
    <m/>
    <m/>
    <m/>
    <m/>
    <m/>
    <m/>
    <m/>
  </r>
  <r>
    <s v="1057496-5-LE23"/>
    <s v="Adquisición insumos médicos para el Hospital San L"/>
    <s v="Adquisición insumos médicos para el Hospital San L"/>
    <s v="SERVICIO DE SALUD SUR HOSPITAL SAN LUIS"/>
    <m/>
    <m/>
    <x v="4"/>
    <x v="6"/>
    <d v="2023-01-23T14:45:55"/>
    <x v="4"/>
    <x v="2"/>
    <d v="2023-02-02T15:00:00"/>
    <d v="2023-01-24T00:00:00"/>
    <x v="0"/>
    <x v="2"/>
    <s v="No"/>
    <m/>
    <m/>
    <m/>
    <n v="0"/>
    <n v="0"/>
    <m/>
    <m/>
    <m/>
    <s v=" "/>
    <m/>
    <m/>
    <m/>
    <m/>
    <m/>
    <d v="2023-02-02T15:00:00"/>
    <m/>
    <m/>
    <x v="0"/>
    <x v="4"/>
    <m/>
    <n v="44959.625"/>
    <x v="3"/>
    <m/>
    <m/>
    <m/>
    <m/>
    <m/>
    <m/>
    <m/>
    <m/>
    <m/>
    <m/>
    <m/>
    <m/>
    <m/>
    <m/>
    <m/>
    <m/>
  </r>
  <r>
    <s v="4089-1-LE23"/>
    <s v="SUMINISTRO OXÍGENO MÉDICO 2023-2024 LONGAVI"/>
    <s v="El Departamento de Salud de Longaví, con el fin de contar con suministro servicio de recarga y arriendo de tubos de oxígeno médico, efectúa el presente llamado a licitación a través del portal www.mercadopublico.cl."/>
    <s v="I MUNICIPALIDAD DE LONGAVI"/>
    <m/>
    <m/>
    <x v="2"/>
    <x v="3"/>
    <d v="2023-01-23T11:31:56"/>
    <x v="4"/>
    <x v="2"/>
    <d v="2023-02-02T16:00:00"/>
    <d v="2023-01-24T00:00:00"/>
    <x v="0"/>
    <x v="2"/>
    <s v="No"/>
    <m/>
    <m/>
    <m/>
    <n v="0"/>
    <n v="0"/>
    <m/>
    <m/>
    <m/>
    <s v=" "/>
    <m/>
    <m/>
    <m/>
    <m/>
    <m/>
    <d v="2023-02-02T16:00:00"/>
    <m/>
    <m/>
    <x v="0"/>
    <x v="4"/>
    <m/>
    <n v="44959.666666666664"/>
    <x v="3"/>
    <m/>
    <m/>
    <m/>
    <m/>
    <m/>
    <m/>
    <m/>
    <m/>
    <m/>
    <m/>
    <m/>
    <m/>
    <m/>
    <m/>
    <m/>
    <m/>
  </r>
  <r>
    <s v="4999-2-LE23"/>
    <s v="OXIGENO GASEOSO MEDICINAL"/>
    <s v="El Departamento de Salud de la Municipalidad de San Pedro de Atacama, hace un llamado a propuesta pública para la gestionar la adquisición de oxígeno gaseoso medicinal para los usuarios de los servicios médicos de los establecimientos de salud de la comuna de San Pedro de Atacama.  De tal manera, las presentes bases de licitación regularan este proceso, cuyos oferentes deben cumplir los requisitos de estas Bases."/>
    <s v="I MUNICIPALIDAD DE SAN PEDRO DE ATACAMA"/>
    <m/>
    <m/>
    <x v="2"/>
    <x v="14"/>
    <d v="2023-01-24T00:00:00"/>
    <x v="4"/>
    <x v="2"/>
    <d v="2023-02-02T00:00:00"/>
    <d v="2023-01-25T00:00:00"/>
    <x v="0"/>
    <x v="2"/>
    <s v="No"/>
    <m/>
    <m/>
    <m/>
    <n v="0"/>
    <n v="0"/>
    <m/>
    <m/>
    <m/>
    <s v=" "/>
    <m/>
    <m/>
    <m/>
    <m/>
    <m/>
    <d v="2023-02-02T00:00:00"/>
    <m/>
    <m/>
    <x v="0"/>
    <x v="4"/>
    <m/>
    <n v="44959"/>
    <x v="3"/>
    <m/>
    <m/>
    <m/>
    <m/>
    <m/>
    <m/>
    <m/>
    <m/>
    <m/>
    <m/>
    <m/>
    <m/>
    <m/>
    <m/>
    <m/>
    <m/>
  </r>
  <r>
    <s v="1175-3-LR23"/>
    <s v="06.23 VENTILADORES MECÁNICOS HOSPITAL VILLARRICA"/>
    <s v="Se requiere la ADQUISICIÓN VENTILADORES MECÁNICOS NORMALIZACIÓN HOSPITAL DE VILLARRICA, nueva y sin uso. Las características técnicas, se detallan en el ANEXO N.º 4 de las presentes Bases. Debe cumplir con todas las características marcadas como obligatorias para que la oferta sea admisible."/>
    <s v="SERVICIO DE SALUD ARAUCANIA SUR"/>
    <m/>
    <m/>
    <x v="0"/>
    <x v="0"/>
    <d v="2023-01-24T10:32:28"/>
    <x v="4"/>
    <x v="2"/>
    <d v="2023-02-27T15:30:00"/>
    <d v="2023-01-25T00:00:00"/>
    <x v="0"/>
    <x v="4"/>
    <s v="No"/>
    <d v="2023-02-01T10:00:00"/>
    <d v="2023-02-06T17:45:00"/>
    <d v="2023-05-29T17:00:00"/>
    <n v="310000000"/>
    <n v="260504201.68067229"/>
    <m/>
    <s v="Si"/>
    <n v="200000"/>
    <d v="2023-05-30T00:00:00"/>
    <s v="No"/>
    <s v="Spot"/>
    <m/>
    <s v="No"/>
    <m/>
    <d v="2023-02-27T15:30:00"/>
    <m/>
    <m/>
    <x v="0"/>
    <x v="4"/>
    <m/>
    <n v="44984.645833333336"/>
    <x v="3"/>
    <m/>
    <m/>
    <m/>
    <m/>
    <m/>
    <m/>
    <m/>
    <m/>
    <m/>
    <m/>
    <m/>
    <m/>
    <m/>
    <m/>
    <m/>
    <m/>
  </r>
  <r>
    <s v="1499-11-LE23"/>
    <s v="Máscaras y circuitos para ventilación no invasiva"/>
    <s v="El Instituto Nacional del Tórax necesita contar para su gestión de máscaras y circuitos para ventilación no invasiva en forma permanente, con el objeto de poder cumplir y satisfacer debidamente la demanda asistencial que legalmente le ha sido encomendada."/>
    <s v="INSTITUTO NACIONAL DEL TORAX"/>
    <m/>
    <m/>
    <x v="0"/>
    <x v="0"/>
    <d v="2023-01-24T15:59:38"/>
    <x v="4"/>
    <x v="2"/>
    <d v="2023-02-03T19:00:00"/>
    <d v="2023-01-25T00:00:00"/>
    <x v="0"/>
    <x v="0"/>
    <s v="No"/>
    <d v="2023-01-29T10:29:00"/>
    <d v="2023-01-31T17:00:00"/>
    <d v="2023-02-27T17:00:00"/>
    <n v="0"/>
    <n v="0"/>
    <m/>
    <m/>
    <m/>
    <s v=" "/>
    <m/>
    <s v="Contrato"/>
    <n v="24"/>
    <m/>
    <m/>
    <d v="2023-02-03T19:00:00"/>
    <n v="24"/>
    <n v="82117"/>
    <x v="45"/>
    <x v="4"/>
    <m/>
    <n v="44960.791666666664"/>
    <x v="3"/>
    <m/>
    <m/>
    <m/>
    <m/>
    <m/>
    <m/>
    <m/>
    <m/>
    <m/>
    <m/>
    <m/>
    <m/>
    <m/>
    <m/>
    <m/>
    <m/>
  </r>
  <r>
    <s v="2115-2-LP23"/>
    <s v="SUMINISTRO DE GASES MEDICINALES "/>
    <s v="El suministro, abastecimiento, distribución, control de calidad, procedencia, diseño, fabricación, instalación, manufactura de estanque criogénico, cilindros, vaporizador ambiental y sus accesorios utilizados para abastecer de gases medicinales al CRS Maipú, así como el cumplimiento de los requerimientos descritos en las presentes especificaciones técnicas, será, a todo evento, de responsabilidad del oferente adjudicado y deberá regirse, desde el inicio y para todo el proceso de abastecimiento y suministro, por los siguientes estándares, códigos, reglamentaciones y certificaciones."/>
    <s v="CENTRO DE REFERENCIA DE SALUD DE MAIPU"/>
    <m/>
    <m/>
    <x v="2"/>
    <x v="10"/>
    <d v="2023-01-25T12:30:12"/>
    <x v="4"/>
    <x v="2"/>
    <d v="2023-02-13T15:00:00"/>
    <d v="2023-01-26T00:00:00"/>
    <x v="0"/>
    <x v="0"/>
    <s v="No"/>
    <m/>
    <m/>
    <m/>
    <n v="0"/>
    <n v="0"/>
    <m/>
    <m/>
    <m/>
    <s v=" "/>
    <m/>
    <m/>
    <m/>
    <m/>
    <m/>
    <d v="2023-02-13T15:00:00"/>
    <m/>
    <m/>
    <x v="0"/>
    <x v="4"/>
    <m/>
    <n v="44970.625"/>
    <x v="3"/>
    <m/>
    <m/>
    <m/>
    <m/>
    <m/>
    <m/>
    <m/>
    <m/>
    <m/>
    <m/>
    <m/>
    <m/>
    <m/>
    <m/>
    <m/>
    <m/>
  </r>
  <r>
    <s v="5184-16-LQ23"/>
    <s v="SERVICIO DE OXIGENOTERAPIA DOMICILIARIA"/>
    <s v="SERVICIO DE OXIGENOTERAPIA DOMICILIARIA"/>
    <s v="SERVICIO DE SALUD DEL MAULE HOSPITAL DE LINARES"/>
    <m/>
    <m/>
    <x v="3"/>
    <x v="5"/>
    <d v="2023-01-25T16:53:59"/>
    <x v="4"/>
    <x v="2"/>
    <d v="2023-02-14T18:00:00"/>
    <d v="2023-01-26T00:00:00"/>
    <x v="0"/>
    <x v="7"/>
    <s v="No"/>
    <d v="2023-01-25T00:00:00"/>
    <d v="2023-02-06T00:00:00"/>
    <d v="2023-03-14T00:00:00"/>
    <n v="0"/>
    <n v="0"/>
    <m/>
    <m/>
    <m/>
    <s v=" "/>
    <m/>
    <s v="Contrato"/>
    <m/>
    <s v="No"/>
    <m/>
    <d v="2023-02-14T18:00:00"/>
    <m/>
    <m/>
    <x v="0"/>
    <x v="4"/>
    <m/>
    <n v="44971.75"/>
    <x v="3"/>
    <m/>
    <m/>
    <m/>
    <m/>
    <m/>
    <m/>
    <m/>
    <m/>
    <m/>
    <m/>
    <m/>
    <m/>
    <m/>
    <m/>
    <m/>
    <m/>
  </r>
  <r>
    <s v="2825-6-L123"/>
    <s v="ADQUISICION SERVICIO DE OXIGENO MEDICINAL"/>
    <s v="COMPRA DE  SERVICIO DE OXIGENO MEDICINAL PARA CILINDROS VACIOS DE TODO TAMAÑO, JUNTO CON SU TRANSPORTE Y PRUEBAS HIDROSTATICAS SEGUN CORRESPONDA"/>
    <s v="I MUNICIPALIDAD DE CONSTITUCION"/>
    <m/>
    <m/>
    <x v="2"/>
    <x v="17"/>
    <d v="2023-01-25T11:59:59"/>
    <x v="4"/>
    <x v="2"/>
    <d v="2023-02-01T17:42:00"/>
    <d v="2023-01-26T00:00:00"/>
    <x v="0"/>
    <x v="7"/>
    <s v="No"/>
    <m/>
    <m/>
    <m/>
    <n v="0"/>
    <n v="0"/>
    <m/>
    <m/>
    <m/>
    <s v=" "/>
    <m/>
    <m/>
    <m/>
    <m/>
    <m/>
    <d v="2023-02-01T17:42:00"/>
    <m/>
    <m/>
    <x v="0"/>
    <x v="4"/>
    <m/>
    <n v="44958.737500000003"/>
    <x v="3"/>
    <m/>
    <m/>
    <m/>
    <m/>
    <m/>
    <m/>
    <m/>
    <m/>
    <m/>
    <m/>
    <m/>
    <m/>
    <m/>
    <m/>
    <m/>
    <m/>
  </r>
  <r>
    <s v="1057547-35-LE23"/>
    <s v="COMPRA DE SERVICIOS PARA  DE RED DE GASES CLINICOS"/>
    <s v="COMPRA DE SERVICIOS PARA NORMALIZACION DE RED DE GASES CLINICOS EN UNIDAD DE PEDIATRIA DEL HOSPITAL BASE VALDIVIA"/>
    <s v="SERVICIO DE SALUD VALDIVIA HOSPITAL BASE"/>
    <m/>
    <m/>
    <x v="4"/>
    <x v="6"/>
    <d v="2023-01-25T15:18:17"/>
    <x v="4"/>
    <x v="2"/>
    <d v="2023-02-06T19:00:00"/>
    <d v="2023-01-26T00:00:00"/>
    <x v="0"/>
    <x v="2"/>
    <s v="No"/>
    <m/>
    <m/>
    <m/>
    <n v="0"/>
    <n v="0"/>
    <m/>
    <m/>
    <m/>
    <s v=" "/>
    <m/>
    <m/>
    <m/>
    <m/>
    <m/>
    <d v="2023-02-06T19:00:00"/>
    <m/>
    <m/>
    <x v="0"/>
    <x v="4"/>
    <m/>
    <n v="44963.791666666664"/>
    <x v="3"/>
    <m/>
    <m/>
    <m/>
    <m/>
    <m/>
    <m/>
    <m/>
    <m/>
    <m/>
    <m/>
    <m/>
    <m/>
    <m/>
    <m/>
    <m/>
    <m/>
  </r>
  <r>
    <s v="3563-6-L123"/>
    <s v="EQUIPAMIENTO E INSUMOS SALA IRA-ERA DSM"/>
    <s v="ADQUISICION DE EQUIPAMIENTO DE SALAS IRA- ERA DE CESFAM HUALPIN Y CESFAM T. SCHMIDT."/>
    <s v="ILUSTRE MUNICIPALIDAD TEODORO SCHMIDT"/>
    <m/>
    <m/>
    <x v="0"/>
    <x v="0"/>
    <d v="2023-01-25T17:05:13"/>
    <x v="4"/>
    <x v="2"/>
    <d v="2023-01-31T18:33:00"/>
    <d v="2023-01-26T00:00:00"/>
    <x v="0"/>
    <x v="7"/>
    <s v="No"/>
    <m/>
    <m/>
    <m/>
    <n v="0"/>
    <n v="0"/>
    <m/>
    <m/>
    <m/>
    <s v=" "/>
    <m/>
    <m/>
    <m/>
    <m/>
    <m/>
    <d v="2023-01-31T18:33:00"/>
    <m/>
    <m/>
    <x v="0"/>
    <x v="4"/>
    <m/>
    <n v="44957.772916666669"/>
    <x v="3"/>
    <m/>
    <m/>
    <m/>
    <m/>
    <m/>
    <m/>
    <m/>
    <m/>
    <m/>
    <m/>
    <m/>
    <m/>
    <m/>
    <m/>
    <m/>
    <m/>
  </r>
  <r>
    <s v="3977-3-L123"/>
    <s v="Insumos de kinesiología para rehabilitación pulmonar. OP Nº15"/>
    <s v="Insumos de kinesiología para rehabilitación pulmonar en CECOSF y Postas de Salud Rural, Programa ERA/IRA. OP Nº15"/>
    <s v="I MUNICIPALIDAD DE SANTA BARBARA"/>
    <m/>
    <m/>
    <x v="0"/>
    <x v="0"/>
    <d v="2023-01-25T10:49:52"/>
    <x v="4"/>
    <x v="2"/>
    <d v="2023-02-01T15:01:00"/>
    <d v="2023-01-26T00:00:00"/>
    <x v="0"/>
    <x v="0"/>
    <s v="No"/>
    <m/>
    <m/>
    <m/>
    <n v="0"/>
    <n v="0"/>
    <m/>
    <m/>
    <m/>
    <s v=" "/>
    <m/>
    <m/>
    <m/>
    <m/>
    <m/>
    <d v="2023-02-01T15:01:00"/>
    <m/>
    <m/>
    <x v="0"/>
    <x v="4"/>
    <m/>
    <n v="44958.625694444447"/>
    <x v="3"/>
    <m/>
    <m/>
    <m/>
    <m/>
    <m/>
    <m/>
    <m/>
    <m/>
    <m/>
    <m/>
    <m/>
    <m/>
    <m/>
    <m/>
    <m/>
    <m/>
  </r>
  <r>
    <s v="3944-1-LE23"/>
    <s v="CONTRATO SUMINISTRO OXIGENO MEDICINAL Y ARRIENDO"/>
    <s v="Que, el Departamento de Salud de Peralillo busca proporcionar al CESFAM Peralillo, Contrato de Suministro, Recarga de Cilindros Oxigeno Medicinal por 24 meses con posibilidad de renovación por 12 Meses por una sola vez Siendo el objetivo general de este convenio disponer de manera expedita de oxigeno medicinal evitando desabastecimiento e inconvenientes logísticos."/>
    <s v="I MUNICIPALIDAD DE PERALILLO"/>
    <m/>
    <m/>
    <x v="2"/>
    <x v="10"/>
    <d v="2023-01-26T16:29:22"/>
    <x v="4"/>
    <x v="2"/>
    <d v="2023-02-03T13:55:00"/>
    <d v="2023-01-27T00:00:00"/>
    <x v="0"/>
    <x v="7"/>
    <s v="No"/>
    <m/>
    <m/>
    <m/>
    <n v="0"/>
    <n v="0"/>
    <m/>
    <m/>
    <m/>
    <s v=" "/>
    <m/>
    <m/>
    <m/>
    <m/>
    <m/>
    <d v="2023-02-03T13:55:00"/>
    <m/>
    <m/>
    <x v="0"/>
    <x v="4"/>
    <m/>
    <n v="44960.579861111109"/>
    <x v="3"/>
    <m/>
    <m/>
    <m/>
    <m/>
    <m/>
    <m/>
    <m/>
    <m/>
    <m/>
    <m/>
    <m/>
    <m/>
    <m/>
    <m/>
    <m/>
    <m/>
  </r>
  <r>
    <s v="1057390-5-LR23"/>
    <s v="CONVENIO SUMINISTRO GASES CLÍNICOS RED SSAN 2023"/>
    <s v="Se requiere suscribir convenio de suministro de gases clínicos e industriales en cilindros por un periodo de 12 meses con posibilidad de renovación por 12 mese más, necesarios para la gestión clínica de la red asistencial del Servicio de Salud Araucanía Norte, con el objeto de poder cumplir con la demanda asistencial de la Provincia de Malleco, específicamente respecto de los Hospitales de Victoria, Collipulli, Purén, Curacautín, Traiguén, Lonquimay y bases SAMU de la provincia,  "/>
    <s v="SERVICIO DE SALUD ARAUCANIA NORTE"/>
    <m/>
    <m/>
    <x v="2"/>
    <x v="3"/>
    <d v="2023-01-26T09:46:10"/>
    <x v="4"/>
    <x v="2"/>
    <d v="2023-02-27T15:00:00"/>
    <d v="2023-01-27T00:00:00"/>
    <x v="0"/>
    <x v="7"/>
    <s v="No"/>
    <m/>
    <m/>
    <m/>
    <n v="0"/>
    <n v="0"/>
    <m/>
    <m/>
    <m/>
    <s v=" "/>
    <m/>
    <m/>
    <m/>
    <m/>
    <m/>
    <d v="2023-02-27T15:00:00"/>
    <m/>
    <m/>
    <x v="0"/>
    <x v="4"/>
    <m/>
    <n v="44984.625"/>
    <x v="3"/>
    <m/>
    <m/>
    <m/>
    <m/>
    <m/>
    <m/>
    <m/>
    <m/>
    <m/>
    <m/>
    <m/>
    <m/>
    <m/>
    <m/>
    <m/>
    <m/>
  </r>
  <r>
    <s v="1663-18-LE23"/>
    <s v="SEGUNDO LLAMADO SUMINISTRO DE GASES CLINICOS 2023"/>
    <s v="SE REQUIERE EL SUMINISTRO DE GASES CLINICOS E INSUMOS RELACIONADOS PARA EL HOSPITAL Y TODAS SUS DEPENDENCIAS, PARA EL AÑO 2023."/>
    <s v="SERVICIO DE SALUD CHILOE"/>
    <m/>
    <m/>
    <x v="2"/>
    <x v="18"/>
    <d v="2023-01-26T14:03:31"/>
    <x v="4"/>
    <x v="2"/>
    <d v="2023-02-02T19:12:00"/>
    <d v="2023-01-27T00:00:00"/>
    <x v="0"/>
    <x v="8"/>
    <s v="No"/>
    <m/>
    <m/>
    <m/>
    <n v="0"/>
    <n v="0"/>
    <m/>
    <m/>
    <m/>
    <s v=" "/>
    <m/>
    <m/>
    <m/>
    <m/>
    <m/>
    <d v="2023-02-02T19:12:00"/>
    <m/>
    <m/>
    <x v="0"/>
    <x v="4"/>
    <m/>
    <n v="44959.8"/>
    <x v="3"/>
    <m/>
    <m/>
    <m/>
    <m/>
    <m/>
    <m/>
    <m/>
    <m/>
    <m/>
    <m/>
    <m/>
    <m/>
    <m/>
    <m/>
    <m/>
    <m/>
  </r>
  <r>
    <s v="3789-2-L123"/>
    <s v="ADQUISICION EQUIPAMIENTO PROG.ESTRATEGIAS REFUERZO"/>
    <s v="La I. Municipalidad de Paillaco, a través del Departamento de Salud llama a Propuesta Publica para la “Adquisición de Equipamiento, Programa Estrategias Refuerzo en APS."/>
    <s v="I MUNICIPALIDAD DE PAILLACO"/>
    <m/>
    <m/>
    <x v="0"/>
    <x v="0"/>
    <d v="2023-01-26T13:26:05"/>
    <x v="4"/>
    <x v="2"/>
    <d v="2023-02-01T15:11:00"/>
    <d v="2023-01-27T00:00:00"/>
    <x v="0"/>
    <x v="0"/>
    <s v="No"/>
    <m/>
    <m/>
    <m/>
    <n v="0"/>
    <n v="0"/>
    <m/>
    <m/>
    <m/>
    <s v=" "/>
    <m/>
    <m/>
    <m/>
    <m/>
    <m/>
    <d v="2023-02-01T15:11:00"/>
    <m/>
    <m/>
    <x v="0"/>
    <x v="4"/>
    <m/>
    <n v="44958.632638888892"/>
    <x v="3"/>
    <m/>
    <m/>
    <m/>
    <m/>
    <m/>
    <m/>
    <m/>
    <m/>
    <m/>
    <m/>
    <m/>
    <m/>
    <m/>
    <m/>
    <m/>
    <m/>
  </r>
  <r>
    <s v="899-6-LE23"/>
    <s v="SERVICIO MANTENCION EQUIPOS INDUSTRIAL HOSPITAL"/>
    <s v="Las presentes Bases Administrativas y Bases Técnicas tienen por objeto la contratación del servicio requerido corresponde al mantenimiento preventivo y correctivo de Red de oxígenoaire, con 2 manifold para 10 cilindros"/>
    <s v="SERVICIO DE SALUD VALPARAISO SAN ANTONIO"/>
    <m/>
    <m/>
    <x v="5"/>
    <x v="6"/>
    <d v="2023-01-27T16:00:27"/>
    <x v="4"/>
    <x v="2"/>
    <d v="2023-02-06T17:27:00"/>
    <d v="2023-01-30T00:00:00"/>
    <x v="0"/>
    <x v="2"/>
    <s v="No"/>
    <m/>
    <m/>
    <m/>
    <n v="0"/>
    <n v="0"/>
    <m/>
    <m/>
    <m/>
    <s v=" "/>
    <m/>
    <m/>
    <m/>
    <m/>
    <m/>
    <d v="2023-02-06T17:27:00"/>
    <m/>
    <m/>
    <x v="0"/>
    <x v="4"/>
    <m/>
    <n v="44963.727083333331"/>
    <x v="3"/>
    <m/>
    <m/>
    <m/>
    <m/>
    <m/>
    <m/>
    <m/>
    <m/>
    <m/>
    <m/>
    <m/>
    <m/>
    <m/>
    <m/>
    <m/>
    <m/>
  </r>
  <r>
    <s v="3692-6-L123"/>
    <s v="CONTRATACIÓN DEL SERVICIO DE RECARGA DE OXIGENO MEDICINAL Y ARRIENDO DE TUBOS DE OXÍGENO PARA LOS ESTABLECIMIENTOS DE SALUD DE LA MUNICIPALIDAD DE EL QUISCO"/>
    <s v="CONTRATACIÓN DEL SERVICIO DE RECARGA DE OXIGENO MEDICINAL Y ARRIENDO DE TUBOS DE OXÍGENO PARA LOS ESTABLECIMIENTOS DE SALUD DE LA MUNICIPALIDAD DE EL QUISCO"/>
    <s v="I MUNICIPALIDAD DE EL QUISCO"/>
    <m/>
    <m/>
    <x v="2"/>
    <x v="9"/>
    <d v="2023-01-27T18:36:20"/>
    <x v="4"/>
    <x v="2"/>
    <d v="2023-02-01T15:00:00"/>
    <d v="2023-01-30T00:00:00"/>
    <x v="0"/>
    <x v="7"/>
    <s v="No"/>
    <m/>
    <m/>
    <m/>
    <n v="0"/>
    <n v="0"/>
    <m/>
    <m/>
    <m/>
    <s v=" "/>
    <m/>
    <m/>
    <m/>
    <m/>
    <m/>
    <d v="2023-02-01T15:00:00"/>
    <m/>
    <m/>
    <x v="0"/>
    <x v="4"/>
    <m/>
    <n v="44958.625"/>
    <x v="3"/>
    <m/>
    <m/>
    <m/>
    <m/>
    <m/>
    <m/>
    <m/>
    <m/>
    <m/>
    <m/>
    <m/>
    <m/>
    <m/>
    <m/>
    <m/>
    <m/>
  </r>
  <r>
    <s v="2107-17-LE23"/>
    <s v="INSUMOS DE USO EN TERAPIA RESPIRATORIA PARA REPOSICIÓN DE STOCK UNIDAD LOGÍSTICA"/>
    <s v="el Hospital Santa Cruz, como establecimiento de salud requiere adquirir diversos dispositivos médicos para reposición de stock de acuerdo a planificación anual de compras para reposición de stock de bodegas de unidad logística, a fin de establecer las unidades necesarias para mantener un suministro constante de insumos utilizados en las atenciones de carácter medico a diversos pacientes que asisten a este centro asistencial. "/>
    <s v="SERVICIO DE SALUD HOSPITAL DE SANTA CRUZ"/>
    <m/>
    <m/>
    <x v="0"/>
    <x v="0"/>
    <d v="2023-01-27T15:27:25"/>
    <x v="4"/>
    <x v="2"/>
    <d v="2023-02-02T15:00:00"/>
    <d v="2023-01-30T00:00:00"/>
    <x v="0"/>
    <x v="0"/>
    <s v="No"/>
    <m/>
    <m/>
    <m/>
    <n v="488596.14999999997"/>
    <n v="410585"/>
    <m/>
    <m/>
    <m/>
    <s v=" "/>
    <m/>
    <s v="Spot"/>
    <m/>
    <s v="No"/>
    <m/>
    <d v="2023-02-02T15:00:00"/>
    <n v="5"/>
    <n v="82117"/>
    <x v="46"/>
    <x v="4"/>
    <m/>
    <n v="44959.625"/>
    <x v="3"/>
    <m/>
    <m/>
    <m/>
    <m/>
    <m/>
    <m/>
    <m/>
    <m/>
    <m/>
    <m/>
    <m/>
    <m/>
    <m/>
    <m/>
    <m/>
    <m/>
  </r>
  <r>
    <s v="5061-5-L123"/>
    <s v="S6 Servicio de suministro oxigeno medico, aire medicinal y arriendo de cilindros, para establecimientos de salud municipal."/>
    <s v="Servicio de suministro oxigeno medico, aire medicinal y arriendo de cilindros, para establecimientos de salud municipal."/>
    <s v="I MUNICIPALIDAD DE TEMUCO"/>
    <m/>
    <m/>
    <x v="2"/>
    <x v="3"/>
    <d v="2023-01-27T15:22:46"/>
    <x v="4"/>
    <x v="2"/>
    <d v="2023-02-02T19:00:00"/>
    <d v="2023-01-30T00:00:00"/>
    <x v="0"/>
    <x v="4"/>
    <s v="No"/>
    <m/>
    <m/>
    <m/>
    <n v="0"/>
    <n v="0"/>
    <m/>
    <m/>
    <m/>
    <s v=" "/>
    <m/>
    <m/>
    <m/>
    <m/>
    <m/>
    <d v="2023-02-02T19:00:00"/>
    <m/>
    <m/>
    <x v="0"/>
    <x v="4"/>
    <m/>
    <n v="44959.791666666664"/>
    <x v="3"/>
    <m/>
    <m/>
    <m/>
    <m/>
    <m/>
    <m/>
    <m/>
    <m/>
    <m/>
    <m/>
    <m/>
    <m/>
    <m/>
    <m/>
    <m/>
    <m/>
  </r>
  <r>
    <s v="1979-18-LP23"/>
    <s v="21.23 “CONVENIO DE DISPOSITIVOS MEDICOS PARA USO EN UNIDAD DE PACIENTE CRITICO PARA NODO COSTERO: HOSPITAL NVA IMPERIAL.”"/>
    <s v="Se requiere contrato de suministro por el periodo de 18 meses para las adquisiciones de “CONVENIO DE DISPOSITIVOS MEDICOS PARA USO EN UNIDAD DE PACIENTE CRITICO PARA NODO COSTERO: HOSPITAL NVA IMPERIAL.” de acuerdo a necesidades del Hospital Nueva Imperial."/>
    <s v="SERVICIO DE SALUD ARAUCANIA SUR HOSPITAL DE NUEVA IMPERIAL"/>
    <m/>
    <m/>
    <x v="0"/>
    <x v="0"/>
    <d v="2023-01-27T16:44:06"/>
    <x v="4"/>
    <x v="2"/>
    <d v="2023-02-15T15:00:00"/>
    <d v="2023-01-30T00:00:00"/>
    <x v="0"/>
    <x v="0"/>
    <s v="No"/>
    <m/>
    <m/>
    <m/>
    <n v="2282686.56"/>
    <n v="1918224.0000000002"/>
    <m/>
    <m/>
    <m/>
    <s v=" "/>
    <m/>
    <s v="Contrato"/>
    <n v="18"/>
    <s v="No"/>
    <m/>
    <d v="2023-02-15T15:00:00"/>
    <n v="144"/>
    <n v="13321"/>
    <x v="47"/>
    <x v="4"/>
    <m/>
    <n v="44972.625"/>
    <x v="3"/>
    <m/>
    <m/>
    <m/>
    <m/>
    <m/>
    <m/>
    <m/>
    <m/>
    <m/>
    <m/>
    <m/>
    <m/>
    <m/>
    <m/>
    <m/>
    <m/>
  </r>
  <r>
    <s v="1057510-7-LP23"/>
    <s v="CONVENIO MANTENIMIENTO DE REDES DE GASES MEDICINALES HOSPITAL DE SAN CARLOS DR. BENICIO ARZOLA MEDINA"/>
    <s v="El Hospital de San Carlos Dr. Benicio Arzola Medina requiere suscribir convenio de mantenimiento, suministro, reparación e instalación de redes de gases clínicos y sistemas relacionados, de acuerdo a las presentes bases administrativas y técnicas."/>
    <s v="SERVICIO DE SALUD NUBLE HOSPITAL DE SAN CARLOS DR BENICIO ARZOLA MEDIN"/>
    <m/>
    <m/>
    <x v="4"/>
    <x v="6"/>
    <d v="2023-01-18T16:56:14"/>
    <x v="4"/>
    <x v="2"/>
    <d v="2023-02-08T17:00:00"/>
    <d v="2023-01-30T00:00:00"/>
    <x v="0"/>
    <x v="2"/>
    <s v="No"/>
    <m/>
    <m/>
    <m/>
    <n v="0"/>
    <n v="0"/>
    <m/>
    <m/>
    <m/>
    <s v=" "/>
    <m/>
    <m/>
    <m/>
    <m/>
    <m/>
    <d v="2023-02-08T17:00:00"/>
    <m/>
    <m/>
    <x v="0"/>
    <x v="4"/>
    <m/>
    <n v="44965.708333333336"/>
    <x v="3"/>
    <m/>
    <m/>
    <m/>
    <m/>
    <m/>
    <m/>
    <m/>
    <m/>
    <m/>
    <m/>
    <m/>
    <m/>
    <m/>
    <m/>
    <m/>
    <m/>
  </r>
  <r>
    <s v="1057492-6-LQ23"/>
    <s v="SERV. MANT DE INSTALACIONES DE GASES CLINICOS"/>
    <s v="SERVICIOS DE OPERACIÓN Y MANTENCIÓN DE LAS INSTALACIONES DE GASES CLINICOS"/>
    <s v="HOSPITAL ORIENTE DR LUIS TISNE BROUSSE"/>
    <m/>
    <m/>
    <x v="4"/>
    <x v="6"/>
    <d v="2023-01-18T08:27:02"/>
    <x v="4"/>
    <x v="2"/>
    <d v="2023-02-07T15:00:00"/>
    <d v="2023-01-30T00:00:00"/>
    <x v="0"/>
    <x v="2"/>
    <s v="No"/>
    <m/>
    <m/>
    <m/>
    <n v="0"/>
    <n v="0"/>
    <m/>
    <m/>
    <m/>
    <s v=" "/>
    <m/>
    <m/>
    <m/>
    <m/>
    <m/>
    <d v="2023-02-07T15:00:00"/>
    <m/>
    <m/>
    <x v="0"/>
    <x v="4"/>
    <m/>
    <n v="44964.625"/>
    <x v="3"/>
    <m/>
    <m/>
    <m/>
    <m/>
    <m/>
    <m/>
    <m/>
    <m/>
    <m/>
    <m/>
    <m/>
    <m/>
    <m/>
    <m/>
    <m/>
    <m/>
  </r>
  <r>
    <s v="1211839-3-LR23"/>
    <s v="ADQUISICION DE INSUMOS MÉDICOS 2023 - 2024"/>
    <s v="Las presentes bases de licitación tienen por objeto reglamentar las exigencias mínimas requeridas para la adquisición de insumos médicos por la Corporación Municipal de Educación, Salud y Atención de Menores de Puente Alto en adelante “la Corporación” o “la mandante”, por el período de mayo 2023 a abril 2024."/>
    <s v="CORP MUNIC EDUC SALUD Y ATENCION"/>
    <m/>
    <m/>
    <x v="4"/>
    <x v="6"/>
    <d v="2023-01-13T18:03:43"/>
    <x v="4"/>
    <x v="2"/>
    <d v="2023-03-21T14:00:00"/>
    <d v="2023-01-30T00:00:00"/>
    <x v="0"/>
    <x v="10"/>
    <s v="No"/>
    <m/>
    <m/>
    <m/>
    <n v="0"/>
    <n v="0"/>
    <m/>
    <m/>
    <m/>
    <s v=" "/>
    <m/>
    <m/>
    <m/>
    <m/>
    <m/>
    <d v="2023-03-21T14:00:00"/>
    <m/>
    <m/>
    <x v="0"/>
    <x v="4"/>
    <m/>
    <n v="45006.583333333336"/>
    <x v="3"/>
    <m/>
    <m/>
    <m/>
    <m/>
    <m/>
    <m/>
    <m/>
    <m/>
    <m/>
    <m/>
    <m/>
    <m/>
    <m/>
    <m/>
    <m/>
    <m/>
  </r>
  <r>
    <s v="5349-4-LR23"/>
    <s v="CONTRATO DE SUMINISTRO DE GASES CLINICOS CON ARRIENDO DE CILINDROS PARA EL HOSPITAL PROVINCIAL DEL HUASCO MONSEÑOR FERNANDO ARIZTÍA RUIZ"/>
    <s v="1.1 ÁMBITO DE APLICACIÓN DE LAS BASES"/>
    <s v="HOSPITAL PROVINCIAL   DEL HUASCO MSR FERNANDO ARIZTIA RUIZ"/>
    <m/>
    <m/>
    <x v="2"/>
    <x v="11"/>
    <d v="2023-01-30T19:34:45"/>
    <x v="4"/>
    <x v="2"/>
    <d v="2023-03-02T15:00:00"/>
    <d v="2023-01-31T00:00:00"/>
    <x v="1"/>
    <x v="1"/>
    <s v="Si"/>
    <m/>
    <m/>
    <m/>
    <n v="0"/>
    <n v="0"/>
    <m/>
    <s v="No"/>
    <m/>
    <s v=" "/>
    <s v="No"/>
    <m/>
    <m/>
    <s v="No"/>
    <m/>
    <d v="2023-03-02T15:00:00"/>
    <m/>
    <m/>
    <x v="0"/>
    <x v="2"/>
    <m/>
    <d v="2023-03-02T15:00:00"/>
    <x v="3"/>
    <m/>
    <m/>
    <m/>
    <m/>
    <m/>
    <m/>
    <m/>
    <m/>
    <m/>
    <m/>
    <m/>
    <m/>
    <m/>
    <m/>
    <m/>
    <m/>
  </r>
  <r>
    <s v="3736-6-LE23"/>
    <s v="SUMINISTRO MAT. DE CONST. Y FERRET. DAEM 2023"/>
    <s v="“Suministro de Materiales de Construcción y Artículos de Ferretería, para el Departamento de Educación de la Comuna de Laja, año 2023”."/>
    <s v="I MUNICIPALIDAD DE LAJA"/>
    <s v="COMPRESOR DE AIRE PORTATIL 2 HP 50 L EQUIVALENTE A INDURA"/>
    <n v="1"/>
    <x v="4"/>
    <x v="6"/>
    <d v="2023-01-30T16:01:02"/>
    <x v="4"/>
    <x v="2"/>
    <d v="2023-02-09T09:00:00"/>
    <d v="2023-01-31T00:00:00"/>
    <x v="0"/>
    <x v="2"/>
    <s v="No"/>
    <m/>
    <m/>
    <m/>
    <n v="0"/>
    <n v="0"/>
    <m/>
    <m/>
    <m/>
    <s v=" "/>
    <m/>
    <m/>
    <m/>
    <m/>
    <m/>
    <d v="2023-02-09T09:00:00"/>
    <m/>
    <m/>
    <x v="0"/>
    <x v="4"/>
    <m/>
    <n v="44966.375"/>
    <x v="3"/>
    <m/>
    <m/>
    <m/>
    <m/>
    <m/>
    <m/>
    <m/>
    <m/>
    <m/>
    <m/>
    <m/>
    <m/>
    <m/>
    <m/>
    <m/>
    <m/>
  </r>
  <r>
    <s v="1180817-3-L123"/>
    <s v="ADQUISICIÓN DE EQUIPOS DE ESTERILIZACIÓN Y OXIGENOTERAPIA PARA EL SSA"/>
    <s v="ADQUISICIÓN DE EQUIPOS DE ESTERILIZACIÓN Y OXIGENOTERAPIA PARA EL SSA"/>
    <s v="SERVICIO DE SALUD AYSEN CARLOS IBANEZ DEL CAMPO"/>
    <s v="VASOS HUMIDIFICADORES"/>
    <n v="2"/>
    <x v="4"/>
    <x v="6"/>
    <d v="2023-01-30T12:18:18"/>
    <x v="4"/>
    <x v="2"/>
    <d v="2023-02-07T16:00:00"/>
    <d v="2023-01-31T00:00:00"/>
    <x v="0"/>
    <x v="0"/>
    <s v="No"/>
    <m/>
    <m/>
    <m/>
    <n v="0"/>
    <n v="0"/>
    <m/>
    <m/>
    <m/>
    <s v=" "/>
    <m/>
    <m/>
    <m/>
    <m/>
    <m/>
    <d v="2023-02-07T16:00:00"/>
    <m/>
    <m/>
    <x v="0"/>
    <x v="4"/>
    <m/>
    <n v="44964.666666666664"/>
    <x v="3"/>
    <m/>
    <m/>
    <m/>
    <m/>
    <m/>
    <m/>
    <m/>
    <m/>
    <m/>
    <m/>
    <m/>
    <m/>
    <m/>
    <m/>
    <m/>
    <m/>
  </r>
  <r>
    <s v="1057494-6-LP23"/>
    <s v="Gases medicinales con cilindros en comodato"/>
    <s v="Suministro de gases medicinales con cilindros en comodato."/>
    <s v="SERVICIO DE SALUD SUR HOSPITAL EXEQUIEL"/>
    <s v="Suministro de gases medicinales con cilindros en comodato (según bases técnicas y sus especificaciones)."/>
    <n v="1"/>
    <x v="2"/>
    <x v="10"/>
    <d v="2023-01-30T11:47:25"/>
    <x v="4"/>
    <x v="2"/>
    <d v="2023-02-20T16:00:00"/>
    <d v="2023-01-31T00:00:00"/>
    <x v="0"/>
    <x v="8"/>
    <s v="No"/>
    <m/>
    <m/>
    <m/>
    <n v="0"/>
    <n v="0"/>
    <m/>
    <m/>
    <m/>
    <s v=" "/>
    <m/>
    <m/>
    <m/>
    <m/>
    <m/>
    <d v="2023-02-20T16:00:00"/>
    <m/>
    <m/>
    <x v="0"/>
    <x v="4"/>
    <m/>
    <n v="44977.666666666664"/>
    <x v="3"/>
    <m/>
    <m/>
    <m/>
    <m/>
    <m/>
    <m/>
    <m/>
    <m/>
    <m/>
    <m/>
    <m/>
    <m/>
    <m/>
    <m/>
    <m/>
    <m/>
  </r>
  <r>
    <s v="4594-9-LE23"/>
    <s v="SUMINISTRO OXÍGENO Y OTROS PARA DESAMU COIHUECO"/>
    <s v="SUMINISTRO DE OXÍGENO, OTROS SERVICIOS GENERALES Y OTROS MATERIALES, PARA EL DEPARTAMENTO DE SALUD DE COIHUECO"/>
    <s v="I MUNICIPALIDAD DE COIHUECO"/>
    <s v="SUMINISTRO DE OXÍGENO, OTROS SERVICIOS GENERALES Y OTROS MATERIALES, PARA EL DEPARTAMENTO DE SALUD DE COIHUECO. PRESUPUESTO DISPONIBLE $36.000.000.-, IMPUESTO INCLUIDO."/>
    <n v="1"/>
    <x v="2"/>
    <x v="17"/>
    <d v="2023-01-30T17:51:06"/>
    <x v="4"/>
    <x v="2"/>
    <d v="2023-02-07T15:30:00"/>
    <d v="2023-01-31T00:00:00"/>
    <x v="0"/>
    <x v="7"/>
    <s v="No"/>
    <m/>
    <m/>
    <m/>
    <n v="0"/>
    <n v="0"/>
    <m/>
    <m/>
    <m/>
    <s v=" "/>
    <m/>
    <m/>
    <m/>
    <m/>
    <m/>
    <d v="2023-02-07T15:30:00"/>
    <m/>
    <m/>
    <x v="0"/>
    <x v="4"/>
    <m/>
    <n v="44964.645833333336"/>
    <x v="3"/>
    <m/>
    <m/>
    <m/>
    <m/>
    <m/>
    <m/>
    <m/>
    <m/>
    <m/>
    <m/>
    <m/>
    <m/>
    <m/>
    <m/>
    <m/>
    <m/>
  </r>
  <r>
    <s v="4172-1-LE23"/>
    <s v="RECARGA OXIGENO MEDICINAL Y ARRIENDO CILINDROS"/>
    <s v="SE SOLICITA CONVENIO SERVICIO DE RECARGA OXIGENO MEDICINAL Y ARRIENDO DE CILINDROS, SOLICITADOS PARA LOS SERVICIOS DE URGENCIA DE LA COMUNA"/>
    <s v="ILUSTRE MUNICIPALIDAD DE COLBUN"/>
    <s v="CONVENIO SERVICIO DE RECARGAS OXOGENO MEDICINAL Y ARRIENDO DE CILINDROS"/>
    <n v="1"/>
    <x v="2"/>
    <x v="2"/>
    <d v="2023-01-31T15:28:39"/>
    <x v="4"/>
    <x v="2"/>
    <d v="2023-02-10T13:22:00"/>
    <d v="2023-02-01T00:00:00"/>
    <x v="0"/>
    <x v="7"/>
    <s v="No"/>
    <m/>
    <m/>
    <m/>
    <n v="0"/>
    <n v="0"/>
    <m/>
    <m/>
    <m/>
    <s v=" "/>
    <m/>
    <m/>
    <m/>
    <m/>
    <m/>
    <d v="2023-02-10T13:22:00"/>
    <m/>
    <m/>
    <x v="0"/>
    <x v="4"/>
    <m/>
    <n v="44967.556944444441"/>
    <x v="3"/>
    <m/>
    <m/>
    <m/>
    <m/>
    <m/>
    <m/>
    <m/>
    <m/>
    <m/>
    <m/>
    <m/>
    <m/>
    <m/>
    <m/>
    <m/>
    <m/>
  </r>
  <r>
    <s v="4197-10-L123"/>
    <s v="SUMINISTRO CARGA OXIGENO MEDICO Y ARRIENDO DE CILI"/>
    <s v="Contar con contrato suministro para la carga de oxigeno médico y arriendo de cilindros necesarios para el funcionamiento de la Red de Salud y Establecimientos de Salud de la comuna de Quemchi."/>
    <s v="I MUNICIPALIDAD DE QUEMCHI"/>
    <s v="Recarga de cilindros o Balones Fiscales de almacenamiento oxigeno médico, que incluya prueba hidráulica de cilindros, cambio de válvula, en los casos que correspondan."/>
    <n v="1"/>
    <x v="2"/>
    <x v="18"/>
    <d v="2023-01-31T15:56:43"/>
    <x v="4"/>
    <x v="2"/>
    <d v="2023-02-06T17:26:00"/>
    <d v="2023-02-01T00:00:00"/>
    <x v="0"/>
    <x v="7"/>
    <s v="No"/>
    <m/>
    <m/>
    <m/>
    <n v="0"/>
    <n v="0"/>
    <m/>
    <m/>
    <m/>
    <s v=" "/>
    <m/>
    <m/>
    <m/>
    <m/>
    <m/>
    <d v="2023-02-06T17:26:00"/>
    <m/>
    <m/>
    <x v="0"/>
    <x v="4"/>
    <m/>
    <n v="44963.726388888892"/>
    <x v="3"/>
    <m/>
    <m/>
    <m/>
    <m/>
    <m/>
    <m/>
    <m/>
    <m/>
    <m/>
    <m/>
    <m/>
    <m/>
    <m/>
    <m/>
    <m/>
    <m/>
  </r>
  <r>
    <s v="1057509-1-LQ23"/>
    <s v="CONVENIO DE SUMINISTRO DE OXIGENO LIQUIDO lbl"/>
    <s v="El Hospital Clínico Herminda Martín de Chillán llama a Licitación Pública a través del Portal Mercado Público, para suscribir convenio de suministro de oxígeno líquido calidad medicinal  con el fin de proveer y mantener la cantidad necesaria de oxígeno en el estanque de tal manera de asegurar un suministro adecuado y seguro a los pacientes del hospital con un mínimo del 40 % de su capacidad."/>
    <s v="HOSPITAL CLINICO HERMINDA MARTIN"/>
    <s v="Suministro de Oxigeno liquido. Ofertar de acuerdo a bases técnicas y administrativas. Valor unitario Bruto referencial $406."/>
    <n v="310000"/>
    <x v="2"/>
    <x v="17"/>
    <d v="2023-01-31T10:31:14"/>
    <x v="4"/>
    <x v="2"/>
    <d v="2023-02-20T15:00:00"/>
    <d v="2023-02-01T00:00:00"/>
    <x v="0"/>
    <x v="8"/>
    <s v="No"/>
    <m/>
    <m/>
    <m/>
    <n v="0"/>
    <n v="0"/>
    <m/>
    <m/>
    <m/>
    <s v=" "/>
    <m/>
    <m/>
    <m/>
    <m/>
    <m/>
    <d v="2023-02-20T15:00:00"/>
    <m/>
    <m/>
    <x v="0"/>
    <x v="4"/>
    <m/>
    <n v="44977.625"/>
    <x v="3"/>
    <m/>
    <m/>
    <m/>
    <m/>
    <m/>
    <m/>
    <m/>
    <m/>
    <m/>
    <m/>
    <m/>
    <m/>
    <m/>
    <m/>
    <m/>
    <m/>
  </r>
  <r>
    <s v="1499-31-LE23"/>
    <s v="Recolector de orina y frasco humificador "/>
    <s v="El Instituto Nacional del Tórax necesita contar para su gestión de recolector de orina y frasco humificador en forma permanente, con el objeto de poder cumplir y satisfacer debidamente la demanda asistencial que legalmente le ha sido encomendada."/>
    <s v="INSTITUTO NACIONAL DEL TORAX"/>
    <s v="FRASCO HUMIDIFICADOR AIRLIFE O EQUIVALENTE 500ML DESECHABLE "/>
    <n v="3896"/>
    <x v="4"/>
    <x v="6"/>
    <d v="2023-01-31T12:06:21"/>
    <x v="4"/>
    <x v="2"/>
    <d v="2023-02-10T19:39:00"/>
    <d v="2023-02-01T00:00:00"/>
    <x v="0"/>
    <x v="2"/>
    <s v="No"/>
    <m/>
    <m/>
    <m/>
    <n v="0"/>
    <n v="0"/>
    <m/>
    <m/>
    <m/>
    <s v=" "/>
    <m/>
    <m/>
    <m/>
    <m/>
    <m/>
    <d v="2023-02-10T19:39:00"/>
    <m/>
    <m/>
    <x v="0"/>
    <x v="4"/>
    <m/>
    <n v="44967.818749999999"/>
    <x v="3"/>
    <m/>
    <m/>
    <m/>
    <m/>
    <m/>
    <m/>
    <m/>
    <m/>
    <m/>
    <m/>
    <m/>
    <m/>
    <m/>
    <m/>
    <m/>
    <m/>
  </r>
  <r>
    <s v="1213002-3-LE23"/>
    <s v="HABILITACIÓN RED GASES CLÍNICOS SALA IRA-ERA y PRO"/>
    <s v="SE REQUIERE CONTRATAR OBRAS PARA LA HABILITACIÓN RED DE GASES CLÍNICOS PARA SALA IRA-ERA Y SALA DE PROCEDIMIENTOS CSR EL PRINCIPAL"/>
    <s v="CORP MUNICIPAL DE EDUCACION Y SAL"/>
    <s v="Habilitación Red de Gases Clínicos"/>
    <n v="1"/>
    <x v="4"/>
    <x v="6"/>
    <d v="2023-01-31T09:52:53"/>
    <x v="4"/>
    <x v="2"/>
    <d v="2023-02-14T10:00:00"/>
    <d v="2023-02-01T00:00:00"/>
    <x v="0"/>
    <x v="2"/>
    <s v="No"/>
    <m/>
    <m/>
    <m/>
    <n v="0"/>
    <n v="0"/>
    <m/>
    <m/>
    <m/>
    <s v=" "/>
    <m/>
    <m/>
    <m/>
    <m/>
    <m/>
    <d v="2023-02-14T10:00:00"/>
    <m/>
    <m/>
    <x v="0"/>
    <x v="4"/>
    <m/>
    <n v="44971.416666666664"/>
    <x v="3"/>
    <m/>
    <m/>
    <m/>
    <m/>
    <m/>
    <m/>
    <m/>
    <m/>
    <m/>
    <m/>
    <m/>
    <m/>
    <m/>
    <m/>
    <m/>
    <m/>
  </r>
  <r>
    <s v="1709-5-L123"/>
    <s v="SUMINISTRO DE OXÍGENO MEDICINAL"/>
    <s v="“SUMINISTRO DE OXÍGENO MEDICINAL, CON PAGO MENSUAL, PARA TODOS LOS CENTROS DE SALUD DEPENDIENTES DEL DEPARTAMENTO DE SALUD COMUNAL CAUQUENES”."/>
    <s v="I MUNICIPALIDAD DE CAUQUENES"/>
    <s v="“SUMINISTRO DE OXÍGENO MEDICINAL, CON PAGO MENSUAL, PARA TODOS LOS CENTROS DE SALUD DEPENDIENTES DEL DEPARTAMENTO DE SALUD COMUNAL CAUQUENES”."/>
    <n v="1"/>
    <x v="2"/>
    <x v="2"/>
    <d v="2023-01-31T08:39:29"/>
    <x v="4"/>
    <x v="2"/>
    <d v="2023-02-06T15:15:00"/>
    <d v="2023-02-01T00:00:00"/>
    <x v="0"/>
    <x v="7"/>
    <s v="No"/>
    <m/>
    <m/>
    <m/>
    <n v="0"/>
    <n v="0"/>
    <m/>
    <m/>
    <m/>
    <s v=" "/>
    <m/>
    <m/>
    <m/>
    <m/>
    <m/>
    <d v="2023-02-06T15:15:00"/>
    <m/>
    <m/>
    <x v="0"/>
    <x v="4"/>
    <m/>
    <n v="44963.635416666664"/>
    <x v="3"/>
    <m/>
    <m/>
    <m/>
    <m/>
    <m/>
    <m/>
    <m/>
    <m/>
    <m/>
    <m/>
    <m/>
    <m/>
    <m/>
    <m/>
    <m/>
    <m/>
  </r>
  <r>
    <s v="1057049-26-LE23"/>
    <s v="SMG. ADQUISICION DE CANULAS TUBOS Y OTROS INSUMOS PARA LOS SERVICIOS CLINICOS DEL HCSBA"/>
    <s v="El objetivo de la Propuesta es la adquisición de Cánulas, Tubos Y Otros Insumos  para los Servicios Clínicos del Hospital Clínico San Borja Arriarán, solicitados en las especificaciones técnicas, en concordancia con las Bases Administrativas, Técnicas, Formularios, aclaraciones y otros documentos que pudieran formularse en el transcurso de la licitación."/>
    <s v="SERV SALUD METROPOLITANO CENTRAL HOSPITAL CLINICO SAN BORJA ARRIARAN"/>
    <s v="877-1106 HUMIDIFICADOR DESCARTABLE"/>
    <n v="120"/>
    <x v="4"/>
    <x v="6"/>
    <d v="2023-02-01T16:41:07"/>
    <x v="5"/>
    <x v="2"/>
    <d v="2023-02-08T15:30:00"/>
    <d v="2023-02-02T00:00:00"/>
    <x v="0"/>
    <x v="2"/>
    <s v="No"/>
    <m/>
    <m/>
    <m/>
    <n v="0"/>
    <n v="0"/>
    <m/>
    <m/>
    <m/>
    <s v=" "/>
    <m/>
    <m/>
    <m/>
    <m/>
    <m/>
    <d v="2023-02-08T15:30:00"/>
    <m/>
    <m/>
    <x v="0"/>
    <x v="4"/>
    <m/>
    <n v="44965.645833333336"/>
    <x v="3"/>
    <m/>
    <m/>
    <m/>
    <m/>
    <m/>
    <m/>
    <m/>
    <m/>
    <m/>
    <m/>
    <m/>
    <m/>
    <m/>
    <m/>
    <m/>
    <m/>
  </r>
  <r>
    <s v="1057540-5-LE23"/>
    <s v="SUMINISTRO DE GASES MEDICINALES Y MANTENIMIENTO PREVENTIVO DE CENTRAL DE CENTRALES"/>
    <s v="SUMINISTRO DE GASES MEDICINALES Y MANTENIMIENTO PREVENTIVO DE CENTRAL DE CENTRALES."/>
    <s v="SERVICIO SALUD TALCAHUANO HOSPITAL PENCO-LIRQUEN"/>
    <s v="OXIDO NITROSO MEDICINAL_x000a_"/>
    <n v="1"/>
    <x v="2"/>
    <x v="17"/>
    <d v="2023-02-02T09:25:55"/>
    <x v="5"/>
    <x v="2"/>
    <d v="2023-02-13T18:42:00"/>
    <d v="2023-02-03T00:00:00"/>
    <x v="1"/>
    <x v="1"/>
    <s v="Si"/>
    <s v=" 07-02-2023"/>
    <s v=" 08-02-2023"/>
    <d v="2023-03-14T00:00:00"/>
    <n v="50000000"/>
    <n v="42016806.722689077"/>
    <n v="30"/>
    <s v="No"/>
    <m/>
    <s v=" "/>
    <s v="No"/>
    <s v="Contrato"/>
    <n v="24"/>
    <s v="No"/>
    <n v="60"/>
    <d v="2023-04-14T18:42:00"/>
    <m/>
    <m/>
    <x v="0"/>
    <x v="2"/>
    <m/>
    <d v="2023-04-14T18:42:00"/>
    <x v="3"/>
    <m/>
    <m/>
    <m/>
    <m/>
    <m/>
    <m/>
    <m/>
    <m/>
    <m/>
    <m/>
    <m/>
    <m/>
    <m/>
    <m/>
    <m/>
    <m/>
  </r>
  <r>
    <s v="1057049-36-LE23"/>
    <s v="SMG. ADQUISICION DE CATETER FOGARTY CODOS VENTILACION Y OTROS INSUMOS PARA LOS SERVICIOS CLINICOS DEL HCSBA"/>
    <s v="El objetivo de la Propuesta es la adquisición de Catéter Fogarty, Codos Ventilación y Otros Insumos para los Servicios Clínicos del Hospital Clínico San Borja Arriarán, solicitados en las especificaciones técnicas, en concordancia con las Bases Administrativas, Técnicas, Formularios, aclaraciones y otros documentos que pudieran formularse en el transcurso de la licitación."/>
    <s v="SERV SALUD METROPOLITANO CENTRAL HOSPITAL CLINICO SAN BORJA ARRIARAN"/>
    <s v="877-3733 SET RESPIRADOR BIPAP RESPIRONICS ARMONY A30"/>
    <n v="80"/>
    <x v="0"/>
    <x v="0"/>
    <d v="2023-02-04T11:24:48"/>
    <x v="5"/>
    <x v="2"/>
    <d v="2023-02-09T15:30:00"/>
    <d v="2023-02-06T00:00:00"/>
    <x v="0"/>
    <x v="0"/>
    <s v="No"/>
    <m/>
    <m/>
    <m/>
    <n v="0"/>
    <n v="0"/>
    <m/>
    <m/>
    <m/>
    <s v=" "/>
    <m/>
    <m/>
    <m/>
    <m/>
    <m/>
    <d v="2023-02-09T15:30:00"/>
    <m/>
    <m/>
    <x v="0"/>
    <x v="4"/>
    <m/>
    <n v="44966.645833333336"/>
    <x v="3"/>
    <m/>
    <m/>
    <m/>
    <m/>
    <m/>
    <m/>
    <m/>
    <m/>
    <m/>
    <m/>
    <m/>
    <m/>
    <m/>
    <m/>
    <m/>
    <m/>
  </r>
  <r>
    <s v="3692-7-L123"/>
    <s v="CONTRATACIÓN DEL SERVICIO DE RECARGA DE OXIGENO MEDICINAL Y ARRIENDO DE TUBOS DE OXÍGENO"/>
    <s v="CONTRATACIÓN DEL SERVICIO DE RECARGA DE OXIGENO MEDICINAL Y ARRIENDO DE TUBOS DE OXÍGENO PARA LOS ESTABLECIMIENTOS DE SALUD DE LA MUNICIPALIDAD DE EL QUISCO"/>
    <s v="I MUNICIPALIDAD DE EL QUISCO"/>
    <s v="Contrato de suministros y tiene como objeto la contratación del servicio de recarga de oxigeno medicinal y arriendo de tubos de oxígeno para los Establecimientos de Salud de la Municipalidad del Quisco."/>
    <n v="1"/>
    <x v="2"/>
    <x v="9"/>
    <d v="2023-02-03T14:02:32"/>
    <x v="5"/>
    <x v="2"/>
    <d v="2023-02-10T15:00:00"/>
    <d v="2023-02-06T00:00:00"/>
    <x v="0"/>
    <x v="7"/>
    <s v="No"/>
    <m/>
    <m/>
    <m/>
    <n v="0"/>
    <n v="0"/>
    <m/>
    <m/>
    <m/>
    <s v=" "/>
    <m/>
    <m/>
    <m/>
    <m/>
    <m/>
    <d v="2023-02-10T15:00:00"/>
    <m/>
    <m/>
    <x v="0"/>
    <x v="4"/>
    <m/>
    <n v="44967.625"/>
    <x v="3"/>
    <m/>
    <m/>
    <m/>
    <m/>
    <m/>
    <m/>
    <m/>
    <m/>
    <m/>
    <m/>
    <m/>
    <m/>
    <m/>
    <m/>
    <m/>
    <m/>
  </r>
  <r>
    <s v="2703-44-L123"/>
    <s v="SC 9997 Monitor y Oxímetros. CESFAM"/>
    <s v="SC 9997, Monitor y Oxímetros. CESFAM"/>
    <s v="I MUNICIPALIDAD DE TALAGANTE"/>
    <s v="Oxímetro adulto mide barra de pulso y curva pletismográfica y PI y PRbpm y SpO2, pantalla OLED, fácil lectura,precisión de saturación de oxigeno en sangre de 2%,apagado automático,alarma,indicador de batería,correa de mano,Tipo Choice MMed MD 300CN330"/>
    <n v="30"/>
    <x v="0"/>
    <x v="0"/>
    <d v="2023-02-03T15:52:54"/>
    <x v="5"/>
    <x v="2"/>
    <d v="2023-02-09T10:30:00"/>
    <d v="2023-02-06T00:00:00"/>
    <x v="1"/>
    <x v="1"/>
    <s v="Si"/>
    <d v="2023-02-06T15:00:00"/>
    <d v="2023-02-08T10:00:00"/>
    <d v="2023-03-22T17:00:00"/>
    <n v="0"/>
    <n v="0"/>
    <n v="30"/>
    <s v="No"/>
    <m/>
    <s v=" "/>
    <s v="No"/>
    <s v="Spot"/>
    <m/>
    <s v="No"/>
    <n v="45"/>
    <d v="2023-03-26T10:30:00"/>
    <n v="30"/>
    <n v="21927"/>
    <x v="48"/>
    <x v="2"/>
    <m/>
    <d v="2023-03-26T10:30:00"/>
    <x v="3"/>
    <m/>
    <m/>
    <m/>
    <m/>
    <m/>
    <m/>
    <m/>
    <m/>
    <m/>
    <m/>
    <m/>
    <m/>
    <m/>
    <m/>
    <m/>
    <m/>
  </r>
  <r>
    <s v="1260057-6-LE23"/>
    <s v="COMPRA INSUMOS MEDICOS MARZO 2023"/>
    <s v="ESTA LICITACION TIENE POR OBJETO LA COMPRA DE INSUMOS MEDICOS PARA EL HOSPITAL DE PEÑAFLOR, PERIODO MARZO 2023"/>
    <s v="SERVICIO NACIONAL DE SALUD HOSPITAL DE P"/>
    <s v="ARNES DE MASCARILLA VMNI"/>
    <n v="20"/>
    <x v="0"/>
    <x v="0"/>
    <d v="2023-02-03T08:13:56"/>
    <x v="5"/>
    <x v="2"/>
    <d v="2023-02-09T12:00:00"/>
    <d v="2023-02-06T00:00:00"/>
    <x v="0"/>
    <x v="0"/>
    <s v="No"/>
    <m/>
    <m/>
    <m/>
    <n v="0"/>
    <n v="0"/>
    <m/>
    <s v="No"/>
    <m/>
    <s v=" "/>
    <s v="No"/>
    <m/>
    <m/>
    <m/>
    <m/>
    <d v="2023-02-09T12:00:00"/>
    <m/>
    <m/>
    <x v="0"/>
    <x v="4"/>
    <m/>
    <n v="44966.5"/>
    <x v="3"/>
    <m/>
    <m/>
    <m/>
    <m/>
    <m/>
    <m/>
    <m/>
    <m/>
    <m/>
    <m/>
    <m/>
    <m/>
    <m/>
    <m/>
    <m/>
    <m/>
  </r>
  <r>
    <s v="2296-24-LE23"/>
    <s v="ADQUISICIÓN DE IMPLEMENTOS PARA PROCEDIMIENTOS VETERINARIOS"/>
    <s v="ADQUISICIÓN DE IMPLEMENTOS PARA PROCEDIMIENTOS VETERINARIOS, SEGÚN BASES"/>
    <s v="I MUNICIPALIDAD DE CONCHALI"/>
    <s v="1 MAQUINA PORTÁTIL DE ANESTESIA, 1 CONCENTRADOR DE OXIGENO, 1 KIT DE MASCARILLAS."/>
    <n v="1"/>
    <x v="0"/>
    <x v="0"/>
    <d v="2023-02-06T16:48:51"/>
    <x v="5"/>
    <x v="2"/>
    <d v="2023-02-16T12:14:00"/>
    <d v="2023-02-07T00:00:00"/>
    <x v="0"/>
    <x v="4"/>
    <s v="No"/>
    <m/>
    <m/>
    <m/>
    <n v="0"/>
    <n v="0"/>
    <m/>
    <m/>
    <m/>
    <s v=" "/>
    <m/>
    <m/>
    <m/>
    <m/>
    <m/>
    <d v="2023-02-16T12:14:00"/>
    <m/>
    <m/>
    <x v="0"/>
    <x v="4"/>
    <m/>
    <n v="44973.509722222225"/>
    <x v="3"/>
    <m/>
    <m/>
    <m/>
    <m/>
    <m/>
    <m/>
    <m/>
    <m/>
    <m/>
    <m/>
    <m/>
    <m/>
    <m/>
    <m/>
    <m/>
    <m/>
  </r>
  <r>
    <s v="2381-10-LE23"/>
    <s v="ADQUISICIÓN DE UN MANIFOLD PARA LA RED DE OXIGENO"/>
    <s v="ADQUISICIÓN DE UN MANIFOLD PARA LA RED DE OXIGENO MEDICO DEL SAR PAIPOTE"/>
    <s v="I MUNICIPALIDAD DE COPIAPO"/>
    <s v="Manifold Automático de Gas medico Hibrido automático, según bases adjuntas"/>
    <n v="1"/>
    <x v="4"/>
    <x v="6"/>
    <d v="2023-02-06T15:17:55"/>
    <x v="5"/>
    <x v="2"/>
    <d v="2023-02-16T13:23:00"/>
    <d v="2023-02-07T00:00:00"/>
    <x v="0"/>
    <x v="2"/>
    <s v="No"/>
    <m/>
    <m/>
    <m/>
    <n v="0"/>
    <n v="0"/>
    <m/>
    <m/>
    <m/>
    <s v=" "/>
    <m/>
    <m/>
    <m/>
    <m/>
    <m/>
    <d v="2023-02-16T13:23:00"/>
    <m/>
    <m/>
    <x v="0"/>
    <x v="4"/>
    <m/>
    <n v="44973.557638888888"/>
    <x v="3"/>
    <m/>
    <m/>
    <m/>
    <m/>
    <m/>
    <m/>
    <m/>
    <m/>
    <m/>
    <m/>
    <m/>
    <m/>
    <m/>
    <m/>
    <m/>
    <m/>
  </r>
  <r>
    <s v="1057501-40-LR23"/>
    <s v="CONTRATACIÓN DE “SUMINISTRO DE TERAPIA DE ÓXIDO NÍTRICO POR INHALACIÓN”"/>
    <s v="La necesidad de contratar los servicios de suministros de terapia de oxido nítrico por inhalación, para dar continuidad a los tratamientos y procedimientos de pacientes beneficiarios del CASR."/>
    <s v="COMPLEJO ASISTENCIAL DR. SOTERO DEL RIO"/>
    <s v="77-002-001-120-00 Terapia con Inomax (debe incluir todos los servicios indicados en las bases de licitación)"/>
    <n v="1"/>
    <x v="1"/>
    <x v="1"/>
    <d v="2023-02-06T09:50:00"/>
    <x v="5"/>
    <x v="2"/>
    <d v="2023-03-08T17:00:00"/>
    <d v="2023-02-07T00:00:00"/>
    <x v="1"/>
    <x v="1"/>
    <s v="Si"/>
    <m/>
    <m/>
    <m/>
    <n v="0"/>
    <n v="0"/>
    <m/>
    <s v="Si"/>
    <n v="500000"/>
    <d v="2023-07-10T00:00:00"/>
    <s v="No"/>
    <m/>
    <m/>
    <s v="No"/>
    <m/>
    <d v="2023-03-08T17:00:00"/>
    <m/>
    <m/>
    <x v="0"/>
    <x v="4"/>
    <m/>
    <n v="44993.708333333336"/>
    <x v="3"/>
    <m/>
    <m/>
    <m/>
    <m/>
    <m/>
    <m/>
    <m/>
    <m/>
    <m/>
    <m/>
    <m/>
    <m/>
    <m/>
    <m/>
    <m/>
    <m/>
  </r>
  <r>
    <s v="4193-3-LE23"/>
    <s v="Suministro Oxígeno Médico y otros año 2023"/>
    <s v="Las presentes bases tienen por objetivo determinar y definir las condiciones generales que se deberán aplicar para la licitación pública de “SUMINISTRO DE OXIGENO MEDICO Y OTROS, AÑO 2023”"/>
    <s v="I MUNICIPALIDAD DE CALDERA"/>
    <s v="Contrato de Suministro de Oxígeno médico y otros Año 2023"/>
    <n v="1"/>
    <x v="2"/>
    <x v="11"/>
    <d v="2023-02-06T15:46:32"/>
    <x v="5"/>
    <x v="2"/>
    <d v="2023-02-13T15:01:00"/>
    <d v="2023-02-07T00:00:00"/>
    <x v="0"/>
    <x v="7"/>
    <s v="No"/>
    <m/>
    <m/>
    <m/>
    <n v="0"/>
    <n v="0"/>
    <m/>
    <m/>
    <m/>
    <s v=" "/>
    <m/>
    <m/>
    <m/>
    <m/>
    <m/>
    <d v="2023-02-13T15:01:00"/>
    <m/>
    <m/>
    <x v="0"/>
    <x v="4"/>
    <m/>
    <n v="44970.625694444447"/>
    <x v="3"/>
    <m/>
    <m/>
    <m/>
    <m/>
    <m/>
    <m/>
    <m/>
    <m/>
    <m/>
    <m/>
    <m/>
    <m/>
    <m/>
    <m/>
    <m/>
    <m/>
  </r>
  <r>
    <s v="2069-8-LQ23"/>
    <s v="CGM MANT PREV Y CORR RESONADOR MAGNETICO GE"/>
    <s v="El Hospital Barros Luco Trudeau, Establecimiento Autogestionado en Red, desarrolla labores asistenciales de carácter ambulatorio, hospitalizados y de urgencia utilizando una serie de equipos los que requieren estar en óptimas condiciones para el desarrollo de las funciones asistenciales del hospital."/>
    <s v="SERVICIO DE SALUD METROPOLITANO SUR HOSP"/>
    <s v="MANTENCIÓN PREVENTIVA Y CORRECTIVA RESONADOR MAGNÉTICO MARCA GENERAL ELECTRIC MODELO 1-5TLX TO 16 CHANNEL HDX UPG"/>
    <n v="1"/>
    <x v="7"/>
    <x v="1"/>
    <d v="2023-02-06T11:50:18"/>
    <x v="5"/>
    <x v="2"/>
    <d v="2023-02-16T16:00:00"/>
    <d v="2023-02-07T00:00:00"/>
    <x v="0"/>
    <x v="4"/>
    <s v="Si"/>
    <m/>
    <m/>
    <m/>
    <n v="0"/>
    <n v="0"/>
    <m/>
    <m/>
    <m/>
    <s v=" "/>
    <m/>
    <m/>
    <m/>
    <m/>
    <m/>
    <d v="2023-02-16T16:00:00"/>
    <m/>
    <m/>
    <x v="0"/>
    <x v="4"/>
    <m/>
    <n v="44973.666666666664"/>
    <x v="3"/>
    <m/>
    <m/>
    <m/>
    <m/>
    <m/>
    <m/>
    <m/>
    <m/>
    <m/>
    <m/>
    <m/>
    <m/>
    <m/>
    <m/>
    <m/>
    <m/>
  </r>
  <r>
    <s v="1641-7-LR23"/>
    <s v="GGV MANTENCION P Y C VENTILADORES MECANICOS"/>
    <s v="mantencion preventiva y correctiva de ventiladores mecánicos invasivos y no invasivos por 24 meses para HSJD-CDT"/>
    <s v="SERVICIO DE SALUD OCCIDENTE HOSPITAL SAN JUAN DE DIOS"/>
    <s v="&quot;MANTENCION CORRECTIVA  DE VENTILADORES MECANICOS INVASIVOS Y NO INVASIVOS&quot;"/>
    <n v="24"/>
    <x v="0"/>
    <x v="0"/>
    <d v="2023-02-07T11:39:17"/>
    <x v="5"/>
    <x v="2"/>
    <d v="2023-03-09T16:00:00"/>
    <d v="2023-02-08T00:00:00"/>
    <x v="0"/>
    <x v="10"/>
    <m/>
    <m/>
    <m/>
    <m/>
    <n v="0"/>
    <n v="0"/>
    <m/>
    <m/>
    <m/>
    <s v=" "/>
    <m/>
    <m/>
    <m/>
    <m/>
    <m/>
    <d v="2023-03-09T16:00:00"/>
    <m/>
    <m/>
    <x v="0"/>
    <x v="4"/>
    <m/>
    <n v="44994.666666666664"/>
    <x v="3"/>
    <m/>
    <m/>
    <m/>
    <m/>
    <m/>
    <m/>
    <m/>
    <m/>
    <m/>
    <m/>
    <m/>
    <m/>
    <m/>
    <m/>
    <m/>
    <m/>
  </r>
  <r>
    <s v="2448-5-LE23"/>
    <s v="SUMINISTRO DE OXIGENO PERIODO 2023 APS"/>
    <s v="Se requiere licitar Suministro de Oxígeno Periodo 2023."/>
    <s v="I MUNICIPALIDAD DE COQUIMBO"/>
    <s v="SUMINISTRO DE OXIGENO PERIODO 2023 PARA LA APS COQUIMBO"/>
    <n v="1"/>
    <x v="2"/>
    <x v="11"/>
    <d v="2023-02-07T15:52:50"/>
    <x v="5"/>
    <x v="2"/>
    <d v="2023-02-16T15:13:00"/>
    <d v="2023-02-08T00:00:00"/>
    <x v="0"/>
    <x v="7"/>
    <s v="No"/>
    <m/>
    <m/>
    <m/>
    <n v="0"/>
    <n v="0"/>
    <m/>
    <m/>
    <m/>
    <s v=" "/>
    <m/>
    <m/>
    <m/>
    <m/>
    <m/>
    <d v="2023-02-16T15:13:00"/>
    <m/>
    <m/>
    <x v="0"/>
    <x v="4"/>
    <m/>
    <n v="44973.634027777778"/>
    <x v="3"/>
    <m/>
    <m/>
    <m/>
    <m/>
    <m/>
    <m/>
    <m/>
    <m/>
    <m/>
    <m/>
    <m/>
    <m/>
    <m/>
    <m/>
    <m/>
    <m/>
  </r>
  <r>
    <s v="1057049-41-LE23"/>
    <s v="SMG. ADQUISICION DE AEROCAMARAS PEDIATRICAS BASE CALEFACTORA Y OTROS "/>
    <s v="El objetivo de la Propuesta es la adquisición de Aerocámaras Pediátricas, Base Calefactora Y Otros Insumos Los Servicios Clínicos del Hospital Clínico San Borja Arriarán, solicitados en las especificaciones técnicas, en concordancia con las Bases Administrativas, Técnicas, Formularios, aclaraciones y otros documentos que pudieran formularse en el transcurso de la licitación."/>
    <s v="SERV SALUD METROPOLITANO CENTRAL HOSPITAL CLINICO SAN BORJA ARRIARAN"/>
    <s v="877-0115 ARNES REUTILIZABLE P/ BIPAP HARMONY"/>
    <n v="25"/>
    <x v="0"/>
    <x v="0"/>
    <d v="2023-02-07T14:23:11"/>
    <x v="5"/>
    <x v="2"/>
    <d v="2023-02-13T15:30:00"/>
    <d v="2023-02-08T00:00:00"/>
    <x v="0"/>
    <x v="0"/>
    <s v="No"/>
    <m/>
    <m/>
    <m/>
    <n v="0"/>
    <n v="0"/>
    <m/>
    <m/>
    <m/>
    <s v=" "/>
    <m/>
    <s v="Contrato"/>
    <n v="24"/>
    <m/>
    <m/>
    <d v="2023-02-13T15:30:00"/>
    <m/>
    <m/>
    <x v="0"/>
    <x v="4"/>
    <m/>
    <n v="44970.645833333336"/>
    <x v="3"/>
    <m/>
    <m/>
    <m/>
    <m/>
    <m/>
    <m/>
    <m/>
    <m/>
    <m/>
    <m/>
    <m/>
    <m/>
    <m/>
    <m/>
    <m/>
    <m/>
  </r>
  <r>
    <s v="2101-17-LE23"/>
    <s v="CONVENIO DE MANTENCIÓN GASES CLÍNICOS"/>
    <s v="Mediante la presente propuesta pública el Hospital Intercultural Kallvu Llanka invita a oferentes, personas naturales o jurídicas a participar de una licitación pública correspondiente a la adquisición de servicios para la “SUSCRIPCIÓN DE CONVENIO DE MANTENCIÓN PREVENTIVA, CORRECTIVA, REPARATIVA Y ADQUISICIÓN DE REPUESTOS Y ACCESORIOS PARA SISTEMA DE DISTRIBUCIÓN DE GASES CLÍNICOS”, destinados a usuarios del Hospital."/>
    <s v="HOSPITAL INTERCULTURAL KALLVU LLANKA.-"/>
    <s v="SUSCRIPCIÓN DE CONVENIO DE MANTENCIÓN PREVENTIVA, CORRECTIVA, REPARATIVA Y ADQUISICIÓN DE REPUESTOS Y ACCESORIOS PARA SISTEMA DE DISTRIBUCIÓN DE GASES CLÍNICOS"/>
    <n v="1"/>
    <x v="5"/>
    <x v="6"/>
    <d v="2023-02-07T12:36:41"/>
    <x v="5"/>
    <x v="2"/>
    <d v="2023-02-17T17:41:00"/>
    <d v="2023-02-08T00:00:00"/>
    <x v="0"/>
    <x v="2"/>
    <s v="No"/>
    <m/>
    <m/>
    <m/>
    <n v="0"/>
    <n v="0"/>
    <m/>
    <m/>
    <m/>
    <s v=" "/>
    <m/>
    <m/>
    <m/>
    <m/>
    <m/>
    <d v="2023-02-17T17:41:00"/>
    <m/>
    <m/>
    <x v="0"/>
    <x v="4"/>
    <m/>
    <n v="44974.736805555556"/>
    <x v="3"/>
    <m/>
    <m/>
    <m/>
    <m/>
    <m/>
    <m/>
    <m/>
    <m/>
    <m/>
    <m/>
    <m/>
    <m/>
    <m/>
    <m/>
    <m/>
    <m/>
  </r>
  <r>
    <s v="2307-12-L123"/>
    <s v="Adquisición Bomba de Vacio para Autoclave CESFAM Ovejeria "/>
    <s v="La I. Municipalidad de Osorno, a través del Departamento de Salud requiere adquirir una bomba de vacío para Autoclave del CESFAM Ovejería, según las especificaciones  indicadas en el punto N°13 y lo solicitado a través de requerimiento N°101 .-"/>
    <s v="I MUNICIPALIDAD DE OSORNO"/>
    <s v="Se requiere la adquisición de 1 Bomba de vacío, con reparación, instalación y puesta en marcha. Ver Bases Punto 13"/>
    <n v="1"/>
    <x v="4"/>
    <x v="6"/>
    <d v="2023-02-07T10:34:49"/>
    <x v="5"/>
    <x v="2"/>
    <d v="2023-02-13T15:00:00"/>
    <d v="2023-02-08T00:00:00"/>
    <x v="0"/>
    <x v="2"/>
    <s v="No"/>
    <m/>
    <m/>
    <m/>
    <n v="0"/>
    <n v="0"/>
    <m/>
    <m/>
    <m/>
    <s v=" "/>
    <m/>
    <m/>
    <m/>
    <m/>
    <m/>
    <d v="2023-02-13T15:00:00"/>
    <m/>
    <m/>
    <x v="0"/>
    <x v="4"/>
    <m/>
    <n v="44970.625"/>
    <x v="3"/>
    <m/>
    <m/>
    <m/>
    <m/>
    <m/>
    <m/>
    <m/>
    <m/>
    <m/>
    <m/>
    <m/>
    <m/>
    <m/>
    <m/>
    <m/>
    <m/>
  </r>
  <r>
    <s v="1627-10-LE23"/>
    <s v="INSUMOS EQUIPOS MEDICOS PLAN DE COMPRA 2023"/>
    <s v="SE REQUIERE COMPRA DE INSUMOS PARA EQUIPOS MEDICOS"/>
    <s v="SERVICIO DE SALUD HOSPITAL DE SAN FERNANDO"/>
    <s v="&quot;FLUJOMETRO DE OXIGENO DE CAUDAL 0-15 LPM PARA CILINDRO VALVULA PIN (YUGO)"/>
    <n v="65"/>
    <x v="4"/>
    <x v="6"/>
    <d v="2023-02-08T11:19:25"/>
    <x v="5"/>
    <x v="2"/>
    <d v="2023-02-20T19:56:00"/>
    <d v="2023-02-09T00:00:00"/>
    <x v="0"/>
    <x v="2"/>
    <s v="No"/>
    <m/>
    <m/>
    <m/>
    <n v="0"/>
    <n v="0"/>
    <m/>
    <m/>
    <m/>
    <s v=" "/>
    <m/>
    <m/>
    <m/>
    <m/>
    <m/>
    <d v="2023-02-20T19:56:00"/>
    <m/>
    <m/>
    <x v="0"/>
    <x v="4"/>
    <m/>
    <n v="44977.830555555556"/>
    <x v="3"/>
    <m/>
    <m/>
    <m/>
    <m/>
    <m/>
    <m/>
    <m/>
    <m/>
    <m/>
    <m/>
    <m/>
    <m/>
    <m/>
    <m/>
    <m/>
    <m/>
  </r>
  <r>
    <s v="4162-3-LE23"/>
    <s v="COMPRA DE INSUMOS CLINICOS PARA AMBOS CESFAM DE LA"/>
    <s v="CONTAR CON LOS INSUMOS CLINICOS NECESARIO PARA EL NORMAL FUNCIONAMIENTO DE AMBOS CESFAM DE LA COMUNA DE DOÑIHUE"/>
    <s v="I MUNICIPALIDAD DE DONIHUE"/>
    <s v="OXIMETRO ADULTO SIMILAR A MARCA CHOICE MMED"/>
    <n v="6"/>
    <x v="0"/>
    <x v="0"/>
    <d v="2023-02-08T18:11:20"/>
    <x v="5"/>
    <x v="2"/>
    <d v="2023-02-20T17:28:00"/>
    <d v="2023-02-09T00:00:00"/>
    <x v="0"/>
    <x v="0"/>
    <s v="No"/>
    <m/>
    <m/>
    <m/>
    <n v="0"/>
    <n v="0"/>
    <m/>
    <m/>
    <m/>
    <s v=" "/>
    <m/>
    <m/>
    <m/>
    <m/>
    <m/>
    <d v="2023-02-20T17:28:00"/>
    <m/>
    <m/>
    <x v="0"/>
    <x v="4"/>
    <m/>
    <n v="44977.727777777778"/>
    <x v="3"/>
    <m/>
    <m/>
    <m/>
    <m/>
    <m/>
    <m/>
    <m/>
    <m/>
    <m/>
    <m/>
    <m/>
    <m/>
    <m/>
    <m/>
    <m/>
    <m/>
  </r>
  <r>
    <s v="744835-40-L123"/>
    <s v="SERVICIOS DE MANTENCIÓN RED DE GAS"/>
    <s v="SEGÚN SOLICITUD DE MATERIALES N ° 31-2023, DE DEPTO. DE SALUD, CON REQUERIMIENTO DETALLADO."/>
    <s v="I MUNICIPALIDAD DE LO ESPEJO"/>
    <s v="Servicio de Mantención Preventiva Red de Gases Medicinales, según de talle en requerimiento adjunto."/>
    <n v="1"/>
    <x v="5"/>
    <x v="6"/>
    <d v="2023-02-09T10:27:58"/>
    <x v="5"/>
    <x v="2"/>
    <d v="2023-02-17T10:00:00"/>
    <d v="2023-02-10T00:00:00"/>
    <x v="0"/>
    <x v="7"/>
    <s v="No"/>
    <m/>
    <m/>
    <m/>
    <n v="0"/>
    <n v="0"/>
    <m/>
    <m/>
    <m/>
    <s v=" "/>
    <m/>
    <m/>
    <m/>
    <m/>
    <m/>
    <d v="2023-02-17T10:00:00"/>
    <m/>
    <m/>
    <x v="0"/>
    <x v="4"/>
    <m/>
    <n v="44974.416666666664"/>
    <x v="3"/>
    <m/>
    <m/>
    <m/>
    <m/>
    <m/>
    <m/>
    <m/>
    <m/>
    <m/>
    <m/>
    <m/>
    <m/>
    <m/>
    <m/>
    <m/>
    <m/>
  </r>
  <r>
    <s v="2126-20-LE23"/>
    <s v="ADQUISICION INSUMOS MEDICINA FISICA Y REHABILITA"/>
    <s v="Abastecer al Hospital San Pablo de Coquimbo de los Insumos necesarios, para continuar con su normal funcionamiento."/>
    <s v="HOSPITAL DE COQUIMBO"/>
    <s v="Valvulas threshold pep"/>
    <n v="40"/>
    <x v="0"/>
    <x v="0"/>
    <d v="2023-02-10T09:50:02"/>
    <x v="5"/>
    <x v="2"/>
    <d v="2023-02-20T15:10:00"/>
    <d v="2023-02-13T00:00:00"/>
    <x v="0"/>
    <x v="9"/>
    <s v="No"/>
    <d v="2023-02-15T12:00:00"/>
    <d v="2023-02-16T13:00:00"/>
    <d v="2023-04-21T15:00:00"/>
    <n v="0"/>
    <n v="0"/>
    <m/>
    <s v="Si"/>
    <n v="250000"/>
    <d v="2023-04-21T00:00:00"/>
    <s v="No"/>
    <m/>
    <m/>
    <m/>
    <m/>
    <d v="2023-02-20T15:10:00"/>
    <m/>
    <m/>
    <x v="0"/>
    <x v="4"/>
    <m/>
    <d v="2023-02-20T15:10:00"/>
    <x v="3"/>
    <m/>
    <m/>
    <m/>
    <m/>
    <m/>
    <m/>
    <m/>
    <m/>
    <m/>
    <m/>
    <m/>
    <m/>
    <m/>
    <m/>
    <m/>
    <m/>
  </r>
  <r>
    <s v="2157-8-LE23"/>
    <s v="SERVICIO DE SUMINISTRO DE GASES CLÍNICOS PARA EL HOSPITAL TRAUMATOLÓGICO DE CONCEPCIÓN"/>
    <s v="Se requiere servicio de suministro de gases clínicos, para abastecimiento de áreas clínicas."/>
    <s v="SERVICIO NAC DE SALUD HOSPITAL TRAUMATOLOGICO"/>
    <s v="Servicio de suministro de gases clínicos para el Hospital Traumatológico de Concepción, según letra B Bases Técnicas."/>
    <n v="1"/>
    <x v="2"/>
    <x v="2"/>
    <d v="2023-02-13T16:24:59"/>
    <x v="5"/>
    <x v="2"/>
    <d v="2023-02-23T17:04:00"/>
    <d v="2023-02-14T00:00:00"/>
    <x v="1"/>
    <x v="1"/>
    <s v="Si"/>
    <d v="2023-02-13T17:01:00"/>
    <d v="2023-02-20T17:03:00"/>
    <d v="2023-05-23T17:06:00"/>
    <n v="61707231"/>
    <n v="51854815.966386557"/>
    <m/>
    <s v="No"/>
    <m/>
    <m/>
    <s v="Si"/>
    <m/>
    <m/>
    <s v="No"/>
    <m/>
    <d v="2023-02-23T17:04:00"/>
    <m/>
    <m/>
    <x v="0"/>
    <x v="2"/>
    <m/>
    <d v="2023-02-23T17:04:00"/>
    <x v="3"/>
    <m/>
    <m/>
    <m/>
    <m/>
    <m/>
    <m/>
    <m/>
    <m/>
    <m/>
    <m/>
    <m/>
    <m/>
    <m/>
    <m/>
    <m/>
    <m/>
  </r>
  <r>
    <s v="1075963-85-LE23"/>
    <s v="ADQUISICION DE BRONCO CATH SQ EQUIPO ASPIRACION CONTINUO MALLA PREFORMADA AGUJA BIOPSIA CIRCUITO RESPIRATORIO CATETER LINEA INFUSION CONTINUA CANULA  TUBO ENDOTRAQUEAL MASCARILLA OXIGENO ADULTO Y OTROS INSUMOS CLINICOS"/>
    <s v="ADQUISICION DE BRONCO CATH, SQ, EQUIPO ASPIRACION CONTINUO, MALLA PREFORMADA, AGUJA BIOPSIA, CIRCUITO RESPIRATORIO, CATETER, LINEA INFUSION CONTINUA, CANULA , TUBO ENDOTRAQUEAL, MASCARILLA OXIGENO ADULTO Y OTROS INSUMOS CLINICOS"/>
    <s v="SERVICIO DE SALUD ARICA HOSP DR JUAN NOE CREVANI"/>
    <s v="2227820 - AEROCAMARA  ADULTO  P/INHALACION - (UM: UNIDAD)"/>
    <n v="7200"/>
    <x v="0"/>
    <x v="0"/>
    <d v="2023-02-13T16:11:08"/>
    <x v="5"/>
    <x v="2"/>
    <d v="2023-02-23T15:00:00"/>
    <d v="2023-02-14T00:00:00"/>
    <x v="0"/>
    <x v="6"/>
    <s v="No"/>
    <m/>
    <m/>
    <m/>
    <n v="0"/>
    <n v="0"/>
    <m/>
    <m/>
    <m/>
    <m/>
    <m/>
    <m/>
    <m/>
    <m/>
    <m/>
    <d v="2023-02-23T15:00:00"/>
    <m/>
    <m/>
    <x v="0"/>
    <x v="4"/>
    <m/>
    <d v="2023-02-23T15:00:00"/>
    <x v="3"/>
    <m/>
    <m/>
    <m/>
    <m/>
    <m/>
    <m/>
    <m/>
    <m/>
    <m/>
    <m/>
    <m/>
    <m/>
    <m/>
    <m/>
    <m/>
    <m/>
  </r>
  <r>
    <s v="3944-2-LE23"/>
    <s v="CONTRATO SUMINISTRO OXIGENO MEDICINAL Y ARRIENDO"/>
    <s v="1. Que, el Departamento de Salud de Peralillo busca proporcionar al CESFAM Peralillo, Contrato de Suministro, Recarga de Cilindros Oxigeno Medicinal por 24 meses con posibilidad de renovación por 12 Meses por una sola vez &quot;Siendo el objetivo general de este convenio disponer de manera expedita de oxigeno medicinal evitando desabastecimiento e inconvenientes logísticos. "/>
    <s v="I MUNICIPALIDAD DE PERALILLO"/>
    <s v="ARRIENDO DIARIO POR CILINDRO DE GAS MEDICO"/>
    <n v="1"/>
    <x v="2"/>
    <x v="2"/>
    <d v="2023-02-13T12:54:22"/>
    <x v="5"/>
    <x v="2"/>
    <d v="2023-02-23T12:16:00"/>
    <d v="2023-02-14T00:00:00"/>
    <x v="0"/>
    <x v="7"/>
    <s v="No"/>
    <d v="2023-02-16T16:40:00"/>
    <d v="2023-02-17T16:40:00"/>
    <d v="2023-03-03T12:17:00"/>
    <n v="6400000"/>
    <n v="5378151.260504202"/>
    <m/>
    <m/>
    <m/>
    <m/>
    <m/>
    <m/>
    <m/>
    <m/>
    <m/>
    <d v="2023-02-23T12:16:00"/>
    <m/>
    <m/>
    <x v="0"/>
    <x v="4"/>
    <m/>
    <d v="2023-02-23T12:16:00"/>
    <x v="3"/>
    <m/>
    <m/>
    <m/>
    <m/>
    <m/>
    <m/>
    <m/>
    <m/>
    <m/>
    <m/>
    <m/>
    <m/>
    <m/>
    <m/>
    <m/>
    <m/>
  </r>
  <r>
    <s v="1067355-5-LE23"/>
    <s v="Convenio Suministro Oxigeno"/>
    <s v="Contar con suministro permanente de oxigeno clinico para el Hospital Santa Elisa"/>
    <s v="HOSPITAL SANTA ELISA DE SAN JOSE DE LA MARIQUINA"/>
    <s v="Suministro oxigeno clinico para cilindros de 10 metros cubicos"/>
    <n v="1"/>
    <x v="2"/>
    <x v="3"/>
    <d v="2023-02-13T16:15:23"/>
    <x v="5"/>
    <x v="2"/>
    <d v="2023-02-23T13:22:00"/>
    <d v="2023-02-14T00:00:00"/>
    <x v="1"/>
    <x v="1"/>
    <s v="Si"/>
    <d v="2023-02-18T19:27:00"/>
    <d v="2023-02-20T19:27:00"/>
    <d v="2023-03-23T13:23:00"/>
    <n v="0"/>
    <n v="0"/>
    <m/>
    <s v="No"/>
    <m/>
    <m/>
    <s v="Si"/>
    <s v="Contrato"/>
    <n v="12"/>
    <s v="No"/>
    <m/>
    <d v="2023-02-23T13:22:00"/>
    <m/>
    <m/>
    <x v="0"/>
    <x v="0"/>
    <d v="2023-03-20T00:00:00"/>
    <n v="-24.443055555559113"/>
    <x v="2"/>
    <n v="27684941"/>
    <d v="2023-03-20T00:00:00"/>
    <d v="2024-03-20T00:00:00"/>
    <s v="Contrato"/>
    <m/>
    <m/>
    <m/>
    <m/>
    <m/>
    <m/>
    <m/>
    <m/>
    <m/>
    <m/>
    <m/>
    <m/>
  </r>
  <r>
    <s v="2421-10-LE23"/>
    <s v="SUMINISTRO DE OXIGENO DOMICILIARIO "/>
    <s v="SE SOLICITA LA CONTRATACIÓN DEL SERVICIO DE OXÍGENO DOMICILIARIO DESTINADO A LOS USUARIOS DE LOS CENTROS DE SALUD DEPENDIENTES DE LA ILUSTRE MUNICIPALIDAD DE CONCEPCIÒN."/>
    <s v="I MUNICIPALIDAD DE CONCEPCION"/>
    <s v="Arriendo pack concentrador de oxigeno con flujo de hasta 5 litros por minuto y cilindro de respaldo SOS de 1 m3 o similar, incluye capacitación al familiar, traslado e instalación de los cilindros de oxigeno medicinal."/>
    <n v="1"/>
    <x v="3"/>
    <x v="5"/>
    <d v="2023-02-14T17:07:25"/>
    <x v="5"/>
    <x v="2"/>
    <d v="2023-02-24T12:00:00"/>
    <d v="2023-02-15T00:00:00"/>
    <x v="1"/>
    <x v="1"/>
    <s v="Si"/>
    <d v="2023-02-17T15:00:00"/>
    <d v="2023-02-21T15:00:00"/>
    <d v="2023-03-15T18:00:00"/>
    <n v="27000000"/>
    <n v="22689075.630252101"/>
    <m/>
    <s v="Si"/>
    <n v="350000"/>
    <d v="2023-05-30T00:00:00"/>
    <s v="No"/>
    <s v="Contrato"/>
    <n v="12"/>
    <s v="No"/>
    <m/>
    <d v="2023-02-24T12:00:00"/>
    <m/>
    <m/>
    <x v="0"/>
    <x v="0"/>
    <d v="2023-03-01T00:00:00"/>
    <n v="-4.5"/>
    <x v="0"/>
    <n v="27000000"/>
    <d v="2023-03-01T00:00:00"/>
    <d v="2024-03-01T00:00:00"/>
    <s v="Contrato"/>
    <m/>
    <m/>
    <m/>
    <m/>
    <m/>
    <m/>
    <m/>
    <m/>
    <m/>
    <m/>
    <m/>
    <m/>
  </r>
  <r>
    <s v="1021609-2-LE23"/>
    <s v="CONVENIO DE SUMINISTRO OXIGENO CRIOGENICO HOSPITAL RICARDO VALENZUELA SAEZ DE RENGO"/>
    <s v="Se hace necesario contar con un Suministro constante de oxígeno líquido criogénico en atención de los pacientes del Hospital Dr. Ricardo Valenzuela Sáez de Rengo. Suministrar en forma oportuna y continua Oxígeno Líquido Criogénico al Hospital para la distribución en los distintos servicios clínicos del establecimiento Hospitalario. Contar con un Convenio de Suministro de Oxígeno Líquido Criogénico para 24 meses. Contar con un Sistema preventivo y de alertas para el correcto funcionamiento del suministro de oxígeno líquido criogénico"/>
    <s v="SERVICIO DE SALUD HOSPITAL DE RENGO"/>
    <s v="Oxigeno Liquido Criogenico"/>
    <n v="1"/>
    <x v="2"/>
    <x v="2"/>
    <d v="2023-02-14T16:55:22"/>
    <x v="5"/>
    <x v="2"/>
    <d v="2023-02-27T18:00:00"/>
    <d v="2023-02-15T00:00:00"/>
    <x v="0"/>
    <x v="7"/>
    <s v="No"/>
    <m/>
    <m/>
    <m/>
    <n v="0"/>
    <n v="0"/>
    <m/>
    <m/>
    <m/>
    <m/>
    <m/>
    <m/>
    <m/>
    <m/>
    <m/>
    <d v="2023-02-27T18:00:00"/>
    <m/>
    <m/>
    <x v="0"/>
    <x v="4"/>
    <m/>
    <d v="2023-02-27T18:00:00"/>
    <x v="3"/>
    <m/>
    <m/>
    <m/>
    <m/>
    <m/>
    <m/>
    <m/>
    <m/>
    <m/>
    <m/>
    <m/>
    <m/>
    <m/>
    <m/>
    <m/>
    <m/>
  </r>
  <r>
    <s v="1242031-4-L123"/>
    <s v="ADQUISICION DE MATERIALES KINESIOLOGICO"/>
    <s v="La Corporación de Deporte Municipal de Arauco, llama a licitación pública Adquisición de Materiales uso trabajos kinésico, para centro de rehabilitación de alto rendimiento"/>
    <s v="CORPORACION MUNICIPAL DE DEPORTES DE LA COMUNA DE ARAUCO"/>
    <s v="OXIMETRO DE PULSO"/>
    <n v="2"/>
    <x v="0"/>
    <x v="0"/>
    <d v="2023-02-14T15:08:27"/>
    <x v="5"/>
    <x v="2"/>
    <d v="2023-02-22T19:21:00"/>
    <d v="2023-02-15T00:00:00"/>
    <x v="0"/>
    <x v="0"/>
    <s v="No"/>
    <m/>
    <m/>
    <m/>
    <n v="0"/>
    <n v="0"/>
    <m/>
    <m/>
    <m/>
    <m/>
    <m/>
    <m/>
    <m/>
    <m/>
    <m/>
    <d v="2023-02-22T19:21:00"/>
    <m/>
    <m/>
    <x v="0"/>
    <x v="4"/>
    <m/>
    <d v="2023-02-22T19:21:00"/>
    <x v="3"/>
    <m/>
    <m/>
    <m/>
    <m/>
    <m/>
    <m/>
    <m/>
    <m/>
    <m/>
    <m/>
    <m/>
    <m/>
    <m/>
    <m/>
    <m/>
    <m/>
  </r>
  <r>
    <s v="2126-23-LR23"/>
    <s v="CS.DM. DE CANULAS Y OTROS POR 24 MESES"/>
    <s v="Abastecer al Hospital San Pablo de Coquimbo de los Insumos necesarios, para continuar con su normal funcionamiento."/>
    <s v="SERVICIO DE SALUD COQUIMBO HOSPITAL DE COQUIMBO"/>
    <s v="222-0940 MASCARA ORONASAL PARA VMNI SIN VALVULA EXHALACION L , COMPATIBLE CON VENTILADOR (CARINA)"/>
    <n v="189"/>
    <x v="0"/>
    <x v="0"/>
    <d v="2023-02-14T11:06:36"/>
    <x v="5"/>
    <x v="2"/>
    <d v="2023-04-14T15:00:00"/>
    <d v="2023-02-15T00:00:00"/>
    <x v="0"/>
    <x v="0"/>
    <s v="No"/>
    <d v="2023-02-24T12:00:00"/>
    <d v="2023-02-27T12:30:00"/>
    <d v="2023-08-14T15:00:00"/>
    <n v="0"/>
    <n v="0"/>
    <m/>
    <s v="Si"/>
    <n v="250000"/>
    <d v="2023-08-14T00:00:00"/>
    <s v="No"/>
    <s v="Contrato"/>
    <n v="24"/>
    <m/>
    <m/>
    <d v="2023-04-14T15:00:00"/>
    <m/>
    <m/>
    <x v="0"/>
    <x v="6"/>
    <m/>
    <d v="2023-04-14T15:00:00"/>
    <x v="3"/>
    <m/>
    <m/>
    <m/>
    <m/>
    <m/>
    <m/>
    <m/>
    <m/>
    <m/>
    <m/>
    <m/>
    <m/>
    <m/>
    <m/>
    <m/>
    <m/>
  </r>
  <r>
    <s v="2710-17-L123"/>
    <s v="ADQUISICIÓN DE CILINDROS MEDICINALES PARA DESAM"/>
    <s v="ADQUISICIÓN DE CILINDROS MEDICINALES PARA DESAM PARA COBERTURA A LAS NECESIDADES DE OXIGENO MEDICINAL EN LOS DISTINTOS DISPOSITIVOS DE LA COMUNA."/>
    <s v="MUNICIPALIDAD DE OVALLE"/>
    <s v="Cilindros medicinal 0.6 mt3 - recargado "/>
    <n v="1"/>
    <x v="2"/>
    <x v="15"/>
    <d v="2023-02-14T09:35:44"/>
    <x v="5"/>
    <x v="2"/>
    <d v="2023-02-21T15:00:00"/>
    <d v="2023-02-15T00:00:00"/>
    <x v="0"/>
    <x v="7"/>
    <s v="No"/>
    <d v="2023-02-15T13:09:00"/>
    <d v="2023-02-16T13:09:00"/>
    <d v="2023-03-15T13:09:00"/>
    <n v="0"/>
    <n v="0"/>
    <m/>
    <m/>
    <m/>
    <m/>
    <s v="No"/>
    <m/>
    <m/>
    <m/>
    <m/>
    <d v="2023-02-21T15:00:00"/>
    <m/>
    <m/>
    <x v="0"/>
    <x v="4"/>
    <m/>
    <d v="2023-02-21T15:00:00"/>
    <x v="3"/>
    <m/>
    <m/>
    <m/>
    <m/>
    <m/>
    <m/>
    <m/>
    <m/>
    <m/>
    <m/>
    <m/>
    <m/>
    <m/>
    <m/>
    <m/>
    <m/>
  </r>
  <r>
    <s v="4170-21-L123"/>
    <s v="ADQUISICION  DE HERRAMIENTAS  PARA  TALLER  MUNICIPAL"/>
    <s v="ADQUISICION  DE HERRAMIENTAS  PARA  TALLER  MUNICIPAL"/>
    <s v="Ilustre Municipalidad de Galvarino"/>
    <s v="CILINDRO DE  OXIGENO  6 M3 FIERRO  PART.VACIO,SEGUN TERMINOS DE REFERENCIA ADJUNTOS "/>
    <n v="1"/>
    <x v="2"/>
    <x v="3"/>
    <d v="2023-02-16T18:15:01"/>
    <x v="5"/>
    <x v="2"/>
    <d v="2023-02-22T15:00:00"/>
    <d v="2023-02-17T00:00:00"/>
    <x v="0"/>
    <x v="2"/>
    <s v="No"/>
    <m/>
    <m/>
    <m/>
    <n v="0"/>
    <n v="0"/>
    <m/>
    <m/>
    <m/>
    <m/>
    <m/>
    <m/>
    <m/>
    <m/>
    <m/>
    <d v="2023-02-22T15:00:00"/>
    <m/>
    <m/>
    <x v="0"/>
    <x v="4"/>
    <m/>
    <d v="2023-02-22T15:00:00"/>
    <x v="3"/>
    <m/>
    <m/>
    <m/>
    <m/>
    <m/>
    <m/>
    <m/>
    <m/>
    <m/>
    <m/>
    <m/>
    <m/>
    <m/>
    <m/>
    <m/>
    <m/>
  </r>
  <r>
    <s v="1057547-75-LP23"/>
    <s v=" CONV SUMIN MATER PARA TALLER DE GASES CLÍNICOS"/>
    <s v="CONVENIO SUMINISTRO DE MATERIALES PARA TALLER DE GASES CLÍNICOS DEL HOSPITAL BASE VALDIVIA"/>
    <s v="SERVICIO DE SALUD VALDIVIA HOSPITAL BASE"/>
    <s v="6571202 Toma de aire embutida AGA (cuerpo)"/>
    <n v="45"/>
    <x v="8"/>
    <x v="6"/>
    <d v="2023-02-16T17:30:45"/>
    <x v="5"/>
    <x v="2"/>
    <d v="2023-02-27T17:00:00"/>
    <d v="2023-02-17T00:00:00"/>
    <x v="0"/>
    <x v="2"/>
    <s v="No"/>
    <d v="2023-02-21T09:00:00"/>
    <d v="2023-02-24T19:59:00"/>
    <d v="2023-05-16T19:59:00"/>
    <n v="100000000"/>
    <n v="84033613.445378155"/>
    <m/>
    <s v="No"/>
    <m/>
    <m/>
    <s v="No"/>
    <s v="Contrato"/>
    <n v="18"/>
    <m/>
    <m/>
    <d v="2023-02-27T17:00:00"/>
    <m/>
    <m/>
    <x v="0"/>
    <x v="4"/>
    <m/>
    <d v="2023-02-27T17:00:00"/>
    <x v="3"/>
    <m/>
    <m/>
    <m/>
    <m/>
    <m/>
    <m/>
    <m/>
    <m/>
    <m/>
    <m/>
    <m/>
    <m/>
    <m/>
    <m/>
    <m/>
    <m/>
  </r>
  <r>
    <s v="1057547-75-LP23"/>
    <s v=" CONV SUMIN MATER PARA TALLER DE GASES CLÍNICOS"/>
    <s v="CONVENIO SUMINISTRO DE MATERIALES PARA TALLER DE GASES CLÍNICOS DEL HOSPITAL BASE VALDIVIA"/>
    <s v="SERVICIO DE SALUD VALDIVIA HOSPITAL BASE"/>
    <s v="6672176 Concentrador de oxígeno Ref. Newlife Elite 5 LPM"/>
    <n v="1"/>
    <x v="0"/>
    <x v="0"/>
    <d v="2023-02-16T17:30:45"/>
    <x v="5"/>
    <x v="2"/>
    <d v="2023-02-27T17:00:00"/>
    <d v="2023-02-17T00:00:00"/>
    <x v="0"/>
    <x v="5"/>
    <s v="No"/>
    <d v="2023-02-21T09:00:00"/>
    <d v="2023-02-24T19:59:00"/>
    <d v="2023-05-16T19:59:00"/>
    <n v="100000000"/>
    <n v="84033613.445378155"/>
    <m/>
    <s v="No"/>
    <m/>
    <m/>
    <s v="No"/>
    <s v="Contrato"/>
    <n v="18"/>
    <m/>
    <m/>
    <d v="2023-02-27T17:00:00"/>
    <m/>
    <m/>
    <x v="0"/>
    <x v="4"/>
    <m/>
    <d v="2023-02-27T17:00:00"/>
    <x v="3"/>
    <m/>
    <m/>
    <m/>
    <m/>
    <m/>
    <m/>
    <m/>
    <m/>
    <m/>
    <m/>
    <m/>
    <m/>
    <m/>
    <m/>
    <m/>
    <m/>
  </r>
  <r>
    <s v="2284-60-L123"/>
    <s v="OXIMETRO DE PULSO DESTINADO AL AREA DE SALUD MUNICIPAL. SOLICITUD Nº 46375"/>
    <s v="OXIMETRO DE PULSO DESTINADO AL AREA DE SALUD MUNICIPAL. SOLICITUD Nº 46375"/>
    <s v="I MUNICIPALIDAD VALDIVIA"/>
    <s v="OXIMETRO DE PULSO, SEGUN ESPECIFICACIONES TECNICAS Y FORMULARIO OFERTA ECONOMICA, ADJUNTO."/>
    <n v="9"/>
    <x v="0"/>
    <x v="0"/>
    <d v="2023-02-16T14:59:56"/>
    <x v="5"/>
    <x v="2"/>
    <d v="2023-02-21T09:51:00"/>
    <d v="2023-02-17T00:00:00"/>
    <x v="0"/>
    <x v="10"/>
    <s v="No"/>
    <m/>
    <m/>
    <m/>
    <n v="4600000"/>
    <n v="3865546.218487395"/>
    <m/>
    <m/>
    <m/>
    <m/>
    <m/>
    <m/>
    <m/>
    <m/>
    <m/>
    <d v="2023-02-21T09:51:00"/>
    <m/>
    <m/>
    <x v="0"/>
    <x v="4"/>
    <m/>
    <d v="2023-02-21T09:51:00"/>
    <x v="3"/>
    <m/>
    <m/>
    <m/>
    <m/>
    <m/>
    <m/>
    <m/>
    <m/>
    <m/>
    <m/>
    <m/>
    <m/>
    <m/>
    <m/>
    <m/>
    <m/>
  </r>
  <r>
    <s v="3260-5-L123"/>
    <s v="Abastecimiento de Oxigeno medico y Mantención técnica de cilindros”"/>
    <s v="Con el objeto de abastecer de oxigeno a los establecimientos de salud de la comuna, este departamento cuenta con tubos y/o cilindros propios."/>
    <s v="I MUNICIPALIDAD DE RIO HURTADO"/>
    <s v="Convenio de Suministro y Servicios para el ABASTECIMIENTO DE OXIGENO MEDICO Y MANTENCION TÉCNICA DE CILINDROS”."/>
    <n v="1"/>
    <x v="2"/>
    <x v="11"/>
    <d v="2023-02-16T13:54:29"/>
    <x v="5"/>
    <x v="2"/>
    <d v="2023-02-22T15:08:00"/>
    <d v="2023-02-17T00:00:00"/>
    <x v="0"/>
    <x v="2"/>
    <s v="No"/>
    <d v="2023-02-19T17:08:00"/>
    <d v="2023-02-20T17:08:00"/>
    <d v="2023-02-23T15:09:00"/>
    <n v="3000000"/>
    <n v="2521008.4033613447"/>
    <m/>
    <s v="No"/>
    <m/>
    <m/>
    <s v="No"/>
    <s v="Contrato"/>
    <n v="12"/>
    <m/>
    <m/>
    <d v="2023-02-22T15:08:00"/>
    <m/>
    <m/>
    <x v="0"/>
    <x v="4"/>
    <m/>
    <d v="2023-02-22T15:08:00"/>
    <x v="3"/>
    <m/>
    <m/>
    <m/>
    <m/>
    <m/>
    <m/>
    <m/>
    <m/>
    <m/>
    <m/>
    <m/>
    <m/>
    <m/>
    <m/>
    <m/>
    <m/>
  </r>
  <r>
    <s v="2989-2-LE23"/>
    <s v="ABASTECIMIENTO OXIGENO MEDICINAL CESFAM"/>
    <s v="CONVENIO DE SUMINISTRO ABASTECIMIENTO OXIGENO MEDICINAL PARA EL CESFAM DE LOS MUERMOS, DEPENDIENTE DEL DEPARTAMENTO DE SALUD DE LOS MUERMOS_x000a_Asegurar la entrega oportuna y eficiente del insumo oxigeno medicinal a Cesfam Los Muermos mediante un contrato de suministro, insumo es requerido en atenciones de los pacientes que asisten de forma regular a nuestro establecimiento de Salud"/>
    <s v="I MUNICIPALIDAD DE LOS MUERMOS"/>
    <s v="ABASTECIMIENTO OXIGENO MEDICINAL, EL INGRESO DE VALORES DEBE SER EN ANEXO N°8"/>
    <n v="1"/>
    <x v="2"/>
    <x v="18"/>
    <d v="2023-02-16T13:04:36"/>
    <x v="5"/>
    <x v="2"/>
    <d v="2023-02-24T12:00:00"/>
    <d v="2023-02-17T00:00:00"/>
    <x v="0"/>
    <x v="2"/>
    <s v="No"/>
    <d v="2023-02-20T17:00:00"/>
    <d v="2023-02-21T17:00:00"/>
    <d v="2023-03-17T17:00:00"/>
    <n v="0"/>
    <n v="0"/>
    <m/>
    <s v="No"/>
    <m/>
    <m/>
    <m/>
    <m/>
    <m/>
    <m/>
    <m/>
    <d v="2023-02-24T12:00:00"/>
    <m/>
    <m/>
    <x v="0"/>
    <x v="4"/>
    <m/>
    <d v="2023-02-24T12:00:00"/>
    <x v="3"/>
    <m/>
    <m/>
    <m/>
    <m/>
    <m/>
    <m/>
    <m/>
    <m/>
    <m/>
    <m/>
    <m/>
    <m/>
    <m/>
    <m/>
    <m/>
    <m/>
  </r>
  <r>
    <s v="4484-6-LE23"/>
    <s v="CONVENIO DE SUMINISTRO OXÍGENO AÑO 2023"/>
    <s v="SE REQUIERE CONTRATAR UN CONVENIO DE SUMINISTRO DE ARRIENDO Y CARGA DE CILINDROS DE OXÍGENO, DE 6M3 Y DE 10M3, PARA EL CESFAM DR. SALVADOR ALLENDE GOSSENS Y POSTA RURAL DE LOS LOROS."/>
    <s v="I MUNICIPALIDAD DE TIERRA AMARILLA"/>
    <s v="ARRIENDO DE CILINDRO DE OXÍGENO 10M3"/>
    <n v="1"/>
    <x v="2"/>
    <x v="11"/>
    <d v="2023-02-16T13:02:38"/>
    <x v="5"/>
    <x v="2"/>
    <d v="2023-02-22T11:00:00"/>
    <d v="2023-02-17T00:00:00"/>
    <x v="0"/>
    <x v="2"/>
    <s v="No"/>
    <d v="2023-02-19T14:30:00"/>
    <d v="2023-02-21T17:00:00"/>
    <d v="2023-03-06T17:35:00"/>
    <n v="0"/>
    <n v="0"/>
    <m/>
    <m/>
    <m/>
    <m/>
    <m/>
    <m/>
    <m/>
    <m/>
    <m/>
    <d v="2023-02-22T11:00:00"/>
    <m/>
    <m/>
    <x v="0"/>
    <x v="4"/>
    <m/>
    <d v="2023-02-22T11:00:00"/>
    <x v="3"/>
    <m/>
    <m/>
    <m/>
    <m/>
    <m/>
    <m/>
    <m/>
    <m/>
    <m/>
    <m/>
    <m/>
    <m/>
    <m/>
    <m/>
    <m/>
    <m/>
  </r>
  <r>
    <s v="4375-18-LE23"/>
    <s v="“MENAJE DE BODEGA 2023”"/>
    <s v="HGGB  requiere efectuar licitación pública “MENAJE DE BODEGA 2023”, para abastecer a las diversas unidades y servicios de menaje clínico, casino de acuerdo con lo solicitado y programado, para el año 2023."/>
    <s v="HOSPITAL GUILLERMO GRANT BENAVENTE DE CO"/>
    <s v="OXIMETRO DE PULSO PORTATIL. SE REQUIERE FICHA TÉCNICA Y FOTOGRAFÍA DE LO OFERTADO. COD. 040-315. SERV. MEDICINA, CARDIOLOGIA, SALUD MENTAL, URGENCIA ADULTO, CIRUGÍA, HOSP. DOMICILIARIA, SAMU."/>
    <n v="150"/>
    <x v="0"/>
    <x v="0"/>
    <d v="2023-02-16T12:43:19"/>
    <x v="5"/>
    <x v="2"/>
    <d v="2023-02-22T19:47:00"/>
    <d v="2023-02-17T00:00:00"/>
    <x v="1"/>
    <x v="1"/>
    <s v="Si"/>
    <d v="2023-02-17T16:37:00"/>
    <d v="2023-02-20T16:37:00"/>
    <d v="2023-04-28T19:48:00"/>
    <n v="50000000"/>
    <n v="42016806.722689077"/>
    <n v="30"/>
    <s v="No"/>
    <m/>
    <m/>
    <s v="No"/>
    <s v="Spot"/>
    <m/>
    <s v="No"/>
    <n v="90"/>
    <d v="2023-05-23T19:47:00"/>
    <n v="150"/>
    <n v="21832"/>
    <x v="49"/>
    <x v="2"/>
    <m/>
    <d v="2023-05-23T19:47:00"/>
    <x v="3"/>
    <m/>
    <m/>
    <m/>
    <m/>
    <m/>
    <m/>
    <m/>
    <m/>
    <m/>
    <m/>
    <m/>
    <m/>
    <m/>
    <m/>
    <m/>
    <m/>
  </r>
  <r>
    <s v="4375-18-LE23"/>
    <s v="“MENAJE DE BODEGA 2023”"/>
    <s v="HGGB  requiere efectuar licitación pública “MENAJE DE BODEGA 2023”, para abastecer a las diversas unidades y servicios de menaje clínico, casino de acuerdo con lo solicitado y programado, para el año 2023."/>
    <s v="HOSPITAL GUILLERMO GRANT BENAVENTE DE CO"/>
    <s v="FRASCO HUMIDIFICADOR DE OXIGENO PARA RED AGA. SE REQUIERE FICHA TÉCNICA Y FOTOGRAFÍA DE LO OFERTADO. COD. 040-158. PROGRAMACIÓN SERV. PSIQUIATRÍA, ONCOLOGIA, URGENCIA ADULTO, UTI INDIFERENCIADO, UCI QUIRÚRGICA, PABELLÓN CMA, P. COLOPROCTOLOGIA, P. BRONCOP"/>
    <n v="762"/>
    <x v="8"/>
    <x v="6"/>
    <d v="2023-02-16T12:43:19"/>
    <x v="5"/>
    <x v="2"/>
    <d v="2023-02-22T19:47:00"/>
    <d v="2023-02-17T00:00:00"/>
    <x v="1"/>
    <x v="1"/>
    <s v="Si"/>
    <d v="2023-02-17T16:37:00"/>
    <d v="2023-02-20T16:37:00"/>
    <d v="2023-04-28T19:48:00"/>
    <n v="50000000"/>
    <n v="42016806.722689077"/>
    <m/>
    <s v="No"/>
    <m/>
    <m/>
    <s v="No"/>
    <s v="Spot"/>
    <m/>
    <s v="No"/>
    <m/>
    <d v="2023-02-22T19:47:00"/>
    <m/>
    <m/>
    <x v="0"/>
    <x v="2"/>
    <m/>
    <d v="2023-02-22T19:47:00"/>
    <x v="3"/>
    <m/>
    <m/>
    <m/>
    <m/>
    <m/>
    <m/>
    <m/>
    <m/>
    <m/>
    <m/>
    <m/>
    <m/>
    <m/>
    <m/>
    <m/>
    <m/>
  </r>
  <r>
    <s v="1057547-68-LE23"/>
    <s v="CONV SUMIN OXIGENOTERAPIA DOMICILIARIA"/>
    <s v="CONVENIO PARA SUMINISTRO DE OXIGENOTERAPIA DOMICILIARIA PARA PACIENTES DEL HOSPITAL BASE VALDIVIA"/>
    <s v="SERVICIO DE SALUD VALDIVIA HOSPITAL BASE"/>
    <s v="1 Recarga de cilindros de oxígeno gaseoso medicinal 0.7 m3"/>
    <n v="1"/>
    <x v="3"/>
    <x v="5"/>
    <d v="2023-02-16T10:50:42"/>
    <x v="5"/>
    <x v="2"/>
    <d v="2023-02-27T17:00:00"/>
    <d v="2023-02-17T00:00:00"/>
    <x v="1"/>
    <x v="1"/>
    <s v="Si"/>
    <d v="2023-02-21T09:00:00"/>
    <d v="2023-02-24T19:00:00"/>
    <d v="2023-05-16T19:59:00"/>
    <n v="53000000"/>
    <n v="44537815.12605042"/>
    <m/>
    <s v="No"/>
    <m/>
    <m/>
    <s v="No"/>
    <s v="Contrato"/>
    <n v="12"/>
    <s v="No"/>
    <m/>
    <d v="2023-02-27T17:00:00"/>
    <m/>
    <m/>
    <x v="0"/>
    <x v="2"/>
    <m/>
    <d v="2023-02-27T17:00:00"/>
    <x v="3"/>
    <m/>
    <m/>
    <m/>
    <m/>
    <m/>
    <m/>
    <m/>
    <m/>
    <m/>
    <m/>
    <m/>
    <m/>
    <m/>
    <m/>
    <m/>
    <m/>
  </r>
  <r>
    <s v="2284-57-L123"/>
    <s v="VALVULAS ENTRENADORAS DE MUSCULATURA RESPIRATORIA INSPIRATORIA DESTINADAS AL AREA DE SALUD MUNICIPAL. SOLICITUD Nº 46387"/>
    <s v="VALVULAS ENTRENADORAS DE MUSCULATURA RESPIRATORIA INSPIRATORIA DESTINADAS AL AREA DE SALUD MUNICIPAL. SOLICITUD Nº 46387"/>
    <s v="I MUNICIPALIDAD VALDIVIA"/>
    <s v="VALVULAS ENTRENADORAS DE MUSCULATURA RESPIRATORIA INSPIRATORIA, SEGUN ESPECIFICACIONES TECNICAS Y FORMULARIO PRESENTACIÓN OFERTA ECONOMICA, ADJUNTO."/>
    <n v="70"/>
    <x v="0"/>
    <x v="0"/>
    <d v="2023-02-16T10:36:20"/>
    <x v="5"/>
    <x v="2"/>
    <d v="2023-02-21T09:22:00"/>
    <d v="2023-02-17T00:00:00"/>
    <x v="0"/>
    <x v="6"/>
    <s v="No"/>
    <d v="2023-02-17T14:22:00"/>
    <d v="2023-02-18T14:22:00"/>
    <d v="2023-03-13T14:22:00"/>
    <n v="2450000"/>
    <n v="2058823.5294117648"/>
    <m/>
    <s v="No"/>
    <m/>
    <m/>
    <s v="No"/>
    <m/>
    <m/>
    <m/>
    <m/>
    <d v="2023-02-21T09:22:00"/>
    <m/>
    <m/>
    <x v="0"/>
    <x v="4"/>
    <m/>
    <d v="2023-02-21T09:22:00"/>
    <x v="3"/>
    <m/>
    <m/>
    <m/>
    <m/>
    <m/>
    <m/>
    <m/>
    <m/>
    <m/>
    <m/>
    <m/>
    <m/>
    <m/>
    <m/>
    <m/>
    <m/>
  </r>
  <r>
    <s v="2832-10-LE23"/>
    <s v="LICITACION PUBLICA CONTRATO DE SUMINISTRO SERVICIO OXIGENO MEDICINAL"/>
    <s v="LICITACIÓN PUBLICA CONTRATO DE SUMINISTRO SERVICIO OXIGENO MEDICINAL."/>
    <s v="I MUNICIPALIDAD DE QUILLOTA"/>
    <s v="“LICITACIÓN PÚBLICA CONTRATO_x000a_DE SUMINISTRO SERVICIO OXÍGENO MEDICINAL, I. MUNICIPALIDAD DE_x000a_QUILLOTA"/>
    <n v="1"/>
    <x v="2"/>
    <x v="9"/>
    <d v="2023-02-16T10:14:06"/>
    <x v="5"/>
    <x v="2"/>
    <d v="2023-02-28T16:00:00"/>
    <d v="2023-02-17T00:00:00"/>
    <x v="0"/>
    <x v="2"/>
    <s v="No"/>
    <d v="2023-02-20T15:00:00"/>
    <d v="2023-02-23T15:15:00"/>
    <d v="2023-04-28T16:00:00"/>
    <n v="30000000"/>
    <n v="25210084.033613447"/>
    <m/>
    <s v="Si"/>
    <n v="200000"/>
    <s v="_x0009_24-07-2023"/>
    <s v="No"/>
    <s v="Contrato"/>
    <n v="36"/>
    <m/>
    <m/>
    <d v="2023-02-28T16:00:00"/>
    <m/>
    <m/>
    <x v="0"/>
    <x v="4"/>
    <m/>
    <d v="2023-02-28T16:00:00"/>
    <x v="3"/>
    <m/>
    <m/>
    <m/>
    <m/>
    <m/>
    <m/>
    <m/>
    <m/>
    <m/>
    <m/>
    <m/>
    <m/>
    <m/>
    <m/>
    <m/>
    <m/>
  </r>
  <r>
    <s v="2335-14-LE23"/>
    <s v="INSUMOS CLINICOS OP 2881"/>
    <s v="LAS NECESIDADES DEL DEPTO DE SALUD EN LA COMPRA DE INSUMOS CLINICOS PARA BODEGA FARMACIA Y SU POSTERIOR DISTRIBUCION A SUS DIFERENTES ESTABLECIMIENTOS DE SALUD, SEGUN LO SOLICITADO EN ORDENES DE PEDIDO Nª 28 Y 81."/>
    <s v="I MUNICIPALIDAD DE LINARES"/>
    <s v="NIPLE CONEXIÓN DE OXIGENO X 50 UNIDAD…IGUAL O SIMILAR A GLOBAL HELTHCARE CONEXIÓN DE OXIGENO X 50 UNDS..."/>
    <n v="10"/>
    <x v="8"/>
    <x v="6"/>
    <d v="2023-02-17T12:34:58"/>
    <x v="5"/>
    <x v="2"/>
    <d v="2023-02-24T15:01:00"/>
    <d v="2023-02-20T00:00:00"/>
    <x v="0"/>
    <x v="0"/>
    <s v="No"/>
    <m/>
    <m/>
    <m/>
    <n v="0"/>
    <n v="0"/>
    <m/>
    <m/>
    <m/>
    <m/>
    <m/>
    <m/>
    <m/>
    <m/>
    <m/>
    <d v="2023-02-24T15:01:00"/>
    <m/>
    <m/>
    <x v="0"/>
    <x v="4"/>
    <m/>
    <d v="2023-02-24T15:01:00"/>
    <x v="3"/>
    <m/>
    <m/>
    <m/>
    <m/>
    <m/>
    <m/>
    <m/>
    <m/>
    <m/>
    <m/>
    <m/>
    <m/>
    <m/>
    <m/>
    <m/>
    <m/>
  </r>
  <r>
    <s v="617807-11-LP23"/>
    <s v="CONVENIO DE SUMINISTRO DE GASES MEDICINALES Y ARRIENDO DE CILINDROS"/>
    <s v=" Seleccionar un Proveedor reconocido, experto, cualificado y con experiencia en el mercado de suministro de gases medicinales y arriendo de cilindros, que posea un personal capacitado y comprometido con el servicio que se entregará._x000a__x000a_ Desarrollar un Servicio de suministro de gases medicinales y arriendo de cilindro, enfocado en la buena calidad, buenas prácticas y atención al cliente._x000a_"/>
    <s v="SERV NAC SALUD HOSPITAL DE LOS ANDES"/>
    <s v="CONVENIO DE SUMINISTRO DE GASES MEDICINALES  Y ARRIENDO DE CILINDROS, DE ACUERDO AL ANEXO N° 5"/>
    <n v="1"/>
    <x v="2"/>
    <x v="9"/>
    <d v="2023-02-17T12:24:19"/>
    <x v="5"/>
    <x v="2"/>
    <d v="2023-03-06T15:00:00"/>
    <d v="2023-02-20T00:00:00"/>
    <x v="0"/>
    <x v="7"/>
    <s v="No"/>
    <d v="2023-02-24T15:00:00"/>
    <d v="2023-02-27T15:00:00"/>
    <d v="2023-03-21T18:00:00"/>
    <n v="0"/>
    <n v="0"/>
    <m/>
    <s v="Si"/>
    <n v="500000"/>
    <d v="2023-07-15T00:00:00"/>
    <s v="Si"/>
    <s v="Contrato"/>
    <n v="24"/>
    <m/>
    <m/>
    <d v="2023-03-06T15:00:00"/>
    <m/>
    <m/>
    <x v="0"/>
    <x v="4"/>
    <m/>
    <d v="2023-03-06T15:00:00"/>
    <x v="3"/>
    <m/>
    <m/>
    <m/>
    <m/>
    <m/>
    <m/>
    <m/>
    <m/>
    <m/>
    <m/>
    <m/>
    <m/>
    <m/>
    <m/>
    <m/>
    <m/>
  </r>
  <r>
    <s v="1642-19-LQ23"/>
    <s v="SERVI. SUMINISTRO DE OXÍGENO MEDICINAL E INSUMO HC"/>
    <s v="SERVICIO DE SUMINISTRO DE OXÍGENO MEDICINAL E INSUMOS PARA EL HOSPITAL DE CURACAVÍ, OBJETIVOS: Contratar los servicios de una empresa externa que cumpla con todas las normas legales respectivas para realizar el suministro de carga de oxígeno medicinal con comodato de cilindros, dependiendo de la necesidad que surja semanalmente, por un periodo de 36 meses. _x000a_Suministrar oxígeno a todas las unidades requirentes del Hospital de Curacaví, brindando así prestaciones de calidad a todos los usuarios de nuestra comuna."/>
    <s v="SERVICIO DE SALUD METROPOLITANO OCCIDENTE HOSPITAL DE CURACAVI"/>
    <s v="Recarga Cilindros de 10 m3."/>
    <n v="3100"/>
    <x v="2"/>
    <x v="2"/>
    <d v="2023-02-17T10:53:20"/>
    <x v="5"/>
    <x v="2"/>
    <d v="2023-02-27T19:00:00"/>
    <d v="2023-02-20T00:00:00"/>
    <x v="1"/>
    <x v="1"/>
    <s v="Si"/>
    <d v="2023-02-21T14:30:00"/>
    <d v="2023-02-23T15:30:00"/>
    <d v="2023-03-09T16:30:00"/>
    <n v="0"/>
    <n v="0"/>
    <m/>
    <s v="Si"/>
    <n v="200000"/>
    <d v="2023-05-29T00:00:00"/>
    <s v="No"/>
    <s v="Contrato"/>
    <n v="36"/>
    <s v="No"/>
    <m/>
    <d v="2023-02-27T19:00:00"/>
    <m/>
    <m/>
    <x v="0"/>
    <x v="2"/>
    <m/>
    <d v="2023-02-27T19:00:00"/>
    <x v="3"/>
    <m/>
    <m/>
    <m/>
    <m/>
    <m/>
    <m/>
    <m/>
    <m/>
    <m/>
    <m/>
    <m/>
    <m/>
    <m/>
    <m/>
    <m/>
    <m/>
  </r>
  <r>
    <s v="3996-10-L123"/>
    <s v="Servicio de oxigeno Medicinal 2023"/>
    <s v="La necesidad de contar con Servicios de oxigeno Medicinal año 2023, para los usuarios de CESFAM Coltauco y sus establecimientos dependientes."/>
    <s v="I MUNICIPALIDAD DE COLTAUCO"/>
    <s v="Días de arriendo estimados (se cancelará de acuerdo a los días efectivamente utilizados) de cilindros de oxígeno, formato de 10 Metros Cúbicos, según Bases Administrativas adjuntas. "/>
    <n v="1"/>
    <x v="2"/>
    <x v="2"/>
    <d v="2023-02-17T09:25:05"/>
    <x v="5"/>
    <x v="2"/>
    <d v="2023-02-23T09:00:00"/>
    <d v="2023-02-20T00:00:00"/>
    <x v="0"/>
    <x v="7"/>
    <s v="No"/>
    <m/>
    <m/>
    <m/>
    <n v="0"/>
    <n v="0"/>
    <m/>
    <m/>
    <m/>
    <m/>
    <m/>
    <m/>
    <m/>
    <m/>
    <m/>
    <m/>
    <m/>
    <m/>
    <x v="50"/>
    <x v="4"/>
    <m/>
    <m/>
    <x v="3"/>
    <m/>
    <m/>
    <m/>
    <m/>
    <m/>
    <m/>
    <m/>
    <m/>
    <m/>
    <m/>
    <m/>
    <m/>
    <m/>
    <m/>
    <m/>
    <m/>
  </r>
  <r>
    <s v="1057421-8-LE23"/>
    <s v="Conv. Mat. prev. y correc. de sist. gases clinicos"/>
    <s v="Las presentes bases tienen por objeto la contratación de un Servicio de Mantención Preventiva y Correctiva para sistema de Gases para el Hospital Familiar y Comunitario de Laja, que permitan mantenerlos en óptimas condiciones de operación, seguridad y dentro de los parámetros de funcionamiento definidos por el fabricante, ubicado en Avda. Los Ríos N°840, Laja."/>
    <s v="SERVICIO DE SALUD BIO BIO HOSPITAL DE LAJA"/>
    <s v="mantención preventiva de gases clinicos"/>
    <n v="1"/>
    <x v="5"/>
    <x v="6"/>
    <d v="2023-02-20T18:20:34"/>
    <x v="5"/>
    <x v="2"/>
    <d v="2023-03-03T16:18:00"/>
    <d v="2023-02-21T00:00:00"/>
    <x v="0"/>
    <x v="10"/>
    <s v="No"/>
    <m/>
    <m/>
    <m/>
    <n v="0"/>
    <n v="0"/>
    <m/>
    <m/>
    <m/>
    <m/>
    <m/>
    <m/>
    <m/>
    <m/>
    <m/>
    <d v="2023-03-03T16:18:00"/>
    <m/>
    <m/>
    <x v="0"/>
    <x v="4"/>
    <m/>
    <d v="2023-03-03T16:18:00"/>
    <x v="3"/>
    <m/>
    <m/>
    <m/>
    <m/>
    <m/>
    <m/>
    <m/>
    <m/>
    <m/>
    <m/>
    <m/>
    <m/>
    <m/>
    <m/>
    <m/>
    <m/>
  </r>
  <r>
    <s v="5061-22-L123"/>
    <s v="Servicio de suministro oxigeno medico, aire medicinal y arriendo de cilindros, para establecimientos de salud municipal."/>
    <s v="Servicio de suministro oxigeno medico, aire medicinal y arriendo de cilindros, para establecimientos de salud municipal. Según especificaciones técnicas adjuntas."/>
    <s v="I MUNICIPALIDAD DE TEMUCO"/>
    <s v="Servicio de suministro oxigeno medico, aire medicinal y arriendo de cilindros, para establecimientos de salud municipal._x000a_Según especificaciones técnicas adjuntas."/>
    <n v="1"/>
    <x v="2"/>
    <x v="3"/>
    <d v="2023-02-20T17:40:59"/>
    <x v="5"/>
    <x v="2"/>
    <d v="2023-02-27T15:30:00"/>
    <d v="2023-02-21T00:00:00"/>
    <x v="0"/>
    <x v="7"/>
    <s v="No"/>
    <d v="2023-02-22T15:00:00"/>
    <d v="2023-02-23T18:00:00"/>
    <d v="2023-03-20T18:00:00"/>
    <n v="0"/>
    <n v="0"/>
    <m/>
    <m/>
    <m/>
    <m/>
    <m/>
    <m/>
    <m/>
    <m/>
    <m/>
    <d v="2023-02-27T15:30:00"/>
    <m/>
    <m/>
    <x v="0"/>
    <x v="4"/>
    <m/>
    <d v="2023-02-27T15:30:00"/>
    <x v="3"/>
    <m/>
    <m/>
    <m/>
    <m/>
    <m/>
    <m/>
    <m/>
    <m/>
    <m/>
    <m/>
    <m/>
    <m/>
    <m/>
    <m/>
    <m/>
    <m/>
  </r>
  <r>
    <s v="812261-11-LR23"/>
    <s v="SERVICIO DE OXIGENOTERAPIA ADULTO A DOMICILIO"/>
    <s v="Las presentes bases de licitación son formuladas para establecer la regulación del proceso de adquisición del SERVICIO DE OXIGENOTERAPIA ADULTO DOMICILIARIO y reglamentan entre otros aspectos las condiciones que deben cumplir las ofertas, las etapas del proceso licitatorio, su forma de evaluación y adjudicación, las condiciones del contrato y todos los aspectos necesarios para el correcto proceso de adquisición."/>
    <s v="HOSPITAL CLINICO METROPOLITANO DE LA FLORIDA DOCTORA ELOISA DIAZ"/>
    <s v="SERVICIO DE OXIGENOTERAPIA ADULTO A DOMICILIO"/>
    <n v="1"/>
    <x v="3"/>
    <x v="5"/>
    <d v="2023-02-20T17:04:11"/>
    <x v="5"/>
    <x v="2"/>
    <d v="2023-03-23T16:00:00"/>
    <d v="2023-02-21T00:00:00"/>
    <x v="1"/>
    <x v="1"/>
    <s v="Si"/>
    <d v="2023-03-02T23:59:00"/>
    <d v="2023-03-13T17:00:00"/>
    <d v="2023-04-27T17:00:00"/>
    <n v="312250000"/>
    <n v="262394957.98319328"/>
    <n v="30"/>
    <s v="Si"/>
    <n v="500000"/>
    <d v="2023-10-19T00:00:00"/>
    <s v="No"/>
    <s v="Contrato"/>
    <n v="24"/>
    <s v="No"/>
    <n v="180"/>
    <d v="2023-09-19T16:00:00"/>
    <m/>
    <m/>
    <x v="0"/>
    <x v="2"/>
    <m/>
    <d v="2023-09-19T16:00:00"/>
    <x v="3"/>
    <m/>
    <m/>
    <m/>
    <m/>
    <m/>
    <m/>
    <m/>
    <m/>
    <m/>
    <m/>
    <m/>
    <m/>
    <m/>
    <m/>
    <m/>
    <m/>
  </r>
  <r>
    <s v="5053-32-LQ23"/>
    <s v="SUMINISTRO DE OXIGENO LIQUIDO MEDICINAL CRIOGÉNICO CON MANTENCIÓN PREVENTIVA A LOS MANIFOLD DE RESPALDO MÁS SUMINISTRO Y ARRIENDO DE ESTANQUE DE EMERGENCIA"/>
    <s v="El objetivo de la presente licitación es la contratación de servicios del suministro de oxígeno líquido medicinal criogénico con mantención preventiva a los manifold de respaldo más suministro y arriendo de estanque de emergencia, a precios y calidad convenientes, con el fin de poder dar continuidad en los servicios que presta la institución, además del suministro "/>
    <s v="SERVICIO DE SALUD DEL MAULE HOSPITAL DE TALCA"/>
    <s v="SUMINISTRO DE OXIGENO LIQUIDO MEDICINAL CRIOGENICO. (Indicar valor de recarga del metro cúbico (m³))"/>
    <n v="1"/>
    <x v="2"/>
    <x v="2"/>
    <d v="2023-02-20T12:27:58"/>
    <x v="5"/>
    <x v="2"/>
    <d v="2023-03-02T17:00:00"/>
    <d v="2023-02-21T00:00:00"/>
    <x v="0"/>
    <x v="7"/>
    <s v="No"/>
    <m/>
    <m/>
    <m/>
    <n v="0"/>
    <n v="0"/>
    <m/>
    <m/>
    <m/>
    <m/>
    <m/>
    <m/>
    <m/>
    <m/>
    <m/>
    <d v="2023-03-02T17:00:00"/>
    <m/>
    <m/>
    <x v="0"/>
    <x v="4"/>
    <m/>
    <d v="2023-03-02T17:00:00"/>
    <x v="3"/>
    <m/>
    <m/>
    <m/>
    <m/>
    <m/>
    <m/>
    <m/>
    <m/>
    <m/>
    <m/>
    <m/>
    <m/>
    <m/>
    <m/>
    <m/>
    <m/>
  </r>
  <r>
    <s v="1272565-13-LQ23"/>
    <s v="2DO LLAMADO CONVENIO DE SUMINISTRO DE GASES MEDICINALES ARRIENDO DE CILINDROSTRANSPORTE MANTENCIONES PREVENTIVA Y CORRECTIVAS DE BANCOS DE GASES MEDICINALES HOSPITAL DE ALTO HOSPICIO POR 18 MESES"/>
    <s v="CONVENIO DE SUMINISTRO DE GASES MEDICINALES, ARRIENDO DE CILINDROS,TRANSPORTE, MANTENCIONES PREVENTIVA Y CORRECTIVAS DE BANCOS DE GASES MEDICINALES, HOSPITAL DE ALTO HOSPICIO, POR 18 MESES"/>
    <s v="SERVICIO DE SALUD IQUIQUE"/>
    <s v="Suministro de Dióxido de Carbono Medicinal en Kg manifold (25 ~ 36)"/>
    <n v="72"/>
    <x v="2"/>
    <x v="15"/>
    <d v="2023-02-21T17:28:20"/>
    <x v="5"/>
    <x v="2"/>
    <d v="2023-03-06T15:00:00"/>
    <d v="2023-02-22T00:00:00"/>
    <x v="1"/>
    <x v="1"/>
    <s v="Si"/>
    <d v="2023-02-27T15:00:00"/>
    <d v="2023-03-01T17:00:00"/>
    <d v="2023-05-02T15:00:00"/>
    <n v="290000000"/>
    <n v="243697478.99159664"/>
    <m/>
    <s v="Si"/>
    <n v="500000"/>
    <d v="2023-08-30T00:00:00"/>
    <s v="Si"/>
    <s v="Contrato"/>
    <n v="18"/>
    <s v="No"/>
    <m/>
    <d v="2023-03-06T15:00:00"/>
    <m/>
    <m/>
    <x v="0"/>
    <x v="0"/>
    <d v="2023-03-16T00:00:00"/>
    <n v="-9.375"/>
    <x v="2"/>
    <n v="154367676"/>
    <d v="2023-03-16T00:00:00"/>
    <d v="2024-09-16T00:00:00"/>
    <s v="Contrato"/>
    <m/>
    <m/>
    <m/>
    <m/>
    <m/>
    <m/>
    <m/>
    <m/>
    <m/>
    <m/>
    <m/>
    <m/>
  </r>
  <r>
    <s v="2196-2-LE23"/>
    <s v="ADQUISICION SUMINISTRO DE GASES MEDICINALES "/>
    <s v="CUBRIR NECESIDADES"/>
    <s v="Hospital Psiquiátrico El Peral"/>
    <s v="ARRIENDO DIARIO DE CILINDROS  6 METROS CUBICOS"/>
    <n v="1"/>
    <x v="2"/>
    <x v="10"/>
    <d v="2023-02-21T10:59:28"/>
    <x v="5"/>
    <x v="2"/>
    <d v="2023-03-06T17:00:00"/>
    <d v="2023-02-22T00:00:00"/>
    <x v="1"/>
    <x v="1"/>
    <s v="Si"/>
    <d v="2023-02-24T17:30:00"/>
    <d v="2023-02-27T17:31:00"/>
    <d v="2023-04-14T16:37:00"/>
    <n v="0"/>
    <n v="0"/>
    <m/>
    <s v="No"/>
    <m/>
    <m/>
    <s v="No"/>
    <m/>
    <m/>
    <s v="No"/>
    <m/>
    <d v="2023-03-06T17:00:00"/>
    <m/>
    <m/>
    <x v="0"/>
    <x v="2"/>
    <m/>
    <d v="2023-03-06T17:00:00"/>
    <x v="3"/>
    <m/>
    <m/>
    <m/>
    <m/>
    <m/>
    <m/>
    <m/>
    <m/>
    <m/>
    <m/>
    <m/>
    <m/>
    <m/>
    <m/>
    <m/>
    <m/>
  </r>
  <r>
    <s v="407-8-LQ23"/>
    <s v="SUMINISTRO DE GASES MEDICINALES Y OTROS"/>
    <s v="l Hospital Regional de Concepción, convoca a una licitación pública para contratar EL SERVICIO DE SUMINISTRO DE GASES MEDICINALES de tipo gaseoso, en forma oportuna y permanente, que abastecerá a todo el complejo Hospitalario. El contrato tendrá una vigencia de 36 meses."/>
    <s v="HOSPITAL GUILLERMO GRANT BENAVENTE"/>
    <s v="SUMINISTRO DE GASES MEDICINALES GASEOSO Y OTROS, según eett adjuntas. vigencia 36 meses"/>
    <n v="1"/>
    <x v="2"/>
    <x v="17"/>
    <d v="2023-02-22T14:53:55"/>
    <x v="5"/>
    <x v="2"/>
    <d v="2023-03-14T16:00:00"/>
    <d v="2023-02-22T00:00:00"/>
    <x v="1"/>
    <x v="1"/>
    <s v="Si"/>
    <d v="2023-02-28T16:00:00"/>
    <d v="2023-03-03T16:00:00"/>
    <d v="2023-05-15T18:14:00"/>
    <n v="0"/>
    <n v="0"/>
    <m/>
    <s v="Si"/>
    <n v="500000"/>
    <d v="2022-12-30T00:00:00"/>
    <s v="Si"/>
    <s v="Contrato"/>
    <n v="36"/>
    <s v="No"/>
    <m/>
    <d v="2023-03-14T16:00:00"/>
    <m/>
    <m/>
    <x v="0"/>
    <x v="2"/>
    <m/>
    <d v="2023-03-14T16:00:00"/>
    <x v="3"/>
    <m/>
    <m/>
    <m/>
    <m/>
    <m/>
    <m/>
    <m/>
    <m/>
    <m/>
    <m/>
    <m/>
    <m/>
    <m/>
    <m/>
    <m/>
    <m/>
  </r>
  <r>
    <s v="1057536-6-LE23"/>
    <s v="EQUIPOS Y EQUIPAMIENTOS PROYECTO PALENA II"/>
    <s v="Adquisicion de equipos y equipamientos para  proyecto Palena  II"/>
    <s v="SERVICIO SALUD DEL RELONCAVI"/>
    <s v="FLUJÓMETRO,SEGUN ESPECIFICACIONES TECNICAS FORMULARIO  T-1."/>
    <n v="2"/>
    <x v="8"/>
    <x v="3"/>
    <d v="2023-02-22T17:13:37"/>
    <x v="5"/>
    <x v="2"/>
    <d v="2023-03-06T16:00:00"/>
    <d v="2023-02-23T00:00:00"/>
    <x v="0"/>
    <x v="0"/>
    <s v="No"/>
    <m/>
    <m/>
    <m/>
    <n v="0"/>
    <n v="0"/>
    <m/>
    <m/>
    <m/>
    <m/>
    <m/>
    <m/>
    <m/>
    <m/>
    <m/>
    <d v="2023-03-06T16:00:00"/>
    <m/>
    <m/>
    <x v="0"/>
    <x v="4"/>
    <m/>
    <d v="2023-03-06T16:00:00"/>
    <x v="3"/>
    <m/>
    <m/>
    <m/>
    <m/>
    <m/>
    <m/>
    <m/>
    <m/>
    <m/>
    <m/>
    <m/>
    <m/>
    <m/>
    <m/>
    <m/>
    <m/>
  </r>
  <r>
    <s v="2201-5-LE23"/>
    <s v="SERVICIO DE MANTENCIÓN DE GASES CLINICOS"/>
    <s v="SERVICIO DE MANTENCIÓN PREVENTIVA Y CORRECTIVA DE CENTRAL Y RED MURAL DE GASES CLINICOS DEL INSTITUTO NACIONAL DE REHABILITACIÓN PEDRO AGUIRRE CERDA."/>
    <s v="INSTITUTO NACIONAL DE REHABILITACION PEDRO AGUIRRE CERDA"/>
    <s v="SERVICIO DE MANTENCIÓN PREVENTIVA Y CORRECTIVA DE CENTRAL Y RED MURAL DE GASES CLINICOS"/>
    <n v="1"/>
    <x v="5"/>
    <x v="6"/>
    <d v="2023-02-22T16:29:39"/>
    <x v="5"/>
    <x v="2"/>
    <d v="2023-03-06T16:13:00"/>
    <d v="2023-02-23T00:00:00"/>
    <x v="0"/>
    <x v="10"/>
    <s v="No"/>
    <m/>
    <m/>
    <m/>
    <n v="0"/>
    <n v="0"/>
    <m/>
    <m/>
    <m/>
    <m/>
    <m/>
    <m/>
    <m/>
    <m/>
    <m/>
    <d v="2023-03-06T16:13:00"/>
    <m/>
    <m/>
    <x v="0"/>
    <x v="4"/>
    <m/>
    <d v="2023-03-06T16:13:00"/>
    <x v="3"/>
    <m/>
    <m/>
    <m/>
    <m/>
    <m/>
    <m/>
    <m/>
    <m/>
    <m/>
    <m/>
    <m/>
    <m/>
    <m/>
    <m/>
    <m/>
    <m/>
  </r>
  <r>
    <s v="750998-139-LP22"/>
    <s v="Suministro de Oxígeno Medicinal 2"/>
    <s v="La I. Municipalidad de Lo Espejo requiere la adquisición de suministro de oxígeno medicinal y aire medicinal, para abastecer a los distintos centros de salud y ambulancias de la comuna. Segundo llamado."/>
    <s v="I MUNICIPALIDAD DE LO ESPEJO"/>
    <s v="Arriendo de cilindros de 10m3, 4m3, 1m3."/>
    <n v="1"/>
    <x v="2"/>
    <x v="10"/>
    <d v="2023-02-22T15:03:10"/>
    <x v="5"/>
    <x v="2"/>
    <d v="2023-03-08T10:00:00"/>
    <d v="2023-02-23T00:00:00"/>
    <x v="0"/>
    <x v="5"/>
    <m/>
    <d v="2023-02-28T12:00:00"/>
    <d v="2023-03-02T16:30:00"/>
    <d v="2023-04-14T16:00:00"/>
    <n v="0"/>
    <n v="0"/>
    <m/>
    <s v="Si"/>
    <n v="400000"/>
    <d v="2023-06-06T00:00:00"/>
    <s v="No"/>
    <s v="Contrato"/>
    <n v="18"/>
    <m/>
    <m/>
    <d v="2023-03-08T10:00:00"/>
    <m/>
    <m/>
    <x v="0"/>
    <x v="4"/>
    <m/>
    <d v="2023-03-08T10:00:00"/>
    <x v="3"/>
    <m/>
    <m/>
    <m/>
    <m/>
    <m/>
    <m/>
    <m/>
    <m/>
    <m/>
    <m/>
    <m/>
    <m/>
    <m/>
    <m/>
    <m/>
    <m/>
  </r>
  <r>
    <s v="1057439-117-LQ22"/>
    <s v="C.S. Insumos para Kinesioterapia y Fonoaudiología"/>
    <s v="Las presentes bases enmarcan los requerimientos de la Unidad de medicina Fisica y Rehabilitación del Hospital La Serena bajo la licitación “C.S. Insumos para Kinesioterapia y Fonoaudiología”,  con el fin de obtener el suministro de los insumos para la adecuada y oportuna atención de todos los pacientes del Hospital de La Serena, tanto en Atención Abierta como en la Atención Cerrada."/>
    <s v="SERVICIO DE SALUD COQUIMBO HOSPITAL LA SERENA"/>
    <s v="Boquilla desechable para flujómetro "/>
    <n v="2800"/>
    <x v="0"/>
    <x v="0"/>
    <d v="2023-02-22T13:54:31"/>
    <x v="5"/>
    <x v="2"/>
    <d v="2023-03-14T17:00:00"/>
    <d v="2023-02-23T00:00:00"/>
    <x v="0"/>
    <x v="0"/>
    <s v="No"/>
    <d v="2023-03-04T21:08:00"/>
    <d v="2023-03-09T21:08:00"/>
    <d v="2023-05-15T19:00:00"/>
    <n v="0"/>
    <n v="0"/>
    <m/>
    <s v="Si"/>
    <n v="500000"/>
    <d v="2023-09-10T00:00:00"/>
    <s v="No"/>
    <s v="Contrato"/>
    <n v="24"/>
    <m/>
    <m/>
    <d v="2023-03-14T17:00:00"/>
    <n v="2800"/>
    <n v="1500"/>
    <x v="51"/>
    <x v="4"/>
    <m/>
    <d v="2023-03-14T17:00:00"/>
    <x v="3"/>
    <m/>
    <m/>
    <m/>
    <m/>
    <m/>
    <m/>
    <m/>
    <m/>
    <m/>
    <m/>
    <m/>
    <m/>
    <m/>
    <m/>
    <m/>
    <m/>
  </r>
  <r>
    <s v="2773-8-L123"/>
    <s v="Mantención preventiva y correctiva sistema de gas"/>
    <s v="La Municipalidad de Chiguayante a través de la dirección de administración de salud, requiere la mantención preventiva y correctiva de equipos y sistema de seguridad emplazadas dentro de las instalaciones del CESFAM Valle La Piedra, según lo contemplado en el convenio de apoyo a la gestión local enmarcado en el componente N°1 que se establece en su cláusula primera en las condiciones y modalidades que más adelante se expresan."/>
    <s v="I MUNICIPALIDAD DE CHIGUAYANTE"/>
    <s v="Mantención preventiva y correctiva de equipos y sistema de gases clínicos"/>
    <n v="1"/>
    <x v="5"/>
    <x v="6"/>
    <d v="2023-02-22T12:34:53"/>
    <x v="5"/>
    <x v="2"/>
    <d v="2023-02-28T14:05:00"/>
    <d v="2023-02-23T00:00:00"/>
    <x v="0"/>
    <x v="10"/>
    <s v="No"/>
    <m/>
    <m/>
    <m/>
    <n v="0"/>
    <n v="0"/>
    <m/>
    <m/>
    <m/>
    <m/>
    <m/>
    <m/>
    <m/>
    <m/>
    <m/>
    <d v="2023-02-28T14:05:00"/>
    <m/>
    <m/>
    <x v="0"/>
    <x v="4"/>
    <m/>
    <d v="2023-02-28T14:05:00"/>
    <x v="3"/>
    <m/>
    <m/>
    <m/>
    <m/>
    <m/>
    <m/>
    <m/>
    <m/>
    <m/>
    <m/>
    <m/>
    <m/>
    <m/>
    <m/>
    <m/>
    <m/>
  </r>
  <r>
    <s v="2727-12-LE23"/>
    <s v="INSUMOS E INSTRUMENTAL DE ENFERMERÍA CONVENIO GORE"/>
    <s v="El Departamento de Salud de la Municipalidad de San Carlos, tiene la necesidad de llamar a licitación Pública, por la adquisición de insumos e instrumental de enfermería, necesarios para buen funcionamiento del servicio, de acuerdo a lo estipulado en Convenio GORE, Programa Fondo Social para el Desarrollo de Ñuble,"/>
    <s v="ILUSTRE MUNICIPALIDAD DE SAN CARLOS"/>
    <s v="SATUROMETROS U OXIMETROS DE PULSO, SEGUN ESPECIFICACIONES TECNICAS SEÑALADAS EN ANEXO 4"/>
    <n v="254"/>
    <x v="0"/>
    <x v="0"/>
    <d v="2023-02-22T10:18:38"/>
    <x v="5"/>
    <x v="2"/>
    <d v="2023-03-06T15:01:00"/>
    <d v="2023-02-23T00:00:00"/>
    <x v="1"/>
    <x v="1"/>
    <s v="Si"/>
    <d v="2023-02-24T14:00:00"/>
    <d v="2023-02-27T17:00:00"/>
    <d v="2023-03-13T16:00:00"/>
    <n v="25500000"/>
    <n v="21428571.428571429"/>
    <n v="30"/>
    <s v="No"/>
    <m/>
    <m/>
    <s v="No"/>
    <s v="Spot"/>
    <m/>
    <s v="No"/>
    <m/>
    <d v="2023-03-06T15:01:00"/>
    <n v="254"/>
    <n v="19081"/>
    <x v="52"/>
    <x v="2"/>
    <m/>
    <d v="2023-03-06T15:01:00"/>
    <x v="3"/>
    <m/>
    <m/>
    <m/>
    <m/>
    <m/>
    <m/>
    <m/>
    <m/>
    <m/>
    <m/>
    <m/>
    <m/>
    <m/>
    <m/>
    <m/>
    <m/>
  </r>
  <r>
    <s v="2658-18-L123"/>
    <s v="CILINDRO PARA QUIMICOS"/>
    <s v="PARA LA DIRECCION DE OPERACIONES PARA TALLER DE SOLDADURA Y FORJA"/>
    <s v="I MUNICIPALIDAD DE ANCUD"/>
    <s v="CILINDRO DE ACETLINEO 5,5 KILOS CUBICOS APROXIMADOS CON CARGA SEGUN BASES"/>
    <n v="1"/>
    <x v="2"/>
    <x v="18"/>
    <d v="2023-02-22T09:39:58"/>
    <x v="5"/>
    <x v="2"/>
    <d v="2023-02-27T19:00:00"/>
    <d v="2023-02-23T00:00:00"/>
    <x v="0"/>
    <x v="5"/>
    <s v="No"/>
    <m/>
    <m/>
    <m/>
    <n v="0"/>
    <n v="0"/>
    <m/>
    <m/>
    <m/>
    <m/>
    <m/>
    <m/>
    <m/>
    <m/>
    <m/>
    <d v="2023-02-27T19:00:00"/>
    <m/>
    <m/>
    <x v="0"/>
    <x v="4"/>
    <m/>
    <d v="2023-02-27T19:00:00"/>
    <x v="3"/>
    <m/>
    <m/>
    <m/>
    <m/>
    <m/>
    <m/>
    <m/>
    <m/>
    <m/>
    <m/>
    <m/>
    <m/>
    <m/>
    <m/>
    <m/>
    <m/>
  </r>
  <r>
    <s v="1556-9-LE23"/>
    <s v="Adquisición de Oxigeno y Gases Clínicos"/>
    <s v="Adquisición de Oxigeno y Gases Clínicos"/>
    <s v="SERVICIO DE SALUD ATACAMA HOSPITAL DE CHANARAL"/>
    <s v="Flete por cilindro (valor aproximado)"/>
    <n v="300"/>
    <x v="2"/>
    <x v="11"/>
    <d v="2023-02-22T09:37:33"/>
    <x v="5"/>
    <x v="2"/>
    <d v="2023-03-06T16:15:00"/>
    <d v="2023-02-23T00:00:00"/>
    <x v="1"/>
    <x v="1"/>
    <s v="Si"/>
    <d v="2023-02-25T12:25:00"/>
    <d v="2023-02-26T12:25:00"/>
    <d v="2023-03-07T16:16:00"/>
    <n v="0"/>
    <n v="0"/>
    <m/>
    <s v="No"/>
    <m/>
    <m/>
    <s v="No"/>
    <s v="Spot"/>
    <m/>
    <s v="No"/>
    <m/>
    <d v="2023-03-06T16:15:00"/>
    <m/>
    <m/>
    <x v="0"/>
    <x v="2"/>
    <m/>
    <d v="2023-03-06T16:15:00"/>
    <x v="3"/>
    <m/>
    <m/>
    <m/>
    <m/>
    <m/>
    <m/>
    <m/>
    <m/>
    <m/>
    <m/>
    <m/>
    <m/>
    <m/>
    <m/>
    <m/>
    <m/>
  </r>
  <r>
    <s v="1057420-12-L123"/>
    <s v="ADQUISICIÓN DE INSUMOS PARA MATERNIDAD DEL HOSPITAL DE HUÉPIL"/>
    <s v="Las presentes Bases, tienen por objeto establecer las disposiciones que regirán la Propuesta Pública para la ADQUISICIÓN DE INSUMOS PARA MATERNIDAD DEL HOSPITAL DE HUÉPIL."/>
    <s v="SERVICIO DE SALUD BIO BIO HOSPITAL DE HU"/>
    <s v="SATUROMETRO ADULTO PORTATIL"/>
    <n v="1"/>
    <x v="0"/>
    <x v="0"/>
    <d v="2023-02-23T14:12:55"/>
    <x v="5"/>
    <x v="2"/>
    <d v="2023-02-28T12:00:00"/>
    <d v="2023-02-24T00:00:00"/>
    <x v="0"/>
    <x v="0"/>
    <s v="No"/>
    <m/>
    <m/>
    <m/>
    <n v="0"/>
    <n v="0"/>
    <m/>
    <m/>
    <m/>
    <m/>
    <m/>
    <m/>
    <m/>
    <m/>
    <m/>
    <d v="2023-02-28T12:00:00"/>
    <m/>
    <m/>
    <x v="0"/>
    <x v="4"/>
    <m/>
    <d v="2023-02-28T12:00:00"/>
    <x v="3"/>
    <m/>
    <m/>
    <m/>
    <m/>
    <m/>
    <m/>
    <m/>
    <m/>
    <m/>
    <m/>
    <m/>
    <m/>
    <m/>
    <m/>
    <m/>
    <m/>
  </r>
  <r>
    <s v="2348-54-LE22"/>
    <s v="SERVICIO DE ARRIENDO Y CARGA DE OXIGENO 9 M3"/>
    <s v="La Municipalidad de Punta Arenas, requiere prestación de servicio de arriendo y carga de oxigeno 9m3 para labores de la Dirección de Operaciones."/>
    <s v="I MUNICIPALIDAD DE PUNTA ARENAS"/>
    <s v="Servicio arriendo cilindro de oxígeno de 9M3"/>
    <n v="1"/>
    <x v="2"/>
    <x v="13"/>
    <d v="2023-02-23T11:06:57"/>
    <x v="5"/>
    <x v="2"/>
    <d v="2023-03-08T10:00:00"/>
    <d v="2023-02-24T00:00:00"/>
    <x v="1"/>
    <x v="1"/>
    <s v="Si"/>
    <d v="2023-02-27T15:04:00"/>
    <d v="2023-03-02T15:04:00"/>
    <d v="2023-03-14T17:00:00"/>
    <n v="8000000"/>
    <n v="6722689.0756302522"/>
    <m/>
    <s v="No"/>
    <m/>
    <m/>
    <s v="No"/>
    <s v="Spot"/>
    <m/>
    <s v="No"/>
    <m/>
    <d v="2023-03-08T10:00:00"/>
    <m/>
    <m/>
    <x v="0"/>
    <x v="2"/>
    <m/>
    <d v="2023-03-08T10:00:00"/>
    <x v="3"/>
    <m/>
    <m/>
    <m/>
    <m/>
    <m/>
    <m/>
    <m/>
    <m/>
    <m/>
    <m/>
    <m/>
    <m/>
    <m/>
    <m/>
    <m/>
    <m/>
  </r>
  <r>
    <s v="1070620-23-LQ23"/>
    <s v="PVE SUMINISTRO DE OXIGENO MEDICINAL DOMICILIARIO"/>
    <s v="PVE SUMINISTRO DE OXIGENO MEDICINAL DOMICILIARIO PARA EL HETG"/>
    <s v="HOSPITAL DOCTOR ERNESTO TORRES GALDAMES"/>
    <s v="SUMINISTRO DE OXIGENO DOMICILIARIO, SEGUN ESPECIFICACIONES TECNICAS"/>
    <n v="1"/>
    <x v="3"/>
    <x v="5"/>
    <d v="2023-02-23T10:05:01"/>
    <x v="5"/>
    <x v="2"/>
    <d v="2023-03-06T15:05:00"/>
    <d v="2023-02-24T00:00:00"/>
    <x v="0"/>
    <x v="12"/>
    <s v="Si"/>
    <d v="2023-02-28T15:00:00"/>
    <d v="2023-03-03T17:00:00"/>
    <d v="2023-04-18T17:00:00"/>
    <n v="293860000"/>
    <n v="246941176.47058824"/>
    <n v="30"/>
    <s v="Si"/>
    <n v="100000"/>
    <s v="_x0009_05-06-2023"/>
    <s v="No"/>
    <s v="Contrato"/>
    <n v="18"/>
    <s v="No"/>
    <n v="90"/>
    <d v="2023-06-04T15:05:00"/>
    <m/>
    <m/>
    <x v="0"/>
    <x v="4"/>
    <m/>
    <d v="2023-06-04T15:05:00"/>
    <x v="3"/>
    <m/>
    <m/>
    <m/>
    <m/>
    <m/>
    <m/>
    <m/>
    <m/>
    <m/>
    <m/>
    <m/>
    <m/>
    <m/>
    <m/>
    <m/>
    <m/>
  </r>
  <r>
    <s v="2561-16-LE23"/>
    <s v="OXIGENO MEDICINAL E INSUMOS"/>
    <s v="ADQUISICION DE OXIGENO MEDICINAL E INSUMOS, SEGUN FICHA TECNICA, EN ADJUNTO EN LAS BASES."/>
    <s v="DIRECCION GENERAL DE GENDARMERIA DE CHILE"/>
    <s v="ADQUISICION DE OXIGENO MEDICINAL E INSUMOS, SEGUN FICHA TECNICA, EN ADJUNTO EN LAS BASES."/>
    <n v="1"/>
    <x v="2"/>
    <x v="2"/>
    <d v="2023-02-24T17:55:02"/>
    <x v="5"/>
    <x v="2"/>
    <d v="2023-03-06T15:30:00"/>
    <d v="2023-02-28T00:00:00"/>
    <x v="0"/>
    <x v="0"/>
    <s v="No"/>
    <d v="2023-02-28T19:00:00"/>
    <d v="2023-03-01T20:00:00"/>
    <d v="2023-03-31T18:00:00"/>
    <n v="0"/>
    <n v="0"/>
    <m/>
    <s v="No"/>
    <m/>
    <m/>
    <s v="No"/>
    <s v="Spot"/>
    <m/>
    <m/>
    <m/>
    <d v="2023-03-06T15:30:00"/>
    <m/>
    <m/>
    <x v="0"/>
    <x v="4"/>
    <m/>
    <d v="2023-03-06T15:30:00"/>
    <x v="3"/>
    <m/>
    <m/>
    <m/>
    <m/>
    <m/>
    <m/>
    <m/>
    <m/>
    <m/>
    <m/>
    <m/>
    <m/>
    <m/>
    <m/>
    <m/>
    <m/>
  </r>
  <r>
    <s v="1057417-30-LQ23"/>
    <s v="CONVENIO DE MANTENCIÓN PREVENTIVA Y CORRECTIVA DE EQUIPOS MÉDICOS VENTILADORES MECÁNICOS  DEL COMPLEJO ASISTENCIAL “DR. VÍCTOR RÍOS RUIZ” LOS ÁNGELES"/>
    <s v="CONVENIO DE MANTENCIÓN PREVENTIVA Y CORRECTIVA DE EQUIPOS MÉDICOS VENTILADORES MECÁNICOS DEL COMPLEJO ASISTENCIAL “DR. VÍCTOR RÍOS RUIZ” LOS ÁNGELES."/>
    <s v="COMPLEJO ASISTENCIAL DR.VICTOR RIOS RUIZ"/>
    <s v="LÍNEA N°1 CONVENIO DE MANTENCIÓN PREVENTIVA Y CORRECTIVA DE LOS EQUIPOS MÉDICOS INDICADOS EN EL FORMULARIO N°5."/>
    <n v="1"/>
    <x v="0"/>
    <x v="0"/>
    <d v="2023-02-24T15:23:59"/>
    <x v="5"/>
    <x v="2"/>
    <d v="2023-03-16T17:00:00"/>
    <d v="2023-02-28T00:00:00"/>
    <x v="0"/>
    <x v="4"/>
    <s v="Si"/>
    <d v="2023-03-06T17:00:00"/>
    <d v="2023-03-09T17:00:00"/>
    <d v="2023-03-16T17:01:00"/>
    <n v="16783000"/>
    <n v="14103361.344537815"/>
    <m/>
    <s v="Si"/>
    <n v="500000"/>
    <d v="2023-06-24T00:00:00"/>
    <s v="No"/>
    <s v="Contrato"/>
    <n v="24"/>
    <s v="No"/>
    <m/>
    <d v="2023-03-16T17:00:00"/>
    <m/>
    <m/>
    <x v="0"/>
    <x v="4"/>
    <m/>
    <d v="2023-03-16T17:00:00"/>
    <x v="3"/>
    <m/>
    <m/>
    <m/>
    <m/>
    <m/>
    <m/>
    <m/>
    <m/>
    <m/>
    <m/>
    <m/>
    <m/>
    <m/>
    <m/>
    <m/>
    <m/>
  </r>
  <r>
    <s v="1950-16-LE23"/>
    <s v="LIC. N 12-23 MANTENCIÓN VENTILADORES MECÁNICOS"/>
    <s v="El Hospital Pitrufquén, requiere contratar el servicio de mantenimiento preventivo y correctivo por un periodo de 12 meses, con posibilidad de prórroga de 12 meses considerando Mantenciones Preventivas las que deberán tener una frecuencia de visitas, para asegurar la funcionalidad de los ventiladores mecánicos permitiendo una utilización segura y eficaz, tanto a los usuarios del Hospital Pitrufquén como a los funcionarios que manipulan estos equipos, las Mantenciones Correctivas se deberá realizar toda vez que el los equipo s quede n fuera de servicio, sin poder prestar la utilidad para lo cual fueron adquiridos. Esta situación falla inesperada en el equipo será informará de inmediato al adjudicatario, mediante una llamada telefónica y a través de un e-mail; a esta comunicación se le denominará llamada de emergencia."/>
    <s v="SERVICIO SALUD ARAUCANIA SUR HOSPITAL PITRUFQUEN"/>
    <s v="LINEA N°2 DE LAS BASES MANTENCION PREVENTIVA Ventilador Mecánico no invasivo Y Ventilador Mecánico MARCA Phillips.2 MANTENCIONES ANUALES CADA EQUIPO (4 EN TOTAL)_x000a_"/>
    <n v="1"/>
    <x v="0"/>
    <x v="0"/>
    <d v="2023-02-24T15:17:35"/>
    <x v="5"/>
    <x v="2"/>
    <d v="2023-03-10T15:30:00"/>
    <d v="2023-02-28T00:00:00"/>
    <x v="0"/>
    <x v="10"/>
    <s v="No"/>
    <m/>
    <m/>
    <m/>
    <n v="0"/>
    <n v="0"/>
    <m/>
    <m/>
    <m/>
    <m/>
    <m/>
    <m/>
    <m/>
    <m/>
    <m/>
    <d v="2023-03-10T15:30:00"/>
    <m/>
    <m/>
    <x v="0"/>
    <x v="4"/>
    <m/>
    <d v="2023-03-10T15:30:00"/>
    <x v="3"/>
    <m/>
    <m/>
    <m/>
    <m/>
    <m/>
    <m/>
    <m/>
    <m/>
    <m/>
    <m/>
    <m/>
    <m/>
    <m/>
    <m/>
    <m/>
    <m/>
  </r>
  <r>
    <s v="1272565-15-LR23"/>
    <s v="“2DO LLAMADO: CONVENIO SUMINISTRO DE OXIGENO CRIOGENICO CON ESTANQUE EN COMODATO PARA EL HOSPITAL DE ALTO HOSPICIO POR 60 MESES”"/>
    <s v="“2DO LLAMADO: CONVENIO SUMINISTRO DE OXIGENO CRIOGENICO CON ESTANQUE EN COMODATO PARA EL HOSPITAL DE ALTO HOSPICIO POR 60 MESES”"/>
    <s v="SERVICIO DE SALUD IQUIQUE"/>
    <s v="“2DO LLAMADO: CONVENIO SUMINISTRO DE OXIGENO CRIOGENICO CON ESTANQUE EN COMODATO PARA EL HOSPITAL DE ALTO HOSPICIO POR 60 MESES”._x000a_[Cantidad referencial se identifica en anexo económico]_x000a_La adjudicación será global al oferente que presente la mejor ofert"/>
    <n v="1"/>
    <x v="2"/>
    <x v="15"/>
    <d v="2023-02-28T16:42:08"/>
    <x v="5"/>
    <x v="2"/>
    <d v="2023-04-03T15:00:00"/>
    <d v="2023-03-01T00:00:00"/>
    <x v="1"/>
    <x v="1"/>
    <m/>
    <d v="2023-03-15T08:00:00"/>
    <d v="2023-03-20T15:00:00"/>
    <d v="2023-04-10T15:00:00"/>
    <n v="0"/>
    <n v="0"/>
    <m/>
    <s v="Si"/>
    <n v="1000000"/>
    <d v="2023-04-20T00:00:00"/>
    <s v="Si"/>
    <s v="Contrato"/>
    <n v="60"/>
    <m/>
    <m/>
    <d v="2023-04-03T15:00:00"/>
    <m/>
    <m/>
    <x v="0"/>
    <x v="6"/>
    <m/>
    <d v="2023-04-03T15:00:00"/>
    <x v="3"/>
    <m/>
    <m/>
    <m/>
    <m/>
    <m/>
    <m/>
    <m/>
    <m/>
    <m/>
    <m/>
    <m/>
    <m/>
    <m/>
    <m/>
    <m/>
    <m/>
  </r>
  <r>
    <s v="1549-7-LR23"/>
    <s v="SERVICIO DE SUMINISTRO DE OXIGENO DOMICILIARIO HSJ"/>
    <s v="Este servicio corresponde a la entrega de oxigeno domiciliario de carácter transitorio, para pacientes adultos que se atiendan en el Hospital San José, ya sea con domicilio en el sector norte de la capital o fuera de este pero que pertenezca al convenio Arte Salud, el cual tendrá una duración de 60 meses, para satisfacer de manera adecuada y eficiente la labor asistencial del Hospital San José."/>
    <s v="SERVICIO DE SALUD METROPOLITANA NORTE HOSPITAL SAN JOSE"/>
    <s v="SUMINISTRO DE OXIGENO DOMICILIARIO PARA PACIENTES DEL HOSPITAL SAN JOSÉ"/>
    <n v="1"/>
    <x v="3"/>
    <x v="5"/>
    <d v="2023-02-28T11:25:17"/>
    <x v="5"/>
    <x v="2"/>
    <d v="2023-03-30T15:00:00"/>
    <d v="2023-03-01T00:00:00"/>
    <x v="1"/>
    <x v="1"/>
    <s v="Si"/>
    <d v="2023-03-13T15:00:00"/>
    <d v="2023-03-20T15:00:00"/>
    <d v="2023-05-02T18:00:00"/>
    <n v="800000000"/>
    <n v="672268907.56302524"/>
    <n v="30"/>
    <s v="Si"/>
    <n v="5000000"/>
    <d v="2023-07-28T00:00:00"/>
    <s v="No"/>
    <s v="Contrato"/>
    <n v="60"/>
    <s v="No"/>
    <n v="120"/>
    <d v="2023-07-28T15:00:00"/>
    <m/>
    <m/>
    <x v="0"/>
    <x v="6"/>
    <m/>
    <d v="2023-07-28T15:00:00"/>
    <x v="3"/>
    <m/>
    <m/>
    <m/>
    <m/>
    <m/>
    <m/>
    <m/>
    <m/>
    <m/>
    <m/>
    <m/>
    <m/>
    <m/>
    <m/>
    <m/>
    <m/>
  </r>
  <r>
    <s v="2448-23-LE23"/>
    <s v="SUMINISTRO REDES DE GASES CLINICO 2023-2024"/>
    <s v="Se requiere licitar el suministro de mantenimiento de redes de gases clínicos y sistemas relacionados, periodo 2023 y 2024, para la dar continuidad a la mantención, reparación e instalación en los distintos CESFAM de la APS Coquimbo."/>
    <s v="I MUNICIPALIDAD DE COQUIMBO"/>
    <s v="SUMINISTRO MANTENCION, REPARACION E INSTALACION DE REDES DE GASES CLINICOS Y SISTEMAS RELACIONADOS PERIODO 2023-2024"/>
    <n v="1"/>
    <x v="4"/>
    <x v="6"/>
    <d v="2023-03-01T17:20:45"/>
    <x v="6"/>
    <x v="2"/>
    <d v="2023-03-13T15:04:00"/>
    <d v="2023-03-02T00:00:00"/>
    <x v="0"/>
    <x v="4"/>
    <m/>
    <d v="2023-03-07T19:59:00"/>
    <d v="2023-03-10T19:59:00"/>
    <d v="2023-03-20T15:05:00"/>
    <n v="0"/>
    <n v="0"/>
    <m/>
    <s v="No"/>
    <m/>
    <m/>
    <s v="Si"/>
    <s v="Contrato"/>
    <n v="12"/>
    <m/>
    <m/>
    <d v="2023-03-13T15:04:00"/>
    <m/>
    <m/>
    <x v="0"/>
    <x v="4"/>
    <m/>
    <d v="2023-03-13T15:04:00"/>
    <x v="3"/>
    <m/>
    <m/>
    <m/>
    <m/>
    <m/>
    <m/>
    <m/>
    <m/>
    <m/>
    <m/>
    <m/>
    <m/>
    <m/>
    <m/>
    <m/>
    <m/>
  </r>
  <r>
    <s v="1057503-32-LE23"/>
    <s v="SUMINISTRO CONTINUO INSUMOS CLINICOS 20"/>
    <s v="adquisición de insumos para el Hospital Padre Alberto Hurtado, solicitados en las especificaciones técnicas, en concordancia con las Bases Administrativas, Técnicas, Formularios, aclaraciones y otros documentos que pudieran formularse en el transcurso de la licitación"/>
    <s v="HOSPITAL PADRE ALBERTO HURTADO"/>
    <s v="04104100_x000a_NIPLE Y TUERCA, PARA OXIGENO"/>
    <n v="700"/>
    <x v="8"/>
    <x v="2"/>
    <d v="2023-03-03T11:57:56"/>
    <x v="6"/>
    <x v="2"/>
    <d v="2023-03-13T19:00:00"/>
    <d v="2023-03-06T00:00:00"/>
    <x v="0"/>
    <x v="6"/>
    <m/>
    <d v="2023-03-06T23:00:00"/>
    <d v="2023-03-09T17:00:00"/>
    <d v="2023-03-29T17:00:00"/>
    <n v="0"/>
    <n v="0"/>
    <m/>
    <s v="No"/>
    <m/>
    <m/>
    <s v="No"/>
    <s v="Contrato"/>
    <n v="12"/>
    <m/>
    <m/>
    <d v="2023-03-13T19:00:00"/>
    <m/>
    <m/>
    <x v="0"/>
    <x v="4"/>
    <m/>
    <d v="2023-03-13T19:00:00"/>
    <x v="3"/>
    <m/>
    <m/>
    <m/>
    <m/>
    <m/>
    <m/>
    <m/>
    <m/>
    <m/>
    <m/>
    <m/>
    <m/>
    <m/>
    <m/>
    <m/>
    <m/>
  </r>
  <r>
    <s v="1511-9-LE23"/>
    <s v="SUMINISTRO DE GASES MEDICINALES"/>
    <s v="DADA LA NECESIDAD DE REALIZAR SUMINISTRO DE OXIGENO MEDICINAL PARA HOSPITAL DE CONSTITUCION."/>
    <s v="Hospital de Constitución"/>
    <s v="1 SUMINISTRO GASES MEDICINALES  "/>
    <n v="1"/>
    <x v="2"/>
    <x v="2"/>
    <d v="2023-03-03T11:55:23"/>
    <x v="6"/>
    <x v="2"/>
    <d v="2023-03-14T15:03:00"/>
    <d v="2023-03-06T00:00:00"/>
    <x v="0"/>
    <x v="7"/>
    <m/>
    <m/>
    <m/>
    <m/>
    <n v="0"/>
    <n v="0"/>
    <m/>
    <m/>
    <m/>
    <m/>
    <m/>
    <m/>
    <m/>
    <m/>
    <m/>
    <d v="2023-03-14T15:03:00"/>
    <m/>
    <m/>
    <x v="0"/>
    <x v="4"/>
    <m/>
    <d v="2023-03-14T15:03:00"/>
    <x v="3"/>
    <m/>
    <m/>
    <m/>
    <m/>
    <m/>
    <m/>
    <m/>
    <m/>
    <m/>
    <m/>
    <m/>
    <m/>
    <m/>
    <m/>
    <m/>
    <m/>
  </r>
  <r>
    <s v="1063538-49-LP23"/>
    <s v="CONVENIO DE SUMINISTRO OXIGENO LIQUIDO MEDICINAL"/>
    <s v="El Hospital Base San José Osorno, en adelante también el “Hospital”, requiere el Convenio De Suministro Oxigeno Liquido medicinal para el Hospital, de acuerdo a las condiciones establecidas en las presentes bases administrativas, económicas, técnicas y sus anexos. La forma de la presente licitación pública corresponde a aquellas adquisiciones entre 1000 y 2000 UTM"/>
    <s v="HOSPITAL BASE OSORNO"/>
    <s v="211-0202 | OXIGENO LIQUIDO MEDICINAL"/>
    <n v="6500"/>
    <x v="2"/>
    <x v="3"/>
    <d v="2023-03-06T18:32:33"/>
    <x v="6"/>
    <x v="2"/>
    <d v="2023-03-17T17:00:00"/>
    <d v="2023-03-07T00:00:00"/>
    <x v="1"/>
    <x v="1"/>
    <m/>
    <d v="2023-03-10T17:00:00"/>
    <d v="2023-03-13T17:00:00"/>
    <d v="2023-05-16T15:31:00"/>
    <m/>
    <n v="0"/>
    <m/>
    <s v="Si"/>
    <n v="500000"/>
    <d v="2023-06-19T00:00:00"/>
    <s v="Si"/>
    <s v="Contrato"/>
    <n v="24"/>
    <m/>
    <m/>
    <d v="2023-03-17T17:00:00"/>
    <m/>
    <m/>
    <x v="0"/>
    <x v="2"/>
    <m/>
    <d v="2023-03-17T17:00:00"/>
    <x v="3"/>
    <m/>
    <m/>
    <m/>
    <m/>
    <m/>
    <m/>
    <m/>
    <m/>
    <m/>
    <m/>
    <m/>
    <m/>
    <m/>
    <m/>
    <m/>
    <m/>
  </r>
  <r>
    <s v="4433-1-L123"/>
    <s v="OXIGENO MEDICINAL"/>
    <s v="ARRIENDO Y CARGAS DE TUBOS DE OXIGENO MEDICINAL, PARA USO DE PACIENTES DEL CESFAM PAIHUANO Y POSTAS. CONTRATO POR 24 MESES."/>
    <s v="I MUNICIPALIDAD PAIHUANO"/>
    <s v="8 cilindros 10m3_x000a_6 cilindros 6m3"/>
    <n v="1"/>
    <x v="2"/>
    <x v="11"/>
    <d v="2023-03-06T12:49:42"/>
    <x v="6"/>
    <x v="2"/>
    <d v="2023-03-14T16:00:00"/>
    <d v="2023-03-07T00:00:00"/>
    <x v="0"/>
    <x v="10"/>
    <s v="No"/>
    <m/>
    <m/>
    <m/>
    <m/>
    <n v="0"/>
    <m/>
    <m/>
    <m/>
    <m/>
    <m/>
    <m/>
    <m/>
    <m/>
    <m/>
    <d v="2023-03-14T16:00:00"/>
    <m/>
    <m/>
    <x v="0"/>
    <x v="2"/>
    <m/>
    <d v="2023-03-14T16:00:00"/>
    <x v="3"/>
    <m/>
    <m/>
    <m/>
    <m/>
    <m/>
    <m/>
    <m/>
    <m/>
    <m/>
    <m/>
    <m/>
    <m/>
    <m/>
    <m/>
    <m/>
    <m/>
  </r>
  <r>
    <s v="1947-29-LE23"/>
    <s v="ADQUISICIÓN DE FILTROS BOQUILLAS PINZAS VALVULAS  PARA LA UNIDAD BRONCOPULMONAR "/>
    <s v="Hospital Roberto Del Río, requiere la adquisición de filtros, boquillas, pinzas, válvulas y conectores para la unidad Broncopulmonar, por el periodo de 24 meses, y busca por medio del presente llamado satisfacer la demanda de los insumos "/>
    <s v="SERVICIO DE SALUD NORTE HOSPITAL ROBERTO DEL RIO"/>
    <s v="BOQUILLA PLÁSTICA P/ESPIROMETRÍA"/>
    <n v="250"/>
    <x v="0"/>
    <x v="0"/>
    <d v="2023-03-07T16:06:02"/>
    <x v="6"/>
    <x v="2"/>
    <d v="2023-03-17T15:00:00"/>
    <d v="2023-03-08T00:00:00"/>
    <x v="0"/>
    <x v="6"/>
    <m/>
    <m/>
    <m/>
    <m/>
    <m/>
    <n v="0"/>
    <m/>
    <m/>
    <m/>
    <m/>
    <m/>
    <m/>
    <m/>
    <m/>
    <m/>
    <d v="2023-03-17T15:00:00"/>
    <m/>
    <m/>
    <x v="0"/>
    <x v="4"/>
    <m/>
    <d v="2023-03-17T15:00:00"/>
    <x v="3"/>
    <m/>
    <m/>
    <m/>
    <m/>
    <m/>
    <m/>
    <m/>
    <m/>
    <m/>
    <m/>
    <m/>
    <m/>
    <m/>
    <m/>
    <m/>
    <m/>
  </r>
  <r>
    <s v="4170-32-L123"/>
    <s v="ADQUISICION DE  HERRAMIENTAS   MECANICAS   PARA TALLER  DE  LA MUNICIPALIDAD"/>
    <s v="ADQUISICION DE  HERRAMIENTAS   MECANICAS   PARA TALLER  DE  LA MUNICIPALIDAD DE  GALVARINO"/>
    <s v="Ilustre Municipalidad de Galvarino"/>
    <s v="CILINDRO DE  OXIGENO  6 M3 FIERRO  PART.VACIO,SEGUN TERMINOS DE REFERENCIA ADJUNTOS "/>
    <n v="1"/>
    <x v="2"/>
    <x v="3"/>
    <d v="2023-03-07T15:31:17"/>
    <x v="6"/>
    <x v="2"/>
    <d v="2023-03-13T15:00:00"/>
    <d v="2023-03-08T00:00:00"/>
    <x v="0"/>
    <x v="7"/>
    <m/>
    <d v="2023-03-09T15:02:00"/>
    <d v="2023-03-10T15:02:00"/>
    <d v="2023-04-18T15:30:00"/>
    <m/>
    <n v="0"/>
    <m/>
    <m/>
    <m/>
    <m/>
    <m/>
    <m/>
    <m/>
    <m/>
    <m/>
    <d v="2023-03-13T15:00:00"/>
    <m/>
    <m/>
    <x v="0"/>
    <x v="4"/>
    <m/>
    <d v="2023-03-13T15:00:00"/>
    <x v="3"/>
    <m/>
    <m/>
    <m/>
    <m/>
    <m/>
    <m/>
    <m/>
    <m/>
    <m/>
    <m/>
    <m/>
    <m/>
    <m/>
    <m/>
    <m/>
    <m/>
  </r>
  <r>
    <s v="1642-20-LE23"/>
    <s v="INSUMOS CLÍNICOS Y EQUIPOS MENORES"/>
    <s v="INSUMOS CLÍNICOS Y EQUIPOS MENORES, AÑO 2023, DEL HOSPITAL DE CURACAVÍ."/>
    <s v="SERVICIO DE SALUD METROPOLITANO OCCIDENTE HOSPITAL DE CURACAVI"/>
    <s v="OXIMETRO DE PULSO"/>
    <n v="62"/>
    <x v="0"/>
    <x v="0"/>
    <d v="2023-03-07T13:37:56"/>
    <x v="6"/>
    <x v="2"/>
    <d v="2023-03-17T10:00:00"/>
    <d v="2023-03-08T00:00:00"/>
    <x v="1"/>
    <x v="1"/>
    <s v="Si"/>
    <d v="2023-03-09T12:00:00"/>
    <d v="2023-03-13T15:00:00"/>
    <d v="2023-03-27T17:00:00"/>
    <n v="1555044.4"/>
    <n v="1306760"/>
    <n v="45"/>
    <s v="No"/>
    <m/>
    <m/>
    <s v="No"/>
    <s v="Spot"/>
    <m/>
    <s v="No"/>
    <n v="90"/>
    <d v="2023-06-15T10:00:00"/>
    <n v="1"/>
    <n v="1306760"/>
    <x v="53"/>
    <x v="2"/>
    <m/>
    <d v="2023-06-15T10:00:00"/>
    <x v="3"/>
    <m/>
    <m/>
    <m/>
    <m/>
    <m/>
    <m/>
    <m/>
    <m/>
    <m/>
    <m/>
    <m/>
    <m/>
    <m/>
    <m/>
    <m/>
    <m/>
  </r>
  <r>
    <s v="3944-4-LE23"/>
    <s v="CONTRATO SUMINISTRO OXIGENO MEDICINAL Y ARRIENDO"/>
    <s v="Que, el Departamento de Salud de Peralillo busca proporcionar al CESFAM Peralillo, Contrato de Suministro, Recarga de Cilindros Oxigeno Medicinal por 24 meses con posibilidad de renovación por 12 Meses por una sola vez &quot;Siendo el objetivo general de este convenio disponer de manera expedita de oxigeno medicinal evitando desabastecimiento e inconvenientes logísticos."/>
    <s v="I MUNICIPALIDAD DE PERALILLO"/>
    <s v="ARRIENDO DIARIO POR CILINDRO DE GAS MEDICO"/>
    <n v="1"/>
    <x v="2"/>
    <x v="2"/>
    <d v="2023-03-07T10:45:43"/>
    <x v="6"/>
    <x v="2"/>
    <d v="2023-03-16T09:00:00"/>
    <d v="2023-03-08T00:00:00"/>
    <x v="0"/>
    <x v="7"/>
    <m/>
    <m/>
    <m/>
    <m/>
    <m/>
    <n v="0"/>
    <m/>
    <m/>
    <m/>
    <m/>
    <m/>
    <m/>
    <m/>
    <m/>
    <m/>
    <d v="2023-03-16T09:00:00"/>
    <m/>
    <m/>
    <x v="0"/>
    <x v="4"/>
    <m/>
    <d v="2023-03-16T09:00:00"/>
    <x v="3"/>
    <m/>
    <m/>
    <m/>
    <m/>
    <m/>
    <m/>
    <m/>
    <m/>
    <m/>
    <m/>
    <m/>
    <m/>
    <m/>
    <m/>
    <m/>
    <m/>
  </r>
  <r>
    <s v="956-35-LP23"/>
    <s v="Adquisición de Equipos de Monitoreo II NHCV"/>
    <s v="El Servicio de Salud Valparaíso - San Antonio, en adelante el SSVSA, ha confeccionado las siguientes Bases Administrativas, las que establecen las disposiciones administrativas que regirá la Licitación Pública a través del portal www.mercadopublico.cl y posterior Contrato que celebre el SSVSA para la Adquisición de Equipos de Monitoreo II para el nuevo Hospital Claudio Vicuña de San Antonio._x000a__x000a_Cada una de las cláusulas contenidas en las presentes Bases Administrativas de esta Licitación, se considerarán incorporadas en el respectivo Contrato, haciéndose el o los proveedores adjudicados, responsable del cumplimiento que de tales documentos se deriven. _x000a__x000a_La descripción de los Bienes requeridos corresponde a los siguientes equipos: _x000a__x000a_- 05 Capnógrafo._x000a_- 17 Detector de latidos cardiofetales._x000a_- 08 Electrocardiógrafo._x000a_- 01 Electrocardiógrafo 12 derivaciones._x000a_- 03 Monitor cardiofetal._x000a_- 05 Monitor de apnea._x000a_- 12 Oxímetro de pulso._x000a__x000a_ Cabe mencionar que las especificaciones técnicas de los bienes a adquirir se encuentran detalladas en el Formulario Nº 2."/>
    <s v="SERVICIO DE SALUD VALPARAISO SAN ANTONIO"/>
    <s v="Oxímetro de pulso, los detalles del producto se encuentran en el formulario N°2"/>
    <n v="12"/>
    <x v="0"/>
    <x v="0"/>
    <d v="2023-03-08T14:22:45"/>
    <x v="6"/>
    <x v="2"/>
    <d v="2023-03-27T16:00:00"/>
    <d v="2023-03-09T00:00:00"/>
    <x v="0"/>
    <x v="0"/>
    <m/>
    <m/>
    <m/>
    <m/>
    <m/>
    <n v="0"/>
    <m/>
    <m/>
    <m/>
    <m/>
    <m/>
    <m/>
    <m/>
    <m/>
    <m/>
    <d v="2023-03-27T16:00:00"/>
    <m/>
    <m/>
    <x v="0"/>
    <x v="4"/>
    <m/>
    <d v="2023-03-27T16:00:00"/>
    <x v="3"/>
    <m/>
    <m/>
    <m/>
    <m/>
    <m/>
    <m/>
    <m/>
    <m/>
    <m/>
    <m/>
    <m/>
    <m/>
    <m/>
    <m/>
    <m/>
    <m/>
  </r>
  <r>
    <s v="1075337-25-LR23"/>
    <s v="Sum. Catéteres e Insumos Generales para Ss. H- A"/>
    <s v="La presente licitación tiene como objetivo la compra de catéteres endovascular e insumos quirúrgicos generales para Unidad de Cirugía Vascular y otros servicios del Hospital de Angol del Hospital Dr. Mauricio Heyermann Torres de Angol."/>
    <s v="SERVICIO DE SALUD ARAUCANIA NORTE HOSPITAL DE ANGOL"/>
    <s v="KIN010003 FLUJOMETRO RANGO COMPLETO PERSONAL BEST"/>
    <n v="20"/>
    <x v="0"/>
    <x v="0"/>
    <d v="2023-03-08T14:17:07"/>
    <x v="6"/>
    <x v="2"/>
    <d v="2023-04-10T15:01:00"/>
    <d v="2023-03-09T00:00:00"/>
    <x v="0"/>
    <x v="0"/>
    <m/>
    <m/>
    <m/>
    <m/>
    <m/>
    <n v="0"/>
    <m/>
    <m/>
    <m/>
    <m/>
    <m/>
    <m/>
    <m/>
    <m/>
    <m/>
    <d v="2023-04-10T15:01:00"/>
    <m/>
    <m/>
    <x v="0"/>
    <x v="6"/>
    <m/>
    <d v="2023-04-10T15:01:00"/>
    <x v="3"/>
    <m/>
    <m/>
    <m/>
    <m/>
    <m/>
    <m/>
    <m/>
    <m/>
    <m/>
    <m/>
    <m/>
    <m/>
    <m/>
    <m/>
    <m/>
    <m/>
  </r>
  <r>
    <s v="886954-95-LE23"/>
    <s v="CONVENIO DE SUMINISTROS AEROCAMARA VALVULA DE FONACION Y ENTRENAMIENTO PARA EL HGGB 2023"/>
    <s v="PARA ATENCION PRONTA Y OPORTUNA DE LOS PACIENTES DEL HGGB"/>
    <s v="HOSPITAL GUILLERMO GRANT BENAVENTE DE CO"/>
    <s v="VALVULA DE ENTRENAMIENTO MUSCULAR RESPIRATORIO TRESHOLD LT // 222-957"/>
    <n v="450"/>
    <x v="0"/>
    <x v="0"/>
    <d v="2023-03-08T11:07:19"/>
    <x v="6"/>
    <x v="2"/>
    <d v="2023-03-14T12:01:00"/>
    <d v="2023-03-09T00:00:00"/>
    <x v="0"/>
    <x v="0"/>
    <m/>
    <m/>
    <m/>
    <m/>
    <m/>
    <n v="0"/>
    <m/>
    <m/>
    <m/>
    <m/>
    <m/>
    <s v="Contrato"/>
    <n v="12"/>
    <m/>
    <m/>
    <d v="2023-03-14T12:01:00"/>
    <m/>
    <m/>
    <x v="0"/>
    <x v="4"/>
    <m/>
    <d v="2023-03-14T12:01:00"/>
    <x v="3"/>
    <m/>
    <m/>
    <m/>
    <m/>
    <m/>
    <m/>
    <m/>
    <m/>
    <m/>
    <m/>
    <m/>
    <m/>
    <m/>
    <m/>
    <m/>
    <m/>
  </r>
  <r>
    <s v="948355-14-LE23"/>
    <s v="Adquisición de Insumos Médicos por Sistema de Suministro para el Hospital de la Dirección de Previsión de Carabineros de Chile."/>
    <s v="El Hospital de la Dirección de Previsión de Carabineros de Chile, ubicado en Av. Vital Apoquindo N° 1.200, Comuna de Las Condes, Región Metropolitana, en adelante “EL HOSPITAL”,  llama a Licitación Pública para la Adquisición de Insumos Médicos por Sistema de Suministro,  en adelante “LOS INSUMOS”, para un período de 24 meses o hasta que se consuma la totalidad del monto contratado, según lo que primero ocurra, para el referido Centro Asistencial, cuyas características y requisitos técnicos constan en las Bases Administrativas y Técnicas de esta Licitación con sus respectivos Anexos."/>
    <s v="FONDO HOSPITAL DE LA DIRECCION DE PREVISION DE CARABINEROS DE CHILE"/>
    <s v="HOSDIP CL1603. MASCARILLA FACIAL TOTAL TALLA ‘’L’’ DE 14 CM. (LARGO) X 12 CM. (ALTURA) APROX. CON ARNÉS DE SORPORTE. PARA CUBRIR BOCA, NARIZ Y OJOS. ESTRUCTURA TRANSPARENTE, COJIN DE SILICONA SUAVE INTEGRADO A LA ESTRUCTURA DE LA MASCARILLA."/>
    <n v="12"/>
    <x v="0"/>
    <x v="0"/>
    <d v="2023-03-09T16:36:43"/>
    <x v="6"/>
    <x v="2"/>
    <d v="2023-03-16T16:00:00"/>
    <d v="2023-03-10T00:00:00"/>
    <x v="0"/>
    <x v="10"/>
    <s v="No"/>
    <m/>
    <m/>
    <m/>
    <m/>
    <n v="0"/>
    <m/>
    <m/>
    <m/>
    <m/>
    <m/>
    <m/>
    <m/>
    <m/>
    <m/>
    <d v="2023-03-16T16:00:00"/>
    <m/>
    <m/>
    <x v="0"/>
    <x v="4"/>
    <m/>
    <d v="2023-03-16T16:00:00"/>
    <x v="3"/>
    <m/>
    <m/>
    <m/>
    <m/>
    <m/>
    <m/>
    <m/>
    <m/>
    <m/>
    <m/>
    <m/>
    <m/>
    <m/>
    <m/>
    <m/>
    <m/>
  </r>
  <r>
    <s v="4476-5-LE23"/>
    <s v="CONTRATO DE SUMINISTRO RECARGAS Y ARRIENDOS DE CILINDROS DE OXIGENO"/>
    <s v="Adquisición de Servicios por suministro de recargas y arriendos de cilindros de Oxígeno para establecimientos de Salud de la Comuna."/>
    <s v="I.MUNICIPALIDAD DE ROMERAL"/>
    <s v="Servicio de suministro y arriendos de cilindros de Oxígeno establecimientos de salud dependientes del Depto. de Salud de Romeral conforme a bases adjuntas en anexo."/>
    <n v="1"/>
    <x v="2"/>
    <x v="2"/>
    <d v="2023-03-09T15:38:34"/>
    <x v="6"/>
    <x v="2"/>
    <d v="2023-03-20T16:44:00"/>
    <d v="2023-03-10T00:00:00"/>
    <x v="0"/>
    <x v="7"/>
    <m/>
    <m/>
    <m/>
    <m/>
    <m/>
    <n v="0"/>
    <m/>
    <m/>
    <m/>
    <m/>
    <m/>
    <m/>
    <m/>
    <m/>
    <m/>
    <d v="2023-03-20T16:44:00"/>
    <m/>
    <m/>
    <x v="0"/>
    <x v="4"/>
    <m/>
    <d v="2023-03-20T16:44:00"/>
    <x v="3"/>
    <m/>
    <m/>
    <m/>
    <m/>
    <m/>
    <m/>
    <m/>
    <m/>
    <m/>
    <m/>
    <m/>
    <m/>
    <m/>
    <m/>
    <m/>
    <m/>
  </r>
  <r>
    <s v="564162-18-L123"/>
    <s v="Solicitud N° 63767 - cc 117 - Mantención en red de gases"/>
    <s v="La Universidad de Santiago de Chile requiere la contratación del servicio de mantención en red de gases que se indica. _x000a_Lugar: Edificio de alimentos. Laboratorio de envases. Obispo Manuel Umaña_x000a_050 Estación Central"/>
    <s v="UNIVERSIDAD DE SANTIAGO DE CHILE"/>
    <s v="Mantención de redes de gases especiales para equipos de permeabilidad y análisis térmico"/>
    <n v="1"/>
    <x v="5"/>
    <x v="6"/>
    <d v="2023-03-10T09:49:37"/>
    <x v="6"/>
    <x v="2"/>
    <d v="2023-03-20T15:00:00"/>
    <d v="2023-03-13T00:00:00"/>
    <x v="0"/>
    <x v="10"/>
    <m/>
    <m/>
    <m/>
    <m/>
    <m/>
    <n v="0"/>
    <m/>
    <m/>
    <m/>
    <m/>
    <m/>
    <m/>
    <m/>
    <m/>
    <m/>
    <d v="2023-03-20T15:00:00"/>
    <m/>
    <m/>
    <x v="0"/>
    <x v="4"/>
    <m/>
    <d v="2023-03-20T15:00:00"/>
    <x v="3"/>
    <m/>
    <m/>
    <m/>
    <m/>
    <m/>
    <m/>
    <m/>
    <m/>
    <m/>
    <m/>
    <m/>
    <m/>
    <m/>
    <m/>
    <m/>
    <m/>
  </r>
  <r>
    <s v="3740-5-LE23"/>
    <s v="INSUMOS GENERALES CES Y PSR SEMESTRAL"/>
    <s v="ADQUIRIR INSUMOS GRALES. PARA ASEGURAR UN SERVICIO DE ATENCION DE CALIDAD Y SEGURO HACIA NUESTROS USUARIOS DE APS."/>
    <s v="I MUNICIPALIDAD DE HUASCO"/>
    <s v="REGULADOR DE O2 CON ADAPTADOR TIPO YUGO._x000a_Regulador de oxígeno con adaptador tipo yugo para entrada CGA 870._x000a_Cantidad: 1._x000a_Especificaciones: _x000a_Conexión CGA 870_x000a_Manómetro de entrada de 0-280 kg/cm2_x000a_Flujómetro de 0-15 lts/min. con válvula para control de"/>
    <n v="1"/>
    <x v="8"/>
    <x v="11"/>
    <d v="2023-03-13T16:23:15"/>
    <x v="6"/>
    <x v="2"/>
    <d v="2023-03-23T10:01:00"/>
    <d v="2023-03-14T00:00:00"/>
    <x v="0"/>
    <x v="2"/>
    <s v="No"/>
    <m/>
    <m/>
    <m/>
    <m/>
    <n v="0"/>
    <m/>
    <m/>
    <m/>
    <m/>
    <m/>
    <m/>
    <m/>
    <m/>
    <m/>
    <d v="2023-03-23T10:01:00"/>
    <m/>
    <m/>
    <x v="0"/>
    <x v="4"/>
    <m/>
    <d v="2023-03-23T10:01:00"/>
    <x v="3"/>
    <m/>
    <m/>
    <m/>
    <m/>
    <m/>
    <m/>
    <m/>
    <m/>
    <m/>
    <m/>
    <m/>
    <m/>
    <m/>
    <m/>
    <m/>
    <m/>
  </r>
  <r>
    <s v="3740-5-LE23"/>
    <s v="INSUMOS GENERALES CES Y PSR SEMESTRAL"/>
    <s v="ADQUIRIR INSUMOS GRALES. PARA ASEGURAR UN SERVICIO DE ATENCION DE CALIDAD Y SEGURO HACIA NUESTROS USUARIOS DE APS."/>
    <s v="I MUNICIPALIDAD DE HUASCO"/>
    <s v="SATUROMETROS PEDIATRICOS/NIÑO"/>
    <n v="2"/>
    <x v="0"/>
    <x v="0"/>
    <d v="2023-03-13T16:23:15"/>
    <x v="6"/>
    <x v="2"/>
    <d v="2023-03-23T10:01:00"/>
    <d v="2023-03-14T00:00:00"/>
    <x v="0"/>
    <x v="0"/>
    <s v="No"/>
    <m/>
    <m/>
    <m/>
    <m/>
    <n v="0"/>
    <m/>
    <m/>
    <m/>
    <m/>
    <m/>
    <m/>
    <m/>
    <m/>
    <m/>
    <d v="2023-03-23T10:01:00"/>
    <m/>
    <m/>
    <x v="0"/>
    <x v="4"/>
    <m/>
    <d v="2023-03-23T10:01:00"/>
    <x v="3"/>
    <m/>
    <m/>
    <m/>
    <m/>
    <m/>
    <m/>
    <m/>
    <m/>
    <m/>
    <m/>
    <m/>
    <m/>
    <m/>
    <m/>
    <m/>
    <m/>
  </r>
  <r>
    <s v="1488-9-LP23"/>
    <s v="PPTA 54-23 “CONTRATACIÓN DE SERVICIOS DE MANTENCIÓN PREVENTIVA Y REPARATIVA DE EQUIPO RESONADOR MAGNÉTICO MAGNETOM SYMPHONY DEL SERVICIO DE IMAGENOLOGÍA DEL HOSPITAL”"/>
    <s v="Se requiere la “CONTRATACIÓN DE SERVICIOS DE MANTENCIÓN PREVENTIVA Y REPARATIVA DE EQUIPO RESONADOR MAGNÉTICO MAGNETOM SYMPHONY DEL SERVICIO DE IMAGENOLOGÍA DEL HOSPITAL”, en adelante; “el servicio”, con una vigencia de 12 meses, acorde a las condiciones definidas en estas bases. La contratación del servicio se realizará en concordancia con la legislación vigente y las Bases Administrativas, Especificaciones Técnicas y Anexos que constituyen el referido llamado a Licitación, con equipamiento y personal necesario para realizar los trabajos."/>
    <s v="HOSPITAL DOCTOR HERNAN HENRIQUEZ ARAVENA"/>
    <s v="SERVICIOS DE MANTENCIÓN PREVENTIVA Y REPARATIVA DE EQUIPO RESONADOR MAGNÉTICO MAGNETOM SYMPHONY (Periodicidad bimestral + mantención tipo full todo incluido + carga de Helio (1.500 L) + reparativas necesarias)"/>
    <n v="12"/>
    <x v="7"/>
    <x v="1"/>
    <d v="2023-03-13T12:48:38"/>
    <x v="6"/>
    <x v="2"/>
    <d v="2023-03-23T15:00:00"/>
    <d v="2023-03-14T00:00:00"/>
    <x v="0"/>
    <x v="4"/>
    <m/>
    <d v="2023-03-20T10:00:00"/>
    <d v="2023-03-21T14:30:00"/>
    <d v="2023-05-22T18:00:00"/>
    <n v="118890453"/>
    <n v="99907943.697478995"/>
    <m/>
    <s v="Si"/>
    <n v="200000"/>
    <d v="2023-07-21T00:00:00"/>
    <s v="No"/>
    <s v="Contrato"/>
    <n v="12"/>
    <m/>
    <m/>
    <d v="2023-03-23T15:00:00"/>
    <m/>
    <m/>
    <x v="0"/>
    <x v="4"/>
    <m/>
    <d v="2023-03-23T15:00:00"/>
    <x v="3"/>
    <m/>
    <m/>
    <m/>
    <m/>
    <m/>
    <m/>
    <m/>
    <m/>
    <m/>
    <m/>
    <m/>
    <m/>
    <m/>
    <m/>
    <m/>
    <m/>
  </r>
  <r>
    <s v="1271359-28-L123"/>
    <s v="REGULADORES DE OXÍGENO MEDICINAL CON FLUJÓMETRO"/>
    <s v="SE SOLICITAN CINCUENTA (50) UNIDADES DE REGULADORES DE OXÍGENO MEDICINAL._x000a_INCLUIR:_x000a_- FLUJÓMETRO_x000a_- HUMIFICADOR_x000a_- CANULA DE PRESIÓN DE TRABAJO 0-15 LPM, CONEXIÓN CGA-540"/>
    <s v="CORP MUNICIPAL DE DESARROLLO SOCIAL DE LAMPA"/>
    <s v="REGULADOR DE OXÍGENO MEDICINAL."/>
    <n v="50"/>
    <x v="8"/>
    <x v="10"/>
    <d v="2023-03-14T18:01:01"/>
    <x v="6"/>
    <x v="2"/>
    <d v="2023-03-21T15:00:00"/>
    <d v="2023-03-15T00:00:00"/>
    <x v="0"/>
    <x v="10"/>
    <s v="No"/>
    <d v="2023-03-16T12:00:00"/>
    <d v="2023-03-17T19:00:00"/>
    <d v="2023-03-24T19:00:00"/>
    <m/>
    <n v="0"/>
    <m/>
    <s v="No"/>
    <m/>
    <m/>
    <s v="No"/>
    <s v="Spot"/>
    <m/>
    <m/>
    <m/>
    <d v="2023-03-21T15:00:00"/>
    <m/>
    <m/>
    <x v="0"/>
    <x v="2"/>
    <m/>
    <d v="2023-03-21T15:00:00"/>
    <x v="3"/>
    <m/>
    <m/>
    <m/>
    <m/>
    <m/>
    <m/>
    <m/>
    <m/>
    <m/>
    <m/>
    <m/>
    <m/>
    <m/>
    <m/>
    <m/>
    <m/>
  </r>
  <r>
    <s v="1057390-27-LE23"/>
    <s v="COMPRA DE INSUMOS CLÍNICOS E INSUMOS DE ASEO SAMU"/>
    <s v="La presente licitación tiene como objetivo, la necesidad de adquirir insumos clínicos para las ambulancias de las Bases SAMU dependientes del Servicio de Salud Araucanía Norte, con la necesidad de tener equipos completamente operativos, garantizando una mayor fiabilidad, confiabilidad y seguridad al momento de utilizar estos móviles en pacientes graves y adquirir insumos de aseo para garantizar la seguridad sanitaria del personal y de los pacientes que hacen uso de las ambulancias."/>
    <s v="SERVICIO DE SALUD ARAUCANIA NORTE"/>
    <s v="FLUJÓMETRO 0-15 lpmP/ OXÍGENO CONEXIÓN DISS"/>
    <n v="5"/>
    <x v="8"/>
    <x v="3"/>
    <d v="2023-03-14T15:03:19"/>
    <x v="6"/>
    <x v="2"/>
    <d v="2023-03-24T15:00:00"/>
    <d v="2023-03-15T00:00:00"/>
    <x v="0"/>
    <x v="0"/>
    <m/>
    <m/>
    <m/>
    <m/>
    <m/>
    <n v="0"/>
    <m/>
    <m/>
    <m/>
    <m/>
    <m/>
    <m/>
    <m/>
    <m/>
    <m/>
    <d v="2023-03-24T15:00:00"/>
    <m/>
    <m/>
    <x v="0"/>
    <x v="4"/>
    <m/>
    <d v="2023-03-24T15:00:00"/>
    <x v="3"/>
    <m/>
    <m/>
    <m/>
    <m/>
    <m/>
    <m/>
    <m/>
    <m/>
    <m/>
    <m/>
    <m/>
    <m/>
    <m/>
    <m/>
    <m/>
    <m/>
  </r>
  <r>
    <s v="1057544-82-LQ23"/>
    <s v="CONTRATACIÓN DE SUMINISTRO DE OXÍGENO LIQUIDO MEDICINAL A GRANEL PARA ESTANQUES DEL HOSPITAL LAS HIGUERAS TALCAHUANO"/>
    <s v="Las presentes especificaciones técnicas, tienen por objetivo la contratación de suministro de oxígeno líquido medicinal a granel, incluyendo cilindros de oxígeno en sala de respaldo para toda la red, el transporte, el mantenimiento, monitoreo continuo y remoto de los estanques, del consumo y el abastecimiento oportuno sin quiebre de stock para el uso medicinal del oxígeno, de acuerdo a las especificaciones técnicas adjuntas."/>
    <s v="SERVICIO DE SALUD DE TALCAHUANO HOSPITAL"/>
    <s v="Contratación de servicios de suministro de oxígeno medicinal a granel, de acuerdo a Formulario N°6, valor m3."/>
    <n v="1"/>
    <x v="2"/>
    <x v="17"/>
    <d v="2023-03-14T11:56:52"/>
    <x v="6"/>
    <x v="2"/>
    <d v="2023-04-03T15:00:00"/>
    <d v="2023-03-15T00:00:00"/>
    <x v="2"/>
    <x v="1"/>
    <m/>
    <m/>
    <m/>
    <m/>
    <m/>
    <n v="0"/>
    <m/>
    <m/>
    <m/>
    <m/>
    <m/>
    <m/>
    <m/>
    <m/>
    <m/>
    <d v="2023-04-03T15:00:00"/>
    <m/>
    <m/>
    <x v="0"/>
    <x v="6"/>
    <m/>
    <d v="2023-04-03T15:00:00"/>
    <x v="3"/>
    <m/>
    <m/>
    <m/>
    <m/>
    <m/>
    <m/>
    <m/>
    <m/>
    <m/>
    <m/>
    <m/>
    <m/>
    <m/>
    <m/>
    <m/>
    <m/>
  </r>
  <r>
    <s v="1057049-91-LE23"/>
    <s v="CSP -ADQUISICIÓN DE CILINDROS Y EQUIPOS PARA REDES"/>
    <s v="El objetivo de la Propuesta, es Adquisición de Cilindros y Equipos para Redes de Unidad de Gases Clínicos para Hospital Clínico San Borja Arriarán, solicitada en las especificaciones técnicas, en concordancia con las Bases Administrativas, técnicas, formularios, aclaraciones y otros documentos que pudieran formularse en el transcurso de la licitación._x000a__x000a_Se entenderá que todo proveedor conoce y acepta irrevocablemente el contenido de estas Bases, por el solo hecho de presentar ofertas en este proceso de licitación."/>
    <s v="SERV SALUD METROPOLITANO CENTRAL HOSPITAL CLINICO SAN BORJA ARRIARAN"/>
    <s v="ADQUISICIÓN DE CILINDROS Y EQUIPOS PARA REDES DE UNIDAD DE GASES CLÍNICOS PARA HOSPITAL CLÍNICO SAN BORJA ARRIARÁN"/>
    <n v="1"/>
    <x v="2"/>
    <x v="10"/>
    <d v="2023-03-14T10:54:46"/>
    <x v="6"/>
    <x v="2"/>
    <d v="2023-03-24T15:30:00"/>
    <d v="2023-03-15T00:00:00"/>
    <x v="1"/>
    <x v="1"/>
    <m/>
    <d v="2023-03-20T12:00:00"/>
    <d v="2023-03-22T13:00:00"/>
    <d v="2023-04-10T18:00:00"/>
    <m/>
    <n v="0"/>
    <m/>
    <s v="No"/>
    <m/>
    <m/>
    <s v="No"/>
    <s v="Contrato"/>
    <n v="12"/>
    <m/>
    <m/>
    <d v="2023-03-24T15:30:00"/>
    <m/>
    <m/>
    <x v="0"/>
    <x v="2"/>
    <m/>
    <d v="2023-03-24T15:30:00"/>
    <x v="3"/>
    <m/>
    <m/>
    <m/>
    <m/>
    <m/>
    <m/>
    <m/>
    <m/>
    <m/>
    <m/>
    <m/>
    <m/>
    <m/>
    <m/>
    <m/>
    <m/>
  </r>
  <r>
    <s v="1057049-90-LE23"/>
    <s v="CSP -  REPUESTOS PARA EQUIPOS DE REDES GASES CLINI"/>
    <s v="El objetivo de la Propuesta, es Adquisición de Repuestos para Equipos de Redes Unidad de Gases Clínicos del Hospital Clínico San Borja Arriarán, solicitada en las especificaciones técnicas, en concordancia con las Bases Administrativas, técnicas, formularios, aclaraciones y otros documentos que pudieran formularse en el transcurso de la licitación._x000a__x000a_Se entenderá que todo proveedor conoce y acepta irrevocablemente el contenido de estas Bases, por el solo hecho de presentar ofertas en este proceso de licitación."/>
    <s v="SERV SALUD METROPOLITANO CENTRAL HOSPITAL CLINICO SAN BORJA ARRIARAN"/>
    <s v="ADQUISICIÓN DE REPUESTOS PARA EQUIPOS DE REDES UNIDAD DE GASES CLÍNICOS"/>
    <n v="1"/>
    <x v="8"/>
    <x v="10"/>
    <d v="2023-03-14T10:43:16"/>
    <x v="6"/>
    <x v="2"/>
    <d v="2023-03-24T15:30:00"/>
    <d v="2023-03-15T00:00:00"/>
    <x v="0"/>
    <x v="10"/>
    <s v="No"/>
    <d v="2023-03-20T12:00:00"/>
    <d v="2023-03-22T13:00:00"/>
    <d v="2023-04-11T18:00:00"/>
    <m/>
    <n v="0"/>
    <m/>
    <s v="No"/>
    <m/>
    <m/>
    <s v="No"/>
    <s v="Contrato"/>
    <n v="12"/>
    <m/>
    <m/>
    <d v="2023-03-24T15:30:00"/>
    <m/>
    <m/>
    <x v="0"/>
    <x v="2"/>
    <m/>
    <d v="2023-03-24T15:30:00"/>
    <x v="3"/>
    <m/>
    <m/>
    <m/>
    <m/>
    <m/>
    <m/>
    <m/>
    <m/>
    <m/>
    <m/>
    <m/>
    <m/>
    <m/>
    <m/>
    <m/>
    <m/>
  </r>
  <r>
    <s v="418-24-LQ23"/>
    <s v="INSTALACIÓN Y SUMINISTRO DE ESTANQUE CRIOGÉNICO"/>
    <s v="“INSTALACIÓN Y SUMINISTRO DE ESTANQUE DE OXÍGENO CRIOGÉNICO Y OBRAS ANEXAS”, con la finalidad proveer de equipamiento necesario para suministrar de oxígeno criogénico al Hospital de Puerto Aysén, considerando toda obra e instalación que requiera anexarse para el cumplimiento de dicha necesidad."/>
    <s v="SERVICIO NACIONAL DE SALUD HOSPITAL DE PUERTO AYSEN"/>
    <s v="INSTALACIÓN Y SUMINISTRO DE ESTANQUE DE OXÍGENO CRIOGÉNICO Y OBRAS ANEXAS"/>
    <n v="60"/>
    <x v="2"/>
    <x v="2"/>
    <d v="2023-03-14T10:20:45"/>
    <x v="6"/>
    <x v="2"/>
    <d v="2023-04-03T15:06:00"/>
    <d v="2023-03-15T00:00:00"/>
    <x v="2"/>
    <x v="1"/>
    <m/>
    <m/>
    <m/>
    <m/>
    <m/>
    <n v="0"/>
    <m/>
    <m/>
    <m/>
    <m/>
    <m/>
    <m/>
    <m/>
    <m/>
    <m/>
    <d v="2023-04-03T15:06:00"/>
    <m/>
    <m/>
    <x v="0"/>
    <x v="6"/>
    <m/>
    <d v="2023-04-03T15:06:00"/>
    <x v="3"/>
    <m/>
    <m/>
    <m/>
    <m/>
    <m/>
    <m/>
    <m/>
    <m/>
    <m/>
    <m/>
    <m/>
    <m/>
    <m/>
    <m/>
    <m/>
    <m/>
  </r>
  <r>
    <s v="2186-7-LE23"/>
    <s v="CONVENIO DE SUMINISTRO DE INSUMOS MEDICOS"/>
    <s v="CONVENIO DE SUMINISTRO DE INSUMOS MEDICOS"/>
    <s v="HOSPITAL GERIATRICO LA PAZ DE LA TARDE"/>
    <s v="OXIMETRO PULSO"/>
    <n v="1"/>
    <x v="0"/>
    <x v="0"/>
    <d v="2023-03-15T16:46:44"/>
    <x v="6"/>
    <x v="2"/>
    <d v="2023-03-29T17:00:00"/>
    <d v="2023-03-16T00:00:00"/>
    <x v="0"/>
    <x v="0"/>
    <m/>
    <m/>
    <m/>
    <m/>
    <m/>
    <n v="0"/>
    <m/>
    <m/>
    <m/>
    <m/>
    <m/>
    <m/>
    <m/>
    <m/>
    <m/>
    <d v="2023-03-29T17:00:00"/>
    <m/>
    <m/>
    <x v="0"/>
    <x v="4"/>
    <m/>
    <d v="2023-03-29T17:00:00"/>
    <x v="3"/>
    <m/>
    <m/>
    <m/>
    <m/>
    <m/>
    <m/>
    <m/>
    <m/>
    <m/>
    <m/>
    <m/>
    <m/>
    <m/>
    <m/>
    <m/>
    <m/>
  </r>
  <r>
    <s v="2986-37-LE23"/>
    <s v="ADQUISICION IMPLEMENTOS CLINICOS"/>
    <s v="ADQUISICION IMPLEMENTOS CLINICOS PARA CESFAM TOMAS ROJAS VERGARA DE LA COMUNA DE LOS LAGOS"/>
    <s v="I MUNICIPALIDAD DE LOS LAGOS"/>
    <s v="OXIMETRO DE PULSO ADULTO TIPO CHOICEMMED INCLUYE 2 PILAS AAA ALCALINAS, CORREA Y FUNDA."/>
    <n v="12"/>
    <x v="0"/>
    <x v="0"/>
    <d v="2023-03-15T09:20:30"/>
    <x v="6"/>
    <x v="2"/>
    <d v="2023-03-21T16:21:00"/>
    <d v="2023-03-16T00:00:00"/>
    <x v="0"/>
    <x v="0"/>
    <m/>
    <m/>
    <m/>
    <m/>
    <m/>
    <n v="0"/>
    <m/>
    <m/>
    <m/>
    <m/>
    <m/>
    <m/>
    <m/>
    <m/>
    <m/>
    <d v="2023-03-21T16:21:00"/>
    <m/>
    <m/>
    <x v="0"/>
    <x v="4"/>
    <m/>
    <d v="2023-03-21T16:21:00"/>
    <x v="3"/>
    <m/>
    <m/>
    <m/>
    <m/>
    <m/>
    <m/>
    <m/>
    <m/>
    <m/>
    <m/>
    <m/>
    <m/>
    <m/>
    <m/>
    <m/>
    <m/>
  </r>
  <r>
    <s v="2942-5-LE23"/>
    <s v="CONVENIO DE SUMINISTRO DE OXIGENO MEDICINAL"/>
    <s v="ADQUIRIR CONVENIO DE SUMINISTRO DE ABASTECIMIENTO DE OXIGENO MEDICINAL PARA EL CESFAM SAN PABLO."/>
    <s v="I MUNICIPALIDAD DE SAN PABLO"/>
    <s v="CONVENIO DE SUMINISTRO DE ABASTECIMIENTO DE OXIGENO MEDICINAL"/>
    <n v="1"/>
    <x v="2"/>
    <x v="3"/>
    <d v="2023-03-20T09:56:20"/>
    <x v="6"/>
    <x v="2"/>
    <d v="2023-03-30T19:57:00"/>
    <d v="2023-03-20T00:00:00"/>
    <x v="1"/>
    <x v="1"/>
    <m/>
    <d v="2023-03-23T15:29:00"/>
    <d v="2023-03-24T15:29:00"/>
    <d v="2023-04-28T19:58:00"/>
    <m/>
    <n v="0"/>
    <m/>
    <s v="No"/>
    <m/>
    <m/>
    <s v="No"/>
    <s v="Contrato"/>
    <n v="24"/>
    <m/>
    <m/>
    <d v="2023-03-30T19:57:00"/>
    <m/>
    <m/>
    <x v="0"/>
    <x v="6"/>
    <m/>
    <d v="2023-03-30T19:57:00"/>
    <x v="3"/>
    <m/>
    <m/>
    <m/>
    <m/>
    <m/>
    <m/>
    <m/>
    <m/>
    <m/>
    <m/>
    <m/>
    <m/>
    <m/>
    <m/>
    <m/>
    <m/>
  </r>
  <r>
    <s v="3874-6-L123"/>
    <s v="CONVENIO DE SUMINISTRO PARA SERVICIO DE OXIGENO MÉ"/>
    <s v="La necesidad de contar con suministro de oxigeno medico para el departamento de salud Rauco. Se solicita cargas de oxígeno médico de las siguientes capacidades: 0.4 M3, 0.7M3, 1M3, 6M3, 10M3, de acuerdo a lo indicado en las bases de licitación en adjunto."/>
    <s v="I MUNICIPALIDAD DE RAUCO"/>
    <s v="Se solicita cargas de oxígeno médico de las siguientes capacidades: 0.4 M3, 0.7M3, 1M3, 6M3, 10M3, más el servicio de flete, arriendos mensuales, las pruebas hidrostáticas que se requieran, cambio válvula de cilindros particulares, para el buen funcio"/>
    <n v="1"/>
    <x v="2"/>
    <x v="2"/>
    <d v="2023-03-20T09:28:23"/>
    <x v="6"/>
    <x v="2"/>
    <d v="2023-03-27T15:54:00"/>
    <d v="2023-03-20T00:00:00"/>
    <x v="0"/>
    <x v="7"/>
    <m/>
    <m/>
    <m/>
    <m/>
    <m/>
    <n v="0"/>
    <m/>
    <m/>
    <m/>
    <m/>
    <m/>
    <m/>
    <m/>
    <m/>
    <m/>
    <d v="2023-03-27T15:54:00"/>
    <m/>
    <m/>
    <x v="0"/>
    <x v="4"/>
    <m/>
    <d v="2023-03-27T15:54:00"/>
    <x v="3"/>
    <m/>
    <m/>
    <m/>
    <m/>
    <m/>
    <m/>
    <m/>
    <m/>
    <m/>
    <m/>
    <m/>
    <m/>
    <m/>
    <m/>
    <m/>
    <m/>
  </r>
  <r>
    <s v="4030-4-L123"/>
    <s v="ADQUISICION DE OXIGENO"/>
    <s v="ADQUISICION DE RECARGA DE OXIGENO"/>
    <s v="ILUSTRE MUNICIPALIDAD DE CAMINA"/>
    <s v="recarga cilindro de oxigeno 0.7"/>
    <n v="1"/>
    <x v="2"/>
    <x v="15"/>
    <d v="2023-03-19T03:44:19"/>
    <x v="6"/>
    <x v="2"/>
    <d v="2023-03-27T15:33:00"/>
    <d v="2023-03-20T00:00:00"/>
    <x v="0"/>
    <x v="10"/>
    <s v="No"/>
    <m/>
    <m/>
    <m/>
    <m/>
    <n v="0"/>
    <m/>
    <m/>
    <m/>
    <m/>
    <m/>
    <m/>
    <m/>
    <m/>
    <m/>
    <d v="2023-03-27T15:33:00"/>
    <m/>
    <m/>
    <x v="0"/>
    <x v="2"/>
    <m/>
    <d v="2023-03-27T15:33:00"/>
    <x v="3"/>
    <m/>
    <m/>
    <m/>
    <m/>
    <m/>
    <m/>
    <m/>
    <m/>
    <m/>
    <m/>
    <m/>
    <m/>
    <m/>
    <m/>
    <m/>
    <m/>
  </r>
  <r>
    <s v="1523-31-LP23"/>
    <s v="Bases Administrativas y Técnicas Propuesta Pública N.º 0523 “SUMINISTRO DE OXIGENO LIQUIDO HOSPITAL DE LAUTARO”"/>
    <s v="Bases Administrativas y Técnicas Propuesta Pública N.º 05/23 “SUMINISTRO DE OXIGENO LIQUIDO, HOSPITAL DE LAUTARO”"/>
    <s v="SERVICIO NACIONAL ARAUCANIA SUR HOSPITAL DR ABRAHAM GODOY PENA LAUTARO"/>
    <s v="El contrato considerará, además, y sin costo para el hospital, lo siguiente: • Provisión e instalación de estanque de oxígeno de 1500 galones aprox. • Estación criogénica, instalaciones complementarias y telemetría • Construcción de cierre perimetral y"/>
    <n v="100000"/>
    <x v="2"/>
    <x v="3"/>
    <d v="2023-03-17T16:01:07"/>
    <x v="6"/>
    <x v="2"/>
    <d v="2023-03-28T15:30:00"/>
    <d v="2023-03-20T00:00:00"/>
    <x v="0"/>
    <x v="10"/>
    <s v="No"/>
    <d v="2023-03-23T12:00:00"/>
    <d v="2023-03-24T18:00:00"/>
    <d v="2023-04-17T17:30:00"/>
    <n v="83000000"/>
    <n v="69747899.159663871"/>
    <m/>
    <s v="No"/>
    <m/>
    <m/>
    <s v="Si"/>
    <s v="Contrato"/>
    <n v="18"/>
    <m/>
    <m/>
    <d v="2023-03-28T15:30:00"/>
    <m/>
    <m/>
    <x v="0"/>
    <x v="6"/>
    <m/>
    <d v="2023-03-28T15:30:00"/>
    <x v="3"/>
    <m/>
    <m/>
    <m/>
    <m/>
    <m/>
    <m/>
    <m/>
    <m/>
    <m/>
    <m/>
    <m/>
    <m/>
    <m/>
    <m/>
    <m/>
    <m/>
  </r>
  <r>
    <s v="514847-3-L123"/>
    <s v="Recarga Oxigeno Medicinal y Arriendo de Cilindros"/>
    <s v="Existe la necesidad de tener Contrato de Suministro para la Recarga de Oxígeno Medicinal y Arriendo de Cilindros y de esa manera mantener permanentemente operativas las distintas unidades kinésicas del DSM"/>
    <s v="I MUNICIPALIDAD DE LAUTARO"/>
    <s v="Contrato de Suministro Recargo de Oxígeno Medicinal y Arriendo de Cilindros de Oxígeno,según Especificaciones en Bases Administrativas."/>
    <n v="1"/>
    <x v="2"/>
    <x v="3"/>
    <d v="2023-03-16T11:25:42"/>
    <x v="6"/>
    <x v="2"/>
    <d v="2023-03-23T13:00:00"/>
    <d v="2023-03-20T00:00:00"/>
    <x v="0"/>
    <x v="7"/>
    <m/>
    <m/>
    <m/>
    <m/>
    <m/>
    <n v="0"/>
    <m/>
    <m/>
    <m/>
    <m/>
    <m/>
    <m/>
    <m/>
    <m/>
    <m/>
    <d v="2023-03-23T13:00:00"/>
    <m/>
    <m/>
    <x v="0"/>
    <x v="4"/>
    <m/>
    <d v="2023-03-23T13:00:00"/>
    <x v="3"/>
    <m/>
    <m/>
    <m/>
    <m/>
    <m/>
    <m/>
    <m/>
    <m/>
    <m/>
    <m/>
    <m/>
    <m/>
    <m/>
    <m/>
    <m/>
    <m/>
  </r>
  <r>
    <s v="5350-9-LE23"/>
    <s v="CONVENIO GASES CLÍNICOS Y MEDICINALES"/>
    <s v="CONVENIO PARA GASES CLÍNICOS Y MEDICINALES"/>
    <s v="I MUNICIPALIDAD DE VALLENAR"/>
    <s v="GASES CLÍNICOS Y MEDICINALES"/>
    <n v="1"/>
    <x v="2"/>
    <x v="11"/>
    <d v="2023-03-20T14:07:43"/>
    <x v="6"/>
    <x v="2"/>
    <d v="2023-03-29T17:24:00"/>
    <d v="2023-03-20T00:00:00"/>
    <x v="0"/>
    <x v="10"/>
    <s v="No"/>
    <s v=" 24-03-2023 12:42:00"/>
    <d v="2023-03-27T12:42:00"/>
    <d v="2023-03-31T17:25:00"/>
    <m/>
    <n v="0"/>
    <m/>
    <s v="No"/>
    <m/>
    <m/>
    <s v="No"/>
    <s v="Contrato"/>
    <n v="12"/>
    <m/>
    <m/>
    <d v="2023-03-29T17:24:00"/>
    <m/>
    <m/>
    <x v="0"/>
    <x v="6"/>
    <m/>
    <d v="2023-03-29T17:24:00"/>
    <x v="3"/>
    <m/>
    <m/>
    <m/>
    <m/>
    <m/>
    <m/>
    <m/>
    <m/>
    <m/>
    <m/>
    <m/>
    <m/>
    <m/>
    <m/>
    <m/>
    <m/>
  </r>
  <r>
    <s v="1075963-156-L123"/>
    <s v="MANTENCION CORRECTIVA DE ESTANQUE CRIOGENICO."/>
    <s v="MANTENCION CORRECTIVA DE ESTANQUE CRIOGENICO._x000a_"/>
    <s v="SERVICIO DE SALUD ARICA HOSP DR JUAN NOE CREVANI"/>
    <s v="MANTENCION CORRECTIVA DE ESTANQUE CRIOGENICO."/>
    <n v="1"/>
    <x v="5"/>
    <x v="15"/>
    <d v="2023-03-17T16:46:09"/>
    <x v="6"/>
    <x v="2"/>
    <d v="2023-03-22T15:24:00"/>
    <d v="2023-03-21T00:00:00"/>
    <x v="0"/>
    <x v="10"/>
    <m/>
    <m/>
    <m/>
    <m/>
    <m/>
    <n v="0"/>
    <m/>
    <m/>
    <m/>
    <m/>
    <m/>
    <m/>
    <m/>
    <m/>
    <m/>
    <d v="2023-03-22T15:24:00"/>
    <m/>
    <m/>
    <x v="0"/>
    <x v="4"/>
    <m/>
    <d v="2023-03-22T15:24:00"/>
    <x v="3"/>
    <m/>
    <m/>
    <m/>
    <m/>
    <m/>
    <m/>
    <m/>
    <m/>
    <m/>
    <m/>
    <m/>
    <m/>
    <m/>
    <m/>
    <m/>
    <m/>
  </r>
  <r>
    <s v="2153-25-LE23"/>
    <s v="INSUMOS MEDICOS RES 730"/>
    <s v="INSUMOS MEDICOS RES 730"/>
    <s v="Hospital Sanatorio San José de Maipo"/>
    <s v="4-234 FLUJOMETRO CILINDRO CONEXION TUERCA"/>
    <n v="10"/>
    <x v="8"/>
    <x v="10"/>
    <d v="2023-03-17T15:57:38"/>
    <x v="6"/>
    <x v="2"/>
    <d v="2023-03-23T15:05:00"/>
    <d v="2023-03-21T00:00:00"/>
    <x v="0"/>
    <x v="0"/>
    <m/>
    <m/>
    <m/>
    <m/>
    <m/>
    <n v="0"/>
    <m/>
    <m/>
    <m/>
    <m/>
    <m/>
    <m/>
    <m/>
    <m/>
    <m/>
    <d v="2023-03-23T15:05:00"/>
    <m/>
    <m/>
    <x v="0"/>
    <x v="4"/>
    <m/>
    <d v="2023-03-23T15:05:00"/>
    <x v="3"/>
    <m/>
    <m/>
    <m/>
    <m/>
    <m/>
    <m/>
    <m/>
    <m/>
    <m/>
    <m/>
    <m/>
    <m/>
    <m/>
    <m/>
    <m/>
    <m/>
  </r>
  <r>
    <s v="2701-16-L123"/>
    <s v="ARTICULOS MEDICOS SOLICITADOS PARA TALAVECINOS"/>
    <s v="NECESIDAD PARA IMPLEMENTACION AMBULANCIAS MUNICIPALES"/>
    <s v="I MUNICIPALIDAD DE TALAGANTE"/>
    <s v="OXIMETRO DE PULSO _x000a_"/>
    <n v="2"/>
    <x v="0"/>
    <x v="0"/>
    <d v="2023-03-17T13:44:17"/>
    <x v="6"/>
    <x v="2"/>
    <d v="2023-03-23T15:03:00"/>
    <d v="2023-03-21T00:00:00"/>
    <x v="0"/>
    <x v="0"/>
    <m/>
    <m/>
    <m/>
    <m/>
    <m/>
    <n v="0"/>
    <m/>
    <m/>
    <m/>
    <m/>
    <m/>
    <m/>
    <m/>
    <m/>
    <m/>
    <d v="2023-03-23T15:03:00"/>
    <m/>
    <m/>
    <x v="0"/>
    <x v="4"/>
    <m/>
    <d v="2023-03-23T15:03:00"/>
    <x v="3"/>
    <m/>
    <m/>
    <m/>
    <m/>
    <m/>
    <m/>
    <m/>
    <m/>
    <m/>
    <m/>
    <m/>
    <m/>
    <m/>
    <m/>
    <m/>
    <m/>
  </r>
  <r>
    <s v="2115-9-LR23"/>
    <s v="CONTRATACION DE SUMINISTRO DE INSUMOS CLINICOS"/>
    <s v="CONTRATACIÓN DE SUMINISTRO DE INSUMOS CLÍNICOS PARA EL CENTRO DE REFERENCIA DE SALUD DE MAIPÚ"/>
    <s v="CENTRO DE REFERENCIA DE SALUD DE MAIPU"/>
    <s v="OXIMETRO DE PULSO (SATUROMETRO) (ver Ficha adjunta)_x000a_"/>
    <n v="10"/>
    <x v="0"/>
    <x v="0"/>
    <d v="2023-03-17T11:59:38"/>
    <x v="6"/>
    <x v="2"/>
    <d v="2023-04-17T15:01:00"/>
    <d v="2023-03-21T00:00:00"/>
    <x v="0"/>
    <x v="0"/>
    <m/>
    <m/>
    <m/>
    <m/>
    <m/>
    <n v="0"/>
    <m/>
    <m/>
    <m/>
    <m/>
    <m/>
    <m/>
    <m/>
    <m/>
    <m/>
    <d v="2023-04-17T15:01:00"/>
    <m/>
    <m/>
    <x v="0"/>
    <x v="6"/>
    <m/>
    <d v="2023-04-17T15:01:00"/>
    <x v="3"/>
    <m/>
    <m/>
    <m/>
    <m/>
    <m/>
    <m/>
    <m/>
    <m/>
    <m/>
    <m/>
    <m/>
    <m/>
    <m/>
    <m/>
    <m/>
    <m/>
  </r>
  <r>
    <s v="2115-9-LR23"/>
    <s v="CONTRATACION DE SUMINISTRO DE INSUMOS CLINICOS"/>
    <s v="CONTRATACIÓN DE SUMINISTRO DE INSUMOS CLÍNICOS PARA EL CENTRO DE REFERENCIA DE SALUD DE MAIPÚ"/>
    <s v="CENTRO DE REFERENCIA DE SALUD DE MAIPU"/>
    <s v="VALVULA THRESHOLD IMT, (ver Ficha adjunta)_x000a_"/>
    <n v="30"/>
    <x v="0"/>
    <x v="0"/>
    <d v="2023-03-17T11:59:38"/>
    <x v="6"/>
    <x v="2"/>
    <d v="2023-04-17T15:01:00"/>
    <d v="2023-03-21T00:00:00"/>
    <x v="0"/>
    <x v="6"/>
    <m/>
    <m/>
    <m/>
    <m/>
    <m/>
    <n v="0"/>
    <m/>
    <m/>
    <m/>
    <m/>
    <m/>
    <m/>
    <m/>
    <m/>
    <m/>
    <d v="2023-04-17T15:01:00"/>
    <m/>
    <m/>
    <x v="0"/>
    <x v="6"/>
    <m/>
    <d v="2023-04-17T15:01:00"/>
    <x v="3"/>
    <m/>
    <m/>
    <m/>
    <m/>
    <m/>
    <m/>
    <m/>
    <m/>
    <m/>
    <m/>
    <m/>
    <m/>
    <m/>
    <m/>
    <m/>
    <m/>
  </r>
  <r>
    <s v="1417-8-L123"/>
    <s v="Servicio mantenimiento equipos de respiración autónoma (SCBA) y analizador de gases"/>
    <s v="Servicio mantenimiento equipos de respiración autónoma (SCBA) y analizador de gases"/>
    <s v="DIRECCION GENERAL DE AERONAUTICA CIVIL"/>
    <s v="Mantenimiento manómetro cilindro  por filtración, marca ISI "/>
    <n v="1"/>
    <x v="5"/>
    <x v="6"/>
    <d v="2023-03-21T21:42:43"/>
    <x v="6"/>
    <x v="2"/>
    <d v="2023-03-27T15:00:00"/>
    <d v="2023-03-22T00:00:00"/>
    <x v="0"/>
    <x v="10"/>
    <m/>
    <m/>
    <m/>
    <m/>
    <m/>
    <n v="0"/>
    <m/>
    <m/>
    <m/>
    <m/>
    <m/>
    <m/>
    <m/>
    <m/>
    <m/>
    <d v="2023-03-27T15:00:00"/>
    <m/>
    <m/>
    <x v="0"/>
    <x v="4"/>
    <m/>
    <d v="2023-03-27T15:00:00"/>
    <x v="3"/>
    <m/>
    <m/>
    <m/>
    <m/>
    <m/>
    <m/>
    <m/>
    <m/>
    <m/>
    <m/>
    <m/>
    <m/>
    <m/>
    <m/>
    <m/>
    <m/>
  </r>
  <r>
    <s v="1620-16-LE23"/>
    <s v="Insumos Clínicos"/>
    <s v="Adquisición de Insumos Clínicos para Abastecer Bodegas"/>
    <s v="SERVICIO DE SALUD HOSPITAL DE CHIMBARONGO"/>
    <s v="Niple Universal, INDICAR FECHA DE VENCIMIENTO, MARCA Y PLAZO DE ENTREGA."/>
    <n v="100"/>
    <x v="8"/>
    <x v="2"/>
    <d v="2023-03-21T16:22:40"/>
    <x v="6"/>
    <x v="2"/>
    <d v="2023-03-27T19:57:00"/>
    <d v="2023-03-22T00:00:00"/>
    <x v="0"/>
    <x v="0"/>
    <m/>
    <m/>
    <m/>
    <m/>
    <m/>
    <n v="0"/>
    <m/>
    <m/>
    <m/>
    <m/>
    <m/>
    <m/>
    <m/>
    <m/>
    <m/>
    <d v="2023-03-27T19:57:00"/>
    <m/>
    <m/>
    <x v="0"/>
    <x v="4"/>
    <m/>
    <d v="2023-03-27T19:57:00"/>
    <x v="3"/>
    <m/>
    <m/>
    <m/>
    <m/>
    <m/>
    <m/>
    <m/>
    <m/>
    <m/>
    <m/>
    <m/>
    <m/>
    <m/>
    <m/>
    <m/>
    <m/>
  </r>
  <r>
    <s v="1623-4-LE23"/>
    <s v="SUMINISTRO DE OXIGENO MEDICO HOSPITAL PEUMO"/>
    <s v="Convenio de suministro de oxigeno medico para abastecer la demanda de pacientes del Hospital de Peumo. Debe ser realizado en los formatos indicados en las bases de la licitación."/>
    <s v="SERVICIO DE SALUD HOSPITAL DE PEUMO"/>
    <s v="RECARGA DE OXIGENO GRADO MEDICO CILINDRO 0,4M3"/>
    <n v="1"/>
    <x v="2"/>
    <x v="2"/>
    <d v="2023-03-21T16:05:28"/>
    <x v="6"/>
    <x v="2"/>
    <d v="2023-04-03T17:00:00"/>
    <d v="2023-03-22T00:00:00"/>
    <x v="0"/>
    <x v="7"/>
    <m/>
    <m/>
    <m/>
    <m/>
    <m/>
    <n v="0"/>
    <m/>
    <m/>
    <m/>
    <m/>
    <m/>
    <m/>
    <m/>
    <m/>
    <m/>
    <d v="2023-04-03T17:00:00"/>
    <m/>
    <m/>
    <x v="0"/>
    <x v="6"/>
    <m/>
    <d v="2023-04-03T17:00:00"/>
    <x v="3"/>
    <m/>
    <m/>
    <m/>
    <m/>
    <m/>
    <m/>
    <m/>
    <m/>
    <m/>
    <m/>
    <m/>
    <m/>
    <m/>
    <m/>
    <m/>
    <m/>
  </r>
  <r>
    <s v="1947-12-LQ23"/>
    <s v="CONTRATACIÓN DEL SERVICIO DE TERAPIA DE ÓXIDO NÍTRICO ARRIENDO DE EQUIPO Y TEST DE REACTIVIDAD VASCULAR PARA EL HOSPITAL DE NIÑOS DR. ROBERTO DEL RÍO [NDJ]"/>
    <s v="El Hospital de niños Dr. Roberto del Rio para dar cumplimiento a las funciones, requiere la contratación del servicio de terapia de óxido nítrico, arriendo de equipo y test de reactividad por un periodo de 16 meses."/>
    <s v="SERVICIO DE SALUD NORTE HOSPITAL ROBERTO DEL RIO"/>
    <s v="20-0018 Servicio de hora terapia óxido nítrico"/>
    <n v="1"/>
    <x v="1"/>
    <x v="1"/>
    <d v="2023-03-21T14:54:49"/>
    <x v="6"/>
    <x v="2"/>
    <d v="2023-03-31T15:00:00"/>
    <d v="2023-03-22T00:00:00"/>
    <x v="1"/>
    <x v="1"/>
    <m/>
    <d v="2023-03-27T12:00:00"/>
    <d v="2023-03-28T18:00:00"/>
    <d v="2023-05-02T15:00:00"/>
    <m/>
    <n v="0"/>
    <m/>
    <s v="Si"/>
    <n v="2500000"/>
    <d v="2023-07-31T00:00:00"/>
    <s v="No"/>
    <s v="Contrato"/>
    <n v="16"/>
    <m/>
    <m/>
    <d v="2023-03-31T15:00:00"/>
    <m/>
    <m/>
    <x v="0"/>
    <x v="6"/>
    <m/>
    <d v="2023-03-31T15:00:00"/>
    <x v="3"/>
    <m/>
    <m/>
    <m/>
    <m/>
    <m/>
    <m/>
    <m/>
    <m/>
    <m/>
    <m/>
    <m/>
    <m/>
    <m/>
    <m/>
    <m/>
    <m/>
  </r>
  <r>
    <s v="1067355-8-LE23"/>
    <s v="Convenio suministro de mantenimiento preventivo y correctivo para central y redes de gases clinicos Hospital Santa Elisa"/>
    <s v="De acuerdo a lo estipulado en la Resolución Exenta N° 927 de fecha 17.03.2023."/>
    <s v="HOSPITAL SANTA ELISA DE SAN JOSE DE LA MARIQUINA"/>
    <s v="Convenio suministro de mantenimiento preventivo y correctivo para central y redes de gases clinicos Hospital Santa Elisa"/>
    <n v="1"/>
    <x v="5"/>
    <x v="6"/>
    <d v="2023-03-21T11:29:21"/>
    <x v="6"/>
    <x v="2"/>
    <d v="2023-04-03T15:01:00"/>
    <d v="2023-03-22T00:00:00"/>
    <x v="0"/>
    <x v="10"/>
    <m/>
    <m/>
    <m/>
    <m/>
    <m/>
    <n v="0"/>
    <m/>
    <m/>
    <m/>
    <m/>
    <m/>
    <m/>
    <m/>
    <m/>
    <m/>
    <d v="2023-04-03T15:01:00"/>
    <m/>
    <m/>
    <x v="0"/>
    <x v="6"/>
    <m/>
    <d v="2023-04-03T15:01:00"/>
    <x v="3"/>
    <m/>
    <m/>
    <m/>
    <m/>
    <m/>
    <m/>
    <m/>
    <m/>
    <m/>
    <m/>
    <m/>
    <m/>
    <m/>
    <m/>
    <m/>
    <m/>
  </r>
  <r>
    <s v="4457-26-LE23"/>
    <s v="CONTRATO SERVICIO  OXIGENO GASEOSO MEDICINAL  DOMI"/>
    <s v="CONTRATO SERVICIO OXIGENO GASEOSO MEDICINAL - DOMICILIARIO Y OTROS ACCESORIOS  PARA  DIRECCION SALUD MUNICIPAL._x000a_SOLICITUD DE ADQUISICIONES N 81 ID DOC 697854 DE FECHA 08.03.2023"/>
    <s v="I MUNICIPALIDAD DE HUALQUI"/>
    <s v="CONTRATO  DE SERVICIO  OXIGENO GASEOSO MEDICINAL-OXIGENO DOMICILIARIO Y OTROS ACCESORIOS PARA LA DIRECCION DE SALUD."/>
    <n v="1"/>
    <x v="3"/>
    <x v="5"/>
    <d v="2023-03-21T10:19:23"/>
    <x v="6"/>
    <x v="2"/>
    <d v="2023-04-04T10:30:00"/>
    <d v="2023-03-22T00:00:00"/>
    <x v="1"/>
    <x v="1"/>
    <m/>
    <d v="2023-03-24T12:30:00"/>
    <d v="2023-03-28T14:30:00"/>
    <d v="2023-04-14T15:00:00"/>
    <n v="15000000"/>
    <n v="12605042.016806724"/>
    <m/>
    <s v="No"/>
    <m/>
    <m/>
    <s v="No"/>
    <s v="Contrato"/>
    <n v="12"/>
    <m/>
    <m/>
    <d v="2023-04-04T10:30:00"/>
    <m/>
    <m/>
    <x v="0"/>
    <x v="6"/>
    <m/>
    <d v="2023-04-04T10:30:00"/>
    <x v="3"/>
    <m/>
    <m/>
    <m/>
    <m/>
    <m/>
    <m/>
    <m/>
    <m/>
    <m/>
    <m/>
    <m/>
    <m/>
    <m/>
    <m/>
    <m/>
    <m/>
  </r>
  <r>
    <s v="2274-26-LP23"/>
    <s v="ADQUISICION INSUMOS PARA MEDICION PULMONAR DEC.1706"/>
    <s v="CESFAM COMUNA DE LA PINTANA"/>
    <s v="I MUNICIPALIDAD DE LA PINTANA"/>
    <s v="FLUJOMETRO MINI-WEIGHT PEDIATRICO (NUEVA REF PF 440)"/>
    <n v="12"/>
    <x v="0"/>
    <x v="0"/>
    <d v="2023-03-22T10:29:52"/>
    <x v="6"/>
    <x v="2"/>
    <d v="2023-04-11T17:34:00"/>
    <d v="2023-03-23T00:00:00"/>
    <x v="0"/>
    <x v="0"/>
    <m/>
    <m/>
    <m/>
    <m/>
    <m/>
    <n v="0"/>
    <m/>
    <m/>
    <m/>
    <m/>
    <m/>
    <m/>
    <m/>
    <m/>
    <m/>
    <d v="2023-04-11T17:34:00"/>
    <m/>
    <m/>
    <x v="0"/>
    <x v="6"/>
    <m/>
    <d v="2023-04-11T17:34:00"/>
    <x v="3"/>
    <m/>
    <m/>
    <m/>
    <m/>
    <m/>
    <m/>
    <m/>
    <m/>
    <m/>
    <m/>
    <m/>
    <m/>
    <m/>
    <m/>
    <m/>
    <m/>
  </r>
  <r>
    <s v="2274-26-LP23"/>
    <s v="ADQUISICION INSUMOS PARA MEDICION PULMONAR DEC.1706"/>
    <s v="CESFAM COMUNA DE LA PINTANA"/>
    <s v="I MUNICIPALIDAD DE LA PINTANA"/>
    <s v="FLUJOMETRO MINI-WRIGHT USA"/>
    <n v="12"/>
    <x v="0"/>
    <x v="0"/>
    <d v="2023-03-22T10:29:52"/>
    <x v="6"/>
    <x v="2"/>
    <d v="2023-04-11T17:34:00"/>
    <d v="2023-03-23T00:00:00"/>
    <x v="0"/>
    <x v="0"/>
    <m/>
    <m/>
    <m/>
    <m/>
    <m/>
    <n v="0"/>
    <m/>
    <m/>
    <m/>
    <m/>
    <m/>
    <m/>
    <m/>
    <m/>
    <m/>
    <d v="2023-04-11T17:34:00"/>
    <m/>
    <m/>
    <x v="0"/>
    <x v="6"/>
    <m/>
    <d v="2023-04-11T17:34:00"/>
    <x v="3"/>
    <m/>
    <m/>
    <m/>
    <m/>
    <m/>
    <m/>
    <m/>
    <m/>
    <m/>
    <m/>
    <m/>
    <m/>
    <m/>
    <m/>
    <m/>
    <m/>
  </r>
  <r>
    <s v="1274285-12-L123"/>
    <s v="Adquisicion de Oximetros"/>
    <s v="Abastecer de las unidades de oxímetros requeridas por la dirección de Salud."/>
    <s v="CORPORACION MUNICIPAL DE EDUCACION Y SALUD DE SAN BERNARDO"/>
    <s v="Se solicita la compra de 6 oximetros de_x000a_pulso dactilar, portátil, para adulto, para_x000a_uso en pulgares y dedos de los pies, con_x000a_precisión máximo de /-2% y tecnología_x000a_Pure SAT SpO2, tipo Nonin 9590 Dactilar_x000a_Vantage Onyx - Negro, similar o superior."/>
    <n v="6"/>
    <x v="0"/>
    <x v="0"/>
    <d v="2023-03-23T19:49:24"/>
    <x v="6"/>
    <x v="2"/>
    <d v="2023-03-29T21:44:00"/>
    <d v="2023-03-24T00:00:00"/>
    <x v="0"/>
    <x v="0"/>
    <m/>
    <m/>
    <m/>
    <m/>
    <m/>
    <n v="0"/>
    <m/>
    <m/>
    <m/>
    <m/>
    <m/>
    <m/>
    <m/>
    <m/>
    <m/>
    <d v="2023-03-29T21:44:00"/>
    <m/>
    <m/>
    <x v="0"/>
    <x v="4"/>
    <m/>
    <d v="2023-03-29T21:44:00"/>
    <x v="3"/>
    <m/>
    <m/>
    <m/>
    <m/>
    <m/>
    <m/>
    <m/>
    <m/>
    <m/>
    <m/>
    <m/>
    <m/>
    <m/>
    <m/>
    <m/>
    <m/>
  </r>
  <r>
    <s v="5061-40-L123"/>
    <s v="S73 Adquisición de (30) reguladores de oxigeno + flujometros (9) reguladores de oxigeno + flujometro cúpula para conexión tuerca 3/4, para Establecimientos de Salud Municipal "/>
    <s v="Adquisición de (30) reguladores de oxigeno  flujometros (9) reguladores de oxigeno  flujometro cúpula para conexión tuerca 3/4, para Establecimientos de Salud Municipal, Según especificaciones técnicas adjuntas."/>
    <s v="I MUNICIPALIDAD DE TEMUCO"/>
    <s v="Adquisición de (30) reguladores de oxigeno  flujometros (9) reguladores de oxigeno  flujometro cúpula para conexión tuerca 3/4, para Establecimientos de Salud Municipal, Según especificaciones técnicas adjuntas."/>
    <n v="1"/>
    <x v="8"/>
    <x v="3"/>
    <d v="2023-03-23T16:32:17"/>
    <x v="6"/>
    <x v="2"/>
    <d v="2023-03-30T15:30:00"/>
    <d v="2023-03-27T00:00:00"/>
    <x v="0"/>
    <x v="0"/>
    <m/>
    <d v="2023-03-27T15:30:00"/>
    <d v="2023-03-28T18:00:00"/>
    <d v="2023-04-21T19:39:00"/>
    <n v="4680000"/>
    <n v="3932773.1092436975"/>
    <m/>
    <s v="No"/>
    <m/>
    <m/>
    <s v="No"/>
    <s v="Spot"/>
    <m/>
    <m/>
    <m/>
    <d v="2023-03-30T15:30:00"/>
    <m/>
    <m/>
    <x v="0"/>
    <x v="6"/>
    <m/>
    <d v="2023-03-30T15:30:00"/>
    <x v="3"/>
    <m/>
    <m/>
    <m/>
    <m/>
    <m/>
    <m/>
    <m/>
    <m/>
    <m/>
    <m/>
    <m/>
    <m/>
    <m/>
    <m/>
    <m/>
    <m/>
  </r>
  <r>
    <s v="1075963-603-LR22"/>
    <s v="CONVENIO DE SUMINISTROS DE HOJAS DE SIERRA PUNTAS RADIOFRECUENCIA CIRCUITOS DE VENTILACIÓN Y ANESTESIA ASAS POLIPECTOMIA PAPELES ECG Y OTROS"/>
    <s v="SE DEBEN ADJUNTAR TODOS LOS ANEXOS CON SUS RESPECTIVAS FIRMAS DEL REPRESENTANTE LEGAL. SEGÚN LO INDICADO EN BASES ADMINISTRATIVA ART N°13: DE LA PRESENTACIÓN DE LA PROPUESTA. ADEMAS, ADJUNTAR COPIA DE LA BOLETA DE SERIEDAD DE LA OFERTA EN LOS ARCHIVO ADJUNTOS Y LA ESCRITURA DE CONSTITUCIÓN DE LA SOCIEDAD ACTUALIZADA EN LA CUAL ESTÉN LOS REPRESENTANTE LEGALES. EN EL CASO DE QUE LA BOLETA DE GARANTÍA DE SERIEDAD DE LA OFERTA SEA EMITIDA EN FORMA ELECTRÓNICA, ESTA DEBERÁ SER ENVIADA A LOS SIGUIENTES CORREOS: teresa.romero@hjnc.cl, rodrigo.soriano@hjnc.cl, roberto.gutierrez@hjnc.cl, daniel.sepulveda@hjnc.cl, pamela.donoso@hjnc.cl._x000a_"/>
    <s v="SERVICIO DE SALUD ARICA HOSP DR JUAN NOE CREVANI"/>
    <s v="OXIMETRO DIGITAL DE PULSO (3470813)"/>
    <n v="15"/>
    <x v="0"/>
    <x v="0"/>
    <d v="2023-03-23T15:37:05"/>
    <x v="6"/>
    <x v="2"/>
    <d v="2023-04-24T17:30:00"/>
    <d v="2023-03-24T00:00:00"/>
    <x v="0"/>
    <x v="0"/>
    <m/>
    <m/>
    <m/>
    <m/>
    <m/>
    <n v="0"/>
    <m/>
    <m/>
    <m/>
    <m/>
    <m/>
    <m/>
    <m/>
    <m/>
    <m/>
    <d v="2023-04-24T17:30:00"/>
    <m/>
    <m/>
    <x v="0"/>
    <x v="6"/>
    <m/>
    <d v="2023-04-24T17:30:00"/>
    <x v="3"/>
    <m/>
    <m/>
    <m/>
    <m/>
    <m/>
    <m/>
    <m/>
    <m/>
    <m/>
    <m/>
    <m/>
    <m/>
    <m/>
    <m/>
    <m/>
    <m/>
  </r>
  <r>
    <s v="2803-6-L123"/>
    <s v="OXIGENO MEDICINAL PARA EL DEPARTAMENTO DE SALUD"/>
    <s v="Se requiere contratar un servicio por el arriendo yo compra de cilindros de oxigeno, recarga de oxigeno medicinal, insumos y mantenciones preventivas de las instalaciones y equipamiento existentes que en el Centro de Salud Familiar Centenario, a todo evento."/>
    <s v="MUNICIPALIDAD DE LOS ANDES"/>
    <s v="Arriendo diario de Cilindros _x000a_"/>
    <n v="1"/>
    <x v="2"/>
    <x v="9"/>
    <d v="2023-03-23T12:49:38"/>
    <x v="6"/>
    <x v="2"/>
    <d v="2023-03-29T14:00:00"/>
    <d v="2023-03-27T00:00:00"/>
    <x v="0"/>
    <x v="2"/>
    <s v="No"/>
    <d v="2023-03-26T12:45:00"/>
    <d v="2023-03-28T12:45:00"/>
    <d v="2023-04-14T10:46:00"/>
    <m/>
    <n v="0"/>
    <m/>
    <s v="Si"/>
    <n v="100000"/>
    <d v="2023-06-20T00:00:00"/>
    <s v="No"/>
    <s v="Contrato"/>
    <n v="24"/>
    <m/>
    <m/>
    <d v="2023-03-29T14:00:00"/>
    <m/>
    <m/>
    <x v="0"/>
    <x v="6"/>
    <m/>
    <d v="2023-03-29T14:00:00"/>
    <x v="3"/>
    <m/>
    <m/>
    <m/>
    <m/>
    <m/>
    <m/>
    <m/>
    <m/>
    <m/>
    <m/>
    <m/>
    <m/>
    <m/>
    <m/>
    <m/>
    <m/>
  </r>
  <r>
    <s v="4029-13-LE23"/>
    <s v="ADQUISICIÓN MAT. PARA ESPECIALIDAD DE ENFERMERIA"/>
    <s v="Se requiere la compra de materiale para la especialidad de enfermería par el liceo de Camiña"/>
    <s v="ILUSTRE MUNICIPALIDAD DE CAMINA"/>
    <s v="Kit de oxigeno portatil (vaso humidificador,cilindro de oxigeno, carro porta cilindro,manómetro, regulador)"/>
    <n v="1"/>
    <x v="2"/>
    <x v="15"/>
    <d v="2023-03-23T11:50:10"/>
    <x v="6"/>
    <x v="2"/>
    <d v="2023-03-28T18:46:00"/>
    <d v="2023-03-24T00:00:00"/>
    <x v="0"/>
    <x v="0"/>
    <m/>
    <m/>
    <m/>
    <m/>
    <m/>
    <n v="0"/>
    <m/>
    <m/>
    <m/>
    <m/>
    <m/>
    <m/>
    <m/>
    <m/>
    <m/>
    <d v="2023-03-28T18:46:00"/>
    <m/>
    <m/>
    <x v="0"/>
    <x v="4"/>
    <m/>
    <d v="2023-03-28T18:46:00"/>
    <x v="3"/>
    <m/>
    <m/>
    <m/>
    <m/>
    <m/>
    <m/>
    <m/>
    <m/>
    <m/>
    <m/>
    <m/>
    <m/>
    <m/>
    <m/>
    <m/>
    <m/>
  </r>
  <r>
    <s v="2107-53-LE23"/>
    <s v="MANTENIMIENTO A SISTEMA DE GASES "/>
    <s v="Hospital Santa Cruz, como establecimiento de salud requiere Contar con el Servicio de Mantenimiento Preventivo y correctivo de sistemas de gases clínicos para el Hospital de Santa Cruz, evitando de forma preventiva posibles eventos adversos que puedan causar riesgo a la seguridad de los funcionarios y pacientes, generando que los equipos estén en óptimas condiciones para su operación, manteniendo la confiabilidad de los mismos, a través de la optimización eficiente del activo"/>
    <s v="SERVICIO DE SALUD HOSPITAL DE SANTA CRUZ"/>
    <s v="CONVENIO DE MANTENIMIENTO A SISTEMA DE GASES CLÍNICOS DEL HOSPITAL DE SANTA CRUZ (segun bases adjuntas)"/>
    <n v="1"/>
    <x v="5"/>
    <x v="6"/>
    <d v="2023-03-24T17:06:18"/>
    <x v="6"/>
    <x v="2"/>
    <d v="2023-04-03T17:29:00"/>
    <d v="2023-03-27T00:00:00"/>
    <x v="0"/>
    <x v="10"/>
    <m/>
    <m/>
    <m/>
    <m/>
    <m/>
    <n v="0"/>
    <m/>
    <m/>
    <m/>
    <m/>
    <m/>
    <m/>
    <m/>
    <m/>
    <m/>
    <d v="2023-04-03T17:29:00"/>
    <m/>
    <m/>
    <x v="0"/>
    <x v="6"/>
    <m/>
    <d v="2023-04-03T17:29:00"/>
    <x v="3"/>
    <m/>
    <m/>
    <m/>
    <m/>
    <m/>
    <m/>
    <m/>
    <m/>
    <m/>
    <m/>
    <m/>
    <m/>
    <m/>
    <m/>
    <m/>
    <m/>
  </r>
  <r>
    <s v="3736-17-L123"/>
    <s v="Suministro de gases para Liceo Bicentenario Politécnico Héroes de la Concepción Área Técnico Profesional, Taller Construcciones Metálicas,  Año 2023"/>
    <s v="Suministro de gases para Liceo Bicentenario Politécnico Héroes de la Concepción Área Técnico Profesional, Taller Construcciones Metálicas, Año 2023_x000a_"/>
    <s v="I MUNICIPALIDAD DE LAJA"/>
    <s v=" VALOR ARRIENDO MENSUAL"/>
    <n v="1"/>
    <x v="2"/>
    <x v="2"/>
    <d v="2023-03-24T16:53:33"/>
    <x v="6"/>
    <x v="2"/>
    <d v="2023-03-29T15:05:00"/>
    <d v="2023-03-27T00:00:00"/>
    <x v="0"/>
    <x v="7"/>
    <m/>
    <m/>
    <m/>
    <m/>
    <m/>
    <n v="0"/>
    <m/>
    <m/>
    <m/>
    <m/>
    <m/>
    <m/>
    <m/>
    <m/>
    <m/>
    <d v="2023-03-29T15:05:00"/>
    <m/>
    <m/>
    <x v="0"/>
    <x v="4"/>
    <m/>
    <d v="2023-03-29T15:05:00"/>
    <x v="3"/>
    <m/>
    <m/>
    <m/>
    <m/>
    <m/>
    <m/>
    <m/>
    <m/>
    <m/>
    <m/>
    <m/>
    <m/>
    <m/>
    <m/>
    <m/>
    <m/>
  </r>
  <r>
    <s v="1057532-29-LE23"/>
    <s v="ADQUISICION DE MEDICAMENTOS E INSUMOS PROGRAMAS MINISTERIALES FALTANTES MARZO 2023"/>
    <s v="Se requiere medicamentos e insumos programas ministeriales a la red APS, tiene como objetivo la provisión a los establecimientos de la red Asistencia.  "/>
    <s v="SERVICIO DE SALUD OSORNO"/>
    <s v="AEROCAMARA PED. 1 MES A 5 ANOS P/INHALADOR  QUE CONTENGA: MASCARILLA DE SILICONA LIBRE DE LATEX, FLEXIBLE, ADAPTABLE Y TRANSPARENTE UNIDIRECCIONAL MAS UNA CAMARA CONICA O CILINDRICA DE MATERIAL SEMIRIGIDO ANTIESTATICO Y LAVABLE DE VOLUMENENTRE 140 A 350 M"/>
    <n v="200"/>
    <x v="0"/>
    <x v="0"/>
    <d v="2023-03-24T12:03:52"/>
    <x v="6"/>
    <x v="2"/>
    <d v="2023-03-30T15:10:00"/>
    <d v="2023-03-27T00:00:00"/>
    <x v="0"/>
    <x v="6"/>
    <s v="No"/>
    <d v="2023-03-27T15:00:00"/>
    <d v="2023-03-28T15:00:00"/>
    <d v="2023-05-02T17:00:00"/>
    <m/>
    <n v="0"/>
    <m/>
    <s v="No"/>
    <m/>
    <m/>
    <s v="No"/>
    <s v="Spot"/>
    <m/>
    <m/>
    <m/>
    <d v="2023-03-30T15:10:00"/>
    <m/>
    <m/>
    <x v="0"/>
    <x v="6"/>
    <m/>
    <d v="2023-03-30T15:10:00"/>
    <x v="3"/>
    <m/>
    <m/>
    <m/>
    <m/>
    <m/>
    <m/>
    <m/>
    <m/>
    <m/>
    <m/>
    <m/>
    <m/>
    <m/>
    <m/>
    <m/>
    <m/>
  </r>
  <r>
    <s v="2561-26-LE23"/>
    <s v="SEGUNDO LLAMADO ADQUISICION DE OXIGENO MEDICINAL "/>
    <s v="SE REQUIERE LA ADQUISICION DE OXIGENO MEDICINAL E INSUMOS, PARA EL ALUMNADO  DE LA ESCUELA DE GENDARMERIA DE CHILE."/>
    <s v="DIRECCION GENERAL DE GENDARMERIA DE CHIL"/>
    <s v="SEGUNDO LLAMADO ADQUISICION DE OXIGENO MEDICINAL E INSUMOS"/>
    <n v="1"/>
    <x v="2"/>
    <x v="10"/>
    <d v="2023-03-24T11:44:28"/>
    <x v="6"/>
    <x v="2"/>
    <d v="2023-04-04T15:00:00"/>
    <d v="2023-03-27T00:00:00"/>
    <x v="0"/>
    <x v="0"/>
    <m/>
    <m/>
    <m/>
    <m/>
    <m/>
    <n v="0"/>
    <m/>
    <m/>
    <m/>
    <m/>
    <m/>
    <m/>
    <m/>
    <m/>
    <m/>
    <d v="2023-04-04T15:00:00"/>
    <m/>
    <m/>
    <x v="0"/>
    <x v="6"/>
    <m/>
    <d v="2023-04-04T15:00:00"/>
    <x v="3"/>
    <m/>
    <m/>
    <m/>
    <m/>
    <m/>
    <m/>
    <m/>
    <m/>
    <m/>
    <m/>
    <m/>
    <m/>
    <m/>
    <m/>
    <m/>
    <m/>
  </r>
  <r>
    <s v="1057418-12-LE23"/>
    <s v="ADQUISICION DE INSUMOS CLÍNICOS DE CURACIÓN Y OTROS DEL HFC MULCHÉN"/>
    <s v="ADQUISICION DE INSUMOS CLÍNICOS DE CURACIÓN, CLÍNICOS Y DE REHABILITACIÓN PARA DIVERSOS SERVICIOS DEL HFC MULCHÉN"/>
    <s v="SERVICIO DE SALUD BIO BIO HOSPITAL DE MULCHEN"/>
    <s v="Válvula de entrenamiento respiratorio PEP"/>
    <n v="30"/>
    <x v="0"/>
    <x v="0"/>
    <d v="2023-03-24T11:00:49"/>
    <x v="6"/>
    <x v="2"/>
    <d v="2023-04-03T15:10:00"/>
    <d v="2023-03-27T00:00:00"/>
    <x v="0"/>
    <x v="0"/>
    <m/>
    <m/>
    <m/>
    <m/>
    <m/>
    <n v="0"/>
    <m/>
    <m/>
    <m/>
    <m/>
    <m/>
    <m/>
    <m/>
    <m/>
    <m/>
    <d v="2023-04-03T15:10:00"/>
    <m/>
    <m/>
    <x v="0"/>
    <x v="6"/>
    <m/>
    <d v="2023-04-03T15:10:00"/>
    <x v="3"/>
    <m/>
    <m/>
    <m/>
    <m/>
    <m/>
    <m/>
    <m/>
    <m/>
    <m/>
    <m/>
    <m/>
    <m/>
    <m/>
    <m/>
    <m/>
    <m/>
  </r>
  <r>
    <s v="1057428-15-LE23"/>
    <s v="INSUMOS CLINICOS HOSPITAL FLORIDA POR 24 MESES"/>
    <s v="CONVENIO DE SUMINISTRO PARA EL BUEN FUNCIONAMIENTO DE LAS UNIDADES CLINICAS."/>
    <s v="SERVICIO NACIONAL DE SALUD HOSPITAL DE FLORIDA"/>
    <s v="SATUROMETRO PEDIATRICO _x000a_Equipo para medir saturación de oxigeno en la sangre y las pulsaciones del corazón a través del dedo. Uso pediatrico"/>
    <n v="1"/>
    <x v="0"/>
    <x v="0"/>
    <d v="2023-03-24T10:35:56"/>
    <x v="6"/>
    <x v="2"/>
    <d v="2023-04-03T15:00:00"/>
    <d v="2023-03-27T00:00:00"/>
    <x v="0"/>
    <x v="0"/>
    <m/>
    <m/>
    <m/>
    <m/>
    <m/>
    <n v="0"/>
    <m/>
    <m/>
    <m/>
    <m/>
    <m/>
    <m/>
    <m/>
    <m/>
    <m/>
    <d v="2023-04-03T15:00:00"/>
    <m/>
    <m/>
    <x v="0"/>
    <x v="6"/>
    <m/>
    <d v="2023-04-03T15:00:00"/>
    <x v="3"/>
    <m/>
    <m/>
    <m/>
    <m/>
    <m/>
    <m/>
    <m/>
    <m/>
    <m/>
    <m/>
    <m/>
    <m/>
    <m/>
    <m/>
    <m/>
    <m/>
  </r>
  <r>
    <s v="867990-17-L123"/>
    <s v="Adquisición de insumos médicos. Sol. 64318 CC102."/>
    <s v="Adquisición de insumos médicos. Sol. 64318 CC102."/>
    <s v="UNIVERSIDAD DE SANTIAGO DE CHILE"/>
    <s v="OXIMETRO DE PULSO DE DEDO PEDIATRICO._x000a_CAJA 5 Unidades"/>
    <n v="5"/>
    <x v="0"/>
    <x v="0"/>
    <d v="2023-03-27T17:09:24"/>
    <x v="6"/>
    <x v="2"/>
    <d v="2023-04-03T16:00:00"/>
    <d v="2023-03-28T00:00:00"/>
    <x v="0"/>
    <x v="0"/>
    <m/>
    <m/>
    <m/>
    <m/>
    <m/>
    <n v="0"/>
    <m/>
    <m/>
    <m/>
    <m/>
    <m/>
    <m/>
    <m/>
    <m/>
    <m/>
    <d v="2023-04-03T16:00:00"/>
    <m/>
    <m/>
    <x v="0"/>
    <x v="6"/>
    <m/>
    <d v="2023-04-03T16:00:00"/>
    <x v="3"/>
    <m/>
    <m/>
    <m/>
    <m/>
    <m/>
    <m/>
    <m/>
    <m/>
    <m/>
    <m/>
    <m/>
    <m/>
    <m/>
    <m/>
    <m/>
    <m/>
  </r>
  <r>
    <s v="1057532-27-LE23"/>
    <s v="CONVENIO DE ACCESORIOS EQUIPOS MEDICOS"/>
    <s v="CONVENIO DE ACCESORIOS PARA VENTILADORES MECANICOS DE TRANSPORTE, MONITORES DE SIGNOS VITALES Y DESFIBRILADORES DE BASE SAMU OSORNO, PERIODO 2023._x000a_El Servicio ha elaborado las presentes Bases Administrativas y Técnicas que contienen todos los requerimientos para materializar el “Convenio de accesorios para ventiladores mecánicos de transporte, monitores de signos vitales y desfibriladores de base SAMU Osorno periodo 2023”.  Proceso de compra más eficiente al consolidar en una sola adquisición el suministro de accesorios para su uso en equipos médicos ventiladores mecánicos de transporte, monitores de signos vitales y desfibriladores de Base SAMU Osorno, la cual en años anteriores han sido adquiridas a través de variados procesos de compra en el año. Las cantidades consideradas corresponden al consumo proyectado por 12 meses según historial y validación del establecimiento respectivo, el que será consumido en más de un pedido durante la vigencia del convenio, esto según  demanda de Base SAMU Osorno, no asegurando el consumo total de los productos aquí requeridos."/>
    <s v="SERVICIO DE SALUD OSORNO"/>
    <s v="Manómetros y reguladores de oxígeno"/>
    <n v="28"/>
    <x v="8"/>
    <x v="3"/>
    <d v="2023-03-27T15:19:39"/>
    <x v="6"/>
    <x v="2"/>
    <d v="2023-04-06T15:00:00"/>
    <d v="2023-03-28T00:00:00"/>
    <x v="2"/>
    <x v="1"/>
    <m/>
    <d v="2023-04-03T17:00:00"/>
    <d v="2023-04-04T17:00:00"/>
    <d v="2023-05-08T17:00:00"/>
    <m/>
    <n v="0"/>
    <m/>
    <s v="No"/>
    <m/>
    <m/>
    <s v="No"/>
    <s v="Contrato"/>
    <n v="12"/>
    <m/>
    <m/>
    <d v="2023-04-06T15:00:00"/>
    <m/>
    <m/>
    <x v="0"/>
    <x v="6"/>
    <m/>
    <d v="2023-04-06T15:00:00"/>
    <x v="3"/>
    <m/>
    <m/>
    <m/>
    <m/>
    <m/>
    <m/>
    <m/>
    <m/>
    <m/>
    <m/>
    <m/>
    <m/>
    <m/>
    <m/>
    <m/>
    <m/>
  </r>
  <r>
    <s v="2111-79-LE23"/>
    <s v="SUMINISTRO DE INSUMOS PARA SOPORTE VENTILATORIO"/>
    <s v="SE REQUIERE CONTRATAR EL SUMINISTRO DE INSUMOS  PARA LA UNIDAD DE SOPORTE VENTILATORIO,PARA EL HOSPITAL DE URGENCIA DE ASISTENCIA PUBLICA."/>
    <s v="HOSPITAL DE URGENCIA ASISTENCIA PUBLICA DR ALEJANDRO DEL RIO"/>
    <s v="INTERFASE MASCARA BIPAP  (COMPATIBLES CON EQUIPOS RESPIRONIC)"/>
    <n v="34"/>
    <x v="0"/>
    <x v="0"/>
    <d v="2023-03-27T15:04:46"/>
    <x v="6"/>
    <x v="2"/>
    <d v="2023-04-03T15:00:00"/>
    <d v="2023-03-28T00:00:00"/>
    <x v="0"/>
    <x v="5"/>
    <m/>
    <m/>
    <m/>
    <m/>
    <m/>
    <n v="0"/>
    <m/>
    <m/>
    <m/>
    <m/>
    <m/>
    <m/>
    <m/>
    <m/>
    <m/>
    <d v="2023-04-03T15:00:00"/>
    <m/>
    <m/>
    <x v="0"/>
    <x v="6"/>
    <m/>
    <d v="2023-04-03T15:00:00"/>
    <x v="3"/>
    <m/>
    <m/>
    <m/>
    <m/>
    <m/>
    <m/>
    <m/>
    <m/>
    <m/>
    <m/>
    <m/>
    <m/>
    <m/>
    <m/>
    <m/>
    <m/>
  </r>
  <r>
    <s v="3152-4-L123"/>
    <s v="TUBOS DE OXIGENO MEDICO - SALUD MACHALÍ"/>
    <s v="SE REQUIERE ADQUIRIR TUBOS DE OXIGENO MEDICO PARA ABASTECER LOS ESTABLECIMIENTOS DE SALUD MUNICIPALIZADOS DE LA COMUNA DE MACHALÍ"/>
    <s v="ILUSTRE MUNICIPALIDAD DE MACHALI"/>
    <s v="CILINDRO DE OXIGENO MEDICO 0.73 MTS3 CON CARGA"/>
    <n v="7"/>
    <x v="2"/>
    <x v="2"/>
    <d v="2023-03-27T13:43:13"/>
    <x v="6"/>
    <x v="2"/>
    <d v="2023-04-03T17:42:00"/>
    <d v="2023-03-28T00:00:00"/>
    <x v="0"/>
    <x v="7"/>
    <m/>
    <m/>
    <m/>
    <m/>
    <m/>
    <n v="0"/>
    <m/>
    <m/>
    <m/>
    <m/>
    <m/>
    <m/>
    <m/>
    <m/>
    <m/>
    <d v="2023-04-03T17:42:00"/>
    <m/>
    <m/>
    <x v="0"/>
    <x v="6"/>
    <m/>
    <d v="2023-04-03T17:42:00"/>
    <x v="3"/>
    <m/>
    <m/>
    <m/>
    <m/>
    <m/>
    <m/>
    <m/>
    <m/>
    <m/>
    <m/>
    <m/>
    <m/>
    <m/>
    <m/>
    <m/>
    <m/>
  </r>
  <r>
    <s v="948354-40-LQ23"/>
    <s v="CONTRATACIÓN DEL SUMINISTRO DE GASES CLINICOS"/>
    <s v="El Hospital de la Dirección de Previsión de Carabineros de Chile, ubicado en Vital Apoquindo N°1.200, Comuna de Las Condes, Región Metropolitana, en adelante “EL HOSPITAL”, llama a Licitación Pública para la Contratación del Servicio de Suministro de Gases Clínicos, en adelante “EL SERVICIO”, para un período de 12 meses o hasta que se consuma la totalidad del monto contratado, lo primero que ocurra, para el referido Centro Asistencial, cuyas características y requisitos técnicos constan en las Bases Administrativas y Técnicas de esta Licitación con sus respectivos anexos."/>
    <s v="FONDO HOSPITAL DE LA DIRECCION DE PREVISION DE CARABINEROS DE CHILE"/>
    <s v="CONTRATACION DEL SERVICIO DE SUMINISTRO DEE GASES CLINICOS (SEGUN BASES ADJUNTAS)"/>
    <n v="1"/>
    <x v="2"/>
    <x v="2"/>
    <d v="2023-03-27T10:00:17"/>
    <x v="6"/>
    <x v="2"/>
    <d v="2023-04-10T16:00:00"/>
    <d v="2023-03-28T00:00:00"/>
    <x v="1"/>
    <x v="1"/>
    <m/>
    <d v="2023-03-31T17:00:00"/>
    <d v="2023-04-04T17:00:00"/>
    <d v="2023-06-09T18:00:00"/>
    <n v="154000000"/>
    <n v="129411764.70588236"/>
    <m/>
    <s v="Si"/>
    <n v="500000"/>
    <d v="2023-08-08T00:00:00"/>
    <s v="Si"/>
    <s v="Contrato"/>
    <n v="12"/>
    <m/>
    <m/>
    <d v="2023-04-10T16:00:00"/>
    <m/>
    <m/>
    <x v="0"/>
    <x v="6"/>
    <m/>
    <d v="2023-04-10T16:00:00"/>
    <x v="3"/>
    <m/>
    <m/>
    <m/>
    <m/>
    <m/>
    <m/>
    <m/>
    <m/>
    <m/>
    <m/>
    <m/>
    <m/>
    <m/>
    <m/>
    <m/>
    <m/>
  </r>
  <r>
    <s v="1057496-15-LE23"/>
    <s v="Adquisición insumos médicos para el Hospital San L"/>
    <s v="El objeto de la contratación, corresponde a la adquisición de insumos médicos para cumplir con las necesidades de atención de pacientes en la institución"/>
    <s v="HOSPITAL SAN LUIS DE BUÍN"/>
    <s v="3401015 ARNÉ PARA MASCARA INTERFACE VMNI ORONASAL MODELO CAPSTRAP CLIPS RP KIT MEDIDA STANDAR"/>
    <n v="1"/>
    <x v="0"/>
    <x v="0"/>
    <d v="2023-03-27T15:09:14"/>
    <x v="6"/>
    <x v="2"/>
    <d v="2023-04-06T15:00:00"/>
    <d v="2023-03-28T00:00:00"/>
    <x v="0"/>
    <x v="0"/>
    <s v="No"/>
    <d v="2023-03-30T18:33:00"/>
    <d v="2023-03-31T18:33:00"/>
    <d v="2023-06-05T15:00:00"/>
    <m/>
    <n v="0"/>
    <m/>
    <s v="No"/>
    <m/>
    <m/>
    <s v="No"/>
    <s v="Spot"/>
    <m/>
    <m/>
    <m/>
    <d v="2023-04-06T15:00:00"/>
    <m/>
    <m/>
    <x v="0"/>
    <x v="6"/>
    <m/>
    <d v="2023-04-06T15:00:00"/>
    <x v="3"/>
    <m/>
    <m/>
    <m/>
    <m/>
    <m/>
    <m/>
    <m/>
    <m/>
    <m/>
    <m/>
    <m/>
    <m/>
    <m/>
    <m/>
    <m/>
    <m/>
  </r>
  <r>
    <s v="4025-10-LE23"/>
    <s v="INSUMOS MEDICOS CESFAM ANTUCO I 2023"/>
    <s v="La necesidad de adquirir insumos médicos para el Centro de Salud Familiar de la comuna de Antuco, solicitado por la Srta. Carolina Jiménez Salinas, enfermera del CESFAM Antuco, según solicitud de compra N°24 de fecha 20 de marzo de 2023."/>
    <s v="I MUNICIPALIDAD DE ANTUCO"/>
    <s v="OXIMETRO DE PULSO PARA LACTANTES DE 0 A 6 MESES DE EDAD. GRAN SENSIBILIDAD Y PRECISION. ALIMENTACION CON PILAS. GARANTIA 1 AÑO. "/>
    <n v="2"/>
    <x v="0"/>
    <x v="0"/>
    <d v="2023-03-28T15:50:03"/>
    <x v="6"/>
    <x v="2"/>
    <d v="2023-04-10T15:30:00"/>
    <d v="2023-03-29T00:00:00"/>
    <x v="0"/>
    <x v="0"/>
    <m/>
    <m/>
    <m/>
    <m/>
    <m/>
    <n v="0"/>
    <m/>
    <m/>
    <m/>
    <m/>
    <m/>
    <m/>
    <m/>
    <m/>
    <m/>
    <d v="2023-04-10T15:30:00"/>
    <m/>
    <m/>
    <x v="0"/>
    <x v="6"/>
    <m/>
    <d v="2023-04-10T15:30:00"/>
    <x v="3"/>
    <m/>
    <m/>
    <m/>
    <m/>
    <m/>
    <m/>
    <m/>
    <m/>
    <m/>
    <m/>
    <m/>
    <m/>
    <m/>
    <m/>
    <m/>
    <m/>
  </r>
  <r>
    <s v="1057544-87-LP23"/>
    <s v="CONTRATACIÓN DE SERVICIOS DE MANTENCIÓN PREVENTIVA Y CORRECTIVA DE SISTEMA DE AIRE MEDICINAL VACÍO Y REDES DE GASES CLÍNICOS DEL HOSPITAL LAS HIGUERAS TALCAHUANO"/>
    <s v="Las presentes especificaciones técnicas, tienen por objetivo la contratación de los servicios de mantención preventiva y correctiva de sistema de aire medicinal, vacío y redes de gases clínicos del hospital las higueras de Talcahuano, de acuerdo a las especificaciones técnicas adjuntas."/>
    <s v="SERVICIO DE SALUD DE TALCAHUANO HOSPITAL"/>
    <s v="Contratación de servicios de mantención correctiva de sistema de aire medicinal, vacío y redes de gases clínicos del hospital las higueras de Talcahuano, de acuerdo con especificaciones técnicas y Formulario N°7. Ítem N°2"/>
    <n v="1"/>
    <x v="5"/>
    <x v="6"/>
    <d v="2023-03-28T15:44:08"/>
    <x v="6"/>
    <x v="2"/>
    <d v="2023-04-17T15:00:00"/>
    <d v="2023-03-29T00:00:00"/>
    <x v="0"/>
    <x v="10"/>
    <m/>
    <m/>
    <m/>
    <m/>
    <m/>
    <n v="0"/>
    <m/>
    <m/>
    <m/>
    <m/>
    <m/>
    <m/>
    <m/>
    <m/>
    <m/>
    <d v="2023-04-17T15:00:00"/>
    <m/>
    <m/>
    <x v="0"/>
    <x v="6"/>
    <m/>
    <d v="2023-04-17T15:00:00"/>
    <x v="3"/>
    <m/>
    <m/>
    <m/>
    <m/>
    <m/>
    <m/>
    <m/>
    <m/>
    <m/>
    <m/>
    <m/>
    <m/>
    <m/>
    <m/>
    <m/>
    <m/>
  </r>
  <r>
    <s v="1523-34-LP23"/>
    <s v="Bases Administrativas y Técnicas Propuesta Pública N.º 2723 “MANTENIMIENTO PREVENTIVO Y CORRECTIVO APLICADO A LOS SISTEMAS DE AIRES Y GASES MEDICINALES DEL HOSPITAL DR. ABRAHAM GODOY PEÑA DE LAUTARO”"/>
    <s v="Bases Administrativas y Técnicas Propuesta Pública N.º 27/23 “MANTENIMIENTO PREVENTIVO Y CORRECTIVO APLICADO A LOS SISTEMAS DE AIRES Y GASES MEDICINALES, DEL HOSPITAL DR. ABRAHAM GODOY PEÑA DE LAUTARO”"/>
    <s v="SERVICIO NACIONAL ARAUCANIA SUR HOSPITAL DR ABRAHAM GODOY PENA LAUTARO"/>
    <s v="MANTENCION PREVENTIVA Y CORRECTIVA APLICADO A LOS SISTEMAS DE AIRES Y GASES MEDICINALES, DEL HOSPITAL DR. ABRAHAM GODOY PEÑA DE LAUTARO"/>
    <n v="1"/>
    <x v="5"/>
    <x v="6"/>
    <d v="2023-03-28T12:53:04"/>
    <x v="6"/>
    <x v="2"/>
    <d v="2023-04-12T15:30:00"/>
    <d v="2023-03-29T00:00:00"/>
    <x v="0"/>
    <x v="10"/>
    <m/>
    <m/>
    <m/>
    <m/>
    <m/>
    <n v="0"/>
    <m/>
    <m/>
    <m/>
    <m/>
    <m/>
    <m/>
    <m/>
    <m/>
    <m/>
    <d v="2023-04-12T15:30:00"/>
    <m/>
    <m/>
    <x v="0"/>
    <x v="6"/>
    <m/>
    <d v="2023-04-12T15:30:00"/>
    <x v="3"/>
    <m/>
    <m/>
    <m/>
    <m/>
    <m/>
    <m/>
    <m/>
    <m/>
    <m/>
    <m/>
    <m/>
    <m/>
    <m/>
    <m/>
    <m/>
    <m/>
  </r>
  <r>
    <s v="2048-11-LQ23"/>
    <s v="CONVENIO DE SUMINISTRO GASES CLINICOS"/>
    <s v="El Hospital de Ancud convoca a  Licitación para abastecer de Gases Clínicos para el Hospital de Ancud._x000a__x000a_Las especificaciones técnicas que debe cumplir el Oxígeno Líquido y Gaseoso y Otros Gases Clínicos a suministrar por las empresas debe enmarcarse dentro de la Norma NCH 2168; in 10083 y las normas que dicen de la seguridad de transporte y almacenamiento. Según Bases_x000a_"/>
    <s v="SERVICIO DE SALUD CHILOE"/>
    <s v="CONVENIO DE SUMINISTRO GASES CLINICOS, HOSPITAL DE ANCUD"/>
    <n v="1"/>
    <x v="2"/>
    <x v="18"/>
    <d v="2023-03-28T12:18:57"/>
    <x v="6"/>
    <x v="2"/>
    <d v="2023-04-10T17:00:00"/>
    <d v="2023-03-29T00:00:00"/>
    <x v="2"/>
    <x v="1"/>
    <m/>
    <d v="2023-04-03T12:00:00"/>
    <d v="2023-04-04T18:00:00"/>
    <d v="2023-06-12T17:00:00"/>
    <m/>
    <n v="0"/>
    <m/>
    <s v="Si"/>
    <n v="1000000"/>
    <d v="2023-07-28T00:00:00"/>
    <s v="No"/>
    <s v="Contrato"/>
    <n v="24"/>
    <m/>
    <m/>
    <d v="2023-04-10T17:00:00"/>
    <m/>
    <m/>
    <x v="0"/>
    <x v="6"/>
    <m/>
    <d v="2023-04-10T17:00:00"/>
    <x v="3"/>
    <m/>
    <m/>
    <m/>
    <m/>
    <m/>
    <m/>
    <m/>
    <m/>
    <m/>
    <m/>
    <m/>
    <m/>
    <m/>
    <m/>
    <m/>
    <m/>
  </r>
  <r>
    <s v="1057509-86-LE23"/>
    <s v="CONVENIO SERVICIOS DE TAXI CARGO PARA TRASLADO E INSTALACIÓN DE OXIGENO. mpv"/>
    <s v="El Hospital Clínico Herminda Martín de Chillán llama a Licitación Pública a través del Portal Mercado Público, para “Convenio Servicio de Taxi Cargo Para Traslado e Instalación de Oxígeno”, con el fin de proveer de oxígeno a pacientes dependientes de la Unidad de Hospitalización Domiciliaria, de acuerdo a requerimientos especificados en Bases Administrativas y Técnicas de la presente licitación.  Se pretende obtener la  mejor calidad y oportunidad en el servicio a un precio conveniente"/>
    <s v="HOSPITAL CLINICO HERMINDA MARTIN"/>
    <s v="Servicio de Taxi Cargo para traslado de cilindro de oxigeno. Ofertar según Anexo Nº3 Oferta Económica. Presupuesto total referencial total por 18 meses $26.011.400.-"/>
    <n v="1"/>
    <x v="3"/>
    <x v="5"/>
    <d v="2023-03-28T15:56:08"/>
    <x v="6"/>
    <x v="2"/>
    <d v="2023-04-10T16:00:00"/>
    <d v="2023-03-29T00:00:00"/>
    <x v="2"/>
    <x v="1"/>
    <m/>
    <d v="2023-04-04T15:00:00"/>
    <d v="2023-04-05T16:00:00"/>
    <d v="2023-04-25T15:30:00"/>
    <n v="26011400"/>
    <n v="21858319.327731095"/>
    <m/>
    <s v="No"/>
    <m/>
    <m/>
    <s v="No"/>
    <s v="Contrato"/>
    <n v="18"/>
    <m/>
    <m/>
    <d v="2023-04-10T16:00:00"/>
    <m/>
    <m/>
    <x v="0"/>
    <x v="6"/>
    <m/>
    <d v="2023-04-10T16:00:00"/>
    <x v="3"/>
    <m/>
    <m/>
    <m/>
    <m/>
    <m/>
    <m/>
    <m/>
    <m/>
    <m/>
    <m/>
    <m/>
    <m/>
    <m/>
    <m/>
    <m/>
    <m/>
  </r>
  <r>
    <s v="2710-51-L123"/>
    <s v="ADQUISICIÓN DE REGULADORES DE OXIGENO"/>
    <s v="SE REQUIERE ADQUIRIR LO SIGUIENTE:_x000a_25 UNIDADES REGULADOR OXIGENO MEDICINAL CON FLUJÓMETRO TIPO H_x000a_25 UNIDADES REGULADOR OXIGENO COMPACTO SISTEMA PIN "/>
    <s v="MUNICIPALIDAD DE OVALLE"/>
    <s v="25 UNIDADES REGULADOR OXÍGENO MEDICINAL CON FLUJOMETROS TIPO &quot;H&quot;"/>
    <n v="25"/>
    <x v="8"/>
    <x v="11"/>
    <d v="2023-03-30T16:31:49"/>
    <x v="6"/>
    <x v="2"/>
    <d v="2023-04-06T16:02:00"/>
    <d v="2023-03-31T00:00:00"/>
    <x v="2"/>
    <x v="1"/>
    <m/>
    <m/>
    <m/>
    <m/>
    <m/>
    <n v="0"/>
    <m/>
    <m/>
    <m/>
    <m/>
    <m/>
    <m/>
    <m/>
    <m/>
    <m/>
    <d v="2023-04-06T16:02:00"/>
    <m/>
    <m/>
    <x v="0"/>
    <x v="4"/>
    <m/>
    <d v="2023-04-06T16:02:00"/>
    <x v="3"/>
    <m/>
    <m/>
    <m/>
    <m/>
    <m/>
    <m/>
    <m/>
    <m/>
    <m/>
    <m/>
    <m/>
    <m/>
    <m/>
    <m/>
    <m/>
    <m/>
  </r>
  <r>
    <s v="2710-48-L123"/>
    <s v="ADQUISICIÓN DE CILINDROS MEDICINALES BRECHA "/>
    <s v="SE REQUIERE CUBRIR BRECHA PARA DAR COBERTURA A LAS NECESIDADES DE OXIGENO MEDICINAL EN LOS DISTINTOS DISPOSITIVOS DE LA COMUNA "/>
    <s v="MUNICIPALIDAD DE OVALLE"/>
    <s v="8 CILINDROS MEDICINAL 0.7 MT3 RECARGADOS (4 PIN Y 4 H)"/>
    <n v="8"/>
    <x v="2"/>
    <x v="11"/>
    <d v="2023-03-30T16:30:31"/>
    <x v="6"/>
    <x v="2"/>
    <d v="2023-04-06T17:24:00"/>
    <d v="2023-03-31T00:00:00"/>
    <x v="2"/>
    <x v="1"/>
    <m/>
    <m/>
    <m/>
    <m/>
    <m/>
    <n v="0"/>
    <m/>
    <m/>
    <m/>
    <m/>
    <m/>
    <m/>
    <m/>
    <m/>
    <m/>
    <d v="2023-04-06T17:24:00"/>
    <m/>
    <m/>
    <x v="0"/>
    <x v="4"/>
    <m/>
    <d v="2023-04-06T17:24:00"/>
    <x v="3"/>
    <m/>
    <m/>
    <m/>
    <m/>
    <m/>
    <m/>
    <m/>
    <m/>
    <m/>
    <m/>
    <m/>
    <m/>
    <m/>
    <m/>
    <m/>
    <m/>
  </r>
  <r>
    <s v="1057500-28-LE23"/>
    <s v="AEROCAMARAS BIVALVULADAS ADULTO"/>
    <s v="El Servicio de Salud Metropolitano Sur Oriente requiere adquirir Aerocámara Adulto Bivalvulada informada como faltantes por CENABST, correspondiente al Programa IRA-ERA."/>
    <s v="SERVICIO DE SALUD METROPOLITANO SUR ORIENTE"/>
    <s v="AEROCAMARA ADULTO BIVALVULADA_x000a_Con despacho en los Cetros de Salud indicados en las bases"/>
    <n v="3600"/>
    <x v="0"/>
    <x v="0"/>
    <d v="2023-03-30T15:34:57"/>
    <x v="6"/>
    <x v="2"/>
    <d v="2023-04-10T17:35:00"/>
    <d v="2023-03-31T00:00:00"/>
    <x v="2"/>
    <x v="1"/>
    <m/>
    <m/>
    <m/>
    <m/>
    <m/>
    <n v="0"/>
    <m/>
    <m/>
    <m/>
    <m/>
    <m/>
    <m/>
    <m/>
    <m/>
    <m/>
    <d v="2023-04-10T17:35:00"/>
    <m/>
    <m/>
    <x v="0"/>
    <x v="4"/>
    <m/>
    <d v="2023-04-10T17:35:00"/>
    <x v="3"/>
    <m/>
    <m/>
    <m/>
    <m/>
    <m/>
    <m/>
    <m/>
    <m/>
    <m/>
    <m/>
    <m/>
    <m/>
    <m/>
    <m/>
    <m/>
    <m/>
  </r>
  <r>
    <s v="5054-8-LE23"/>
    <s v="Adquisición de equipamiento UPC Neonatal y cardiologia"/>
    <s v="El objetivo de la presente licitación, es la adquisición de equipamiento autorizado por comité de abastecimiento mes Enero 2023 referencia 4263040 para UPC Neonatal y referencia 4301872 para Cardiología del Hospital Regional de Talca, con el fin de cumplir con los requerimientos de la institución."/>
    <s v="SERVICIO DE SALUD DEL MAULE HOSPITAL DE TALCA"/>
    <s v="(Código interno 050501070869) OXIMETRO DE PULSO NEONATAL. Ver anexo N°5 Especificaciones técnicas y completar."/>
    <n v="4"/>
    <x v="0"/>
    <x v="0"/>
    <d v="2023-03-30T15:02:10"/>
    <x v="6"/>
    <x v="2"/>
    <d v="2023-04-10T15:30:00"/>
    <d v="2023-03-31T00:00:00"/>
    <x v="0"/>
    <x v="0"/>
    <m/>
    <m/>
    <m/>
    <m/>
    <m/>
    <n v="0"/>
    <m/>
    <m/>
    <m/>
    <m/>
    <m/>
    <m/>
    <m/>
    <m/>
    <m/>
    <d v="2023-04-10T15:30:00"/>
    <m/>
    <m/>
    <x v="0"/>
    <x v="4"/>
    <m/>
    <d v="2023-04-10T15:30:00"/>
    <x v="3"/>
    <m/>
    <m/>
    <m/>
    <m/>
    <m/>
    <m/>
    <m/>
    <m/>
    <m/>
    <m/>
    <m/>
    <m/>
    <m/>
    <m/>
    <m/>
    <m/>
  </r>
  <r>
    <s v="4967-7-LP23"/>
    <s v="Oxígeno Líquido"/>
    <s v="Las presentes Bases de licitación orientan, fijan y determinan las normas y procedimientos por las que deben regirse las personas naturales o jurídicas interesadas en participar en el llamado a licitación para la contratación de un convenio de suministro de OXÍGENO LÍQUIDO, por un periodo de 36 meses, con el fin de proveer y mantener la cantidad necesaria de oxígeno y un suministro adecuado y seguro a los pacientes del establecimiento mediante sistema de telemetría para un seguro aprovisionamiento."/>
    <s v="HOSPITAL DE QUILPUE"/>
    <s v="Oxígeno Criogénico Líquido, según bases técnicas adjuntas."/>
    <n v="202000"/>
    <x v="2"/>
    <x v="9"/>
    <d v="2023-03-30T12:07:01"/>
    <x v="6"/>
    <x v="2"/>
    <d v="2023-04-10T20:00:00"/>
    <d v="2023-03-31T00:00:00"/>
    <x v="2"/>
    <x v="1"/>
    <m/>
    <m/>
    <m/>
    <m/>
    <m/>
    <n v="0"/>
    <m/>
    <m/>
    <m/>
    <m/>
    <m/>
    <m/>
    <m/>
    <m/>
    <m/>
    <d v="2023-04-10T20:00:00"/>
    <m/>
    <m/>
    <x v="0"/>
    <x v="4"/>
    <m/>
    <d v="2023-04-10T20:00:00"/>
    <x v="3"/>
    <m/>
    <m/>
    <m/>
    <m/>
    <m/>
    <m/>
    <m/>
    <m/>
    <m/>
    <m/>
    <m/>
    <m/>
    <m/>
    <m/>
    <m/>
    <m/>
  </r>
  <r>
    <s v="2914-19-L123"/>
    <s v="INSUMOS ENFERMERA CES EN DDA SOL 83"/>
    <s v="ADQUIRIR INSUMOS PARA ESTABLECIMIENTO DE SALUD MUNICIPAL"/>
    <s v="ILUSTRE MUNICIPALIDAD DE DIEGO DE ALMAGRO"/>
    <s v="OXIMETRO PULSO DIGITAL ADULTO. SE ADJUNTA IMAGEN REFERENCIAL Y FICHA TECNICA. PRESENTAR FOT, GARANTÍA Y ESPECIFICACIONES TECNICAS."/>
    <n v="8"/>
    <x v="0"/>
    <x v="0"/>
    <d v="2023-03-30T09:38:44"/>
    <x v="6"/>
    <x v="2"/>
    <d v="2023-04-05T11:23:00"/>
    <d v="2023-03-31T00:00:00"/>
    <x v="0"/>
    <x v="0"/>
    <m/>
    <m/>
    <m/>
    <m/>
    <m/>
    <n v="0"/>
    <m/>
    <m/>
    <m/>
    <m/>
    <m/>
    <m/>
    <m/>
    <m/>
    <m/>
    <d v="2023-04-05T11:23:00"/>
    <m/>
    <m/>
    <x v="0"/>
    <x v="4"/>
    <m/>
    <d v="2023-04-05T11:23:00"/>
    <x v="3"/>
    <m/>
    <m/>
    <m/>
    <m/>
    <m/>
    <m/>
    <m/>
    <m/>
    <m/>
    <m/>
    <m/>
    <m/>
    <m/>
    <m/>
    <m/>
    <m/>
  </r>
  <r>
    <s v="1557-7-LE23"/>
    <s v="Convenio de suministro  de Oxigeno  Gaseoso"/>
    <s v="Convenio de oxigeno gaseoso medicinal"/>
    <s v="SERVICIO SALUD ATACAMA HOSPITAL DE HUASCO"/>
    <s v="72 Cilindros de oxigeno de 6 mt3. Cantidad es estimada puede aumentar o disminuir segun demanda."/>
    <n v="72"/>
    <x v="2"/>
    <x v="11"/>
    <d v="2023-03-29T12:31:00"/>
    <x v="6"/>
    <x v="2"/>
    <d v="2023-04-04T17:00:00"/>
    <d v="2023-03-31T00:00:00"/>
    <x v="2"/>
    <x v="1"/>
    <m/>
    <m/>
    <m/>
    <m/>
    <m/>
    <n v="0"/>
    <m/>
    <m/>
    <m/>
    <m/>
    <m/>
    <m/>
    <m/>
    <m/>
    <m/>
    <d v="2023-04-04T17:00:00"/>
    <m/>
    <m/>
    <x v="0"/>
    <x v="4"/>
    <m/>
    <d v="2023-04-04T17:00:00"/>
    <x v="3"/>
    <m/>
    <m/>
    <m/>
    <m/>
    <m/>
    <m/>
    <m/>
    <m/>
    <m/>
    <m/>
    <m/>
    <m/>
    <m/>
    <m/>
    <m/>
    <m/>
  </r>
  <r>
    <s v="1395-23-LE23"/>
    <s v="Convenio de Suministro de Oxígeno y Servicios Complementarios"/>
    <s v="El Servicio de Salud Coquimbo llama a Licitación Pública, a través del Portal Mercado Público, para la contratación de servicios de recargas de oxígeno y servicios complementarios. Sólo serán evaluadas las ofertas que presenten la totalidad de los servicios requeridos, los cuales serán adjudicados a un solo proveedor a partir del promedio final de la evaluación de todos los ítems._x000a_El servicio que el prestador proveerá, por el precio que se oferte, comprenden esencialmente la obligación de suministrar los siguientes servicios:_x000a_ÍTEM REQUERIMIENTO_x000a_1.- Recarga de Cilindros de Oxígeno de 0,7 mts3.-_x000a_2.- Recarga de Cilindros de Oxígeno de 6 mts3.-_x000a_3.- Arriendo de 110 Cilindros de Oxígeno de 0,7 Mts.3 _x000a_(cilindros distribuidos en Bases SAMU Región de Coquimbo)._x000a_4.- Arriendo de 60 Cilindros de Oxígeno de 6 Mts.3. _x000a_(cilindros distribuidos en Bases SAMU Región de Coquimbo)._x000a_5.- Flete de cilindros (Sólo Provincia del Choapa)_x000a_El Convenio de Servicios tendrá una vigencia de 12 meses o hasta la completa utilización de los recursos que lo financian, según lo indicado en el Articulo N°7.- y comenzará a regir una vez que se encuentre totalmente tramitado el acto administrativo que lo adjudica."/>
    <s v="SERVICIO DE SALUD COQUIMBO"/>
    <s v="Ítem N°1.- Recarga de Cilindros de Oxígeno de 0,7 mts3.-"/>
    <n v="1"/>
    <x v="2"/>
    <x v="11"/>
    <d v="2023-03-29T12:28:57"/>
    <x v="6"/>
    <x v="2"/>
    <d v="2023-04-05T15:00:00"/>
    <d v="2023-03-31T00:00:00"/>
    <x v="2"/>
    <x v="1"/>
    <m/>
    <m/>
    <m/>
    <m/>
    <m/>
    <n v="0"/>
    <m/>
    <m/>
    <m/>
    <m/>
    <m/>
    <m/>
    <m/>
    <m/>
    <m/>
    <d v="2023-04-05T15:00:00"/>
    <m/>
    <m/>
    <x v="0"/>
    <x v="4"/>
    <m/>
    <d v="2023-04-05T15:00:00"/>
    <x v="3"/>
    <m/>
    <m/>
    <m/>
    <m/>
    <m/>
    <m/>
    <m/>
    <m/>
    <m/>
    <m/>
    <m/>
    <m/>
    <m/>
    <m/>
    <m/>
    <m/>
  </r>
  <r>
    <s v="3651-14-L123"/>
    <s v="INSUMOS SUR CESFAM QUILLECO 2023"/>
    <s v="INSUMOS SUR CESFAM QUILLECO 2023 SOLICITUD REALIZADA POR ENFERMERA URGENCIA E.GESTOR r"/>
    <s v="I MUNICIPALIDAD DE QUILLECO"/>
    <s v="SATURÓMETRO DE PULSO PEDIATRICO CON MONITOR DE FRECUENCIA CARDIACA Y SATURACIÓN"/>
    <n v="3"/>
    <x v="0"/>
    <x v="0"/>
    <d v="2023-03-29T12:25:12"/>
    <x v="6"/>
    <x v="2"/>
    <d v="2023-04-04T10:00:00"/>
    <d v="2023-03-31T00:00:00"/>
    <x v="0"/>
    <x v="0"/>
    <m/>
    <m/>
    <m/>
    <m/>
    <m/>
    <n v="0"/>
    <m/>
    <m/>
    <m/>
    <m/>
    <m/>
    <m/>
    <m/>
    <m/>
    <m/>
    <d v="2023-04-04T10:00:00"/>
    <m/>
    <m/>
    <x v="0"/>
    <x v="4"/>
    <m/>
    <d v="2023-04-04T10:00:00"/>
    <x v="3"/>
    <m/>
    <m/>
    <m/>
    <m/>
    <m/>
    <m/>
    <m/>
    <m/>
    <m/>
    <m/>
    <m/>
    <m/>
    <m/>
    <m/>
    <m/>
    <m/>
  </r>
  <r>
    <s v="3651-14-L123"/>
    <s v="INSUMOS SUR CESFAM QUILLECO 2023"/>
    <s v="INSUMOS SUR CESFAM QUILLECO 2023 SOLICITUD REALIZADA POR ENFERMERA URGENCIA E.GESTOR r"/>
    <s v="I MUNICIPALIDAD DE QUILLECO"/>
    <s v="NIPLE O PARA OXIGENO MEDICINAL ALTAMENTE RESISTENTE ESPECIFICACIONES TUERCA DE MANGUERA PARA SALIDA DE OXIGENO ALTAMENTE RESISTENTETIPO DIDD CON CONEXIÓN UNIVERSAL TUERCA DE SUJECION TIPO DISS CON ALETAS LATERALES PARA FACILITAR EL AJUSTE DE MATERIAL PVC "/>
    <n v="10"/>
    <x v="8"/>
    <x v="6"/>
    <d v="2023-03-29T12:25:12"/>
    <x v="6"/>
    <x v="2"/>
    <d v="2023-04-04T10:00:00"/>
    <d v="2023-03-31T00:00:00"/>
    <x v="0"/>
    <x v="0"/>
    <m/>
    <m/>
    <m/>
    <m/>
    <m/>
    <n v="0"/>
    <m/>
    <m/>
    <m/>
    <m/>
    <m/>
    <m/>
    <m/>
    <m/>
    <m/>
    <d v="2023-04-04T10:00:00"/>
    <m/>
    <m/>
    <x v="0"/>
    <x v="4"/>
    <m/>
    <d v="2023-04-04T10:00:00"/>
    <x v="3"/>
    <m/>
    <m/>
    <m/>
    <m/>
    <m/>
    <m/>
    <m/>
    <m/>
    <m/>
    <m/>
    <m/>
    <m/>
    <m/>
    <m/>
    <m/>
    <m/>
  </r>
  <r>
    <m/>
    <m/>
    <m/>
    <m/>
    <m/>
    <m/>
    <x v="9"/>
    <x v="12"/>
    <m/>
    <x v="12"/>
    <x v="3"/>
    <m/>
    <m/>
    <x v="2"/>
    <x v="1"/>
    <m/>
    <m/>
    <m/>
    <m/>
    <m/>
    <m/>
    <m/>
    <m/>
    <m/>
    <m/>
    <m/>
    <m/>
    <m/>
    <m/>
    <m/>
    <m/>
    <m/>
    <m/>
    <x v="50"/>
    <x v="4"/>
    <m/>
    <m/>
    <x v="3"/>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413A1C-F00F-415E-854E-E568435B8785}" name="TablaDinámica19"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77:C88" firstHeaderRow="0" firstDataRow="1" firstDataCol="1" rowPageCount="5" colPageCount="1"/>
  <pivotFields count="54">
    <pivotField dataField="1" showAll="0"/>
    <pivotField showAll="0"/>
    <pivotField showAll="0"/>
    <pivotField showAll="0"/>
    <pivotField showAll="0"/>
    <pivotField showAll="0"/>
    <pivotField axis="axisRow" showAll="0">
      <items count="11">
        <item x="8"/>
        <item x="6"/>
        <item x="7"/>
        <item x="2"/>
        <item x="4"/>
        <item x="5"/>
        <item x="1"/>
        <item x="3"/>
        <item x="0"/>
        <item x="9"/>
        <item t="default"/>
      </items>
    </pivotField>
    <pivotField axis="axisPage" showAll="0">
      <items count="20">
        <item x="17"/>
        <item x="7"/>
        <item x="6"/>
        <item x="13"/>
        <item x="14"/>
        <item x="8"/>
        <item x="3"/>
        <item x="0"/>
        <item x="11"/>
        <item x="18"/>
        <item x="5"/>
        <item x="10"/>
        <item x="2"/>
        <item x="15"/>
        <item x="16"/>
        <item x="4"/>
        <item x="9"/>
        <item x="1"/>
        <item x="12"/>
        <item t="default"/>
      </items>
    </pivotField>
    <pivotField showAll="0"/>
    <pivotField axis="axisPage" showAll="0">
      <items count="14">
        <item x="4"/>
        <item x="5"/>
        <item x="6"/>
        <item x="7"/>
        <item x="8"/>
        <item x="9"/>
        <item x="3"/>
        <item x="10"/>
        <item x="11"/>
        <item x="0"/>
        <item x="1"/>
        <item x="2"/>
        <item x="12"/>
        <item t="default"/>
      </items>
    </pivotField>
    <pivotField axis="axisPage" showAll="0">
      <items count="5">
        <item x="0"/>
        <item x="1"/>
        <item x="2"/>
        <item x="3"/>
        <item t="default"/>
      </items>
    </pivotField>
    <pivotField showAll="0"/>
    <pivotField showAll="0"/>
    <pivotField axis="axisPage" showAll="0">
      <items count="4">
        <item x="0"/>
        <item x="1"/>
        <item x="2"/>
        <item t="default"/>
      </items>
    </pivotField>
    <pivotField showAll="0">
      <items count="14">
        <item x="2"/>
        <item x="3"/>
        <item x="0"/>
        <item x="10"/>
        <item x="4"/>
        <item x="9"/>
        <item x="8"/>
        <item x="12"/>
        <item x="11"/>
        <item x="7"/>
        <item x="6"/>
        <item x="5"/>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5">
        <item x="0"/>
        <item x="14"/>
        <item x="11"/>
        <item x="31"/>
        <item x="23"/>
        <item x="32"/>
        <item x="2"/>
        <item x="3"/>
        <item x="5"/>
        <item x="44"/>
        <item x="35"/>
        <item x="7"/>
        <item x="42"/>
        <item x="43"/>
        <item x="46"/>
        <item x="10"/>
        <item x="12"/>
        <item x="17"/>
        <item x="13"/>
        <item x="48"/>
        <item x="24"/>
        <item x="9"/>
        <item x="8"/>
        <item x="53"/>
        <item x="30"/>
        <item x="21"/>
        <item x="26"/>
        <item x="16"/>
        <item x="47"/>
        <item x="45"/>
        <item x="27"/>
        <item x="41"/>
        <item x="29"/>
        <item x="49"/>
        <item x="4"/>
        <item x="6"/>
        <item x="51"/>
        <item x="22"/>
        <item x="19"/>
        <item x="52"/>
        <item x="28"/>
        <item x="33"/>
        <item x="34"/>
        <item x="20"/>
        <item x="1"/>
        <item x="15"/>
        <item x="18"/>
        <item x="25"/>
        <item x="40"/>
        <item x="37"/>
        <item x="39"/>
        <item x="36"/>
        <item x="38"/>
        <item x="50"/>
        <item t="default"/>
      </items>
    </pivotField>
    <pivotField axis="axisPage" showAll="0">
      <items count="8">
        <item x="0"/>
        <item x="2"/>
        <item x="1"/>
        <item x="6"/>
        <item x="5"/>
        <item x="3"/>
        <item x="4"/>
        <item t="default"/>
      </items>
    </pivotField>
    <pivotField showAll="0"/>
    <pivotField showAll="0"/>
    <pivotField showAll="0">
      <items count="9">
        <item x="6"/>
        <item x="5"/>
        <item x="2"/>
        <item x="1"/>
        <item x="7"/>
        <item x="4"/>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11">
    <i>
      <x/>
    </i>
    <i>
      <x v="1"/>
    </i>
    <i>
      <x v="2"/>
    </i>
    <i>
      <x v="3"/>
    </i>
    <i>
      <x v="4"/>
    </i>
    <i>
      <x v="5"/>
    </i>
    <i>
      <x v="6"/>
    </i>
    <i>
      <x v="7"/>
    </i>
    <i>
      <x v="8"/>
    </i>
    <i>
      <x v="9"/>
    </i>
    <i t="grand">
      <x/>
    </i>
  </rowItems>
  <colFields count="1">
    <field x="-2"/>
  </colFields>
  <colItems count="2">
    <i>
      <x/>
    </i>
    <i i="1">
      <x v="1"/>
    </i>
  </colItems>
  <pageFields count="5">
    <pageField fld="9" hier="-1"/>
    <pageField fld="10" hier="-1"/>
    <pageField fld="7" hier="-1"/>
    <pageField fld="13" hier="-1"/>
    <pageField fld="34" hier="-1"/>
  </pageFields>
  <dataFields count="2">
    <dataField name="Cuenta de Número" fld="0" subtotal="count" baseField="6" baseItem="0"/>
    <dataField name="Suma de Total Ofertado" fld="33" baseField="6" baseItem="0"/>
  </dataFields>
  <formats count="4">
    <format dxfId="117">
      <pivotArea outline="0" collapsedLevelsAreSubtotals="1" fieldPosition="0"/>
    </format>
    <format dxfId="116">
      <pivotArea outline="0" fieldPosition="0">
        <references count="1">
          <reference field="4294967294" count="1">
            <x v="0"/>
          </reference>
        </references>
      </pivotArea>
    </format>
    <format dxfId="115">
      <pivotArea field="6" grandRow="1" outline="0" collapsedLevelsAreSubtotals="1" axis="axisRow" fieldPosition="0">
        <references count="1">
          <reference field="4294967294" count="1" selected="0">
            <x v="1"/>
          </reference>
        </references>
      </pivotArea>
    </format>
    <format dxfId="114">
      <pivotArea collapsedLevelsAreSubtotals="1" fieldPosition="0">
        <references count="2">
          <reference field="4294967294" count="1" selected="0">
            <x v="1"/>
          </reference>
          <reference field="6"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5C9B4A-65B1-4F77-A866-A37EB0F43457}" name="TablaDinámica17"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2:M41" firstHeaderRow="1" firstDataRow="2" firstDataCol="1" rowPageCount="4" colPageCount="1"/>
  <pivotFields count="54">
    <pivotField dataField="1" showAll="0"/>
    <pivotField showAll="0"/>
    <pivotField showAll="0"/>
    <pivotField showAll="0"/>
    <pivotField showAll="0"/>
    <pivotField showAll="0"/>
    <pivotField axis="axisRow" showAll="0">
      <items count="11">
        <item x="8"/>
        <item x="6"/>
        <item x="7"/>
        <item x="2"/>
        <item x="4"/>
        <item x="5"/>
        <item x="1"/>
        <item x="3"/>
        <item x="0"/>
        <item x="9"/>
        <item t="default"/>
      </items>
    </pivotField>
    <pivotField axis="axisPage" showAll="0">
      <items count="20">
        <item x="17"/>
        <item x="7"/>
        <item x="6"/>
        <item x="13"/>
        <item x="14"/>
        <item x="8"/>
        <item x="3"/>
        <item x="0"/>
        <item x="11"/>
        <item x="18"/>
        <item x="5"/>
        <item x="10"/>
        <item x="2"/>
        <item x="15"/>
        <item x="16"/>
        <item x="4"/>
        <item x="9"/>
        <item x="1"/>
        <item x="12"/>
        <item t="default"/>
      </items>
    </pivotField>
    <pivotField showAll="0"/>
    <pivotField axis="axisPage" showAll="0">
      <items count="14">
        <item x="4"/>
        <item x="5"/>
        <item x="6"/>
        <item x="7"/>
        <item x="8"/>
        <item x="9"/>
        <item x="3"/>
        <item x="10"/>
        <item x="11"/>
        <item x="0"/>
        <item x="1"/>
        <item x="2"/>
        <item x="12"/>
        <item t="default"/>
      </items>
    </pivotField>
    <pivotField axis="axisPage" showAll="0">
      <items count="5">
        <item x="0"/>
        <item x="1"/>
        <item x="2"/>
        <item x="3"/>
        <item t="default"/>
      </items>
    </pivotField>
    <pivotField showAll="0"/>
    <pivotField showAll="0"/>
    <pivotField axis="axisPage" showAll="0">
      <items count="4">
        <item x="0"/>
        <item x="1"/>
        <item x="2"/>
        <item t="default"/>
      </items>
    </pivotField>
    <pivotField axis="axisCol" showAll="0">
      <items count="14">
        <item x="2"/>
        <item x="3"/>
        <item x="0"/>
        <item x="10"/>
        <item x="4"/>
        <item x="9"/>
        <item x="8"/>
        <item x="12"/>
        <item x="11"/>
        <item x="7"/>
        <item x="6"/>
        <item x="5"/>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8">
    <i>
      <x/>
    </i>
    <i>
      <x v="2"/>
    </i>
    <i>
      <x v="3"/>
    </i>
    <i>
      <x v="4"/>
    </i>
    <i>
      <x v="5"/>
    </i>
    <i>
      <x v="7"/>
    </i>
    <i>
      <x v="8"/>
    </i>
    <i t="grand">
      <x/>
    </i>
  </rowItems>
  <colFields count="1">
    <field x="14"/>
  </colFields>
  <colItems count="12">
    <i>
      <x/>
    </i>
    <i>
      <x v="1"/>
    </i>
    <i>
      <x v="2"/>
    </i>
    <i>
      <x v="3"/>
    </i>
    <i>
      <x v="4"/>
    </i>
    <i>
      <x v="5"/>
    </i>
    <i>
      <x v="6"/>
    </i>
    <i>
      <x v="7"/>
    </i>
    <i>
      <x v="9"/>
    </i>
    <i>
      <x v="10"/>
    </i>
    <i>
      <x v="11"/>
    </i>
    <i t="grand">
      <x/>
    </i>
  </colItems>
  <pageFields count="4">
    <pageField fld="9" hier="-1"/>
    <pageField fld="10" item="2" hier="-1"/>
    <pageField fld="7" hier="-1"/>
    <pageField fld="13" item="0" hier="-1"/>
  </pageFields>
  <dataFields count="1">
    <dataField name="Cuenta de Númer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B43532-C193-46F2-AFF3-C8F96D60FAF5}" name="TablaDinámica25"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144:D148" firstHeaderRow="1" firstDataRow="2" firstDataCol="1" rowPageCount="5" colPageCount="1"/>
  <pivotFields count="54">
    <pivotField showAll="0"/>
    <pivotField showAll="0"/>
    <pivotField showAll="0"/>
    <pivotField showAll="0"/>
    <pivotField showAll="0"/>
    <pivotField showAll="0"/>
    <pivotField axis="axisRow" showAll="0">
      <items count="11">
        <item x="8"/>
        <item x="6"/>
        <item x="7"/>
        <item x="2"/>
        <item x="4"/>
        <item x="5"/>
        <item x="1"/>
        <item x="3"/>
        <item x="0"/>
        <item x="9"/>
        <item t="default"/>
      </items>
    </pivotField>
    <pivotField axis="axisPage" showAll="0">
      <items count="20">
        <item x="17"/>
        <item x="7"/>
        <item x="6"/>
        <item x="13"/>
        <item x="14"/>
        <item x="8"/>
        <item x="3"/>
        <item x="0"/>
        <item x="11"/>
        <item x="18"/>
        <item x="5"/>
        <item x="10"/>
        <item x="2"/>
        <item x="15"/>
        <item x="16"/>
        <item x="4"/>
        <item x="9"/>
        <item x="1"/>
        <item x="12"/>
        <item t="default"/>
      </items>
    </pivotField>
    <pivotField showAll="0"/>
    <pivotField axis="axisPage" showAll="0">
      <items count="14">
        <item x="4"/>
        <item x="5"/>
        <item x="6"/>
        <item x="7"/>
        <item x="8"/>
        <item x="9"/>
        <item x="3"/>
        <item x="10"/>
        <item x="11"/>
        <item x="0"/>
        <item x="1"/>
        <item x="2"/>
        <item x="12"/>
        <item t="default"/>
      </items>
    </pivotField>
    <pivotField axis="axisPage" showAll="0">
      <items count="5">
        <item x="0"/>
        <item x="1"/>
        <item x="2"/>
        <item x="3"/>
        <item t="default"/>
      </items>
    </pivotField>
    <pivotField showAll="0"/>
    <pivotField showAll="0"/>
    <pivotField axis="axisPage" showAll="0">
      <items count="4">
        <item x="0"/>
        <item x="1"/>
        <item x="2"/>
        <item t="default"/>
      </items>
    </pivotField>
    <pivotField showAll="0">
      <items count="14">
        <item x="2"/>
        <item x="3"/>
        <item x="0"/>
        <item x="10"/>
        <item x="4"/>
        <item x="9"/>
        <item x="8"/>
        <item x="12"/>
        <item x="11"/>
        <item x="7"/>
        <item x="6"/>
        <item x="5"/>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5">
        <item x="0"/>
        <item x="14"/>
        <item x="11"/>
        <item x="31"/>
        <item x="23"/>
        <item x="32"/>
        <item x="2"/>
        <item x="3"/>
        <item x="5"/>
        <item x="44"/>
        <item x="35"/>
        <item x="7"/>
        <item x="42"/>
        <item x="43"/>
        <item x="46"/>
        <item x="10"/>
        <item x="12"/>
        <item x="17"/>
        <item x="13"/>
        <item x="48"/>
        <item x="24"/>
        <item x="9"/>
        <item x="8"/>
        <item x="53"/>
        <item x="30"/>
        <item x="21"/>
        <item x="26"/>
        <item x="16"/>
        <item x="47"/>
        <item x="45"/>
        <item x="27"/>
        <item x="41"/>
        <item x="29"/>
        <item x="49"/>
        <item x="4"/>
        <item x="6"/>
        <item x="51"/>
        <item x="22"/>
        <item x="19"/>
        <item x="52"/>
        <item x="28"/>
        <item x="33"/>
        <item x="34"/>
        <item x="20"/>
        <item x="1"/>
        <item x="15"/>
        <item x="18"/>
        <item x="25"/>
        <item x="40"/>
        <item x="37"/>
        <item x="39"/>
        <item x="36"/>
        <item x="38"/>
        <item x="50"/>
        <item t="default"/>
      </items>
    </pivotField>
    <pivotField axis="axisPage" showAll="0">
      <items count="8">
        <item x="0"/>
        <item x="2"/>
        <item x="1"/>
        <item x="6"/>
        <item x="5"/>
        <item x="3"/>
        <item x="4"/>
        <item t="default"/>
      </items>
    </pivotField>
    <pivotField showAll="0"/>
    <pivotField showAll="0"/>
    <pivotField axis="axisCol" showAll="0">
      <items count="9">
        <item x="6"/>
        <item x="5"/>
        <item x="2"/>
        <item x="1"/>
        <item x="7"/>
        <item x="4"/>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3">
    <i>
      <x v="3"/>
    </i>
    <i>
      <x v="7"/>
    </i>
    <i t="grand">
      <x/>
    </i>
  </rowItems>
  <colFields count="1">
    <field x="37"/>
  </colFields>
  <colItems count="3">
    <i>
      <x v="2"/>
    </i>
    <i>
      <x v="6"/>
    </i>
    <i t="grand">
      <x/>
    </i>
  </colItems>
  <pageFields count="5">
    <pageField fld="9" hier="-1"/>
    <pageField fld="10" item="2" hier="-1"/>
    <pageField fld="7" hier="-1"/>
    <pageField fld="13" item="1" hier="-1"/>
    <pageField fld="34" item="0" hier="-1"/>
  </pageFields>
  <dataFields count="1">
    <dataField name="Suma de Total Ofertado" fld="33" baseField="0" baseItem="0" numFmtId="167"/>
  </dataFields>
  <formats count="1">
    <format dxfId="11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489F0D-71A5-4B07-8AC9-F9FFF0C7A4D0}" name="TablaDinámica18"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53:M62" firstHeaderRow="1" firstDataRow="2" firstDataCol="1" rowPageCount="4" colPageCount="1"/>
  <pivotFields count="54">
    <pivotField dataField="1" showAll="0"/>
    <pivotField showAll="0"/>
    <pivotField showAll="0"/>
    <pivotField showAll="0"/>
    <pivotField showAll="0"/>
    <pivotField showAll="0"/>
    <pivotField axis="axisRow" showAll="0">
      <items count="11">
        <item x="8"/>
        <item x="6"/>
        <item x="7"/>
        <item x="2"/>
        <item x="4"/>
        <item x="5"/>
        <item x="1"/>
        <item x="3"/>
        <item x="0"/>
        <item x="9"/>
        <item t="default"/>
      </items>
    </pivotField>
    <pivotField axis="axisPage" showAll="0">
      <items count="20">
        <item x="17"/>
        <item x="7"/>
        <item x="6"/>
        <item x="13"/>
        <item x="14"/>
        <item x="8"/>
        <item x="3"/>
        <item x="0"/>
        <item x="11"/>
        <item x="18"/>
        <item x="5"/>
        <item x="10"/>
        <item x="2"/>
        <item x="15"/>
        <item x="16"/>
        <item x="4"/>
        <item x="9"/>
        <item x="1"/>
        <item x="12"/>
        <item t="default"/>
      </items>
    </pivotField>
    <pivotField showAll="0"/>
    <pivotField axis="axisPage" showAll="0">
      <items count="14">
        <item x="4"/>
        <item x="5"/>
        <item x="6"/>
        <item x="7"/>
        <item x="8"/>
        <item x="9"/>
        <item x="3"/>
        <item x="10"/>
        <item x="11"/>
        <item x="0"/>
        <item x="1"/>
        <item x="2"/>
        <item x="12"/>
        <item t="default"/>
      </items>
    </pivotField>
    <pivotField axis="axisPage" showAll="0">
      <items count="5">
        <item x="0"/>
        <item x="1"/>
        <item x="2"/>
        <item x="3"/>
        <item t="default"/>
      </items>
    </pivotField>
    <pivotField showAll="0"/>
    <pivotField showAll="0"/>
    <pivotField axis="axisPage" showAll="0">
      <items count="4">
        <item x="0"/>
        <item x="1"/>
        <item x="2"/>
        <item t="default"/>
      </items>
    </pivotField>
    <pivotField axis="axisCol" showAll="0">
      <items count="14">
        <item x="2"/>
        <item x="3"/>
        <item x="0"/>
        <item x="10"/>
        <item x="4"/>
        <item x="9"/>
        <item x="8"/>
        <item x="12"/>
        <item x="11"/>
        <item x="7"/>
        <item x="6"/>
        <item x="5"/>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8">
    <i>
      <x/>
    </i>
    <i>
      <x v="2"/>
    </i>
    <i>
      <x v="3"/>
    </i>
    <i>
      <x v="4"/>
    </i>
    <i>
      <x v="5"/>
    </i>
    <i>
      <x v="7"/>
    </i>
    <i>
      <x v="8"/>
    </i>
    <i t="grand">
      <x/>
    </i>
  </rowItems>
  <colFields count="1">
    <field x="14"/>
  </colFields>
  <colItems count="12">
    <i>
      <x/>
    </i>
    <i>
      <x v="1"/>
    </i>
    <i>
      <x v="2"/>
    </i>
    <i>
      <x v="3"/>
    </i>
    <i>
      <x v="4"/>
    </i>
    <i>
      <x v="5"/>
    </i>
    <i>
      <x v="6"/>
    </i>
    <i>
      <x v="7"/>
    </i>
    <i>
      <x v="9"/>
    </i>
    <i>
      <x v="10"/>
    </i>
    <i>
      <x v="11"/>
    </i>
    <i t="grand">
      <x/>
    </i>
  </colItems>
  <pageFields count="4">
    <pageField fld="9" hier="-1"/>
    <pageField fld="10" item="2" hier="-1"/>
    <pageField fld="7" hier="-1"/>
    <pageField fld="13" item="0" hier="-1"/>
  </pageFields>
  <dataFields count="1">
    <dataField name="Cuenta de Número" fld="0" subtotal="count" showDataAs="percentOfTotal" baseField="6" baseItem="0" numFmtId="9"/>
  </dataFields>
  <formats count="1">
    <format dxfId="11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179C8F-7139-4844-A0DF-58B4668B2652}" name="TablaDinámica26"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166:D170" firstHeaderRow="1" firstDataRow="2" firstDataCol="1" rowPageCount="5" colPageCount="1"/>
  <pivotFields count="54">
    <pivotField showAll="0"/>
    <pivotField showAll="0"/>
    <pivotField showAll="0"/>
    <pivotField showAll="0"/>
    <pivotField showAll="0"/>
    <pivotField showAll="0"/>
    <pivotField axis="axisRow" showAll="0">
      <items count="11">
        <item x="8"/>
        <item x="6"/>
        <item x="7"/>
        <item x="2"/>
        <item x="4"/>
        <item x="5"/>
        <item x="1"/>
        <item x="3"/>
        <item x="0"/>
        <item x="9"/>
        <item t="default"/>
      </items>
    </pivotField>
    <pivotField axis="axisPage" showAll="0">
      <items count="20">
        <item x="17"/>
        <item x="7"/>
        <item x="6"/>
        <item x="13"/>
        <item x="14"/>
        <item x="8"/>
        <item x="3"/>
        <item x="0"/>
        <item x="11"/>
        <item x="18"/>
        <item x="5"/>
        <item x="10"/>
        <item x="2"/>
        <item x="15"/>
        <item x="16"/>
        <item x="4"/>
        <item x="9"/>
        <item x="1"/>
        <item x="12"/>
        <item t="default"/>
      </items>
    </pivotField>
    <pivotField showAll="0"/>
    <pivotField axis="axisPage" showAll="0">
      <items count="14">
        <item x="4"/>
        <item x="5"/>
        <item x="6"/>
        <item x="7"/>
        <item x="8"/>
        <item x="9"/>
        <item x="3"/>
        <item x="10"/>
        <item x="11"/>
        <item x="0"/>
        <item x="1"/>
        <item x="2"/>
        <item x="12"/>
        <item t="default"/>
      </items>
    </pivotField>
    <pivotField axis="axisPage" showAll="0">
      <items count="5">
        <item x="0"/>
        <item x="1"/>
        <item x="2"/>
        <item x="3"/>
        <item t="default"/>
      </items>
    </pivotField>
    <pivotField showAll="0"/>
    <pivotField showAll="0"/>
    <pivotField axis="axisPage" showAll="0">
      <items count="4">
        <item x="0"/>
        <item x="1"/>
        <item x="2"/>
        <item t="default"/>
      </items>
    </pivotField>
    <pivotField showAll="0">
      <items count="14">
        <item x="2"/>
        <item x="3"/>
        <item x="0"/>
        <item x="10"/>
        <item x="4"/>
        <item x="9"/>
        <item x="8"/>
        <item x="12"/>
        <item x="11"/>
        <item x="7"/>
        <item x="6"/>
        <item x="5"/>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5">
        <item x="0"/>
        <item x="14"/>
        <item x="11"/>
        <item x="31"/>
        <item x="23"/>
        <item x="32"/>
        <item x="2"/>
        <item x="3"/>
        <item x="5"/>
        <item x="44"/>
        <item x="35"/>
        <item x="7"/>
        <item x="42"/>
        <item x="43"/>
        <item x="46"/>
        <item x="10"/>
        <item x="12"/>
        <item x="17"/>
        <item x="13"/>
        <item x="48"/>
        <item x="24"/>
        <item x="9"/>
        <item x="8"/>
        <item x="53"/>
        <item x="30"/>
        <item x="21"/>
        <item x="26"/>
        <item x="16"/>
        <item x="47"/>
        <item x="45"/>
        <item x="27"/>
        <item x="41"/>
        <item x="29"/>
        <item x="49"/>
        <item x="4"/>
        <item x="6"/>
        <item x="51"/>
        <item x="22"/>
        <item x="19"/>
        <item x="52"/>
        <item x="28"/>
        <item x="33"/>
        <item x="34"/>
        <item x="20"/>
        <item x="1"/>
        <item x="15"/>
        <item x="18"/>
        <item x="25"/>
        <item x="40"/>
        <item x="37"/>
        <item x="39"/>
        <item x="36"/>
        <item x="38"/>
        <item x="50"/>
        <item t="default"/>
      </items>
    </pivotField>
    <pivotField axis="axisPage" showAll="0">
      <items count="8">
        <item x="0"/>
        <item x="2"/>
        <item x="1"/>
        <item x="6"/>
        <item x="5"/>
        <item x="3"/>
        <item x="4"/>
        <item t="default"/>
      </items>
    </pivotField>
    <pivotField showAll="0"/>
    <pivotField showAll="0"/>
    <pivotField axis="axisCol" showAll="0">
      <items count="9">
        <item x="6"/>
        <item x="5"/>
        <item x="2"/>
        <item x="1"/>
        <item x="7"/>
        <item x="4"/>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3">
    <i>
      <x v="3"/>
    </i>
    <i>
      <x v="7"/>
    </i>
    <i t="grand">
      <x/>
    </i>
  </rowItems>
  <colFields count="1">
    <field x="37"/>
  </colFields>
  <colItems count="3">
    <i>
      <x v="2"/>
    </i>
    <i>
      <x v="6"/>
    </i>
    <i t="grand">
      <x/>
    </i>
  </colItems>
  <pageFields count="5">
    <pageField fld="9" hier="-1"/>
    <pageField fld="10" item="2" hier="-1"/>
    <pageField fld="7" hier="-1"/>
    <pageField fld="13" item="1" hier="-1"/>
    <pageField fld="34" item="0" hier="-1"/>
  </pageFields>
  <dataFields count="1">
    <dataField name="Suma de Total Ofertado" fld="33" showDataAs="percentOfTotal" baseField="6" baseItem="7" numFmtId="9"/>
  </dataFields>
  <formats count="2">
    <format dxfId="121">
      <pivotArea outline="0" fieldPosition="0">
        <references count="1">
          <reference field="4294967294" count="1">
            <x v="0"/>
          </reference>
        </references>
      </pivotArea>
    </format>
    <format dxfId="1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F6B689D-C662-411A-BCE4-EBC459AD0BFF}" name="TablaDinámica24"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122:D126" firstHeaderRow="1" firstDataRow="2" firstDataCol="1" rowPageCount="5" colPageCount="1"/>
  <pivotFields count="54">
    <pivotField dataField="1" showAll="0"/>
    <pivotField showAll="0"/>
    <pivotField showAll="0"/>
    <pivotField showAll="0"/>
    <pivotField showAll="0"/>
    <pivotField showAll="0"/>
    <pivotField axis="axisRow" showAll="0">
      <items count="11">
        <item x="8"/>
        <item x="6"/>
        <item x="7"/>
        <item x="2"/>
        <item x="4"/>
        <item x="5"/>
        <item x="1"/>
        <item x="3"/>
        <item x="0"/>
        <item x="9"/>
        <item t="default"/>
      </items>
    </pivotField>
    <pivotField axis="axisPage" showAll="0">
      <items count="20">
        <item x="17"/>
        <item x="7"/>
        <item x="6"/>
        <item x="13"/>
        <item x="14"/>
        <item x="8"/>
        <item x="3"/>
        <item x="0"/>
        <item x="11"/>
        <item x="18"/>
        <item x="5"/>
        <item x="10"/>
        <item x="2"/>
        <item x="15"/>
        <item x="16"/>
        <item x="4"/>
        <item x="9"/>
        <item x="1"/>
        <item x="12"/>
        <item t="default"/>
      </items>
    </pivotField>
    <pivotField showAll="0"/>
    <pivotField axis="axisPage" showAll="0">
      <items count="14">
        <item x="4"/>
        <item x="5"/>
        <item x="6"/>
        <item x="7"/>
        <item x="8"/>
        <item x="9"/>
        <item x="3"/>
        <item x="10"/>
        <item x="11"/>
        <item x="0"/>
        <item x="1"/>
        <item x="2"/>
        <item x="12"/>
        <item t="default"/>
      </items>
    </pivotField>
    <pivotField axis="axisPage" showAll="0">
      <items count="5">
        <item x="0"/>
        <item x="1"/>
        <item x="2"/>
        <item x="3"/>
        <item t="default"/>
      </items>
    </pivotField>
    <pivotField showAll="0"/>
    <pivotField showAll="0"/>
    <pivotField axis="axisPage" showAll="0">
      <items count="4">
        <item x="0"/>
        <item x="1"/>
        <item x="2"/>
        <item t="default"/>
      </items>
    </pivotField>
    <pivotField showAll="0">
      <items count="14">
        <item x="2"/>
        <item x="3"/>
        <item x="0"/>
        <item x="10"/>
        <item x="4"/>
        <item x="9"/>
        <item x="8"/>
        <item x="12"/>
        <item x="11"/>
        <item x="7"/>
        <item x="6"/>
        <item x="5"/>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5">
        <item x="0"/>
        <item x="14"/>
        <item x="11"/>
        <item x="31"/>
        <item x="23"/>
        <item x="32"/>
        <item x="2"/>
        <item x="3"/>
        <item x="5"/>
        <item x="44"/>
        <item x="35"/>
        <item x="7"/>
        <item x="42"/>
        <item x="43"/>
        <item x="46"/>
        <item x="10"/>
        <item x="12"/>
        <item x="17"/>
        <item x="13"/>
        <item x="48"/>
        <item x="24"/>
        <item x="9"/>
        <item x="8"/>
        <item x="53"/>
        <item x="30"/>
        <item x="21"/>
        <item x="26"/>
        <item x="16"/>
        <item x="47"/>
        <item x="45"/>
        <item x="27"/>
        <item x="41"/>
        <item x="29"/>
        <item x="49"/>
        <item x="4"/>
        <item x="6"/>
        <item x="51"/>
        <item x="22"/>
        <item x="19"/>
        <item x="52"/>
        <item x="28"/>
        <item x="33"/>
        <item x="34"/>
        <item x="20"/>
        <item x="1"/>
        <item x="15"/>
        <item x="18"/>
        <item x="25"/>
        <item x="40"/>
        <item x="37"/>
        <item x="39"/>
        <item x="36"/>
        <item x="38"/>
        <item x="50"/>
        <item t="default"/>
      </items>
    </pivotField>
    <pivotField axis="axisPage" showAll="0">
      <items count="8">
        <item x="0"/>
        <item x="2"/>
        <item x="1"/>
        <item x="6"/>
        <item x="5"/>
        <item x="3"/>
        <item x="4"/>
        <item t="default"/>
      </items>
    </pivotField>
    <pivotField showAll="0"/>
    <pivotField showAll="0"/>
    <pivotField axis="axisCol" showAll="0">
      <items count="9">
        <item x="6"/>
        <item x="5"/>
        <item x="2"/>
        <item x="1"/>
        <item x="7"/>
        <item x="4"/>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3">
    <i>
      <x v="3"/>
    </i>
    <i>
      <x v="7"/>
    </i>
    <i t="grand">
      <x/>
    </i>
  </rowItems>
  <colFields count="1">
    <field x="37"/>
  </colFields>
  <colItems count="3">
    <i>
      <x v="2"/>
    </i>
    <i>
      <x v="6"/>
    </i>
    <i t="grand">
      <x/>
    </i>
  </colItems>
  <pageFields count="5">
    <pageField fld="9" hier="-1"/>
    <pageField fld="10" item="2" hier="-1"/>
    <pageField fld="7" hier="-1"/>
    <pageField fld="13" item="1" hier="-1"/>
    <pageField fld="34" item="0" hier="-1"/>
  </pageFields>
  <dataFields count="1">
    <dataField name="Cuenta de Número" fld="0" subtotal="count" showDataAs="percentOfTotal" baseField="6" baseItem="7" numFmtId="9"/>
  </dataFields>
  <formats count="2">
    <format dxfId="123">
      <pivotArea outline="0" fieldPosition="0">
        <references count="1">
          <reference field="4294967294" count="1">
            <x v="0"/>
          </reference>
        </references>
      </pivotArea>
    </format>
    <format dxfId="12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D6487CD-4409-47EF-80F6-3AD2F757F07B}" name="TablaDinámica23"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100:D104" firstHeaderRow="1" firstDataRow="2" firstDataCol="1" rowPageCount="5" colPageCount="1"/>
  <pivotFields count="54">
    <pivotField dataField="1" showAll="0"/>
    <pivotField showAll="0"/>
    <pivotField showAll="0"/>
    <pivotField showAll="0"/>
    <pivotField showAll="0"/>
    <pivotField showAll="0"/>
    <pivotField axis="axisRow" showAll="0">
      <items count="11">
        <item x="8"/>
        <item x="6"/>
        <item x="7"/>
        <item x="2"/>
        <item x="4"/>
        <item x="5"/>
        <item x="1"/>
        <item x="3"/>
        <item x="0"/>
        <item x="9"/>
        <item t="default"/>
      </items>
    </pivotField>
    <pivotField axis="axisPage" showAll="0">
      <items count="20">
        <item x="17"/>
        <item x="7"/>
        <item x="6"/>
        <item x="13"/>
        <item x="14"/>
        <item x="8"/>
        <item x="3"/>
        <item x="0"/>
        <item x="11"/>
        <item x="18"/>
        <item x="5"/>
        <item x="10"/>
        <item x="2"/>
        <item x="15"/>
        <item x="16"/>
        <item x="4"/>
        <item x="9"/>
        <item x="1"/>
        <item x="12"/>
        <item t="default"/>
      </items>
    </pivotField>
    <pivotField showAll="0"/>
    <pivotField axis="axisPage" showAll="0">
      <items count="14">
        <item x="4"/>
        <item x="5"/>
        <item x="6"/>
        <item x="7"/>
        <item x="8"/>
        <item x="9"/>
        <item x="3"/>
        <item x="10"/>
        <item x="11"/>
        <item x="0"/>
        <item x="1"/>
        <item x="2"/>
        <item x="12"/>
        <item t="default"/>
      </items>
    </pivotField>
    <pivotField axis="axisPage" showAll="0">
      <items count="5">
        <item x="0"/>
        <item x="1"/>
        <item x="2"/>
        <item x="3"/>
        <item t="default"/>
      </items>
    </pivotField>
    <pivotField showAll="0"/>
    <pivotField showAll="0"/>
    <pivotField axis="axisPage" showAll="0">
      <items count="4">
        <item x="0"/>
        <item x="1"/>
        <item x="2"/>
        <item t="default"/>
      </items>
    </pivotField>
    <pivotField showAll="0">
      <items count="14">
        <item x="2"/>
        <item x="3"/>
        <item x="0"/>
        <item x="10"/>
        <item x="4"/>
        <item x="9"/>
        <item x="8"/>
        <item x="12"/>
        <item x="11"/>
        <item x="7"/>
        <item x="6"/>
        <item x="5"/>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5">
        <item x="0"/>
        <item x="14"/>
        <item x="11"/>
        <item x="31"/>
        <item x="23"/>
        <item x="32"/>
        <item x="2"/>
        <item x="3"/>
        <item x="5"/>
        <item x="44"/>
        <item x="35"/>
        <item x="7"/>
        <item x="42"/>
        <item x="43"/>
        <item x="46"/>
        <item x="10"/>
        <item x="12"/>
        <item x="17"/>
        <item x="13"/>
        <item x="48"/>
        <item x="24"/>
        <item x="9"/>
        <item x="8"/>
        <item x="53"/>
        <item x="30"/>
        <item x="21"/>
        <item x="26"/>
        <item x="16"/>
        <item x="47"/>
        <item x="45"/>
        <item x="27"/>
        <item x="41"/>
        <item x="29"/>
        <item x="49"/>
        <item x="4"/>
        <item x="6"/>
        <item x="51"/>
        <item x="22"/>
        <item x="19"/>
        <item x="52"/>
        <item x="28"/>
        <item x="33"/>
        <item x="34"/>
        <item x="20"/>
        <item x="1"/>
        <item x="15"/>
        <item x="18"/>
        <item x="25"/>
        <item x="40"/>
        <item x="37"/>
        <item x="39"/>
        <item x="36"/>
        <item x="38"/>
        <item x="50"/>
        <item t="default"/>
      </items>
    </pivotField>
    <pivotField axis="axisPage" showAll="0">
      <items count="8">
        <item x="0"/>
        <item x="2"/>
        <item x="1"/>
        <item x="6"/>
        <item x="5"/>
        <item x="3"/>
        <item x="4"/>
        <item t="default"/>
      </items>
    </pivotField>
    <pivotField showAll="0"/>
    <pivotField showAll="0"/>
    <pivotField axis="axisCol" showAll="0">
      <items count="9">
        <item x="6"/>
        <item x="5"/>
        <item x="2"/>
        <item x="1"/>
        <item x="7"/>
        <item x="4"/>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3">
    <i>
      <x v="3"/>
    </i>
    <i>
      <x v="7"/>
    </i>
    <i t="grand">
      <x/>
    </i>
  </rowItems>
  <colFields count="1">
    <field x="37"/>
  </colFields>
  <colItems count="3">
    <i>
      <x v="2"/>
    </i>
    <i>
      <x v="6"/>
    </i>
    <i t="grand">
      <x/>
    </i>
  </colItems>
  <pageFields count="5">
    <pageField fld="9" hier="-1"/>
    <pageField fld="10" item="2" hier="-1"/>
    <pageField fld="7" hier="-1"/>
    <pageField fld="13" item="1" hier="-1"/>
    <pageField fld="34" item="0" hier="-1"/>
  </pageFields>
  <dataFields count="1">
    <dataField name="Cuenta de Número" fld="0" subtotal="count" baseField="6" baseItem="0"/>
  </dataFields>
  <formats count="2">
    <format dxfId="125">
      <pivotArea outline="0" collapsedLevelsAreSubtotals="1" fieldPosition="0"/>
    </format>
    <format dxfId="124">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D0AD239-F507-4E2F-9081-2C3DE5196386}" name="TablaDinámica15"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9:E19" firstHeaderRow="1" firstDataRow="2" firstDataCol="1" rowPageCount="3" colPageCount="1"/>
  <pivotFields count="54">
    <pivotField dataField="1" showAll="0"/>
    <pivotField showAll="0"/>
    <pivotField showAll="0"/>
    <pivotField showAll="0"/>
    <pivotField showAll="0"/>
    <pivotField showAll="0"/>
    <pivotField axis="axisRow" showAll="0">
      <items count="11">
        <item x="8"/>
        <item x="6"/>
        <item x="7"/>
        <item x="2"/>
        <item x="4"/>
        <item x="5"/>
        <item x="1"/>
        <item x="3"/>
        <item x="0"/>
        <item x="9"/>
        <item t="default"/>
      </items>
    </pivotField>
    <pivotField axis="axisPage" showAll="0">
      <items count="20">
        <item x="17"/>
        <item x="7"/>
        <item x="6"/>
        <item x="13"/>
        <item x="14"/>
        <item x="8"/>
        <item x="3"/>
        <item x="0"/>
        <item x="11"/>
        <item x="18"/>
        <item x="5"/>
        <item x="10"/>
        <item x="2"/>
        <item x="15"/>
        <item x="16"/>
        <item x="4"/>
        <item x="9"/>
        <item x="1"/>
        <item x="12"/>
        <item t="default"/>
      </items>
    </pivotField>
    <pivotField showAll="0"/>
    <pivotField axis="axisPage" multipleItemSelectionAllowed="1" showAll="0">
      <items count="14">
        <item x="4"/>
        <item x="5"/>
        <item x="6"/>
        <item x="7"/>
        <item x="8"/>
        <item x="9"/>
        <item x="3"/>
        <item x="10"/>
        <item x="11"/>
        <item x="0"/>
        <item x="1"/>
        <item x="2"/>
        <item x="12"/>
        <item t="default"/>
      </items>
    </pivotField>
    <pivotField axis="axisPage" showAll="0">
      <items count="5">
        <item x="0"/>
        <item x="1"/>
        <item x="2"/>
        <item x="3"/>
        <item t="default"/>
      </items>
    </pivotField>
    <pivotField showAll="0"/>
    <pivotField showAll="0"/>
    <pivotField axis="axisCol"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9">
    <i>
      <x/>
    </i>
    <i>
      <x v="2"/>
    </i>
    <i>
      <x v="3"/>
    </i>
    <i>
      <x v="4"/>
    </i>
    <i>
      <x v="5"/>
    </i>
    <i>
      <x v="6"/>
    </i>
    <i>
      <x v="7"/>
    </i>
    <i>
      <x v="8"/>
    </i>
    <i t="grand">
      <x/>
    </i>
  </rowItems>
  <colFields count="1">
    <field x="13"/>
  </colFields>
  <colItems count="4">
    <i>
      <x/>
    </i>
    <i>
      <x v="1"/>
    </i>
    <i>
      <x v="2"/>
    </i>
    <i t="grand">
      <x/>
    </i>
  </colItems>
  <pageFields count="3">
    <pageField fld="9" hier="-1"/>
    <pageField fld="10" item="2" hier="-1"/>
    <pageField fld="7" hier="-1"/>
  </pageFields>
  <dataFields count="1">
    <dataField name="Cuenta de Númer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B636B5B-F1F6-46CF-A84A-5A8CC6073569}" name="TablaDinámica16"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H9:L19" firstHeaderRow="1" firstDataRow="2" firstDataCol="1" rowPageCount="3" colPageCount="1"/>
  <pivotFields count="54">
    <pivotField dataField="1" showAll="0"/>
    <pivotField showAll="0"/>
    <pivotField showAll="0"/>
    <pivotField showAll="0"/>
    <pivotField showAll="0"/>
    <pivotField showAll="0"/>
    <pivotField axis="axisRow" showAll="0">
      <items count="11">
        <item x="8"/>
        <item x="6"/>
        <item x="7"/>
        <item x="2"/>
        <item x="4"/>
        <item x="5"/>
        <item x="1"/>
        <item x="3"/>
        <item x="0"/>
        <item x="9"/>
        <item t="default"/>
      </items>
    </pivotField>
    <pivotField axis="axisPage" showAll="0">
      <items count="20">
        <item x="17"/>
        <item x="7"/>
        <item x="6"/>
        <item x="13"/>
        <item x="14"/>
        <item x="8"/>
        <item x="3"/>
        <item x="0"/>
        <item x="11"/>
        <item x="18"/>
        <item x="5"/>
        <item x="10"/>
        <item x="2"/>
        <item x="15"/>
        <item x="16"/>
        <item x="4"/>
        <item x="9"/>
        <item x="1"/>
        <item x="12"/>
        <item t="default"/>
      </items>
    </pivotField>
    <pivotField showAll="0"/>
    <pivotField axis="axisPage" showAll="0">
      <items count="14">
        <item x="4"/>
        <item x="5"/>
        <item x="6"/>
        <item x="7"/>
        <item x="8"/>
        <item x="9"/>
        <item x="3"/>
        <item x="10"/>
        <item x="11"/>
        <item x="0"/>
        <item x="1"/>
        <item x="2"/>
        <item x="12"/>
        <item t="default"/>
      </items>
    </pivotField>
    <pivotField axis="axisPage" showAll="0">
      <items count="5">
        <item x="0"/>
        <item x="1"/>
        <item x="2"/>
        <item x="3"/>
        <item t="default"/>
      </items>
    </pivotField>
    <pivotField showAll="0"/>
    <pivotField showAll="0"/>
    <pivotField axis="axisCol"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9">
    <i>
      <x/>
    </i>
    <i>
      <x v="2"/>
    </i>
    <i>
      <x v="3"/>
    </i>
    <i>
      <x v="4"/>
    </i>
    <i>
      <x v="5"/>
    </i>
    <i>
      <x v="6"/>
    </i>
    <i>
      <x v="7"/>
    </i>
    <i>
      <x v="8"/>
    </i>
    <i t="grand">
      <x/>
    </i>
  </rowItems>
  <colFields count="1">
    <field x="13"/>
  </colFields>
  <colItems count="4">
    <i>
      <x/>
    </i>
    <i>
      <x v="1"/>
    </i>
    <i>
      <x v="2"/>
    </i>
    <i t="grand">
      <x/>
    </i>
  </colItems>
  <pageFields count="3">
    <pageField fld="9" hier="-1"/>
    <pageField fld="10" item="2" hier="-1"/>
    <pageField fld="7" hier="-1"/>
  </pageFields>
  <dataFields count="1">
    <dataField name="Cuenta de Número" fld="0" subtotal="count" showDataAs="percentOfTotal" baseField="6" baseItem="0" numFmtId="9"/>
  </dataFields>
  <formats count="1">
    <format dxfId="12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7BB2C6-2FD3-49A4-B479-C0A249E883BE}" name="Tabla1" displayName="Tabla1" ref="A1:BB1267" totalsRowShown="0" headerRowDxfId="113" dataDxfId="112" tableBorderDxfId="111">
  <autoFilter ref="A1:BB1267" xr:uid="{CB7BB2C6-2FD3-49A4-B479-C0A249E883BE}"/>
  <tableColumns count="54">
    <tableColumn id="1" xr3:uid="{B9AC64AE-BD0C-4E8F-BA1E-198793A7DA18}" name="Número" dataDxfId="110"/>
    <tableColumn id="2" xr3:uid="{3B742549-BF5E-4478-B036-2E7744C06237}" name="Nombre" dataDxfId="109"/>
    <tableColumn id="3" xr3:uid="{11F8E7EB-FD9B-4AC9-993F-839F69C2EC79}" name="Descripción" dataDxfId="108"/>
    <tableColumn id="4" xr3:uid="{AA93F02C-B7AA-4127-A974-AF846071D5F6}" name="Demandante" dataDxfId="107"/>
    <tableColumn id="12" xr3:uid="{1125EA2C-480D-47B6-9348-3B7225EA7ED7}" name="Producto" dataDxfId="106"/>
    <tableColumn id="13" xr3:uid="{66243D5D-4F9A-47E0-B3F3-A2137B46E767}" name="Unidades" dataDxfId="105"/>
    <tableColumn id="6" xr3:uid="{E702A5E8-D219-4C6C-9941-D916D39EEA2E}" name="AREA" dataDxfId="104"/>
    <tableColumn id="7" xr3:uid="{26B596D3-5048-4536-B7F6-7CC671F6FEDE}" name="Responsable" dataDxfId="103"/>
    <tableColumn id="8" xr3:uid="{482D0DE0-B29E-4258-9FCA-788CE1A20B81}" name="Publicación" dataDxfId="102"/>
    <tableColumn id="48" xr3:uid="{B962DFAC-C412-4A04-9CB5-1F03CD236834}" name="Mes" dataDxfId="101">
      <calculatedColumnFormula>MONTH(Tabla1[[#This Row],[Publicación]])</calculatedColumnFormula>
    </tableColumn>
    <tableColumn id="30" xr3:uid="{27D1EB51-1912-4656-BDA7-945DFEF8EA54}" name="Año" dataDxfId="100">
      <calculatedColumnFormula>YEAR(Tabla1[[#This Row],[Publicación]])</calculatedColumnFormula>
    </tableColumn>
    <tableColumn id="11" xr3:uid="{2CC56079-E438-49AF-8F17-2CD4F569B207}" name="Cierre" dataDxfId="99"/>
    <tableColumn id="18" xr3:uid="{22746D63-99D1-41BF-8EE4-F6CE624CF09F}" name="Notificación" dataDxfId="98"/>
    <tableColumn id="19" xr3:uid="{178CAC4A-3785-4C1F-89D8-77CCBC950043}" name="Participa" dataDxfId="97"/>
    <tableColumn id="20" xr3:uid="{D8365193-6667-4137-8D6E-EEF51FD3CFB3}" name="Motivo" dataDxfId="96"/>
    <tableColumn id="59" xr3:uid="{657143D9-C700-4D65-A2AD-CE5D1DDBC9F9}" name="Seguimiento" dataDxfId="95"/>
    <tableColumn id="9" xr3:uid="{B5A0C850-4D3D-4242-8AD0-9266DC0AE4E1}" name="Preguntas" dataDxfId="94"/>
    <tableColumn id="10" xr3:uid="{09456CC6-A12B-4B25-844D-4E4E6F2ED0FC}" name="Respuestas " dataDxfId="93"/>
    <tableColumn id="34" xr3:uid="{F218ADCA-0014-4EDD-8EAB-56123D6463DD}" name="Adjudicación" dataDxfId="92"/>
    <tableColumn id="21" xr3:uid="{993C1053-93CD-47E6-88AF-20D46CE9DA46}" name="PPTO" dataDxfId="91"/>
    <tableColumn id="22" xr3:uid="{C54FA114-CEC4-4B76-9B7E-FC738D68036B}" name="PPTO Neto" dataDxfId="90">
      <calculatedColumnFormula>Tabla1[[#This Row],[PPTO]]/(1+'Lista Datos'!$B$1)</calculatedColumnFormula>
    </tableColumn>
    <tableColumn id="28" xr3:uid="{E54759D8-C770-418A-A389-F0706A11725C}" name="Plazo Pago" dataDxfId="89"/>
    <tableColumn id="14" xr3:uid="{EEC1D0FF-272F-463F-9F13-160DFAE707D6}" name="Garantía Oferta" dataDxfId="88"/>
    <tableColumn id="15" xr3:uid="{793DEAC2-4BA2-4B09-A376-27A74FD90C3F}" name="Monto garantía" dataDxfId="87"/>
    <tableColumn id="16" xr3:uid="{49D18141-EF5D-4329-BED8-4025237D4BE7}" name="Vigencia" dataDxfId="86"/>
    <tableColumn id="17" xr3:uid="{3C619946-19DF-4E30-9C1D-0F924020060F}" name="Visita Terreno" dataDxfId="85"/>
    <tableColumn id="23" xr3:uid="{2310B3B7-46A9-4AB5-A7A7-E37C3975D7E7}" name="Tipo Venta" dataDxfId="84"/>
    <tableColumn id="24" xr3:uid="{A3B69305-0229-4946-8181-85EAC6F57BF7}" name="Duración (meses)" dataDxfId="83"/>
    <tableColumn id="25" xr3:uid="{1BCE1E60-868A-405F-995F-1489FA479660}" name="Envío Muestra" dataDxfId="82"/>
    <tableColumn id="26" xr3:uid="{BC3706CE-6AE2-4BF5-BBF0-E7D2DB293FAA}" name="Vigencia Oferta (días)" dataDxfId="81"/>
    <tableColumn id="27" xr3:uid="{7E89F997-6F38-4C22-A3CA-9BB908082CCE}" name="Fecha Vigencia" dataDxfId="80">
      <calculatedColumnFormula>Tabla1[[#This Row],[Cierre]]+Tabla1[[#This Row],[Vigencia Oferta (días)]]</calculatedColumnFormula>
    </tableColumn>
    <tableColumn id="31" xr3:uid="{8BCE2B61-D4DB-4B00-A37C-2A8208B8B840}" name="Unidades2" dataDxfId="79"/>
    <tableColumn id="32" xr3:uid="{EF1ED6BC-D843-4BFF-A038-D62F1588C33F}" name="Precio Unitario" dataDxfId="78"/>
    <tableColumn id="33" xr3:uid="{80DEACCA-751B-4E97-8821-142E73717B46}" name="Total Ofertado" dataDxfId="77">
      <calculatedColumnFormula>Tabla1[[#This Row],[Unidades2]]*Tabla1[[#This Row],[Precio Unitario]]</calculatedColumnFormula>
    </tableColumn>
    <tableColumn id="35" xr3:uid="{104C110C-EAE7-4AAE-8550-A0DB87C525CE}" name="Estado" dataDxfId="76"/>
    <tableColumn id="36" xr3:uid="{98824302-90B5-47DF-8C15-D3C9ABEAA0A1}" name="Real Adjudicación" dataDxfId="75"/>
    <tableColumn id="37" xr3:uid="{5037C696-9355-450C-BDB0-02CB19994AEF}" name="Vigente Oferta" dataDxfId="74">
      <calculatedColumnFormula>Tabla1[[#This Row],[Fecha Vigencia]]-AJ2</calculatedColumnFormula>
    </tableColumn>
    <tableColumn id="38" xr3:uid="{88C0F152-F712-45F0-BDE7-8B205CF1D51E}" name="EMPRESA" dataDxfId="73"/>
    <tableColumn id="39" xr3:uid="{5E59CA52-30B8-457A-8F71-DF7AB1AF7F25}" name="Precio Adjudicado" dataDxfId="72"/>
    <tableColumn id="43" xr3:uid="{30B3B109-B470-48B7-A7AC-13960DFDBF3F}" name="Inicio Contrato" dataDxfId="71"/>
    <tableColumn id="44" xr3:uid="{32CF0620-5DB4-4DA0-B23B-3338BF872FEE}" name="Témino Contrato" dataDxfId="70"/>
    <tableColumn id="40" xr3:uid="{B8FC8A24-2C8C-4247-9B82-C72801B6036B}" name="Tipo Documento" dataDxfId="69"/>
    <tableColumn id="5" xr3:uid="{5EA53342-6B73-49B0-81A7-7279B4FA3949}" name="RUT" dataDxfId="68"/>
    <tableColumn id="45" xr3:uid="{6F4227A3-88B4-4AF0-B301-5895B6820E71}" name="Boleta Fiel Cumplimiento" dataDxfId="67"/>
    <tableColumn id="46" xr3:uid="{BDAADA4C-A07F-48F4-ACCF-9A5D192E2128}" name="Monto4" dataDxfId="66"/>
    <tableColumn id="47" xr3:uid="{45310292-0C27-45D5-B666-700BC267E873}" name="Vigencia5" dataDxfId="65"/>
    <tableColumn id="29" xr3:uid="{4115B8AF-0246-41EB-99C4-8BFE31D185F6}" name="Resp. Contrato" dataDxfId="64"/>
    <tableColumn id="56" xr3:uid="{A99CF33D-2C5A-4E0B-834B-322B7AD06D53}" name="Mail Resp. Contrato" dataDxfId="63"/>
    <tableColumn id="41" xr3:uid="{94B1D0CA-FA0F-4604-8F7C-6B38B77F0473}" name="Contacto Pago" dataDxfId="62"/>
    <tableColumn id="42" xr3:uid="{26ABE71F-E0CA-4DE6-9523-629D322DF123}" name="Mail pago" dataDxfId="61"/>
    <tableColumn id="50" xr3:uid="{5117E81E-96C0-4577-B1E0-8DF743D9B260}" name="Prorroga" dataDxfId="60"/>
    <tableColumn id="51" xr3:uid="{3F893A62-1E32-4EBD-A745-6B41CB8C0AF4}" name="Monto6" dataDxfId="59"/>
    <tableColumn id="52" xr3:uid="{431335E0-BAE2-452B-AE16-A0E354E7CBCD}" name="Plazo" dataDxfId="58"/>
    <tableColumn id="53" xr3:uid="{1CA210DB-1456-4F13-918F-A041F0DBE8B5}" name="Estado Contrato" dataDxfId="57"/>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D0B9DA80-CC69-4E71-9793-04CE5D8BD822}" name="Tabla31" displayName="Tabla31" ref="A89:O99" totalsRowShown="0">
  <autoFilter ref="A89:O99" xr:uid="{D0B9DA80-CC69-4E71-9793-04CE5D8BD822}"/>
  <tableColumns count="15">
    <tableColumn id="1" xr3:uid="{AB8E1B93-A72A-48A1-BB61-BBAD49287671}" name="Area"/>
    <tableColumn id="2" xr3:uid="{6AA5ADBC-DF1E-4028-94D1-BE65A06B2C60}" name="Informadas"/>
    <tableColumn id="3" xr3:uid="{CEA03339-6A2B-42CA-834C-A6A918BF083B}" name="No participadas"/>
    <tableColumn id="4" xr3:uid="{5A2161CC-253A-440F-9BBE-02938FE81D8C}" name="Comercial no responde"/>
    <tableColumn id="5" xr3:uid="{98A2901C-AA2F-4BFB-AEA0-F9A19F26A019}" name="Monto Bajo">
      <calculatedColumnFormula>E78/C78</calculatedColumnFormula>
    </tableColumn>
    <tableColumn id="6" xr3:uid="{E4CEE9FC-4AF0-4DE0-939C-82B18142E6B7}" name="No cumple requerimientos técnicos">
      <calculatedColumnFormula>F78/C78</calculatedColumnFormula>
    </tableColumn>
    <tableColumn id="7" xr3:uid="{840A18CC-FB72-4502-80FA-BB6A8442D536}" name="Sin stock">
      <calculatedColumnFormula>G78/C78</calculatedColumnFormula>
    </tableColumn>
    <tableColumn id="8" xr3:uid="{8D3C5409-74D4-4D95-9456-4433067EC4CE}" name="No comercializamos">
      <calculatedColumnFormula>H78/C78</calculatedColumnFormula>
    </tableColumn>
    <tableColumn id="9" xr3:uid="{BC361002-B19D-4DB4-BAAD-815BD2F8C6E1}" name="Fuera del Presupuesto">
      <calculatedColumnFormula>I78/C78</calculatedColumnFormula>
    </tableColumn>
    <tableColumn id="10" xr3:uid="{B7970328-30E1-43D8-844C-7C5E915D8EAF}" name="No se alcanza a presentar boleta">
      <calculatedColumnFormula>J78/C78</calculatedColumnFormula>
    </tableColumn>
    <tableColumn id="11" xr3:uid="{841199E0-8750-4261-A2EB-B9A7209D687D}" name="No se presenta a la visita a terreno">
      <calculatedColumnFormula>K78/C78</calculatedColumnFormula>
    </tableColumn>
    <tableColumn id="12" xr3:uid="{A85073E2-79E2-4F0B-AA1A-F44F59EEF0B4}" name="Sin cobertura">
      <calculatedColumnFormula>L78/C78</calculatedColumnFormula>
    </tableColumn>
    <tableColumn id="13" xr3:uid="{FD3A3AB7-9768-47DB-9322-1ABD53BCBCA1}" name="Tiempo reducido para ofertar">
      <calculatedColumnFormula>M78/C78</calculatedColumnFormula>
    </tableColumn>
    <tableColumn id="14" xr3:uid="{710222E6-E414-4AF0-BC7B-08C9F261F5E5}" name="No suben las Bases">
      <calculatedColumnFormula>N78/C78</calculatedColumnFormula>
    </tableColumn>
    <tableColumn id="15" xr3:uid="{CC0E3447-6C23-45CB-864C-E686F5312A05}" name="No se suben preguntas">
      <calculatedColumnFormula>O78/C78</calculatedColumn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17C59BEC-ABE5-44CB-ACF7-B89D6A1AB6E4}" name="Tabla32" displayName="Tabla32" ref="A101:O111" totalsRowShown="0">
  <autoFilter ref="A101:O111" xr:uid="{17C59BEC-ABE5-44CB-ACF7-B89D6A1AB6E4}"/>
  <tableColumns count="15">
    <tableColumn id="1" xr3:uid="{B55F2441-0EF3-4C6A-ACDF-A473ECAD7073}" name="Area"/>
    <tableColumn id="15" xr3:uid="{047C46C3-B3ED-40BC-9B74-2E3F9F84CF55}" name="Columna1" dataDxfId="9"/>
    <tableColumn id="2" xr3:uid="{A33A5B4F-3A20-4387-8D58-4B3572536BED}" name="No participadas" dataDxfId="8"/>
    <tableColumn id="3" xr3:uid="{9D7B7D84-5ECE-4BEC-B0F4-5B3D3851381C}" name="Comercial no responde"/>
    <tableColumn id="4" xr3:uid="{D579BDE8-2A07-498E-A6A1-3B4DD69AF818}" name="Monto Bajo"/>
    <tableColumn id="5" xr3:uid="{95E976E2-C8A0-4D37-8F68-6E26F91BCE65}" name="No cumple requerimientos técnicos"/>
    <tableColumn id="6" xr3:uid="{9B32EEB9-C161-4246-94C6-BADB261BF9B1}" name="Sin stock"/>
    <tableColumn id="7" xr3:uid="{65FAE7BD-CFAF-43CB-BD81-9FC28132D13D}" name="No comercializamos"/>
    <tableColumn id="8" xr3:uid="{1F3084AC-1D8C-49AB-80DB-57589DB47B39}" name="Fuera del Presupuesto"/>
    <tableColumn id="9" xr3:uid="{613C6781-D661-45CE-BE4D-E0072A42571E}" name="No se alcanza a presentar boleta"/>
    <tableColumn id="10" xr3:uid="{05E5DC6D-1A90-4B54-93BC-6525E000D8DF}" name="No se presenta a la visita a terreno"/>
    <tableColumn id="11" xr3:uid="{272560A2-7689-4A26-9400-13DB32AE6AA0}" name="Sin cobertura"/>
    <tableColumn id="12" xr3:uid="{77EE8F07-1C08-4AC7-B360-5C6A71D9DF96}" name="Tiempo reducido para ofertar"/>
    <tableColumn id="13" xr3:uid="{3E35389A-C8FE-4A0D-822D-61C153EEDB25}" name="No suben las Bases"/>
    <tableColumn id="14" xr3:uid="{2F2E638A-413C-4393-B77A-9B7A0D7D645E}" name="No se suben preguntas"/>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E9A90E6-11DD-4FBA-8249-863D6E608A0B}" name="Tabla4" displayName="Tabla4" ref="A3:A12" totalsRowShown="0">
  <autoFilter ref="A3:A12" xr:uid="{6E9A90E6-11DD-4FBA-8249-863D6E608A0B}"/>
  <sortState xmlns:xlrd2="http://schemas.microsoft.com/office/spreadsheetml/2017/richdata2" ref="A4:A11">
    <sortCondition ref="A3:A11"/>
  </sortState>
  <tableColumns count="1">
    <tableColumn id="1" xr3:uid="{C3B7D74C-5F70-44E4-B1A6-5CF14E965EAF}" name="AREA"/>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6F61966-5B40-494F-AF4E-295E9E01732C}" name="Tabla6" displayName="Tabla6" ref="C3:C25" totalsRowShown="0">
  <autoFilter ref="C3:C25" xr:uid="{96F61966-5B40-494F-AF4E-295E9E01732C}"/>
  <sortState xmlns:xlrd2="http://schemas.microsoft.com/office/spreadsheetml/2017/richdata2" ref="C4:C25">
    <sortCondition ref="C3:C25"/>
  </sortState>
  <tableColumns count="1">
    <tableColumn id="1" xr3:uid="{CEE88F05-C694-4CEF-A5C8-D385E4689F0E}" name="Responsable"/>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C58AE6A-7C67-46C9-997E-3A3BCE25BB07}" name="Tabla7" displayName="Tabla7" ref="E3:E5" totalsRowShown="0">
  <autoFilter ref="E3:E5" xr:uid="{0C58AE6A-7C67-46C9-997E-3A3BCE25BB07}"/>
  <tableColumns count="1">
    <tableColumn id="1" xr3:uid="{66E1325D-4708-491D-8959-C2F9C6165080}" name="Participa"/>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0B2A59F-F3A6-4E32-B53F-7FA6403C1FE2}" name="Tabla8" displayName="Tabla8" ref="G3:G17" totalsRowShown="0">
  <autoFilter ref="G3:G17" xr:uid="{D0B2A59F-F3A6-4E32-B53F-7FA6403C1FE2}"/>
  <tableColumns count="1">
    <tableColumn id="1" xr3:uid="{750C4BB3-6449-4C9B-AEE3-CBC6EF61C3CE}" name="Motivo"/>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23C0E61-59F2-45DC-A65A-452B8534A9CA}" name="Tabla9" displayName="Tabla9" ref="K3:K5" totalsRowShown="0">
  <autoFilter ref="K3:K5" xr:uid="{523C0E61-59F2-45DC-A65A-452B8534A9CA}"/>
  <tableColumns count="1">
    <tableColumn id="1" xr3:uid="{9AB91AF6-CDE6-4B6F-ADF2-1CD440772369}" name="Plazo"/>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E0867E9-F37C-48AA-A69B-EE0E0CC16F9C}" name="Tabla10" displayName="Tabla10" ref="M3:M5" totalsRowShown="0" tableBorderDxfId="7">
  <autoFilter ref="M3:M5" xr:uid="{0E0867E9-F37C-48AA-A69B-EE0E0CC16F9C}"/>
  <tableColumns count="1">
    <tableColumn id="1" xr3:uid="{CA34DF0B-1C78-4DCB-B588-9A74BCC0275D}" name="Goferta"/>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5E66C63-E6DC-4B76-8C61-330FBDCE61CF}" name="Tabla11" displayName="Tabla11" ref="O3:O5" totalsRowShown="0">
  <autoFilter ref="O3:O5" xr:uid="{E5E66C63-E6DC-4B76-8C61-330FBDCE61CF}"/>
  <tableColumns count="1">
    <tableColumn id="1" xr3:uid="{F12F052F-D6E2-4DEC-BCEA-9AC46AED711A}" name="Terreno"/>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4CF1161-358F-4842-B93A-02FC80ED76FB}" name="Tabla12" displayName="Tabla12" ref="Q3:Q5" totalsRowShown="0">
  <autoFilter ref="Q3:Q5" xr:uid="{74CF1161-358F-4842-B93A-02FC80ED76FB}"/>
  <tableColumns count="1">
    <tableColumn id="1" xr3:uid="{CD1DC401-0AC1-46EA-81FC-46AF3879BDAB}" name="Vent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3E6F6A15-B2CA-4E6B-B85B-869CE89AFCB1}" name="Tabla120" displayName="Tabla120" ref="A2:AA381" totalsRowShown="0" headerRowDxfId="56" dataDxfId="55" tableBorderDxfId="54">
  <autoFilter ref="A2:AA381" xr:uid="{CB7BB2C6-2FD3-49A4-B479-C0A249E883BE}"/>
  <tableColumns count="27">
    <tableColumn id="1" xr3:uid="{4506320C-4773-4921-AEA0-A9B141330EC8}" name="Número" dataDxfId="53"/>
    <tableColumn id="2" xr3:uid="{68DE4F96-E4BF-47CC-B630-DECA86594B26}" name="Producto" dataDxfId="52"/>
    <tableColumn id="4" xr3:uid="{ED66679D-80CD-450F-B0E1-4CDB7328AE07}" name="Organismo" dataDxfId="51"/>
    <tableColumn id="8" xr3:uid="{59BA1E38-A87D-4E10-9534-872C7695AB63}" name="Publicación" dataDxfId="50"/>
    <tableColumn id="11" xr3:uid="{5BC040F1-4DDB-4800-9976-BE1A1D98B499}" name="Cierre" dataDxfId="49"/>
    <tableColumn id="12" xr3:uid="{4EC19F10-8077-403C-BB26-BD2C87CD46D6}" name="Presupuesto" dataDxfId="48"/>
    <tableColumn id="3" xr3:uid="{4EAD2799-B377-44FE-A5DB-9953BB556EF3}" name="Ppto Neto" dataDxfId="47"/>
    <tableColumn id="6" xr3:uid="{D450AC9A-0284-4BF4-9F7E-5638A3F7E795}" name="AREA" dataDxfId="46"/>
    <tableColumn id="7" xr3:uid="{7646D3FE-69A8-47FF-85A2-9005649B33E3}" name="Responsable" dataDxfId="45"/>
    <tableColumn id="18" xr3:uid="{1A991512-2850-4869-83AA-E7D43C7AD42B}" name="Notificación" dataDxfId="44"/>
    <tableColumn id="19" xr3:uid="{41B24DB7-6732-40D5-9891-E34B3E6C877D}" name="Participa" dataDxfId="43"/>
    <tableColumn id="20" xr3:uid="{FEF171A4-77D2-4206-9DA5-65ECB0E7749F}" name="Motivo" dataDxfId="42"/>
    <tableColumn id="61" xr3:uid="{FFEEC54D-5F14-4992-944B-35D141E73E20}" name="Seguimiento" dataDxfId="41"/>
    <tableColumn id="34" xr3:uid="{7545EA53-EFD4-49AD-A929-B777CAF01B96}" name="Adjudicación" dataDxfId="40"/>
    <tableColumn id="21" xr3:uid="{9CEE7F9B-1FAE-4329-8EBF-2A7CA908BDB5}" name="PPTO" dataDxfId="39">
      <calculatedColumnFormula>Tabla120[[#This Row],[Presupuesto]]</calculatedColumnFormula>
    </tableColumn>
    <tableColumn id="22" xr3:uid="{C5965173-3D69-48FD-9F7E-02C1949F3DF5}" name="PPTO Neto2" dataDxfId="38">
      <calculatedColumnFormula>Tabla120[[#This Row],[PPTO]]/(1+'Lista Datos'!$B$1)</calculatedColumnFormula>
    </tableColumn>
    <tableColumn id="31" xr3:uid="{7054C7F5-DB43-4EE3-8BC0-05D34701B35F}" name="Unidades2" dataDxfId="37"/>
    <tableColumn id="32" xr3:uid="{0848B6F4-3B15-43A5-AC25-7B807E2C7AC6}" name="Precio Unitario" dataDxfId="36"/>
    <tableColumn id="33" xr3:uid="{B3AD971F-14F5-4545-8DB8-946739C5077A}" name="Total Ofertado" dataDxfId="35">
      <calculatedColumnFormula>Tabla120[[#This Row],[Unidades2]]*Tabla120[[#This Row],[Precio Unitario]]</calculatedColumnFormula>
    </tableColumn>
    <tableColumn id="35" xr3:uid="{369B41DA-BE81-4241-9DEA-E67F05F9D4EE}" name="Estado" dataDxfId="34"/>
    <tableColumn id="36" xr3:uid="{CC1F5867-2D53-4A06-AB10-0B66C37BA0BA}" name="Real Adjudicación" dataDxfId="33"/>
    <tableColumn id="38" xr3:uid="{D38ED0FE-4718-44C2-99C1-128A12B4CEBD}" name="EMPRESA" dataDxfId="32"/>
    <tableColumn id="39" xr3:uid="{8C17C9CD-D9E8-4964-89F1-700F6529286B}" name="Precio Adjudicado" dataDxfId="31"/>
    <tableColumn id="5" xr3:uid="{92E17754-7CEA-4F5A-80BA-AAE2927351BB}" name="RUT" dataDxfId="30"/>
    <tableColumn id="41" xr3:uid="{0B1EF53F-D5B5-4494-A353-BBF94715D19D}" name="Contacto" dataDxfId="29"/>
    <tableColumn id="60" xr3:uid="{6B84E8AB-EBFC-478E-81D8-7345AAC3E914}" name="Fono" dataDxfId="28"/>
    <tableColumn id="42" xr3:uid="{EB0802F8-E2F1-4934-9370-DE66BC08FD29}" name="Mail" dataDxfId="27"/>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BFBDA9F-4A0C-43C0-A259-38C378F57E3C}" name="Tabla13" displayName="Tabla13" ref="S3:S5" totalsRowShown="0" tableBorderDxfId="6">
  <autoFilter ref="S3:S5" xr:uid="{FBFBDA9F-4A0C-43C0-A259-38C378F57E3C}"/>
  <tableColumns count="1">
    <tableColumn id="1" xr3:uid="{FFC863DD-3237-46DE-BD87-35DD9402ECC3}" name="Muestra"/>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4D18C7AE-FA1E-4DAF-998B-15EA2FC23170}" name="Tabla14" displayName="Tabla14" ref="U3:U9" totalsRowShown="0" headerRowDxfId="5" dataDxfId="4">
  <autoFilter ref="U3:U9" xr:uid="{4D18C7AE-FA1E-4DAF-998B-15EA2FC23170}"/>
  <tableColumns count="1">
    <tableColumn id="1" xr3:uid="{D99744D4-840A-474E-AB6C-D1A9118158B0}" name="Estado" dataDxfId="3"/>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E9F515AB-5FEC-472D-808B-143EECEA6657}" name="Tabla15" displayName="Tabla15" ref="W3:W14" totalsRowShown="0" headerRowDxfId="2" dataDxfId="1">
  <autoFilter ref="W3:W14" xr:uid="{E9F515AB-5FEC-472D-808B-143EECEA6657}"/>
  <tableColumns count="1">
    <tableColumn id="1" xr3:uid="{1148F12A-C990-4F02-A452-E9F54617C311}" name="Empresa" dataDxfId="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153F463-CE1C-4D8C-9CE2-CBA8EE925053}" name="Tabla16" displayName="Tabla16" ref="Y3:Y5" totalsRowShown="0">
  <autoFilter ref="Y3:Y5" xr:uid="{3153F463-CE1C-4D8C-9CE2-CBA8EE925053}"/>
  <tableColumns count="1">
    <tableColumn id="1" xr3:uid="{0953F7CE-4900-46FC-ADD6-F30531A0E484}" name="Documento"/>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E7E7409E-8359-4FE1-A98A-CC6DC63509AF}" name="Tabla17" displayName="Tabla17" ref="AA3:AA6" totalsRowShown="0">
  <autoFilter ref="AA3:AA6" xr:uid="{E7E7409E-8359-4FE1-A98A-CC6DC63509AF}"/>
  <tableColumns count="1">
    <tableColumn id="1" xr3:uid="{6B7DABD4-9E5F-4E1F-8F46-5EC43AB61832}" name="Prorroga"/>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20FB3884-2A52-4EA0-BB9D-24067E9B0AB9}" name="Tabla18" displayName="Tabla18" ref="AC3:AC6" totalsRowShown="0">
  <autoFilter ref="AC3:AC6" xr:uid="{20FB3884-2A52-4EA0-BB9D-24067E9B0AB9}"/>
  <tableColumns count="1">
    <tableColumn id="1" xr3:uid="{E1778EFA-8251-481B-9886-6AA043660FD7}" name="Contrato"/>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1CDFE98C-63B6-4CBA-840D-B782BA269AF1}" name="Tabla23" displayName="Tabla23" ref="I3:I5" totalsRowShown="0">
  <autoFilter ref="I3:I5" xr:uid="{1CDFE98C-63B6-4CBA-840D-B782BA269AF1}"/>
  <tableColumns count="1">
    <tableColumn id="1" xr3:uid="{62FA7151-F1A4-43D9-AEA2-0114D4FA6C11}" name="Seguimiento"/>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305F627B-BAB2-458F-A130-732655F85C2C}" name="Tabla24" displayName="Tabla24" ref="AE3:AE16" totalsRowShown="0">
  <autoFilter ref="AE3:AE16" xr:uid="{305F627B-BAB2-458F-A130-732655F85C2C}"/>
  <tableColumns count="1">
    <tableColumn id="1" xr3:uid="{1054871A-71EE-491E-BA65-A7BCE5C318BA}" name="Mes"/>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D73484CC-50BF-48A5-8B58-74C9A2A78D03}" name="Tabla26" displayName="Tabla26" ref="AG3:AG6" totalsRowShown="0">
  <autoFilter ref="AG3:AG6" xr:uid="{D73484CC-50BF-48A5-8B58-74C9A2A78D03}"/>
  <tableColumns count="1">
    <tableColumn id="1" xr3:uid="{6EF5174A-A576-49CE-A045-8052D0D32619}" name="Año"/>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5B11995-4137-478B-892E-351B28326809}" name="Tabla20" displayName="Tabla20" ref="A5:I15" totalsRowShown="0">
  <autoFilter ref="A5:I15" xr:uid="{55B11995-4137-478B-892E-351B28326809}"/>
  <tableColumns count="9">
    <tableColumn id="1" xr3:uid="{0CB39839-6DC1-4973-A51E-195415C994F1}" name="Area"/>
    <tableColumn id="2" xr3:uid="{DAF9737A-CA71-4B0C-A255-91A4AA4F86A3}" name="Informadas">
      <calculatedColumnFormula>IF($B$1="Año completo",COUNTIFS(Tabla1[AREA],Tabla20[[#This Row],[Area]],Tabla1[Año],'Reporte Licitaciones'!$B$2,Tabla1[Responsable],'Reporte Licitaciones'!$B$3),COUNTIFS(Tabla1[AREA],Tabla20[[#This Row],[Area]],Tabla1[Año],'Reporte Licitaciones'!$B$2,Tabla1[Mes],'Reporte Licitaciones'!$B$1,Tabla1[Responsable],'Reporte Licitaciones'!$B$3))</calculatedColumnFormula>
    </tableColumn>
    <tableColumn id="4" xr3:uid="{FC1CC0EF-1831-44AB-B0F1-F9F19B503238}" name="Participadas"/>
    <tableColumn id="6" xr3:uid="{9EDB3059-D750-4DD5-A80D-6645D82C2442}" name="Adjudicadas"/>
    <tableColumn id="8" xr3:uid="{CEB83B7F-D761-4E52-B82E-B12C661F922D}" name="Desierta (o art. 3 ó 9 Ley 19.886)"/>
    <tableColumn id="10" xr3:uid="{A4CB20B8-3A6A-4D2F-A055-491882C5C99F}" name="Cerrada"/>
    <tableColumn id="12" xr3:uid="{4401EE90-78FA-4285-9A7C-8770708195E9}" name="Revocada"/>
    <tableColumn id="14" xr3:uid="{BA559F48-9198-4909-8986-2F51075896C3}" name="Readjudicada"/>
    <tableColumn id="16" xr3:uid="{8ACE3130-0A3C-4AB1-8F39-47335C9F8BF2}" name="Publicada"/>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DF5D9A-6DCA-407B-B868-72F08630E700}" name="Tabla22" displayName="Tabla22" ref="A77:O87" totalsRowShown="0" headerRowDxfId="26">
  <autoFilter ref="A77:O87" xr:uid="{31DF5D9A-6DCA-407B-B868-72F08630E700}"/>
  <tableColumns count="15">
    <tableColumn id="1" xr3:uid="{BBD5FC1F-8682-4516-A5E8-01BFDB78605B}" name="Area"/>
    <tableColumn id="2" xr3:uid="{3841D441-C5C6-4240-8F94-70E56CA4E6CA}" name="Informadas"/>
    <tableColumn id="3" xr3:uid="{22E1CAE6-511E-47BB-AA2A-E5429CE43BD1}" name="No participadas"/>
    <tableColumn id="5" xr3:uid="{D4CD2E6A-3E9B-4E35-8E26-FCCF6ED9E30F}" name="Comercial no responde"/>
    <tableColumn id="17" xr3:uid="{DAF762BB-AA1D-4F36-AC66-F5E2655D0125}" name="Monto Bajo" dataDxfId="25"/>
    <tableColumn id="12" xr3:uid="{23084AC3-E219-4094-B160-F9B4C6FE0B86}" name="No cumple requerimientos técnicos" dataDxfId="24"/>
    <tableColumn id="13" xr3:uid="{C635C4B9-7E5E-4638-950F-F5DBC6052335}" name="Sin stock" dataDxfId="23"/>
    <tableColumn id="7" xr3:uid="{D93CCAE1-3FA3-49E9-B01D-20E9FF0FD2C8}" name="No comercializamos"/>
    <tableColumn id="19" xr3:uid="{3644D7F6-DCB2-439E-84F5-F8536B41EB97}" name="Fuera del Presupuesto" dataDxfId="22"/>
    <tableColumn id="9" xr3:uid="{9A04ABD4-2048-42C4-842D-6EEE2EEE9FE0}" name="No se alcanza a presentar boleta"/>
    <tableColumn id="15" xr3:uid="{A5A31B65-1D0F-4873-BC82-08328591FB6C}" name="No se presenta a la visita a terreno"/>
    <tableColumn id="8" xr3:uid="{59DFE1BE-B34F-4F88-9B5D-16BCA5EDA2CC}" name="Sin cobertura" dataDxfId="21">
      <calculatedColumnFormula>COUNTIFS(Tabla1[Responsable],Tabla22[[#This Row],[Area]],Tabla1[Motivo],"Sin cobertura")</calculatedColumnFormula>
    </tableColumn>
    <tableColumn id="23" xr3:uid="{48A0CD55-8E04-449B-82EE-91DEE591269D}" name="Tiempo reducido para ofertar"/>
    <tableColumn id="25" xr3:uid="{DC833C65-72C1-437F-B672-B6C8B7D269B7}" name="No suben las Bases"/>
    <tableColumn id="27" xr3:uid="{1BDB157C-4D4C-40BD-B525-07FA15631C12}" name="No se suben pregunta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2D140DA-E3C5-43F5-A4F6-C643D31944EA}" name="Tabla2" displayName="Tabla2" ref="A41:I51" totalsRowShown="0">
  <autoFilter ref="A41:I51" xr:uid="{02D140DA-E3C5-43F5-A4F6-C643D31944EA}"/>
  <tableColumns count="9">
    <tableColumn id="1" xr3:uid="{7480FB56-1FB5-430D-AB34-FE64DFC4FDB9}" name="Area"/>
    <tableColumn id="2" xr3:uid="{EE84A672-9DFD-43A4-9668-C1521E8A99A5}" name="Total Adjudicadas"/>
    <tableColumn id="3" xr3:uid="{A76AE996-9F09-4072-9A06-DB2AC70E3DB2}" name="LINDE GAS CHILE S.A."/>
    <tableColumn id="5" xr3:uid="{AAF3F6C6-041A-4567-A82D-65F308520ED4}" name="AIRLIQUIDE"/>
    <tableColumn id="7" xr3:uid="{870EB75C-14AF-4C9E-8C69-CA5F84500D51}" name="INDURA">
      <calculatedColumnFormula>COUNTIFS(Tabla1[AREA],Tabla2[[#This Row],[Area]],Tabla1[Año],'Reporte Licitaciones'!$B$2,Tabla1[Mes],'Reporte Licitaciones'!$B$1,Tabla1[Responsable],'Reporte Licitaciones'!$B$3,Tabla1[Participa],"SI",Tabla1[EMPRESA],"INDURA")</calculatedColumnFormula>
    </tableColumn>
    <tableColumn id="9" xr3:uid="{A880C4AA-A971-40EF-973B-DE138517507B}" name="MESSER"/>
    <tableColumn id="4" xr3:uid="{2032B0CC-DC22-4500-82A9-835EA28EA881}" name="INTERNATIONAL">
      <calculatedColumnFormula>COUNTIFS(Tabla1[AREA],Tabla2[[#This Row],[Area]],Tabla1[Año],'Reporte Licitaciones'!$B$2,Tabla1[Mes],'Reporte Licitaciones'!$B$1,Tabla1[Responsable],'Reporte Licitaciones'!$B$3,Tabla1[Participa],"SI",Tabla1[EMPRESA],"INTERNATIONAL")</calculatedColumnFormula>
    </tableColumn>
    <tableColumn id="6" xr3:uid="{4FA21200-F5FA-4BC6-8040-EE9D8542AD69}" name="RESPILIFE"/>
    <tableColumn id="8" xr3:uid="{7BE19331-F14B-4D67-B4C5-58D66B6D0240}" name="OTRO"/>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D7D8BF0B-F3AD-41C1-ACB0-17C2179142AC}" name="Tabla27" displayName="Tabla27" ref="A17:I27" totalsRowShown="0">
  <autoFilter ref="A17:I27" xr:uid="{D7D8BF0B-F3AD-41C1-ACB0-17C2179142AC}"/>
  <tableColumns count="9">
    <tableColumn id="1" xr3:uid="{63F08CDF-7777-46F2-9F6D-5B426E91CD78}" name="Area"/>
    <tableColumn id="2" xr3:uid="{BE501446-6970-41A2-96E7-28931CB553D4}" name="% Informadas"/>
    <tableColumn id="3" xr3:uid="{9F7ED383-DDCA-4067-A1CA-AFE53AAF09B2}" name="% Participadas">
      <calculatedColumnFormula>C6/B6</calculatedColumnFormula>
    </tableColumn>
    <tableColumn id="4" xr3:uid="{25245093-CCF6-4A39-B21D-49220AC7E23F}" name="% Adjudicadas">
      <calculatedColumnFormula>D6/C6</calculatedColumnFormula>
    </tableColumn>
    <tableColumn id="5" xr3:uid="{D6E8DA5A-1286-471D-82E7-212AE2F42E27}" name="% Desierta (o art. 3 ó 9 Ley 19.886)">
      <calculatedColumnFormula>E6/C6</calculatedColumnFormula>
    </tableColumn>
    <tableColumn id="6" xr3:uid="{5B202110-2F30-4173-B905-C9F1EDD2017B}" name="% Cerrada">
      <calculatedColumnFormula>F6/C6</calculatedColumnFormula>
    </tableColumn>
    <tableColumn id="7" xr3:uid="{E2AF8FB7-D30B-442A-814D-C96F358F771D}" name="% Revocada">
      <calculatedColumnFormula>G6/C6</calculatedColumnFormula>
    </tableColumn>
    <tableColumn id="8" xr3:uid="{B3EE9172-8805-48AA-AA4D-047F340DB3EB}" name="% Readjudicada">
      <calculatedColumnFormula>H6/C6</calculatedColumnFormula>
    </tableColumn>
    <tableColumn id="9" xr3:uid="{5E447169-7CE7-41E2-99EA-168B165752F1}" name="% Publicada">
      <calculatedColumnFormula>I6/C6</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87E2C78-4223-45AB-9428-A451FCA3FDF5}" name="Tabla28" displayName="Tabla28" ref="A29:H39" totalsRowShown="0">
  <autoFilter ref="A29:H39" xr:uid="{087E2C78-4223-45AB-9428-A451FCA3FDF5}"/>
  <tableColumns count="8">
    <tableColumn id="1" xr3:uid="{002E33C6-65AE-4010-BD62-8066033CDAEE}" name="Area"/>
    <tableColumn id="2" xr3:uid="{21120560-AFB5-47EF-AB4A-02C61D1B618A}" name="Columna1"/>
    <tableColumn id="3" xr3:uid="{AE7F6EAB-EDFF-42BB-BCC6-A3711D1181DA}" name="$ Participado"/>
    <tableColumn id="4" xr3:uid="{C550EC51-20B4-48A7-BC1F-042A9D7A9149}" name="$ Adjudicado">
      <calculatedColumnFormula>SUMIFS(Tabla1[Precio Adjudicado],Tabla1[Responsable],Tabla28[[#This Row],[Area]],Tabla1[Año],'Reporte Licitaciones'!$B$2,Tabla1[Mes],'Reporte Licitaciones'!$B$1,Tabla1[AREA],'Reporte Licitaciones'!$B$3,Tabla1[Participa],"SI",Tabla1[Estado],"Adjudicada")</calculatedColumnFormula>
    </tableColumn>
    <tableColumn id="5" xr3:uid="{4247DD25-4789-4279-BC61-85E70255EA34}" name="$ Desierto"/>
    <tableColumn id="6" xr3:uid="{691F04A4-74A1-4C21-8811-FF1941E07E75}" name="$ Cerrado"/>
    <tableColumn id="7" xr3:uid="{956710E3-624C-460C-9BCA-721094054EEB}" name="$ Revocado"/>
    <tableColumn id="8" xr3:uid="{914773C3-EA24-4AF2-9AE6-8AFE252363CF}" name="$ Readjudicado"/>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D170FDD3-E4F8-4341-A35F-DBACC7CA437F}" name="Tabla29" displayName="Tabla29" ref="A53:I63" totalsRowShown="0" dataDxfId="20" tableBorderDxfId="19">
  <autoFilter ref="A53:I63" xr:uid="{D170FDD3-E4F8-4341-A35F-DBACC7CA437F}"/>
  <tableColumns count="9">
    <tableColumn id="1" xr3:uid="{E6D648E3-5596-4C3F-9AB9-A084E6CAAF0B}" name="Area" dataDxfId="18"/>
    <tableColumn id="2" xr3:uid="{59E49834-9AED-4623-81E2-48C6481470ED}" name="Total Adjudicadas" dataDxfId="17"/>
    <tableColumn id="3" xr3:uid="{5E12401E-E9E0-4032-A5F6-173821AC2D28}" name="LINDE GAS CHILE S.A." dataDxfId="16">
      <calculatedColumnFormula>C42/B42</calculatedColumnFormula>
    </tableColumn>
    <tableColumn id="4" xr3:uid="{2E959F43-86C4-4277-A717-01222B4D66A3}" name="AIRLIQUIDE" dataDxfId="15">
      <calculatedColumnFormula>D42/B42</calculatedColumnFormula>
    </tableColumn>
    <tableColumn id="5" xr3:uid="{F35E7A7D-B3A7-412D-90EB-EDE36C307F6A}" name="INDURA" dataDxfId="14">
      <calculatedColumnFormula>E42/B42</calculatedColumnFormula>
    </tableColumn>
    <tableColumn id="6" xr3:uid="{737C7F75-7046-4293-81ED-2B5DAA367884}" name="MESSER" dataDxfId="13">
      <calculatedColumnFormula>F42/B42</calculatedColumnFormula>
    </tableColumn>
    <tableColumn id="7" xr3:uid="{6E3F9B1A-4708-4A2C-9F2F-92B4EA37C49B}" name="INTERNATIONAL" dataDxfId="12">
      <calculatedColumnFormula>G42/B42</calculatedColumnFormula>
    </tableColumn>
    <tableColumn id="8" xr3:uid="{98A9520A-3DB3-44D8-BA97-6CE1F8E48F88}" name="RESPILIFE" dataDxfId="11">
      <calculatedColumnFormula>H42/B42</calculatedColumnFormula>
    </tableColumn>
    <tableColumn id="9" xr3:uid="{63F0340B-965F-4EAF-8A54-CB29B779352C}" name="OTRO" dataDxfId="10">
      <calculatedColumnFormula>I42/B42</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BF9E0DEE-D49E-45F4-83D5-0D6159FC4AFE}" name="Tabla30" displayName="Tabla30" ref="A65:I75" totalsRowShown="0">
  <autoFilter ref="A65:I75" xr:uid="{BF9E0DEE-D49E-45F4-83D5-0D6159FC4AFE}"/>
  <tableColumns count="9">
    <tableColumn id="1" xr3:uid="{08A433C0-BF7F-48E2-8410-F8A27145999F}" name="Area"/>
    <tableColumn id="2" xr3:uid="{69EF3B44-3FE8-4991-999C-C720BAEE94B2}" name="$ Adjudicado"/>
    <tableColumn id="3" xr3:uid="{821E05C4-FFAE-45A5-BAD9-42A833BC69C3}" name="$ LINDE GAS CHILE S.A."/>
    <tableColumn id="4" xr3:uid="{C1051E13-3B12-4DDC-93B5-1C785F8DF990}" name="$ AIRLIQUIDE"/>
    <tableColumn id="5" xr3:uid="{1C832343-7121-48C1-916A-99F26FD2ADA3}" name="$ INDURA"/>
    <tableColumn id="6" xr3:uid="{22148718-D94B-4D0C-B49A-F91AD0376B4C}" name="$ MESSER"/>
    <tableColumn id="7" xr3:uid="{712004DF-01D4-4456-882E-E84EB272264C}" name="$ INTERNATIONAL"/>
    <tableColumn id="8" xr3:uid="{5D650C60-D148-455F-8105-DAD05EF358CA}" name="$ RESPILIFE"/>
    <tableColumn id="9" xr3:uid="{ABDB118B-AFFB-46B1-85DA-0D21B3AE4428}" name="$ OTRO"/>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Y1" dT="2023-02-10T21:06:25.76" personId="{912CA5FE-681D-41B3-95C5-57F9EE22E81D}" id="{35CE0E32-1109-4E87-8331-090FD5B7321F}">
    <text>Indicar si tiene o no prórroga el contrato</text>
  </threadedComment>
  <threadedComment ref="AZ1" dT="2023-02-10T21:06:46.93" personId="{912CA5FE-681D-41B3-95C5-57F9EE22E81D}" id="{5146FC1C-84EC-46AA-B112-21A465BAA4C0}">
    <text>Indicar si la prórroga es por monto</text>
  </threadedComment>
  <threadedComment ref="BA1" dT="2023-02-10T21:07:05.56" personId="{912CA5FE-681D-41B3-95C5-57F9EE22E81D}" id="{4B50A758-16C2-4AC7-A845-8B4E4263F135}">
    <text>Indicar plazo de prórroga en caso que exista</text>
  </threadedComment>
</ThreadedComment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mailto:contabilidadsalud@rionegrochile.cl" TargetMode="External"/></Relationships>
</file>

<file path=xl/worksheets/_rels/sheet4.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10" Type="http://schemas.openxmlformats.org/officeDocument/2006/relationships/table" Target="../tables/table11.xml"/><Relationship Id="rId4" Type="http://schemas.openxmlformats.org/officeDocument/2006/relationships/table" Target="../tables/table5.xml"/><Relationship Id="rId9" Type="http://schemas.openxmlformats.org/officeDocument/2006/relationships/table" Target="../tables/table10.xml"/></Relationships>
</file>

<file path=xl/worksheets/_rels/sheet5.xml.rels><?xml version="1.0" encoding="UTF-8" standalone="yes"?>
<Relationships xmlns="http://schemas.openxmlformats.org/package/2006/relationships"><Relationship Id="rId8" Type="http://schemas.openxmlformats.org/officeDocument/2006/relationships/table" Target="../tables/table19.xml"/><Relationship Id="rId13" Type="http://schemas.openxmlformats.org/officeDocument/2006/relationships/table" Target="../tables/table24.xml"/><Relationship Id="rId3" Type="http://schemas.openxmlformats.org/officeDocument/2006/relationships/table" Target="../tables/table14.xml"/><Relationship Id="rId7" Type="http://schemas.openxmlformats.org/officeDocument/2006/relationships/table" Target="../tables/table18.xml"/><Relationship Id="rId12" Type="http://schemas.openxmlformats.org/officeDocument/2006/relationships/table" Target="../tables/table23.xml"/><Relationship Id="rId17" Type="http://schemas.openxmlformats.org/officeDocument/2006/relationships/table" Target="../tables/table28.xml"/><Relationship Id="rId2" Type="http://schemas.openxmlformats.org/officeDocument/2006/relationships/table" Target="../tables/table13.xml"/><Relationship Id="rId16" Type="http://schemas.openxmlformats.org/officeDocument/2006/relationships/table" Target="../tables/table27.xml"/><Relationship Id="rId1" Type="http://schemas.openxmlformats.org/officeDocument/2006/relationships/table" Target="../tables/table12.xml"/><Relationship Id="rId6" Type="http://schemas.openxmlformats.org/officeDocument/2006/relationships/table" Target="../tables/table17.xml"/><Relationship Id="rId11" Type="http://schemas.openxmlformats.org/officeDocument/2006/relationships/table" Target="../tables/table22.xml"/><Relationship Id="rId5" Type="http://schemas.openxmlformats.org/officeDocument/2006/relationships/table" Target="../tables/table16.xml"/><Relationship Id="rId15" Type="http://schemas.openxmlformats.org/officeDocument/2006/relationships/table" Target="../tables/table26.xml"/><Relationship Id="rId10" Type="http://schemas.openxmlformats.org/officeDocument/2006/relationships/table" Target="../tables/table21.xml"/><Relationship Id="rId4" Type="http://schemas.openxmlformats.org/officeDocument/2006/relationships/table" Target="../tables/table15.xml"/><Relationship Id="rId9" Type="http://schemas.openxmlformats.org/officeDocument/2006/relationships/table" Target="../tables/table20.xml"/><Relationship Id="rId14" Type="http://schemas.openxmlformats.org/officeDocument/2006/relationships/table" Target="../tables/table2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6126F-7932-41F1-AAD0-882B15824D8D}">
  <dimension ref="A1:M182"/>
  <sheetViews>
    <sheetView showGridLines="0" workbookViewId="0">
      <selection activeCell="A116" sqref="A116"/>
    </sheetView>
  </sheetViews>
  <sheetFormatPr defaultColWidth="11.42578125" defaultRowHeight="15" x14ac:dyDescent="0.25"/>
  <cols>
    <col min="1" max="1" width="24.28515625" bestFit="1" customWidth="1"/>
    <col min="2" max="2" width="22.42578125" bestFit="1" customWidth="1"/>
    <col min="3" max="3" width="3" bestFit="1" customWidth="1"/>
    <col min="4" max="4" width="11" bestFit="1" customWidth="1"/>
    <col min="5" max="5" width="12.5703125" bestFit="1" customWidth="1"/>
    <col min="6" max="6" width="13.7109375" bestFit="1" customWidth="1"/>
    <col min="7" max="7" width="8" bestFit="1" customWidth="1"/>
    <col min="8" max="8" width="7.140625" bestFit="1" customWidth="1"/>
    <col min="9" max="9" width="11" bestFit="1" customWidth="1"/>
    <col min="10" max="10" width="12.5703125" bestFit="1" customWidth="1"/>
    <col min="11" max="11" width="22.140625" bestFit="1" customWidth="1"/>
    <col min="12" max="12" width="17.85546875" bestFit="1" customWidth="1"/>
    <col min="13" max="13" width="22.140625" bestFit="1" customWidth="1"/>
    <col min="14" max="14" width="17.85546875" bestFit="1" customWidth="1"/>
    <col min="15" max="15" width="22.140625" bestFit="1" customWidth="1"/>
    <col min="16" max="16" width="17.85546875" bestFit="1" customWidth="1"/>
    <col min="17" max="17" width="22.140625" bestFit="1" customWidth="1"/>
    <col min="18" max="18" width="22.85546875" bestFit="1" customWidth="1"/>
    <col min="19" max="19" width="27.140625" bestFit="1" customWidth="1"/>
    <col min="20" max="21" width="7" bestFit="1" customWidth="1"/>
    <col min="22" max="40" width="8" bestFit="1" customWidth="1"/>
    <col min="41" max="43" width="9" bestFit="1" customWidth="1"/>
    <col min="44" max="47" width="10" bestFit="1" customWidth="1"/>
    <col min="48" max="48" width="12.5703125" bestFit="1" customWidth="1"/>
  </cols>
  <sheetData>
    <row r="1" spans="1:12" ht="96" customHeight="1" thickBot="1" x14ac:dyDescent="1.4">
      <c r="A1" s="187"/>
      <c r="B1" s="188"/>
      <c r="C1" s="188"/>
      <c r="D1" s="245" t="s">
        <v>0</v>
      </c>
      <c r="E1" s="246"/>
      <c r="F1" s="246"/>
      <c r="G1" s="246"/>
      <c r="H1" s="246"/>
      <c r="I1" s="246"/>
      <c r="J1" s="246"/>
      <c r="K1" s="246"/>
      <c r="L1" s="247"/>
    </row>
    <row r="2" spans="1:12" ht="93" customHeight="1" x14ac:dyDescent="0.25">
      <c r="A2" s="248" t="s">
        <v>1</v>
      </c>
      <c r="B2" s="249"/>
      <c r="C2" s="249"/>
      <c r="D2" s="249"/>
      <c r="E2" s="249"/>
      <c r="F2" s="249"/>
      <c r="G2" s="249"/>
      <c r="H2" s="249"/>
      <c r="I2" s="249"/>
      <c r="J2" s="249"/>
      <c r="K2" s="249"/>
      <c r="L2" s="249"/>
    </row>
    <row r="3" spans="1:12" ht="28.5" x14ac:dyDescent="0.45">
      <c r="A3" s="250" t="s">
        <v>2</v>
      </c>
      <c r="B3" s="250"/>
      <c r="C3" s="250"/>
      <c r="D3" s="250"/>
      <c r="E3" s="250"/>
      <c r="F3" s="250"/>
      <c r="G3" s="250"/>
      <c r="H3" s="250"/>
      <c r="I3" s="250"/>
      <c r="J3" s="250"/>
      <c r="K3" s="250"/>
      <c r="L3" s="250"/>
    </row>
    <row r="5" spans="1:12" x14ac:dyDescent="0.25">
      <c r="A5" s="183" t="s">
        <v>3</v>
      </c>
      <c r="B5" t="s">
        <v>4</v>
      </c>
      <c r="H5" s="183" t="s">
        <v>3</v>
      </c>
      <c r="I5" t="s">
        <v>4</v>
      </c>
    </row>
    <row r="6" spans="1:12" x14ac:dyDescent="0.25">
      <c r="A6" s="183" t="s">
        <v>5</v>
      </c>
      <c r="B6" s="184">
        <v>2023</v>
      </c>
      <c r="H6" s="183" t="s">
        <v>5</v>
      </c>
      <c r="I6" s="184">
        <v>2023</v>
      </c>
    </row>
    <row r="7" spans="1:12" x14ac:dyDescent="0.25">
      <c r="A7" s="183" t="s">
        <v>6</v>
      </c>
      <c r="B7" t="s">
        <v>4</v>
      </c>
      <c r="H7" s="183" t="s">
        <v>6</v>
      </c>
      <c r="I7" t="s">
        <v>4</v>
      </c>
    </row>
    <row r="9" spans="1:12" x14ac:dyDescent="0.25">
      <c r="A9" s="183" t="s">
        <v>7</v>
      </c>
      <c r="B9" s="183" t="s">
        <v>8</v>
      </c>
      <c r="H9" s="183" t="s">
        <v>7</v>
      </c>
      <c r="I9" s="183" t="s">
        <v>8</v>
      </c>
    </row>
    <row r="10" spans="1:12" x14ac:dyDescent="0.25">
      <c r="A10" s="183" t="s">
        <v>9</v>
      </c>
      <c r="B10" t="s">
        <v>10</v>
      </c>
      <c r="C10" t="s">
        <v>11</v>
      </c>
      <c r="D10" t="s">
        <v>12</v>
      </c>
      <c r="E10" t="s">
        <v>13</v>
      </c>
      <c r="H10" s="183" t="s">
        <v>9</v>
      </c>
      <c r="I10" t="s">
        <v>10</v>
      </c>
      <c r="J10" t="s">
        <v>11</v>
      </c>
      <c r="K10" t="s">
        <v>12</v>
      </c>
      <c r="L10" t="s">
        <v>13</v>
      </c>
    </row>
    <row r="11" spans="1:12" x14ac:dyDescent="0.25">
      <c r="A11" s="184" t="s">
        <v>14</v>
      </c>
      <c r="B11">
        <v>12</v>
      </c>
      <c r="C11">
        <v>1</v>
      </c>
      <c r="D11">
        <v>2</v>
      </c>
      <c r="E11">
        <v>15</v>
      </c>
      <c r="H11" s="184" t="s">
        <v>14</v>
      </c>
      <c r="I11" s="4">
        <v>5.9405940594059403E-2</v>
      </c>
      <c r="J11" s="4">
        <v>4.9504950495049506E-3</v>
      </c>
      <c r="K11" s="4">
        <v>9.9009900990099011E-3</v>
      </c>
      <c r="L11" s="4">
        <v>7.4257425742574254E-2</v>
      </c>
    </row>
    <row r="12" spans="1:12" x14ac:dyDescent="0.25">
      <c r="A12" s="184" t="s">
        <v>15</v>
      </c>
      <c r="B12">
        <v>3</v>
      </c>
      <c r="E12">
        <v>3</v>
      </c>
      <c r="H12" s="184" t="s">
        <v>15</v>
      </c>
      <c r="I12" s="4">
        <v>1.4851485148514851E-2</v>
      </c>
      <c r="J12" s="4">
        <v>0</v>
      </c>
      <c r="K12" s="4">
        <v>0</v>
      </c>
      <c r="L12" s="4">
        <v>1.4851485148514851E-2</v>
      </c>
    </row>
    <row r="13" spans="1:12" x14ac:dyDescent="0.25">
      <c r="A13" s="184" t="s">
        <v>16</v>
      </c>
      <c r="B13">
        <v>63</v>
      </c>
      <c r="C13">
        <v>16</v>
      </c>
      <c r="D13">
        <v>7</v>
      </c>
      <c r="E13">
        <v>86</v>
      </c>
      <c r="H13" s="184" t="s">
        <v>16</v>
      </c>
      <c r="I13" s="4">
        <v>0.31188118811881188</v>
      </c>
      <c r="J13" s="4">
        <v>7.9207920792079209E-2</v>
      </c>
      <c r="K13" s="4">
        <v>3.4653465346534656E-2</v>
      </c>
      <c r="L13" s="4">
        <v>0.42574257425742573</v>
      </c>
    </row>
    <row r="14" spans="1:12" x14ac:dyDescent="0.25">
      <c r="A14" s="184" t="s">
        <v>17</v>
      </c>
      <c r="B14">
        <v>14</v>
      </c>
      <c r="E14">
        <v>14</v>
      </c>
      <c r="H14" s="184" t="s">
        <v>17</v>
      </c>
      <c r="I14" s="4">
        <v>6.9306930693069313E-2</v>
      </c>
      <c r="J14" s="4">
        <v>0</v>
      </c>
      <c r="K14" s="4">
        <v>0</v>
      </c>
      <c r="L14" s="4">
        <v>6.9306930693069313E-2</v>
      </c>
    </row>
    <row r="15" spans="1:12" x14ac:dyDescent="0.25">
      <c r="A15" s="184" t="s">
        <v>18</v>
      </c>
      <c r="B15">
        <v>14</v>
      </c>
      <c r="E15">
        <v>14</v>
      </c>
      <c r="H15" s="184" t="s">
        <v>18</v>
      </c>
      <c r="I15" s="4">
        <v>6.9306930693069313E-2</v>
      </c>
      <c r="J15" s="4">
        <v>0</v>
      </c>
      <c r="K15" s="4">
        <v>0</v>
      </c>
      <c r="L15" s="4">
        <v>6.9306930693069313E-2</v>
      </c>
    </row>
    <row r="16" spans="1:12" x14ac:dyDescent="0.25">
      <c r="A16" s="184" t="s">
        <v>19</v>
      </c>
      <c r="C16">
        <v>2</v>
      </c>
      <c r="E16">
        <v>2</v>
      </c>
      <c r="H16" s="184" t="s">
        <v>19</v>
      </c>
      <c r="I16" s="4">
        <v>0</v>
      </c>
      <c r="J16" s="4">
        <v>9.9009900990099011E-3</v>
      </c>
      <c r="K16" s="4">
        <v>0</v>
      </c>
      <c r="L16" s="4">
        <v>9.9009900990099011E-3</v>
      </c>
    </row>
    <row r="17" spans="1:12" x14ac:dyDescent="0.25">
      <c r="A17" s="184" t="s">
        <v>20</v>
      </c>
      <c r="B17">
        <v>2</v>
      </c>
      <c r="C17">
        <v>5</v>
      </c>
      <c r="D17">
        <v>1</v>
      </c>
      <c r="E17">
        <v>8</v>
      </c>
      <c r="H17" s="184" t="s">
        <v>20</v>
      </c>
      <c r="I17" s="4">
        <v>9.9009900990099011E-3</v>
      </c>
      <c r="J17" s="4">
        <v>2.4752475247524754E-2</v>
      </c>
      <c r="K17" s="4">
        <v>4.9504950495049506E-3</v>
      </c>
      <c r="L17" s="4">
        <v>3.9603960396039604E-2</v>
      </c>
    </row>
    <row r="18" spans="1:12" x14ac:dyDescent="0.25">
      <c r="A18" s="184" t="s">
        <v>21</v>
      </c>
      <c r="B18">
        <v>54</v>
      </c>
      <c r="C18">
        <v>5</v>
      </c>
      <c r="D18">
        <v>1</v>
      </c>
      <c r="E18">
        <v>60</v>
      </c>
      <c r="H18" s="184" t="s">
        <v>21</v>
      </c>
      <c r="I18" s="4">
        <v>0.26732673267326734</v>
      </c>
      <c r="J18" s="4">
        <v>2.4752475247524754E-2</v>
      </c>
      <c r="K18" s="4">
        <v>4.9504950495049506E-3</v>
      </c>
      <c r="L18" s="4">
        <v>0.29702970297029702</v>
      </c>
    </row>
    <row r="19" spans="1:12" x14ac:dyDescent="0.25">
      <c r="A19" s="184" t="s">
        <v>13</v>
      </c>
      <c r="B19">
        <v>162</v>
      </c>
      <c r="C19">
        <v>29</v>
      </c>
      <c r="D19">
        <v>11</v>
      </c>
      <c r="E19">
        <v>202</v>
      </c>
      <c r="H19" s="184" t="s">
        <v>13</v>
      </c>
      <c r="I19" s="4">
        <v>0.80198019801980203</v>
      </c>
      <c r="J19" s="4">
        <v>0.14356435643564355</v>
      </c>
      <c r="K19" s="4">
        <v>5.4455445544554455E-2</v>
      </c>
      <c r="L19" s="4">
        <v>1</v>
      </c>
    </row>
    <row r="23" spans="1:12" ht="218.25" customHeight="1" x14ac:dyDescent="0.25">
      <c r="A23" s="240" t="s">
        <v>22</v>
      </c>
      <c r="B23" s="240"/>
      <c r="C23" s="240"/>
      <c r="D23" s="240"/>
      <c r="E23" s="240"/>
      <c r="F23" s="240"/>
      <c r="G23" s="240"/>
      <c r="H23" s="240"/>
      <c r="I23" s="240"/>
      <c r="J23" s="240"/>
      <c r="K23" s="240"/>
      <c r="L23" s="240"/>
    </row>
    <row r="25" spans="1:12" ht="28.5" x14ac:dyDescent="0.25">
      <c r="A25" s="244" t="s">
        <v>23</v>
      </c>
      <c r="B25" s="244"/>
      <c r="C25" s="244"/>
      <c r="D25" s="244"/>
      <c r="E25" s="244"/>
      <c r="F25" s="244"/>
      <c r="G25" s="244"/>
      <c r="H25" s="244"/>
      <c r="I25" s="244"/>
      <c r="J25" s="244"/>
      <c r="K25" s="244"/>
      <c r="L25" s="244"/>
    </row>
    <row r="27" spans="1:12" x14ac:dyDescent="0.25">
      <c r="A27" s="183" t="s">
        <v>3</v>
      </c>
      <c r="B27" t="s">
        <v>4</v>
      </c>
    </row>
    <row r="28" spans="1:12" x14ac:dyDescent="0.25">
      <c r="A28" s="183" t="s">
        <v>5</v>
      </c>
      <c r="B28" s="184">
        <v>2023</v>
      </c>
    </row>
    <row r="29" spans="1:12" x14ac:dyDescent="0.25">
      <c r="A29" s="183" t="s">
        <v>6</v>
      </c>
      <c r="B29" t="s">
        <v>4</v>
      </c>
    </row>
    <row r="30" spans="1:12" x14ac:dyDescent="0.25">
      <c r="A30" s="183" t="s">
        <v>24</v>
      </c>
      <c r="B30" t="s">
        <v>10</v>
      </c>
    </row>
    <row r="32" spans="1:12" x14ac:dyDescent="0.25">
      <c r="A32" s="183" t="s">
        <v>7</v>
      </c>
      <c r="B32" s="183" t="s">
        <v>8</v>
      </c>
    </row>
    <row r="33" spans="1:13" x14ac:dyDescent="0.25">
      <c r="A33" s="183" t="s">
        <v>9</v>
      </c>
      <c r="B33" t="s">
        <v>25</v>
      </c>
      <c r="C33" t="s">
        <v>26</v>
      </c>
      <c r="D33" t="s">
        <v>27</v>
      </c>
      <c r="E33" t="s">
        <v>28</v>
      </c>
      <c r="F33" t="s">
        <v>29</v>
      </c>
      <c r="G33" t="s">
        <v>30</v>
      </c>
      <c r="H33" t="s">
        <v>31</v>
      </c>
      <c r="I33" t="s">
        <v>32</v>
      </c>
      <c r="J33" t="s">
        <v>33</v>
      </c>
      <c r="K33" t="s">
        <v>34</v>
      </c>
      <c r="L33" t="s">
        <v>35</v>
      </c>
      <c r="M33" t="s">
        <v>13</v>
      </c>
    </row>
    <row r="34" spans="1:13" x14ac:dyDescent="0.25">
      <c r="A34" s="184" t="s">
        <v>14</v>
      </c>
      <c r="B34">
        <v>2</v>
      </c>
      <c r="D34">
        <v>7</v>
      </c>
      <c r="E34">
        <v>2</v>
      </c>
      <c r="K34">
        <v>1</v>
      </c>
      <c r="M34">
        <v>12</v>
      </c>
    </row>
    <row r="35" spans="1:13" x14ac:dyDescent="0.25">
      <c r="A35" s="184" t="s">
        <v>15</v>
      </c>
      <c r="F35">
        <v>2</v>
      </c>
      <c r="J35">
        <v>1</v>
      </c>
      <c r="M35">
        <v>3</v>
      </c>
    </row>
    <row r="36" spans="1:13" x14ac:dyDescent="0.25">
      <c r="A36" s="184" t="s">
        <v>16</v>
      </c>
      <c r="B36">
        <v>10</v>
      </c>
      <c r="C36">
        <v>1</v>
      </c>
      <c r="D36">
        <v>6</v>
      </c>
      <c r="E36">
        <v>4</v>
      </c>
      <c r="F36">
        <v>1</v>
      </c>
      <c r="H36">
        <v>4</v>
      </c>
      <c r="J36">
        <v>34</v>
      </c>
      <c r="K36">
        <v>1</v>
      </c>
      <c r="L36">
        <v>2</v>
      </c>
      <c r="M36">
        <v>63</v>
      </c>
    </row>
    <row r="37" spans="1:13" x14ac:dyDescent="0.25">
      <c r="A37" s="184" t="s">
        <v>17</v>
      </c>
      <c r="B37">
        <v>11</v>
      </c>
      <c r="D37">
        <v>1</v>
      </c>
      <c r="E37">
        <v>1</v>
      </c>
      <c r="F37">
        <v>1</v>
      </c>
      <c r="M37">
        <v>14</v>
      </c>
    </row>
    <row r="38" spans="1:13" x14ac:dyDescent="0.25">
      <c r="A38" s="184" t="s">
        <v>18</v>
      </c>
      <c r="B38">
        <v>2</v>
      </c>
      <c r="E38">
        <v>11</v>
      </c>
      <c r="J38">
        <v>1</v>
      </c>
      <c r="M38">
        <v>14</v>
      </c>
    </row>
    <row r="39" spans="1:13" x14ac:dyDescent="0.25">
      <c r="A39" s="184" t="s">
        <v>20</v>
      </c>
      <c r="I39">
        <v>1</v>
      </c>
      <c r="J39">
        <v>1</v>
      </c>
      <c r="M39">
        <v>2</v>
      </c>
    </row>
    <row r="40" spans="1:13" x14ac:dyDescent="0.25">
      <c r="A40" s="184" t="s">
        <v>21</v>
      </c>
      <c r="D40">
        <v>36</v>
      </c>
      <c r="E40">
        <v>5</v>
      </c>
      <c r="F40">
        <v>4</v>
      </c>
      <c r="G40">
        <v>1</v>
      </c>
      <c r="J40">
        <v>1</v>
      </c>
      <c r="K40">
        <v>5</v>
      </c>
      <c r="L40">
        <v>2</v>
      </c>
      <c r="M40">
        <v>54</v>
      </c>
    </row>
    <row r="41" spans="1:13" x14ac:dyDescent="0.25">
      <c r="A41" s="184" t="s">
        <v>13</v>
      </c>
      <c r="B41">
        <v>25</v>
      </c>
      <c r="C41">
        <v>1</v>
      </c>
      <c r="D41">
        <v>50</v>
      </c>
      <c r="E41">
        <v>23</v>
      </c>
      <c r="F41">
        <v>8</v>
      </c>
      <c r="G41">
        <v>1</v>
      </c>
      <c r="H41">
        <v>4</v>
      </c>
      <c r="I41">
        <v>1</v>
      </c>
      <c r="J41">
        <v>38</v>
      </c>
      <c r="K41">
        <v>7</v>
      </c>
      <c r="L41">
        <v>4</v>
      </c>
      <c r="M41">
        <v>162</v>
      </c>
    </row>
    <row r="46" spans="1:13" ht="164.25" customHeight="1" x14ac:dyDescent="0.25">
      <c r="A46" s="240" t="s">
        <v>36</v>
      </c>
      <c r="B46" s="241"/>
      <c r="C46" s="241"/>
      <c r="D46" s="241"/>
      <c r="E46" s="241"/>
      <c r="F46" s="241"/>
      <c r="G46" s="241"/>
      <c r="H46" s="241"/>
      <c r="I46" s="241"/>
      <c r="J46" s="241"/>
      <c r="K46" s="241"/>
      <c r="L46" s="241"/>
    </row>
    <row r="48" spans="1:13" x14ac:dyDescent="0.25">
      <c r="A48" s="183" t="s">
        <v>3</v>
      </c>
      <c r="B48" t="s">
        <v>4</v>
      </c>
    </row>
    <row r="49" spans="1:13" x14ac:dyDescent="0.25">
      <c r="A49" s="183" t="s">
        <v>5</v>
      </c>
      <c r="B49" s="184">
        <v>2023</v>
      </c>
    </row>
    <row r="50" spans="1:13" x14ac:dyDescent="0.25">
      <c r="A50" s="183" t="s">
        <v>6</v>
      </c>
      <c r="B50" t="s">
        <v>4</v>
      </c>
    </row>
    <row r="51" spans="1:13" x14ac:dyDescent="0.25">
      <c r="A51" s="183" t="s">
        <v>24</v>
      </c>
      <c r="B51" t="s">
        <v>10</v>
      </c>
    </row>
    <row r="53" spans="1:13" x14ac:dyDescent="0.25">
      <c r="A53" s="183" t="s">
        <v>7</v>
      </c>
      <c r="B53" s="183" t="s">
        <v>8</v>
      </c>
    </row>
    <row r="54" spans="1:13" x14ac:dyDescent="0.25">
      <c r="A54" s="183" t="s">
        <v>9</v>
      </c>
      <c r="B54" t="s">
        <v>25</v>
      </c>
      <c r="C54" t="s">
        <v>26</v>
      </c>
      <c r="D54" t="s">
        <v>27</v>
      </c>
      <c r="E54" t="s">
        <v>28</v>
      </c>
      <c r="F54" t="s">
        <v>29</v>
      </c>
      <c r="G54" t="s">
        <v>30</v>
      </c>
      <c r="H54" t="s">
        <v>31</v>
      </c>
      <c r="I54" t="s">
        <v>32</v>
      </c>
      <c r="J54" t="s">
        <v>33</v>
      </c>
      <c r="K54" t="s">
        <v>34</v>
      </c>
      <c r="L54" t="s">
        <v>35</v>
      </c>
      <c r="M54" t="s">
        <v>13</v>
      </c>
    </row>
    <row r="55" spans="1:13" x14ac:dyDescent="0.25">
      <c r="A55" s="184" t="s">
        <v>14</v>
      </c>
      <c r="B55" s="4">
        <v>1.2345679012345678E-2</v>
      </c>
      <c r="C55" s="4">
        <v>0</v>
      </c>
      <c r="D55" s="4">
        <v>4.3209876543209874E-2</v>
      </c>
      <c r="E55" s="4">
        <v>1.2345679012345678E-2</v>
      </c>
      <c r="F55" s="4">
        <v>0</v>
      </c>
      <c r="G55" s="4">
        <v>0</v>
      </c>
      <c r="H55" s="4">
        <v>0</v>
      </c>
      <c r="I55" s="4">
        <v>0</v>
      </c>
      <c r="J55" s="4">
        <v>0</v>
      </c>
      <c r="K55" s="4">
        <v>6.1728395061728392E-3</v>
      </c>
      <c r="L55" s="4">
        <v>0</v>
      </c>
      <c r="M55" s="4">
        <v>7.407407407407407E-2</v>
      </c>
    </row>
    <row r="56" spans="1:13" x14ac:dyDescent="0.25">
      <c r="A56" s="184" t="s">
        <v>15</v>
      </c>
      <c r="B56" s="4">
        <v>0</v>
      </c>
      <c r="C56" s="4">
        <v>0</v>
      </c>
      <c r="D56" s="4">
        <v>0</v>
      </c>
      <c r="E56" s="4">
        <v>0</v>
      </c>
      <c r="F56" s="4">
        <v>1.2345679012345678E-2</v>
      </c>
      <c r="G56" s="4">
        <v>0</v>
      </c>
      <c r="H56" s="4">
        <v>0</v>
      </c>
      <c r="I56" s="4">
        <v>0</v>
      </c>
      <c r="J56" s="4">
        <v>6.1728395061728392E-3</v>
      </c>
      <c r="K56" s="4">
        <v>0</v>
      </c>
      <c r="L56" s="4">
        <v>0</v>
      </c>
      <c r="M56" s="4">
        <v>1.8518518518518517E-2</v>
      </c>
    </row>
    <row r="57" spans="1:13" x14ac:dyDescent="0.25">
      <c r="A57" s="184" t="s">
        <v>16</v>
      </c>
      <c r="B57" s="4">
        <v>6.1728395061728392E-2</v>
      </c>
      <c r="C57" s="4">
        <v>6.1728395061728392E-3</v>
      </c>
      <c r="D57" s="4">
        <v>3.7037037037037035E-2</v>
      </c>
      <c r="E57" s="4">
        <v>2.4691358024691357E-2</v>
      </c>
      <c r="F57" s="4">
        <v>6.1728395061728392E-3</v>
      </c>
      <c r="G57" s="4">
        <v>0</v>
      </c>
      <c r="H57" s="4">
        <v>2.4691358024691357E-2</v>
      </c>
      <c r="I57" s="4">
        <v>0</v>
      </c>
      <c r="J57" s="4">
        <v>0.20987654320987653</v>
      </c>
      <c r="K57" s="4">
        <v>6.1728395061728392E-3</v>
      </c>
      <c r="L57" s="4">
        <v>1.2345679012345678E-2</v>
      </c>
      <c r="M57" s="4">
        <v>0.3888888888888889</v>
      </c>
    </row>
    <row r="58" spans="1:13" x14ac:dyDescent="0.25">
      <c r="A58" s="184" t="s">
        <v>17</v>
      </c>
      <c r="B58" s="4">
        <v>6.7901234567901231E-2</v>
      </c>
      <c r="C58" s="4">
        <v>0</v>
      </c>
      <c r="D58" s="4">
        <v>6.1728395061728392E-3</v>
      </c>
      <c r="E58" s="4">
        <v>6.1728395061728392E-3</v>
      </c>
      <c r="F58" s="4">
        <v>6.1728395061728392E-3</v>
      </c>
      <c r="G58" s="4">
        <v>0</v>
      </c>
      <c r="H58" s="4">
        <v>0</v>
      </c>
      <c r="I58" s="4">
        <v>0</v>
      </c>
      <c r="J58" s="4">
        <v>0</v>
      </c>
      <c r="K58" s="4">
        <v>0</v>
      </c>
      <c r="L58" s="4">
        <v>0</v>
      </c>
      <c r="M58" s="4">
        <v>8.6419753086419748E-2</v>
      </c>
    </row>
    <row r="59" spans="1:13" x14ac:dyDescent="0.25">
      <c r="A59" s="184" t="s">
        <v>18</v>
      </c>
      <c r="B59" s="4">
        <v>1.2345679012345678E-2</v>
      </c>
      <c r="C59" s="4">
        <v>0</v>
      </c>
      <c r="D59" s="4">
        <v>0</v>
      </c>
      <c r="E59" s="4">
        <v>6.7901234567901231E-2</v>
      </c>
      <c r="F59" s="4">
        <v>0</v>
      </c>
      <c r="G59" s="4">
        <v>0</v>
      </c>
      <c r="H59" s="4">
        <v>0</v>
      </c>
      <c r="I59" s="4">
        <v>0</v>
      </c>
      <c r="J59" s="4">
        <v>6.1728395061728392E-3</v>
      </c>
      <c r="K59" s="4">
        <v>0</v>
      </c>
      <c r="L59" s="4">
        <v>0</v>
      </c>
      <c r="M59" s="4">
        <v>8.6419753086419748E-2</v>
      </c>
    </row>
    <row r="60" spans="1:13" x14ac:dyDescent="0.25">
      <c r="A60" s="184" t="s">
        <v>20</v>
      </c>
      <c r="B60" s="4">
        <v>0</v>
      </c>
      <c r="C60" s="4">
        <v>0</v>
      </c>
      <c r="D60" s="4">
        <v>0</v>
      </c>
      <c r="E60" s="4">
        <v>0</v>
      </c>
      <c r="F60" s="4">
        <v>0</v>
      </c>
      <c r="G60" s="4">
        <v>0</v>
      </c>
      <c r="H60" s="4">
        <v>0</v>
      </c>
      <c r="I60" s="4">
        <v>6.1728395061728392E-3</v>
      </c>
      <c r="J60" s="4">
        <v>6.1728395061728392E-3</v>
      </c>
      <c r="K60" s="4">
        <v>0</v>
      </c>
      <c r="L60" s="4">
        <v>0</v>
      </c>
      <c r="M60" s="4">
        <v>1.2345679012345678E-2</v>
      </c>
    </row>
    <row r="61" spans="1:13" x14ac:dyDescent="0.25">
      <c r="A61" s="184" t="s">
        <v>21</v>
      </c>
      <c r="B61" s="4">
        <v>0</v>
      </c>
      <c r="C61" s="4">
        <v>0</v>
      </c>
      <c r="D61" s="4">
        <v>0.22222222222222221</v>
      </c>
      <c r="E61" s="4">
        <v>3.0864197530864196E-2</v>
      </c>
      <c r="F61" s="4">
        <v>2.4691358024691357E-2</v>
      </c>
      <c r="G61" s="4">
        <v>6.1728395061728392E-3</v>
      </c>
      <c r="H61" s="4">
        <v>0</v>
      </c>
      <c r="I61" s="4">
        <v>0</v>
      </c>
      <c r="J61" s="4">
        <v>6.1728395061728392E-3</v>
      </c>
      <c r="K61" s="4">
        <v>3.0864197530864196E-2</v>
      </c>
      <c r="L61" s="4">
        <v>1.2345679012345678E-2</v>
      </c>
      <c r="M61" s="4">
        <v>0.33333333333333331</v>
      </c>
    </row>
    <row r="62" spans="1:13" x14ac:dyDescent="0.25">
      <c r="A62" s="184" t="s">
        <v>13</v>
      </c>
      <c r="B62" s="4">
        <v>0.15432098765432098</v>
      </c>
      <c r="C62" s="4">
        <v>6.1728395061728392E-3</v>
      </c>
      <c r="D62" s="4">
        <v>0.30864197530864196</v>
      </c>
      <c r="E62" s="4">
        <v>0.1419753086419753</v>
      </c>
      <c r="F62" s="4">
        <v>4.9382716049382713E-2</v>
      </c>
      <c r="G62" s="4">
        <v>6.1728395061728392E-3</v>
      </c>
      <c r="H62" s="4">
        <v>2.4691358024691357E-2</v>
      </c>
      <c r="I62" s="4">
        <v>6.1728395061728392E-3</v>
      </c>
      <c r="J62" s="4">
        <v>0.23456790123456789</v>
      </c>
      <c r="K62" s="4">
        <v>4.3209876543209874E-2</v>
      </c>
      <c r="L62" s="4">
        <v>2.4691358024691357E-2</v>
      </c>
      <c r="M62" s="4">
        <v>1</v>
      </c>
    </row>
    <row r="67" spans="1:12" ht="75" customHeight="1" x14ac:dyDescent="0.25">
      <c r="A67" s="240" t="s">
        <v>37</v>
      </c>
      <c r="B67" s="241"/>
      <c r="C67" s="241"/>
      <c r="D67" s="241"/>
      <c r="E67" s="241"/>
      <c r="F67" s="241"/>
      <c r="G67" s="241"/>
      <c r="H67" s="241"/>
      <c r="I67" s="241"/>
      <c r="J67" s="241"/>
      <c r="K67" s="241"/>
      <c r="L67" s="241"/>
    </row>
    <row r="68" spans="1:12" ht="21" x14ac:dyDescent="0.25">
      <c r="A68" s="189"/>
      <c r="B68" s="190"/>
      <c r="C68" s="190"/>
      <c r="D68" s="190"/>
      <c r="E68" s="190"/>
      <c r="F68" s="190"/>
      <c r="G68" s="190"/>
      <c r="H68" s="190"/>
      <c r="I68" s="190"/>
      <c r="J68" s="190"/>
      <c r="K68" s="190"/>
      <c r="L68" s="190"/>
    </row>
    <row r="69" spans="1:12" ht="28.5" x14ac:dyDescent="0.45">
      <c r="A69" s="243" t="s">
        <v>38</v>
      </c>
      <c r="B69" s="243"/>
      <c r="C69" s="243"/>
      <c r="D69" s="243"/>
      <c r="E69" s="243"/>
      <c r="F69" s="243"/>
      <c r="G69" s="243"/>
      <c r="H69" s="243"/>
      <c r="I69" s="243"/>
      <c r="J69" s="243"/>
      <c r="K69" s="243"/>
      <c r="L69" s="243"/>
    </row>
    <row r="71" spans="1:12" x14ac:dyDescent="0.25">
      <c r="A71" s="183" t="s">
        <v>3</v>
      </c>
      <c r="B71" t="s">
        <v>4</v>
      </c>
    </row>
    <row r="72" spans="1:12" x14ac:dyDescent="0.25">
      <c r="A72" s="183" t="s">
        <v>5</v>
      </c>
      <c r="B72" t="s">
        <v>4</v>
      </c>
    </row>
    <row r="73" spans="1:12" x14ac:dyDescent="0.25">
      <c r="A73" s="183" t="s">
        <v>6</v>
      </c>
      <c r="B73" t="s">
        <v>4</v>
      </c>
    </row>
    <row r="74" spans="1:12" x14ac:dyDescent="0.25">
      <c r="A74" s="183" t="s">
        <v>24</v>
      </c>
      <c r="B74" t="s">
        <v>4</v>
      </c>
    </row>
    <row r="75" spans="1:12" x14ac:dyDescent="0.25">
      <c r="A75" s="183" t="s">
        <v>39</v>
      </c>
      <c r="B75" t="s">
        <v>4</v>
      </c>
    </row>
    <row r="77" spans="1:12" x14ac:dyDescent="0.25">
      <c r="A77" s="183" t="s">
        <v>9</v>
      </c>
      <c r="B77" t="s">
        <v>7</v>
      </c>
      <c r="C77" t="s">
        <v>40</v>
      </c>
    </row>
    <row r="78" spans="1:12" x14ac:dyDescent="0.25">
      <c r="A78" s="184" t="s">
        <v>14</v>
      </c>
      <c r="B78">
        <v>15</v>
      </c>
      <c r="C78" s="185">
        <v>0</v>
      </c>
    </row>
    <row r="79" spans="1:12" x14ac:dyDescent="0.25">
      <c r="A79" s="184" t="s">
        <v>41</v>
      </c>
      <c r="B79">
        <v>16</v>
      </c>
      <c r="C79" s="185">
        <v>0</v>
      </c>
    </row>
    <row r="80" spans="1:12" x14ac:dyDescent="0.25">
      <c r="A80" s="184" t="s">
        <v>15</v>
      </c>
      <c r="B80">
        <v>4</v>
      </c>
      <c r="C80" s="185">
        <v>0</v>
      </c>
    </row>
    <row r="81" spans="1:12" x14ac:dyDescent="0.25">
      <c r="A81" s="184" t="s">
        <v>16</v>
      </c>
      <c r="B81">
        <v>326</v>
      </c>
      <c r="C81" s="185">
        <v>0</v>
      </c>
    </row>
    <row r="82" spans="1:12" x14ac:dyDescent="0.25">
      <c r="A82" s="184" t="s">
        <v>17</v>
      </c>
      <c r="B82">
        <v>19</v>
      </c>
      <c r="C82" s="185">
        <v>0</v>
      </c>
    </row>
    <row r="83" spans="1:12" x14ac:dyDescent="0.25">
      <c r="A83" s="184" t="s">
        <v>18</v>
      </c>
      <c r="B83">
        <v>41</v>
      </c>
      <c r="C83" s="185">
        <v>0</v>
      </c>
    </row>
    <row r="84" spans="1:12" x14ac:dyDescent="0.25">
      <c r="A84" s="184" t="s">
        <v>19</v>
      </c>
      <c r="B84">
        <v>9</v>
      </c>
      <c r="C84" s="185">
        <v>0</v>
      </c>
    </row>
    <row r="85" spans="1:12" x14ac:dyDescent="0.25">
      <c r="A85" s="184" t="s">
        <v>20</v>
      </c>
      <c r="B85">
        <v>45</v>
      </c>
      <c r="C85" s="185">
        <v>0</v>
      </c>
    </row>
    <row r="86" spans="1:12" x14ac:dyDescent="0.25">
      <c r="A86" s="184" t="s">
        <v>21</v>
      </c>
      <c r="B86">
        <v>228</v>
      </c>
      <c r="C86" s="185">
        <v>1012024570</v>
      </c>
    </row>
    <row r="87" spans="1:12" x14ac:dyDescent="0.25">
      <c r="A87" s="184" t="s">
        <v>12</v>
      </c>
      <c r="C87" s="185"/>
    </row>
    <row r="88" spans="1:12" x14ac:dyDescent="0.25">
      <c r="A88" s="184" t="s">
        <v>13</v>
      </c>
      <c r="B88">
        <v>703</v>
      </c>
      <c r="C88" s="185">
        <v>1012024570</v>
      </c>
    </row>
    <row r="89" spans="1:12" x14ac:dyDescent="0.25">
      <c r="C89" s="186"/>
    </row>
    <row r="90" spans="1:12" ht="95.25" customHeight="1" x14ac:dyDescent="0.25">
      <c r="A90" s="240" t="s">
        <v>42</v>
      </c>
      <c r="B90" s="241"/>
      <c r="C90" s="241"/>
      <c r="D90" s="241"/>
      <c r="E90" s="241"/>
      <c r="F90" s="241"/>
      <c r="G90" s="241"/>
      <c r="H90" s="241"/>
      <c r="I90" s="241"/>
      <c r="J90" s="241"/>
      <c r="K90" s="241"/>
      <c r="L90" s="241"/>
    </row>
    <row r="92" spans="1:12" ht="28.5" x14ac:dyDescent="0.25">
      <c r="A92" s="244" t="s">
        <v>43</v>
      </c>
      <c r="B92" s="244"/>
      <c r="C92" s="244"/>
      <c r="D92" s="244"/>
      <c r="E92" s="244"/>
      <c r="F92" s="244"/>
      <c r="G92" s="244"/>
      <c r="H92" s="244"/>
      <c r="I92" s="244"/>
      <c r="J92" s="244"/>
      <c r="K92" s="244"/>
      <c r="L92" s="244"/>
    </row>
    <row r="94" spans="1:12" x14ac:dyDescent="0.25">
      <c r="A94" s="183" t="s">
        <v>3</v>
      </c>
      <c r="B94" t="s">
        <v>4</v>
      </c>
    </row>
    <row r="95" spans="1:12" x14ac:dyDescent="0.25">
      <c r="A95" s="183" t="s">
        <v>5</v>
      </c>
      <c r="B95" s="184">
        <v>2023</v>
      </c>
    </row>
    <row r="96" spans="1:12" x14ac:dyDescent="0.25">
      <c r="A96" s="183" t="s">
        <v>6</v>
      </c>
      <c r="B96" t="s">
        <v>4</v>
      </c>
    </row>
    <row r="97" spans="1:4" x14ac:dyDescent="0.25">
      <c r="A97" s="183" t="s">
        <v>24</v>
      </c>
      <c r="B97" t="s">
        <v>11</v>
      </c>
    </row>
    <row r="98" spans="1:4" x14ac:dyDescent="0.25">
      <c r="A98" s="183" t="s">
        <v>39</v>
      </c>
      <c r="B98" t="s">
        <v>44</v>
      </c>
    </row>
    <row r="100" spans="1:4" x14ac:dyDescent="0.25">
      <c r="A100" s="183" t="s">
        <v>7</v>
      </c>
      <c r="B100" s="183" t="s">
        <v>8</v>
      </c>
    </row>
    <row r="101" spans="1:4" x14ac:dyDescent="0.25">
      <c r="A101" s="183" t="s">
        <v>9</v>
      </c>
      <c r="B101" t="s">
        <v>45</v>
      </c>
      <c r="C101" t="s">
        <v>46</v>
      </c>
      <c r="D101" t="s">
        <v>13</v>
      </c>
    </row>
    <row r="102" spans="1:4" x14ac:dyDescent="0.25">
      <c r="A102" s="184" t="s">
        <v>16</v>
      </c>
      <c r="B102">
        <v>2</v>
      </c>
      <c r="D102">
        <v>2</v>
      </c>
    </row>
    <row r="103" spans="1:4" x14ac:dyDescent="0.25">
      <c r="A103" s="184" t="s">
        <v>20</v>
      </c>
      <c r="C103">
        <v>1</v>
      </c>
      <c r="D103">
        <v>1</v>
      </c>
    </row>
    <row r="104" spans="1:4" x14ac:dyDescent="0.25">
      <c r="A104" s="184" t="s">
        <v>13</v>
      </c>
      <c r="B104">
        <v>2</v>
      </c>
      <c r="C104">
        <v>1</v>
      </c>
      <c r="D104">
        <v>3</v>
      </c>
    </row>
    <row r="114" spans="1:12" ht="44.25" customHeight="1" x14ac:dyDescent="0.25">
      <c r="A114" s="240" t="s">
        <v>47</v>
      </c>
      <c r="B114" s="241"/>
      <c r="C114" s="241"/>
      <c r="D114" s="241"/>
      <c r="E114" s="241"/>
      <c r="F114" s="241"/>
      <c r="G114" s="241"/>
      <c r="H114" s="241"/>
      <c r="I114" s="241"/>
      <c r="J114" s="241"/>
      <c r="K114" s="241"/>
      <c r="L114" s="241"/>
    </row>
    <row r="116" spans="1:12" x14ac:dyDescent="0.25">
      <c r="A116" s="183" t="s">
        <v>3</v>
      </c>
      <c r="B116" t="s">
        <v>4</v>
      </c>
    </row>
    <row r="117" spans="1:12" x14ac:dyDescent="0.25">
      <c r="A117" s="183" t="s">
        <v>5</v>
      </c>
      <c r="B117" s="184">
        <v>2023</v>
      </c>
    </row>
    <row r="118" spans="1:12" x14ac:dyDescent="0.25">
      <c r="A118" s="183" t="s">
        <v>6</v>
      </c>
      <c r="B118" t="s">
        <v>4</v>
      </c>
    </row>
    <row r="119" spans="1:12" x14ac:dyDescent="0.25">
      <c r="A119" s="183" t="s">
        <v>24</v>
      </c>
      <c r="B119" t="s">
        <v>11</v>
      </c>
    </row>
    <row r="120" spans="1:12" x14ac:dyDescent="0.25">
      <c r="A120" s="183" t="s">
        <v>39</v>
      </c>
      <c r="B120" t="s">
        <v>44</v>
      </c>
    </row>
    <row r="122" spans="1:12" x14ac:dyDescent="0.25">
      <c r="A122" s="183" t="s">
        <v>7</v>
      </c>
      <c r="B122" s="183" t="s">
        <v>8</v>
      </c>
    </row>
    <row r="123" spans="1:12" x14ac:dyDescent="0.25">
      <c r="A123" s="183" t="s">
        <v>9</v>
      </c>
      <c r="B123" t="s">
        <v>45</v>
      </c>
      <c r="C123" t="s">
        <v>46</v>
      </c>
      <c r="D123" t="s">
        <v>13</v>
      </c>
    </row>
    <row r="124" spans="1:12" x14ac:dyDescent="0.25">
      <c r="A124" s="184" t="s">
        <v>16</v>
      </c>
      <c r="B124" s="4">
        <v>0.66666666666666663</v>
      </c>
      <c r="C124" s="4">
        <v>0</v>
      </c>
      <c r="D124" s="4">
        <v>0.66666666666666663</v>
      </c>
    </row>
    <row r="125" spans="1:12" x14ac:dyDescent="0.25">
      <c r="A125" s="184" t="s">
        <v>20</v>
      </c>
      <c r="B125" s="4">
        <v>0</v>
      </c>
      <c r="C125" s="4">
        <v>0.33333333333333331</v>
      </c>
      <c r="D125" s="4">
        <v>0.33333333333333331</v>
      </c>
    </row>
    <row r="126" spans="1:12" x14ac:dyDescent="0.25">
      <c r="A126" s="184" t="s">
        <v>13</v>
      </c>
      <c r="B126" s="4">
        <v>0.66666666666666663</v>
      </c>
      <c r="C126" s="4">
        <v>0.33333333333333331</v>
      </c>
      <c r="D126" s="4">
        <v>1</v>
      </c>
    </row>
    <row r="136" spans="1:12" ht="21" x14ac:dyDescent="0.25">
      <c r="A136" s="241" t="s">
        <v>48</v>
      </c>
      <c r="B136" s="241"/>
      <c r="C136" s="241"/>
      <c r="D136" s="241"/>
      <c r="E136" s="241"/>
      <c r="F136" s="241"/>
      <c r="G136" s="241"/>
      <c r="H136" s="241"/>
      <c r="I136" s="241"/>
      <c r="J136" s="241"/>
      <c r="K136" s="241"/>
      <c r="L136" s="241"/>
    </row>
    <row r="138" spans="1:12" x14ac:dyDescent="0.25">
      <c r="A138" s="183" t="s">
        <v>3</v>
      </c>
      <c r="B138" t="s">
        <v>4</v>
      </c>
    </row>
    <row r="139" spans="1:12" x14ac:dyDescent="0.25">
      <c r="A139" s="183" t="s">
        <v>5</v>
      </c>
      <c r="B139" s="184">
        <v>2023</v>
      </c>
    </row>
    <row r="140" spans="1:12" x14ac:dyDescent="0.25">
      <c r="A140" s="183" t="s">
        <v>6</v>
      </c>
      <c r="B140" t="s">
        <v>4</v>
      </c>
    </row>
    <row r="141" spans="1:12" x14ac:dyDescent="0.25">
      <c r="A141" s="183" t="s">
        <v>24</v>
      </c>
      <c r="B141" t="s">
        <v>11</v>
      </c>
    </row>
    <row r="142" spans="1:12" x14ac:dyDescent="0.25">
      <c r="A142" s="183" t="s">
        <v>39</v>
      </c>
      <c r="B142" t="s">
        <v>44</v>
      </c>
    </row>
    <row r="144" spans="1:12" x14ac:dyDescent="0.25">
      <c r="A144" s="183" t="s">
        <v>40</v>
      </c>
      <c r="B144" s="183" t="s">
        <v>8</v>
      </c>
    </row>
    <row r="145" spans="1:12" x14ac:dyDescent="0.25">
      <c r="A145" s="183" t="s">
        <v>9</v>
      </c>
      <c r="B145" t="s">
        <v>45</v>
      </c>
      <c r="C145" t="s">
        <v>46</v>
      </c>
      <c r="D145" t="s">
        <v>13</v>
      </c>
    </row>
    <row r="146" spans="1:12" x14ac:dyDescent="0.25">
      <c r="A146" s="184" t="s">
        <v>16</v>
      </c>
      <c r="B146" s="185">
        <v>0</v>
      </c>
      <c r="C146" s="185"/>
      <c r="D146" s="185">
        <v>0</v>
      </c>
    </row>
    <row r="147" spans="1:12" x14ac:dyDescent="0.25">
      <c r="A147" s="184" t="s">
        <v>20</v>
      </c>
      <c r="B147" s="185"/>
      <c r="C147" s="185">
        <v>0</v>
      </c>
      <c r="D147" s="185">
        <v>0</v>
      </c>
    </row>
    <row r="148" spans="1:12" x14ac:dyDescent="0.25">
      <c r="A148" s="184" t="s">
        <v>13</v>
      </c>
      <c r="B148" s="185">
        <v>0</v>
      </c>
      <c r="C148" s="185">
        <v>0</v>
      </c>
      <c r="D148" s="185">
        <v>0</v>
      </c>
    </row>
    <row r="158" spans="1:12" ht="21" x14ac:dyDescent="0.25">
      <c r="A158" s="241" t="s">
        <v>49</v>
      </c>
      <c r="B158" s="241"/>
      <c r="C158" s="241"/>
      <c r="D158" s="241"/>
      <c r="E158" s="241"/>
      <c r="F158" s="241"/>
      <c r="G158" s="241"/>
      <c r="H158" s="241"/>
      <c r="I158" s="241"/>
      <c r="J158" s="241"/>
      <c r="K158" s="241"/>
      <c r="L158" s="241"/>
    </row>
    <row r="160" spans="1:12" x14ac:dyDescent="0.25">
      <c r="A160" s="183" t="s">
        <v>3</v>
      </c>
      <c r="B160" t="s">
        <v>4</v>
      </c>
    </row>
    <row r="161" spans="1:4" x14ac:dyDescent="0.25">
      <c r="A161" s="183" t="s">
        <v>5</v>
      </c>
      <c r="B161" s="184">
        <v>2023</v>
      </c>
    </row>
    <row r="162" spans="1:4" x14ac:dyDescent="0.25">
      <c r="A162" s="183" t="s">
        <v>6</v>
      </c>
      <c r="B162" t="s">
        <v>4</v>
      </c>
    </row>
    <row r="163" spans="1:4" x14ac:dyDescent="0.25">
      <c r="A163" s="183" t="s">
        <v>24</v>
      </c>
      <c r="B163" t="s">
        <v>11</v>
      </c>
    </row>
    <row r="164" spans="1:4" x14ac:dyDescent="0.25">
      <c r="A164" s="183" t="s">
        <v>39</v>
      </c>
      <c r="B164" t="s">
        <v>44</v>
      </c>
    </row>
    <row r="166" spans="1:4" x14ac:dyDescent="0.25">
      <c r="A166" s="183" t="s">
        <v>40</v>
      </c>
      <c r="B166" s="183" t="s">
        <v>8</v>
      </c>
    </row>
    <row r="167" spans="1:4" x14ac:dyDescent="0.25">
      <c r="A167" s="183" t="s">
        <v>9</v>
      </c>
      <c r="B167" t="s">
        <v>45</v>
      </c>
      <c r="C167" t="s">
        <v>46</v>
      </c>
      <c r="D167" t="s">
        <v>13</v>
      </c>
    </row>
    <row r="168" spans="1:4" x14ac:dyDescent="0.25">
      <c r="A168" s="184" t="s">
        <v>16</v>
      </c>
      <c r="B168" s="4" t="e">
        <v>#DIV/0!</v>
      </c>
      <c r="C168" s="4" t="e">
        <v>#DIV/0!</v>
      </c>
      <c r="D168" s="4" t="e">
        <v>#DIV/0!</v>
      </c>
    </row>
    <row r="169" spans="1:4" x14ac:dyDescent="0.25">
      <c r="A169" s="184" t="s">
        <v>20</v>
      </c>
      <c r="B169" s="4" t="e">
        <v>#DIV/0!</v>
      </c>
      <c r="C169" s="4" t="e">
        <v>#DIV/0!</v>
      </c>
      <c r="D169" s="4" t="e">
        <v>#DIV/0!</v>
      </c>
    </row>
    <row r="170" spans="1:4" x14ac:dyDescent="0.25">
      <c r="A170" s="184" t="s">
        <v>13</v>
      </c>
      <c r="B170" s="4" t="e">
        <v>#DIV/0!</v>
      </c>
      <c r="C170" s="4" t="e">
        <v>#DIV/0!</v>
      </c>
      <c r="D170" s="4" t="e">
        <v>#DIV/0!</v>
      </c>
    </row>
    <row r="180" spans="1:12" ht="21" x14ac:dyDescent="0.25">
      <c r="A180" s="241" t="s">
        <v>50</v>
      </c>
      <c r="B180" s="241"/>
      <c r="C180" s="241"/>
      <c r="D180" s="241"/>
      <c r="E180" s="241"/>
      <c r="F180" s="241"/>
      <c r="G180" s="241"/>
      <c r="H180" s="241"/>
      <c r="I180" s="241"/>
      <c r="J180" s="241"/>
      <c r="K180" s="241"/>
      <c r="L180" s="241"/>
    </row>
    <row r="182" spans="1:12" ht="62.25" customHeight="1" x14ac:dyDescent="0.25">
      <c r="A182" s="242" t="s">
        <v>51</v>
      </c>
      <c r="B182" s="242"/>
      <c r="C182" s="242"/>
      <c r="D182" s="242"/>
      <c r="E182" s="242"/>
      <c r="F182" s="242"/>
      <c r="G182" s="242"/>
      <c r="H182" s="242"/>
      <c r="I182" s="242"/>
      <c r="J182" s="242"/>
      <c r="K182" s="242"/>
      <c r="L182" s="242"/>
    </row>
  </sheetData>
  <sheetProtection algorithmName="SHA-512" hashValue="9N47WA9dS5+oa3+uAz6VU/GHWqCIMHSPPmn/TbPgE9E91jW1vn2gpfI2pITAkpkNlsJRV/sWvAmeE5vcif6qNg==" saltValue="kFJzF3u9ThJG17mFZ9ILEA==" spinCount="100000" sheet="1" objects="1" scenarios="1"/>
  <mergeCells count="15">
    <mergeCell ref="D1:L1"/>
    <mergeCell ref="A2:L2"/>
    <mergeCell ref="A3:L3"/>
    <mergeCell ref="A23:L23"/>
    <mergeCell ref="A25:L25"/>
    <mergeCell ref="A46:L46"/>
    <mergeCell ref="A67:L67"/>
    <mergeCell ref="A69:L69"/>
    <mergeCell ref="A90:L90"/>
    <mergeCell ref="A92:L92"/>
    <mergeCell ref="A114:L114"/>
    <mergeCell ref="A136:L136"/>
    <mergeCell ref="A158:L158"/>
    <mergeCell ref="A180:L180"/>
    <mergeCell ref="A182:L182"/>
  </mergeCells>
  <pageMargins left="0.7" right="0.7" top="0.75" bottom="0.75" header="0.3" footer="0.3"/>
  <drawing r:id="rId1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5C0E9-F778-4C42-9B43-BEFEC62AAACC}">
  <dimension ref="A1:BC1267"/>
  <sheetViews>
    <sheetView tabSelected="1" topLeftCell="G1" zoomScale="115" zoomScaleNormal="115" workbookViewId="0">
      <pane ySplit="1" topLeftCell="A2" activePane="bottomLeft" state="frozen"/>
      <selection pane="bottomLeft" activeCell="H1" sqref="H1"/>
    </sheetView>
  </sheetViews>
  <sheetFormatPr defaultColWidth="11.42578125" defaultRowHeight="15" x14ac:dyDescent="0.25"/>
  <cols>
    <col min="1" max="1" width="12.85546875" style="73" customWidth="1"/>
    <col min="2" max="2" width="27.140625" style="73" customWidth="1"/>
    <col min="3" max="3" width="11.42578125" style="73"/>
    <col min="4" max="4" width="36.7109375" style="73" customWidth="1"/>
    <col min="5" max="5" width="22.42578125" style="73" customWidth="1"/>
    <col min="6" max="6" width="9.42578125" style="73" customWidth="1"/>
    <col min="7" max="7" width="11.42578125" style="73"/>
    <col min="8" max="8" width="17.140625" style="73" customWidth="1"/>
    <col min="9" max="9" width="10.7109375" style="79" customWidth="1"/>
    <col min="10" max="11" width="10.42578125" style="79" hidden="1" customWidth="1"/>
    <col min="12" max="12" width="10.42578125" style="79" bestFit="1" customWidth="1"/>
    <col min="15" max="15" width="11.42578125" style="73" customWidth="1"/>
    <col min="16" max="16" width="11.42578125" style="73"/>
    <col min="17" max="17" width="12.85546875" style="73" customWidth="1"/>
    <col min="18" max="19" width="13.85546875" style="73" customWidth="1"/>
    <col min="20" max="20" width="13.28515625" style="73" customWidth="1"/>
    <col min="21" max="21" width="13" style="73" customWidth="1"/>
    <col min="22" max="23" width="13" style="80" bestFit="1" customWidth="1"/>
    <col min="24" max="24" width="8.7109375" style="73" customWidth="1"/>
    <col min="25" max="25" width="9.28515625" style="73" customWidth="1"/>
    <col min="26" max="26" width="10.140625" style="93" bestFit="1" customWidth="1"/>
    <col min="27" max="27" width="10.42578125" style="73" bestFit="1" customWidth="1"/>
    <col min="28" max="28" width="8.5703125" style="73" customWidth="1"/>
    <col min="29" max="29" width="11.42578125" style="73"/>
    <col min="30" max="30" width="11.7109375" style="73" bestFit="1" customWidth="1"/>
    <col min="31" max="31" width="11.42578125" style="73"/>
    <col min="32" max="32" width="11.7109375" style="73" bestFit="1" customWidth="1"/>
    <col min="33" max="33" width="12.42578125" style="79" customWidth="1"/>
    <col min="34" max="34" width="11.7109375" style="93" bestFit="1" customWidth="1"/>
    <col min="35" max="35" width="13.5703125" style="80" bestFit="1" customWidth="1"/>
    <col min="36" max="36" width="12.5703125" style="79" bestFit="1" customWidth="1"/>
    <col min="37" max="37" width="11.42578125" style="79"/>
    <col min="38" max="38" width="15.42578125" style="73" bestFit="1" customWidth="1"/>
    <col min="39" max="39" width="11.7109375" style="93" bestFit="1" customWidth="1"/>
    <col min="40" max="40" width="13.140625" style="73" bestFit="1" customWidth="1"/>
    <col min="41" max="41" width="12.7109375" style="220" bestFit="1" customWidth="1"/>
    <col min="45" max="45" width="11.42578125" style="73"/>
    <col min="46" max="46" width="11.5703125" style="73" customWidth="1"/>
    <col min="47" max="47" width="8.28515625" style="73" customWidth="1"/>
    <col min="48" max="48" width="9.5703125" style="73" customWidth="1"/>
    <col min="49" max="50" width="10" style="73" customWidth="1"/>
    <col min="51" max="51" width="8.85546875" style="73" customWidth="1"/>
    <col min="52" max="52" width="7" style="73" customWidth="1"/>
    <col min="56" max="56" width="11.7109375" style="73" bestFit="1" customWidth="1"/>
    <col min="57" max="57" width="12.7109375" style="73" bestFit="1" customWidth="1"/>
    <col min="58" max="59" width="11.42578125" style="73"/>
    <col min="60" max="60" width="13" style="73" customWidth="1"/>
    <col min="61" max="61" width="13.7109375" style="73" customWidth="1"/>
    <col min="62" max="62" width="15.28515625" style="73" customWidth="1"/>
    <col min="63" max="64" width="11.42578125" style="73"/>
    <col min="65" max="65" width="13.140625" style="73" customWidth="1"/>
    <col min="66" max="66" width="12.5703125" style="73" customWidth="1"/>
    <col min="67" max="67" width="16" style="73" customWidth="1"/>
    <col min="68" max="68" width="11.42578125" style="73"/>
    <col min="69" max="69" width="15" style="73" customWidth="1"/>
    <col min="70" max="70" width="12.85546875" style="73" customWidth="1"/>
    <col min="71" max="71" width="11.42578125" style="73"/>
    <col min="72" max="72" width="15.28515625" style="73" customWidth="1"/>
    <col min="73" max="73" width="14.140625" style="73" customWidth="1"/>
    <col min="74" max="74" width="12.5703125" style="73" customWidth="1"/>
    <col min="75" max="75" width="11.42578125" style="73"/>
    <col min="76" max="76" width="13" style="73" customWidth="1"/>
    <col min="77" max="77" width="14.28515625" style="73" customWidth="1"/>
    <col min="78" max="78" width="20" style="73" customWidth="1"/>
    <col min="79" max="80" width="11.42578125" style="73"/>
    <col min="81" max="81" width="12.28515625" style="73" customWidth="1"/>
    <col min="82" max="85" width="11.42578125" style="73"/>
    <col min="86" max="86" width="17.140625" style="73" customWidth="1"/>
    <col min="87" max="16384" width="11.42578125" style="73"/>
  </cols>
  <sheetData>
    <row r="1" spans="1:55" ht="23.25" thickBot="1" x14ac:dyDescent="0.25">
      <c r="A1" s="9" t="s">
        <v>53</v>
      </c>
      <c r="B1" s="1" t="s">
        <v>54</v>
      </c>
      <c r="C1" s="1" t="s">
        <v>55</v>
      </c>
      <c r="D1" s="1" t="s">
        <v>56</v>
      </c>
      <c r="E1" s="1" t="s">
        <v>57</v>
      </c>
      <c r="F1" s="1" t="s">
        <v>58</v>
      </c>
      <c r="G1" s="1" t="s">
        <v>59</v>
      </c>
      <c r="H1" s="1" t="s">
        <v>6</v>
      </c>
      <c r="I1" s="11" t="s">
        <v>60</v>
      </c>
      <c r="J1" s="11" t="s">
        <v>3</v>
      </c>
      <c r="K1" s="11" t="s">
        <v>5</v>
      </c>
      <c r="L1" s="11" t="s">
        <v>61</v>
      </c>
      <c r="M1" s="10" t="s">
        <v>62</v>
      </c>
      <c r="N1" s="13" t="s">
        <v>24</v>
      </c>
      <c r="O1" s="13" t="s">
        <v>63</v>
      </c>
      <c r="P1" s="13" t="s">
        <v>64</v>
      </c>
      <c r="Q1" s="14" t="s">
        <v>65</v>
      </c>
      <c r="R1" s="14" t="s">
        <v>66</v>
      </c>
      <c r="S1" s="14" t="s">
        <v>67</v>
      </c>
      <c r="T1" s="15" t="s">
        <v>68</v>
      </c>
      <c r="U1" s="15" t="s">
        <v>69</v>
      </c>
      <c r="V1" s="16" t="s">
        <v>70</v>
      </c>
      <c r="W1" s="16" t="s">
        <v>71</v>
      </c>
      <c r="X1" s="111" t="s">
        <v>72</v>
      </c>
      <c r="Y1" s="14" t="s">
        <v>73</v>
      </c>
      <c r="Z1" s="16" t="s">
        <v>74</v>
      </c>
      <c r="AA1" s="17" t="s">
        <v>75</v>
      </c>
      <c r="AB1" s="17" t="s">
        <v>76</v>
      </c>
      <c r="AC1" s="17" t="s">
        <v>77</v>
      </c>
      <c r="AD1" s="17" t="s">
        <v>78</v>
      </c>
      <c r="AE1" s="162" t="s">
        <v>79</v>
      </c>
      <c r="AF1" s="99" t="s">
        <v>80</v>
      </c>
      <c r="AG1" s="98" t="s">
        <v>81</v>
      </c>
      <c r="AH1" s="163" t="s">
        <v>82</v>
      </c>
      <c r="AI1" s="20" t="s">
        <v>39</v>
      </c>
      <c r="AJ1" s="216" t="s">
        <v>83</v>
      </c>
      <c r="AK1" s="221" t="s">
        <v>84</v>
      </c>
      <c r="AL1" s="21" t="s">
        <v>85</v>
      </c>
      <c r="AM1" s="101" t="s">
        <v>86</v>
      </c>
      <c r="AN1" s="21" t="s">
        <v>87</v>
      </c>
      <c r="AO1" s="216" t="s">
        <v>88</v>
      </c>
      <c r="AP1" s="21" t="s">
        <v>89</v>
      </c>
      <c r="AQ1" s="81" t="s">
        <v>90</v>
      </c>
      <c r="AR1" s="82" t="s">
        <v>91</v>
      </c>
      <c r="AS1" s="81" t="s">
        <v>92</v>
      </c>
      <c r="AT1" s="81" t="s">
        <v>93</v>
      </c>
      <c r="AU1" s="82" t="s">
        <v>94</v>
      </c>
      <c r="AV1" s="82" t="s">
        <v>95</v>
      </c>
      <c r="AW1" s="82" t="s">
        <v>96</v>
      </c>
      <c r="AX1" s="82" t="s">
        <v>97</v>
      </c>
      <c r="AY1" s="8" t="s">
        <v>98</v>
      </c>
      <c r="AZ1" s="8" t="s">
        <v>99</v>
      </c>
      <c r="BA1" s="8" t="s">
        <v>100</v>
      </c>
      <c r="BB1" s="72" t="s">
        <v>101</v>
      </c>
      <c r="BC1" s="73"/>
    </row>
    <row r="2" spans="1:55" x14ac:dyDescent="0.25">
      <c r="A2" s="22" t="s">
        <v>102</v>
      </c>
      <c r="B2" s="23" t="s">
        <v>103</v>
      </c>
      <c r="C2" s="23" t="s">
        <v>104</v>
      </c>
      <c r="D2" s="23" t="s">
        <v>105</v>
      </c>
      <c r="E2" s="24"/>
      <c r="F2" s="25"/>
      <c r="G2" s="23" t="s">
        <v>21</v>
      </c>
      <c r="H2" s="23" t="s">
        <v>106</v>
      </c>
      <c r="I2" s="2">
        <v>44495.625694444447</v>
      </c>
      <c r="J2" s="24">
        <f>MONTH(Tabla1[[#This Row],[Publicación]])</f>
        <v>10</v>
      </c>
      <c r="K2" s="24">
        <f>YEAR(Tabla1[[#This Row],[Publicación]])</f>
        <v>2021</v>
      </c>
      <c r="L2" s="2">
        <v>44502.657638888886</v>
      </c>
      <c r="M2" s="26">
        <v>44496.496527777781</v>
      </c>
      <c r="N2" s="25" t="s">
        <v>10</v>
      </c>
      <c r="O2" s="24" t="s">
        <v>27</v>
      </c>
      <c r="P2" s="24" t="s">
        <v>10</v>
      </c>
      <c r="Q2" s="2">
        <v>44495.699305555558</v>
      </c>
      <c r="R2" s="2">
        <v>44498.699305555558</v>
      </c>
      <c r="S2" s="26">
        <v>44509.616666666669</v>
      </c>
      <c r="T2" s="27">
        <v>0</v>
      </c>
      <c r="U2" s="28">
        <f>Tabla1[[#This Row],[PPTO]]/(1+'Lista Datos'!$B$1)</f>
        <v>0</v>
      </c>
      <c r="V2" s="23"/>
      <c r="W2" s="18" t="s">
        <v>10</v>
      </c>
      <c r="X2" s="102">
        <v>0</v>
      </c>
      <c r="Y2" s="18"/>
      <c r="Z2" s="18" t="s">
        <v>10</v>
      </c>
      <c r="AA2" s="23"/>
      <c r="AB2" s="23"/>
      <c r="AC2" s="23"/>
      <c r="AD2" s="23"/>
      <c r="AE2" s="29">
        <f>Tabla1[[#This Row],[Cierre]]+Tabla1[[#This Row],[Vigencia Oferta (días)]]</f>
        <v>44502.657638888886</v>
      </c>
      <c r="AF2" s="100"/>
      <c r="AG2" s="97"/>
      <c r="AH2" s="164">
        <f>Tabla1[[#This Row],[Unidades2]]*Tabla1[[#This Row],[Precio Unitario]]</f>
        <v>0</v>
      </c>
      <c r="AI2" s="23" t="s">
        <v>44</v>
      </c>
      <c r="AJ2" s="26">
        <v>44543</v>
      </c>
      <c r="AK2" s="172">
        <f>Tabla1[[#This Row],[Fecha Vigencia]]-AJ2</f>
        <v>-40.34236111111386</v>
      </c>
      <c r="AL2" s="23" t="s">
        <v>46</v>
      </c>
      <c r="AM2" s="87">
        <v>66000</v>
      </c>
      <c r="AN2" s="23"/>
      <c r="AO2" s="29"/>
      <c r="AP2" s="23"/>
      <c r="AQ2" s="23" t="s">
        <v>107</v>
      </c>
      <c r="AR2" s="23" t="s">
        <v>10</v>
      </c>
      <c r="AS2" s="23"/>
      <c r="AT2" s="23"/>
      <c r="AU2" s="23"/>
      <c r="AV2" s="23"/>
      <c r="AW2" s="23" t="s">
        <v>108</v>
      </c>
      <c r="AX2" t="s">
        <v>109</v>
      </c>
      <c r="AY2" s="30"/>
      <c r="AZ2" s="30"/>
      <c r="BA2" s="30"/>
      <c r="BB2" s="75"/>
      <c r="BC2" s="73"/>
    </row>
    <row r="3" spans="1:55" x14ac:dyDescent="0.25">
      <c r="A3" s="22" t="s">
        <v>110</v>
      </c>
      <c r="B3" s="23" t="s">
        <v>111</v>
      </c>
      <c r="C3" s="23" t="s">
        <v>112</v>
      </c>
      <c r="D3" s="23" t="s">
        <v>113</v>
      </c>
      <c r="E3" s="24"/>
      <c r="F3" s="25"/>
      <c r="G3" s="23" t="s">
        <v>19</v>
      </c>
      <c r="H3" s="23" t="s">
        <v>114</v>
      </c>
      <c r="I3" s="2">
        <v>44481.502638888887</v>
      </c>
      <c r="J3" s="24">
        <f>MONTH(Tabla1[[#This Row],[Publicación]])</f>
        <v>10</v>
      </c>
      <c r="K3" s="24">
        <f>YEAR(Tabla1[[#This Row],[Publicación]])</f>
        <v>2021</v>
      </c>
      <c r="L3" s="2">
        <v>44503.666666666664</v>
      </c>
      <c r="M3" s="26">
        <v>44496.496527777781</v>
      </c>
      <c r="N3" s="25" t="s">
        <v>11</v>
      </c>
      <c r="O3" s="24"/>
      <c r="P3" s="24" t="s">
        <v>11</v>
      </c>
      <c r="Q3" s="2">
        <v>44482.416666666664</v>
      </c>
      <c r="R3" s="2">
        <v>44496.75</v>
      </c>
      <c r="S3" s="26">
        <v>44685.75</v>
      </c>
      <c r="T3" s="27">
        <v>0</v>
      </c>
      <c r="U3" s="28">
        <f>Tabla1[[#This Row],[PPTO]]/(1+'Lista Datos'!$B$1)</f>
        <v>0</v>
      </c>
      <c r="V3" s="23"/>
      <c r="W3" s="18" t="s">
        <v>11</v>
      </c>
      <c r="X3" s="102">
        <v>500000</v>
      </c>
      <c r="Y3" s="26">
        <v>44809</v>
      </c>
      <c r="Z3" s="18" t="s">
        <v>10</v>
      </c>
      <c r="AA3" s="23"/>
      <c r="AB3" s="23"/>
      <c r="AC3" s="23" t="s">
        <v>10</v>
      </c>
      <c r="AD3" s="23"/>
      <c r="AE3" s="29">
        <f>Tabla1[[#This Row],[Cierre]]+Tabla1[[#This Row],[Vigencia Oferta (días)]]</f>
        <v>44503.666666666664</v>
      </c>
      <c r="AF3" s="87"/>
      <c r="AG3" s="28"/>
      <c r="AH3" s="164">
        <f>Tabla1[[#This Row],[Unidades2]]*Tabla1[[#This Row],[Precio Unitario]]</f>
        <v>0</v>
      </c>
      <c r="AI3" s="23" t="s">
        <v>44</v>
      </c>
      <c r="AJ3" s="26">
        <v>44649</v>
      </c>
      <c r="AK3" s="172">
        <f>Tabla1[[#This Row],[Fecha Vigencia]]-AJ3</f>
        <v>-145.33333333333576</v>
      </c>
      <c r="AL3" s="23" t="s">
        <v>115</v>
      </c>
      <c r="AM3" s="87">
        <v>109239400</v>
      </c>
      <c r="AN3" s="23"/>
      <c r="AO3" s="29"/>
      <c r="AP3" s="23"/>
      <c r="AQ3" s="23" t="s">
        <v>116</v>
      </c>
      <c r="AR3" s="23" t="s">
        <v>11</v>
      </c>
      <c r="AS3" s="33">
        <v>0.05</v>
      </c>
      <c r="AT3" s="29">
        <v>45722</v>
      </c>
      <c r="AU3" s="23"/>
      <c r="AV3" s="23"/>
      <c r="AW3" s="23" t="s">
        <v>117</v>
      </c>
      <c r="AX3" t="s">
        <v>118</v>
      </c>
      <c r="AY3" s="23"/>
      <c r="AZ3" s="23"/>
      <c r="BA3" s="23"/>
      <c r="BB3" s="32"/>
      <c r="BC3" s="73"/>
    </row>
    <row r="4" spans="1:55" x14ac:dyDescent="0.25">
      <c r="A4" s="22" t="s">
        <v>119</v>
      </c>
      <c r="B4" s="23" t="s">
        <v>120</v>
      </c>
      <c r="C4" s="23" t="s">
        <v>121</v>
      </c>
      <c r="D4" s="23" t="s">
        <v>122</v>
      </c>
      <c r="E4" s="24"/>
      <c r="F4" s="25"/>
      <c r="G4" s="23" t="s">
        <v>16</v>
      </c>
      <c r="H4" s="23" t="s">
        <v>123</v>
      </c>
      <c r="I4" s="2">
        <v>44481.359467592592</v>
      </c>
      <c r="J4" s="24">
        <f>MONTH(Tabla1[[#This Row],[Publicación]])</f>
        <v>10</v>
      </c>
      <c r="K4" s="24">
        <f>YEAR(Tabla1[[#This Row],[Publicación]])</f>
        <v>2021</v>
      </c>
      <c r="L4" s="2">
        <v>44503.708333333336</v>
      </c>
      <c r="M4" s="26">
        <v>44496.496527777781</v>
      </c>
      <c r="N4" s="25" t="s">
        <v>10</v>
      </c>
      <c r="O4" s="24" t="s">
        <v>25</v>
      </c>
      <c r="P4" s="24" t="s">
        <v>10</v>
      </c>
      <c r="Q4" s="2">
        <v>44487.59375</v>
      </c>
      <c r="R4" s="2">
        <v>44490.75</v>
      </c>
      <c r="S4" s="26">
        <v>44585.708333333336</v>
      </c>
      <c r="T4" s="27">
        <v>0</v>
      </c>
      <c r="U4" s="28">
        <f>Tabla1[[#This Row],[PPTO]]/(1+'Lista Datos'!$B$1)</f>
        <v>0</v>
      </c>
      <c r="V4" s="23"/>
      <c r="W4" s="18" t="s">
        <v>11</v>
      </c>
      <c r="X4" s="102">
        <v>200000</v>
      </c>
      <c r="Y4" s="26">
        <v>44603</v>
      </c>
      <c r="Z4" s="18" t="s">
        <v>10</v>
      </c>
      <c r="AA4" s="23"/>
      <c r="AB4" s="23"/>
      <c r="AC4" s="23"/>
      <c r="AD4" s="23"/>
      <c r="AE4" s="29">
        <f>Tabla1[[#This Row],[Cierre]]+Tabla1[[#This Row],[Vigencia Oferta (días)]]</f>
        <v>44503.708333333336</v>
      </c>
      <c r="AF4" s="87"/>
      <c r="AG4" s="28"/>
      <c r="AH4" s="164">
        <f>Tabla1[[#This Row],[Unidades2]]*Tabla1[[#This Row],[Precio Unitario]]</f>
        <v>0</v>
      </c>
      <c r="AI4" s="23" t="s">
        <v>44</v>
      </c>
      <c r="AJ4" s="26">
        <v>44530</v>
      </c>
      <c r="AK4" s="172">
        <f>Tabla1[[#This Row],[Fecha Vigencia]]-AJ4</f>
        <v>-26.291666666664241</v>
      </c>
      <c r="AL4" s="23" t="s">
        <v>45</v>
      </c>
      <c r="AM4" s="87">
        <v>189347588</v>
      </c>
      <c r="AN4" s="23"/>
      <c r="AO4" s="29"/>
      <c r="AP4" s="23"/>
      <c r="AQ4" s="23" t="s">
        <v>124</v>
      </c>
      <c r="AR4" s="23" t="s">
        <v>11</v>
      </c>
      <c r="AS4" s="33">
        <v>0.05</v>
      </c>
      <c r="AT4" s="29">
        <v>45812</v>
      </c>
      <c r="AU4" s="23"/>
      <c r="AV4" s="23"/>
      <c r="AW4" s="23" t="s">
        <v>125</v>
      </c>
      <c r="AX4" t="s">
        <v>126</v>
      </c>
      <c r="AY4" s="23"/>
      <c r="AZ4" s="23"/>
      <c r="BA4" s="23"/>
      <c r="BB4" s="32"/>
      <c r="BC4" s="73"/>
    </row>
    <row r="5" spans="1:55" x14ac:dyDescent="0.25">
      <c r="A5" s="22" t="s">
        <v>127</v>
      </c>
      <c r="B5" s="23" t="s">
        <v>128</v>
      </c>
      <c r="C5" s="23" t="s">
        <v>129</v>
      </c>
      <c r="D5" s="23" t="s">
        <v>130</v>
      </c>
      <c r="E5" s="24"/>
      <c r="F5" s="25"/>
      <c r="G5" s="23" t="s">
        <v>21</v>
      </c>
      <c r="H5" s="23" t="s">
        <v>106</v>
      </c>
      <c r="I5" s="2">
        <v>44495.753101851849</v>
      </c>
      <c r="J5" s="24">
        <f>MONTH(Tabla1[[#This Row],[Publicación]])</f>
        <v>10</v>
      </c>
      <c r="K5" s="24">
        <f>YEAR(Tabla1[[#This Row],[Publicación]])</f>
        <v>2021</v>
      </c>
      <c r="L5" s="2">
        <v>44503.729166666664</v>
      </c>
      <c r="M5" s="26">
        <v>44496.456944444442</v>
      </c>
      <c r="N5" s="25" t="s">
        <v>11</v>
      </c>
      <c r="O5" s="24"/>
      <c r="P5" s="24" t="s">
        <v>11</v>
      </c>
      <c r="Q5" s="2">
        <v>44495.825694444444</v>
      </c>
      <c r="R5" s="2">
        <v>44502.70208333333</v>
      </c>
      <c r="S5" s="26">
        <v>44512</v>
      </c>
      <c r="T5" s="27">
        <v>0</v>
      </c>
      <c r="U5" s="28">
        <f>Tabla1[[#This Row],[PPTO]]/(1+'Lista Datos'!$B$1)</f>
        <v>0</v>
      </c>
      <c r="V5" s="23"/>
      <c r="W5" s="18" t="s">
        <v>10</v>
      </c>
      <c r="X5" s="102">
        <v>0</v>
      </c>
      <c r="Y5" s="18"/>
      <c r="Z5" s="18" t="s">
        <v>10</v>
      </c>
      <c r="AA5" s="23"/>
      <c r="AB5" s="23"/>
      <c r="AC5" s="23" t="s">
        <v>10</v>
      </c>
      <c r="AD5" s="23"/>
      <c r="AE5" s="29">
        <f>Tabla1[[#This Row],[Cierre]]+Tabla1[[#This Row],[Vigencia Oferta (días)]]</f>
        <v>44503.729166666664</v>
      </c>
      <c r="AF5" s="87"/>
      <c r="AG5" s="28"/>
      <c r="AH5" s="164">
        <f>Tabla1[[#This Row],[Unidades2]]*Tabla1[[#This Row],[Precio Unitario]]</f>
        <v>0</v>
      </c>
      <c r="AI5" s="23" t="s">
        <v>44</v>
      </c>
      <c r="AJ5" s="26">
        <v>44515.433275462965</v>
      </c>
      <c r="AK5" s="172">
        <f>Tabla1[[#This Row],[Fecha Vigencia]]-AJ5</f>
        <v>-11.704108796300716</v>
      </c>
      <c r="AL5" s="23" t="s">
        <v>46</v>
      </c>
      <c r="AM5" s="87">
        <v>24200</v>
      </c>
      <c r="AN5" s="23"/>
      <c r="AO5" s="29"/>
      <c r="AP5" s="23"/>
      <c r="AQ5" s="23" t="s">
        <v>131</v>
      </c>
      <c r="AR5" s="23" t="s">
        <v>10</v>
      </c>
      <c r="AS5" s="23"/>
      <c r="AT5" s="23" t="s">
        <v>10</v>
      </c>
      <c r="AU5" s="23"/>
      <c r="AV5" s="23"/>
      <c r="AW5" s="23" t="s">
        <v>125</v>
      </c>
      <c r="AX5" t="s">
        <v>132</v>
      </c>
      <c r="AY5" s="23"/>
      <c r="AZ5" s="23"/>
      <c r="BA5" s="23"/>
      <c r="BB5" s="32"/>
      <c r="BC5" s="73"/>
    </row>
    <row r="6" spans="1:55" x14ac:dyDescent="0.25">
      <c r="A6" s="22" t="s">
        <v>133</v>
      </c>
      <c r="B6" s="23" t="s">
        <v>134</v>
      </c>
      <c r="C6" s="23" t="s">
        <v>135</v>
      </c>
      <c r="D6" s="34" t="s">
        <v>136</v>
      </c>
      <c r="E6" s="24"/>
      <c r="F6" s="25"/>
      <c r="G6" s="23" t="s">
        <v>16</v>
      </c>
      <c r="H6" s="23" t="s">
        <v>123</v>
      </c>
      <c r="I6" s="2">
        <v>44498.528912037036</v>
      </c>
      <c r="J6" s="24">
        <f>MONTH(Tabla1[[#This Row],[Publicación]])</f>
        <v>10</v>
      </c>
      <c r="K6" s="24">
        <f>YEAR(Tabla1[[#This Row],[Publicación]])</f>
        <v>2021</v>
      </c>
      <c r="L6" s="2">
        <v>44504.375</v>
      </c>
      <c r="M6" s="26">
        <v>44498.640277777777</v>
      </c>
      <c r="N6" s="25" t="s">
        <v>11</v>
      </c>
      <c r="O6" s="24"/>
      <c r="P6" s="24" t="s">
        <v>11</v>
      </c>
      <c r="Q6" s="2">
        <v>44498.542361111111</v>
      </c>
      <c r="R6" s="2">
        <v>44502.708333333336</v>
      </c>
      <c r="S6" s="26">
        <v>44524.632638888892</v>
      </c>
      <c r="T6" s="27">
        <v>0</v>
      </c>
      <c r="U6" s="28">
        <f>Tabla1[[#This Row],[PPTO]]/(1+'Lista Datos'!$B$1)</f>
        <v>0</v>
      </c>
      <c r="V6" s="23"/>
      <c r="W6" s="18" t="s">
        <v>10</v>
      </c>
      <c r="X6" s="102">
        <v>0</v>
      </c>
      <c r="Y6" s="18"/>
      <c r="Z6" s="18" t="s">
        <v>10</v>
      </c>
      <c r="AA6" s="23"/>
      <c r="AB6" s="23"/>
      <c r="AC6" s="23" t="s">
        <v>10</v>
      </c>
      <c r="AD6" s="23"/>
      <c r="AE6" s="29">
        <f>Tabla1[[#This Row],[Cierre]]+Tabla1[[#This Row],[Vigencia Oferta (días)]]</f>
        <v>44504.375</v>
      </c>
      <c r="AF6" s="87"/>
      <c r="AG6" s="28"/>
      <c r="AH6" s="164">
        <f>Tabla1[[#This Row],[Unidades2]]*Tabla1[[#This Row],[Precio Unitario]]</f>
        <v>0</v>
      </c>
      <c r="AI6" s="23" t="s">
        <v>137</v>
      </c>
      <c r="AJ6" s="26">
        <v>44517.457361111112</v>
      </c>
      <c r="AK6" s="172">
        <f>Tabla1[[#This Row],[Fecha Vigencia]]-AJ6</f>
        <v>-13.082361111111823</v>
      </c>
      <c r="AL6" s="23"/>
      <c r="AM6" s="87"/>
      <c r="AN6" s="23"/>
      <c r="AO6" s="29"/>
      <c r="AP6" s="23"/>
      <c r="AQ6" s="34" t="s">
        <v>138</v>
      </c>
      <c r="AR6" s="23" t="s">
        <v>10</v>
      </c>
      <c r="AS6" s="33">
        <v>0</v>
      </c>
      <c r="AT6" s="23" t="s">
        <v>10</v>
      </c>
      <c r="AU6" s="23"/>
      <c r="AV6" s="23"/>
      <c r="AW6" s="23" t="s">
        <v>139</v>
      </c>
      <c r="AX6" t="s">
        <v>140</v>
      </c>
      <c r="AY6" s="23"/>
      <c r="AZ6" s="23"/>
      <c r="BA6" s="23"/>
      <c r="BB6" s="32"/>
      <c r="BC6" s="73"/>
    </row>
    <row r="7" spans="1:55" x14ac:dyDescent="0.25">
      <c r="A7" s="22" t="s">
        <v>141</v>
      </c>
      <c r="B7" s="23" t="s">
        <v>142</v>
      </c>
      <c r="C7" s="23" t="s">
        <v>143</v>
      </c>
      <c r="D7" s="23" t="s">
        <v>144</v>
      </c>
      <c r="E7" s="24"/>
      <c r="F7" s="25"/>
      <c r="G7" s="23" t="s">
        <v>16</v>
      </c>
      <c r="H7" s="23" t="s">
        <v>145</v>
      </c>
      <c r="I7" s="2">
        <v>44488.640856481485</v>
      </c>
      <c r="J7" s="24">
        <f>MONTH(Tabla1[[#This Row],[Publicación]])</f>
        <v>10</v>
      </c>
      <c r="K7" s="24">
        <f>YEAR(Tabla1[[#This Row],[Publicación]])</f>
        <v>2021</v>
      </c>
      <c r="L7" s="2">
        <v>44504.625</v>
      </c>
      <c r="M7" s="26">
        <v>44489.697916666664</v>
      </c>
      <c r="N7" s="25" t="s">
        <v>10</v>
      </c>
      <c r="O7" s="24" t="s">
        <v>25</v>
      </c>
      <c r="P7" s="24" t="s">
        <v>10</v>
      </c>
      <c r="Q7" s="2">
        <v>44488.645833333336</v>
      </c>
      <c r="R7" s="2">
        <v>44503.604166666664</v>
      </c>
      <c r="S7" s="26">
        <v>44565.75</v>
      </c>
      <c r="T7" s="27">
        <v>0</v>
      </c>
      <c r="U7" s="28">
        <f>Tabla1[[#This Row],[PPTO]]/(1+'Lista Datos'!$B$1)</f>
        <v>0</v>
      </c>
      <c r="V7" s="23"/>
      <c r="W7" s="18" t="s">
        <v>10</v>
      </c>
      <c r="X7" s="102">
        <v>0</v>
      </c>
      <c r="Y7" s="18" t="s">
        <v>146</v>
      </c>
      <c r="Z7" s="18" t="s">
        <v>10</v>
      </c>
      <c r="AA7" s="23"/>
      <c r="AB7" s="23"/>
      <c r="AC7" s="23"/>
      <c r="AD7" s="23"/>
      <c r="AE7" s="29">
        <f>Tabla1[[#This Row],[Cierre]]+Tabla1[[#This Row],[Vigencia Oferta (días)]]</f>
        <v>44504.625</v>
      </c>
      <c r="AF7" s="87"/>
      <c r="AG7" s="28"/>
      <c r="AH7" s="164">
        <f>Tabla1[[#This Row],[Unidades2]]*Tabla1[[#This Row],[Precio Unitario]]</f>
        <v>0</v>
      </c>
      <c r="AI7" s="23" t="s">
        <v>44</v>
      </c>
      <c r="AJ7" s="26">
        <v>44537</v>
      </c>
      <c r="AK7" s="172">
        <f>Tabla1[[#This Row],[Fecha Vigencia]]-AJ7</f>
        <v>-32.375</v>
      </c>
      <c r="AL7" s="23" t="s">
        <v>45</v>
      </c>
      <c r="AM7" s="87">
        <v>168396159</v>
      </c>
      <c r="AN7" s="23"/>
      <c r="AO7" s="29"/>
      <c r="AP7" s="23"/>
      <c r="AQ7" s="23" t="s">
        <v>147</v>
      </c>
      <c r="AR7" s="23" t="s">
        <v>11</v>
      </c>
      <c r="AS7" s="33">
        <v>0.05</v>
      </c>
      <c r="AT7" s="29">
        <v>45751</v>
      </c>
      <c r="AU7" s="23"/>
      <c r="AV7" s="23"/>
      <c r="AW7" s="23" t="s">
        <v>148</v>
      </c>
      <c r="AX7" t="s">
        <v>149</v>
      </c>
      <c r="AY7" s="23"/>
      <c r="AZ7" s="23"/>
      <c r="BA7" s="23"/>
      <c r="BB7" s="32"/>
      <c r="BC7" s="73"/>
    </row>
    <row r="8" spans="1:55" x14ac:dyDescent="0.25">
      <c r="A8" s="22" t="s">
        <v>150</v>
      </c>
      <c r="B8" s="23" t="s">
        <v>151</v>
      </c>
      <c r="C8" s="23" t="s">
        <v>152</v>
      </c>
      <c r="D8" s="23" t="s">
        <v>153</v>
      </c>
      <c r="E8" s="24"/>
      <c r="F8" s="25"/>
      <c r="G8" s="23" t="s">
        <v>21</v>
      </c>
      <c r="H8" s="23" t="s">
        <v>106</v>
      </c>
      <c r="I8" s="2">
        <v>44494.737592592595</v>
      </c>
      <c r="J8" s="24">
        <f>MONTH(Tabla1[[#This Row],[Publicación]])</f>
        <v>10</v>
      </c>
      <c r="K8" s="24">
        <f>YEAR(Tabla1[[#This Row],[Publicación]])</f>
        <v>2021</v>
      </c>
      <c r="L8" s="2">
        <v>44504.693055555559</v>
      </c>
      <c r="M8" s="26">
        <v>44495.547222222223</v>
      </c>
      <c r="N8" s="25" t="s">
        <v>11</v>
      </c>
      <c r="O8" s="24"/>
      <c r="P8" s="24" t="s">
        <v>11</v>
      </c>
      <c r="Q8" s="2">
        <v>44494.826388888891</v>
      </c>
      <c r="R8" s="2">
        <v>44502.826388888891</v>
      </c>
      <c r="S8" s="26">
        <v>44586.693749999999</v>
      </c>
      <c r="T8" s="27">
        <v>0</v>
      </c>
      <c r="U8" s="28">
        <f>Tabla1[[#This Row],[PPTO]]/(1+'Lista Datos'!$B$1)</f>
        <v>0</v>
      </c>
      <c r="V8" s="23"/>
      <c r="W8" s="18" t="s">
        <v>10</v>
      </c>
      <c r="X8" s="102">
        <v>0</v>
      </c>
      <c r="Y8" s="18" t="s">
        <v>146</v>
      </c>
      <c r="Z8" s="18" t="s">
        <v>10</v>
      </c>
      <c r="AA8" s="23"/>
      <c r="AB8" s="23"/>
      <c r="AC8" s="23" t="s">
        <v>10</v>
      </c>
      <c r="AD8" s="23"/>
      <c r="AE8" s="29">
        <f>Tabla1[[#This Row],[Cierre]]+Tabla1[[#This Row],[Vigencia Oferta (días)]]</f>
        <v>44504.693055555559</v>
      </c>
      <c r="AF8" s="87"/>
      <c r="AG8" s="28"/>
      <c r="AH8" s="164">
        <f>Tabla1[[#This Row],[Unidades2]]*Tabla1[[#This Row],[Precio Unitario]]</f>
        <v>0</v>
      </c>
      <c r="AI8" s="23" t="s">
        <v>44</v>
      </c>
      <c r="AJ8" s="26">
        <v>44524.513645833336</v>
      </c>
      <c r="AK8" s="172">
        <f>Tabla1[[#This Row],[Fecha Vigencia]]-AJ8</f>
        <v>-19.820590277777228</v>
      </c>
      <c r="AL8" s="23" t="s">
        <v>46</v>
      </c>
      <c r="AM8" s="87">
        <v>380000</v>
      </c>
      <c r="AN8" s="23"/>
      <c r="AO8" s="29"/>
      <c r="AP8" s="23"/>
      <c r="AQ8" s="23" t="s">
        <v>154</v>
      </c>
      <c r="AR8" s="23" t="s">
        <v>10</v>
      </c>
      <c r="AS8" s="23"/>
      <c r="AT8" s="23"/>
      <c r="AU8" s="23"/>
      <c r="AV8" s="23"/>
      <c r="AW8" s="23" t="s">
        <v>155</v>
      </c>
      <c r="AX8" t="s">
        <v>156</v>
      </c>
      <c r="AY8" s="23"/>
      <c r="AZ8" s="23"/>
      <c r="BA8" s="23"/>
      <c r="BB8" s="32"/>
      <c r="BC8" s="73"/>
    </row>
    <row r="9" spans="1:55" x14ac:dyDescent="0.25">
      <c r="A9" s="22" t="s">
        <v>157</v>
      </c>
      <c r="B9" s="23" t="s">
        <v>158</v>
      </c>
      <c r="C9" s="23" t="s">
        <v>159</v>
      </c>
      <c r="D9" s="23" t="s">
        <v>160</v>
      </c>
      <c r="E9" s="24"/>
      <c r="F9" s="25"/>
      <c r="G9" s="23" t="s">
        <v>16</v>
      </c>
      <c r="H9" s="23" t="s">
        <v>145</v>
      </c>
      <c r="I9" s="2">
        <v>44495.549479166664</v>
      </c>
      <c r="J9" s="24">
        <f>MONTH(Tabla1[[#This Row],[Publicación]])</f>
        <v>10</v>
      </c>
      <c r="K9" s="24">
        <f>YEAR(Tabla1[[#This Row],[Publicación]])</f>
        <v>2021</v>
      </c>
      <c r="L9" s="2">
        <v>44505.420138888891</v>
      </c>
      <c r="M9" s="26">
        <v>44495.661805555559</v>
      </c>
      <c r="N9" s="25" t="s">
        <v>10</v>
      </c>
      <c r="O9" s="24" t="s">
        <v>25</v>
      </c>
      <c r="P9" s="24" t="s">
        <v>10</v>
      </c>
      <c r="Q9" s="2">
        <v>44495.704861111109</v>
      </c>
      <c r="R9" s="2">
        <v>44495.704861111109</v>
      </c>
      <c r="S9" s="26">
        <v>44565.42083333333</v>
      </c>
      <c r="T9" s="27">
        <v>0</v>
      </c>
      <c r="U9" s="28">
        <f>Tabla1[[#This Row],[PPTO]]/(1+'Lista Datos'!$B$1)</f>
        <v>0</v>
      </c>
      <c r="V9" s="23"/>
      <c r="W9" s="18" t="s">
        <v>10</v>
      </c>
      <c r="X9" s="102">
        <v>0</v>
      </c>
      <c r="Y9" s="18"/>
      <c r="Z9" s="18" t="s">
        <v>10</v>
      </c>
      <c r="AA9" s="23"/>
      <c r="AB9" s="23"/>
      <c r="AC9" s="23"/>
      <c r="AD9" s="23"/>
      <c r="AE9" s="29">
        <f>Tabla1[[#This Row],[Cierre]]+Tabla1[[#This Row],[Vigencia Oferta (días)]]</f>
        <v>44505.420138888891</v>
      </c>
      <c r="AF9" s="87"/>
      <c r="AG9" s="28"/>
      <c r="AH9" s="164">
        <f>Tabla1[[#This Row],[Unidades2]]*Tabla1[[#This Row],[Precio Unitario]]</f>
        <v>0</v>
      </c>
      <c r="AI9" s="23" t="s">
        <v>137</v>
      </c>
      <c r="AJ9" s="26"/>
      <c r="AK9" s="172">
        <f>Tabla1[[#This Row],[Fecha Vigencia]]-AJ9</f>
        <v>44505.420138888891</v>
      </c>
      <c r="AL9" s="23"/>
      <c r="AM9" s="87"/>
      <c r="AN9" s="23"/>
      <c r="AO9" s="29"/>
      <c r="AP9" s="23"/>
      <c r="AQ9" s="23" t="s">
        <v>161</v>
      </c>
      <c r="AR9" s="23" t="s">
        <v>10</v>
      </c>
      <c r="AS9" s="23"/>
      <c r="AT9" s="23"/>
      <c r="AU9" s="23"/>
      <c r="AV9" s="23"/>
      <c r="AW9" s="23" t="s">
        <v>162</v>
      </c>
      <c r="AX9" t="s">
        <v>163</v>
      </c>
      <c r="AY9" s="23"/>
      <c r="AZ9" s="23"/>
      <c r="BA9" s="23"/>
      <c r="BB9" s="32"/>
      <c r="BC9" s="73"/>
    </row>
    <row r="10" spans="1:55" x14ac:dyDescent="0.25">
      <c r="A10" s="22" t="s">
        <v>164</v>
      </c>
      <c r="B10" s="23" t="s">
        <v>165</v>
      </c>
      <c r="C10" s="23" t="s">
        <v>166</v>
      </c>
      <c r="D10" s="23" t="s">
        <v>167</v>
      </c>
      <c r="E10" s="24"/>
      <c r="F10" s="25"/>
      <c r="G10" s="23" t="s">
        <v>16</v>
      </c>
      <c r="H10" s="23" t="s">
        <v>168</v>
      </c>
      <c r="I10" s="2">
        <v>44491.58902777778</v>
      </c>
      <c r="J10" s="24">
        <f>MONTH(Tabla1[[#This Row],[Publicación]])</f>
        <v>10</v>
      </c>
      <c r="K10" s="24">
        <f>YEAR(Tabla1[[#This Row],[Publicación]])</f>
        <v>2021</v>
      </c>
      <c r="L10" s="2">
        <v>44508.645833333336</v>
      </c>
      <c r="M10" s="26">
        <v>44494.488888888889</v>
      </c>
      <c r="N10" s="25" t="s">
        <v>10</v>
      </c>
      <c r="O10" s="24" t="s">
        <v>25</v>
      </c>
      <c r="P10" s="24" t="s">
        <v>10</v>
      </c>
      <c r="Q10" s="2">
        <v>44491.604861111111</v>
      </c>
      <c r="R10" s="2">
        <v>44503.75</v>
      </c>
      <c r="S10" s="26">
        <v>44537.75</v>
      </c>
      <c r="T10" s="27">
        <v>0</v>
      </c>
      <c r="U10" s="28">
        <f>Tabla1[[#This Row],[PPTO]]/(1+'Lista Datos'!$B$1)</f>
        <v>0</v>
      </c>
      <c r="V10" s="23"/>
      <c r="W10" s="18" t="s">
        <v>10</v>
      </c>
      <c r="X10" s="102">
        <v>0</v>
      </c>
      <c r="Y10" s="18" t="s">
        <v>146</v>
      </c>
      <c r="Z10" s="18" t="s">
        <v>10</v>
      </c>
      <c r="AA10" s="23"/>
      <c r="AB10" s="23"/>
      <c r="AC10" s="23"/>
      <c r="AD10" s="23"/>
      <c r="AE10" s="29">
        <f>Tabla1[[#This Row],[Cierre]]+Tabla1[[#This Row],[Vigencia Oferta (días)]]</f>
        <v>44508.645833333336</v>
      </c>
      <c r="AF10" s="87"/>
      <c r="AG10" s="28"/>
      <c r="AH10" s="164">
        <f>Tabla1[[#This Row],[Unidades2]]*Tabla1[[#This Row],[Precio Unitario]]</f>
        <v>0</v>
      </c>
      <c r="AI10" s="23" t="s">
        <v>44</v>
      </c>
      <c r="AJ10" s="26">
        <v>44532.628275462965</v>
      </c>
      <c r="AK10" s="172">
        <f>Tabla1[[#This Row],[Fecha Vigencia]]-AJ10</f>
        <v>-23.982442129628907</v>
      </c>
      <c r="AL10" s="23" t="s">
        <v>46</v>
      </c>
      <c r="AM10" s="87">
        <v>25000000</v>
      </c>
      <c r="AN10" s="23"/>
      <c r="AO10" s="29"/>
      <c r="AP10" s="23"/>
      <c r="AQ10" s="23" t="s">
        <v>169</v>
      </c>
      <c r="AR10" s="23" t="s">
        <v>11</v>
      </c>
      <c r="AS10" s="23">
        <v>1250000</v>
      </c>
      <c r="AT10" s="29">
        <v>45758</v>
      </c>
      <c r="AU10" s="23"/>
      <c r="AV10" s="23"/>
      <c r="AW10" s="23" t="s">
        <v>170</v>
      </c>
      <c r="AX10" t="s">
        <v>171</v>
      </c>
      <c r="AY10" s="23"/>
      <c r="AZ10" s="23"/>
      <c r="BA10" s="23"/>
      <c r="BB10" s="32"/>
      <c r="BC10" s="73"/>
    </row>
    <row r="11" spans="1:55" x14ac:dyDescent="0.25">
      <c r="A11" s="22" t="s">
        <v>172</v>
      </c>
      <c r="B11" s="23" t="s">
        <v>173</v>
      </c>
      <c r="C11" s="23" t="s">
        <v>174</v>
      </c>
      <c r="D11" s="23" t="s">
        <v>175</v>
      </c>
      <c r="E11" s="24"/>
      <c r="F11" s="25"/>
      <c r="G11" s="23" t="s">
        <v>20</v>
      </c>
      <c r="H11" s="23" t="s">
        <v>176</v>
      </c>
      <c r="I11" s="2">
        <v>44496.408391203702</v>
      </c>
      <c r="J11" s="24">
        <f>MONTH(Tabla1[[#This Row],[Publicación]])</f>
        <v>10</v>
      </c>
      <c r="K11" s="24">
        <f>YEAR(Tabla1[[#This Row],[Publicación]])</f>
        <v>2021</v>
      </c>
      <c r="L11" s="2">
        <v>44508.708333333336</v>
      </c>
      <c r="M11" s="26">
        <v>44497.364583333336</v>
      </c>
      <c r="N11" s="25" t="s">
        <v>10</v>
      </c>
      <c r="O11" s="24" t="s">
        <v>26</v>
      </c>
      <c r="P11" s="24" t="s">
        <v>10</v>
      </c>
      <c r="Q11" s="2">
        <v>44496.417361111111</v>
      </c>
      <c r="R11" s="2">
        <v>44503.75</v>
      </c>
      <c r="S11" s="26">
        <v>44509.78125</v>
      </c>
      <c r="T11" s="27">
        <v>0</v>
      </c>
      <c r="U11" s="28">
        <f>Tabla1[[#This Row],[PPTO]]/(1+'Lista Datos'!$B$1)</f>
        <v>0</v>
      </c>
      <c r="V11" s="23"/>
      <c r="W11" s="18" t="s">
        <v>10</v>
      </c>
      <c r="X11" s="102">
        <v>0</v>
      </c>
      <c r="Y11" s="18"/>
      <c r="Z11" s="18" t="s">
        <v>10</v>
      </c>
      <c r="AA11" s="23" t="s">
        <v>177</v>
      </c>
      <c r="AB11" s="23"/>
      <c r="AC11" s="23" t="s">
        <v>10</v>
      </c>
      <c r="AD11" s="23"/>
      <c r="AE11" s="29">
        <f>Tabla1[[#This Row],[Cierre]]+Tabla1[[#This Row],[Vigencia Oferta (días)]]</f>
        <v>44508.708333333336</v>
      </c>
      <c r="AF11" s="87"/>
      <c r="AG11" s="28"/>
      <c r="AH11" s="164">
        <f>Tabla1[[#This Row],[Unidades2]]*Tabla1[[#This Row],[Precio Unitario]]</f>
        <v>0</v>
      </c>
      <c r="AI11" s="23" t="s">
        <v>137</v>
      </c>
      <c r="AJ11" s="26"/>
      <c r="AK11" s="172">
        <f>Tabla1[[#This Row],[Fecha Vigencia]]-AJ11</f>
        <v>44508.708333333336</v>
      </c>
      <c r="AL11" s="23"/>
      <c r="AM11" s="87"/>
      <c r="AN11" s="23"/>
      <c r="AO11" s="29"/>
      <c r="AP11" s="23"/>
      <c r="AQ11" s="23" t="s">
        <v>178</v>
      </c>
      <c r="AR11" s="23" t="s">
        <v>11</v>
      </c>
      <c r="AS11" s="33">
        <v>0.05</v>
      </c>
      <c r="AT11" s="29"/>
      <c r="AU11" s="23"/>
      <c r="AV11" s="23"/>
      <c r="AW11" s="23" t="s">
        <v>179</v>
      </c>
      <c r="AX11" t="s">
        <v>180</v>
      </c>
      <c r="AY11" s="23"/>
      <c r="AZ11" s="23"/>
      <c r="BA11" s="23"/>
      <c r="BB11" s="32"/>
      <c r="BC11" s="73"/>
    </row>
    <row r="12" spans="1:55" x14ac:dyDescent="0.25">
      <c r="A12" s="22" t="s">
        <v>181</v>
      </c>
      <c r="B12" s="23" t="s">
        <v>182</v>
      </c>
      <c r="C12" s="23" t="s">
        <v>182</v>
      </c>
      <c r="D12" s="23" t="s">
        <v>183</v>
      </c>
      <c r="E12" s="24"/>
      <c r="F12" s="25"/>
      <c r="G12" s="23" t="s">
        <v>16</v>
      </c>
      <c r="H12" s="23" t="s">
        <v>145</v>
      </c>
      <c r="I12" s="2">
        <v>44496.562731481485</v>
      </c>
      <c r="J12" s="24">
        <f>MONTH(Tabla1[[#This Row],[Publicación]])</f>
        <v>10</v>
      </c>
      <c r="K12" s="24">
        <f>YEAR(Tabla1[[#This Row],[Publicación]])</f>
        <v>2021</v>
      </c>
      <c r="L12" s="2">
        <v>44508.82916666667</v>
      </c>
      <c r="M12" s="26">
        <v>44497.370138888888</v>
      </c>
      <c r="N12" s="25" t="s">
        <v>11</v>
      </c>
      <c r="O12" s="24"/>
      <c r="P12" s="24" t="s">
        <v>11</v>
      </c>
      <c r="Q12" s="2">
        <v>44496.724305555559</v>
      </c>
      <c r="R12" s="2">
        <v>44500.724305555559</v>
      </c>
      <c r="S12" s="26">
        <v>44529.829861111109</v>
      </c>
      <c r="T12" s="27">
        <v>0</v>
      </c>
      <c r="U12" s="28">
        <f>Tabla1[[#This Row],[PPTO]]/(1+'Lista Datos'!$B$1)</f>
        <v>0</v>
      </c>
      <c r="V12" s="23"/>
      <c r="W12" s="18" t="s">
        <v>10</v>
      </c>
      <c r="X12" s="102">
        <v>0</v>
      </c>
      <c r="Y12" s="18"/>
      <c r="Z12" s="18" t="s">
        <v>10</v>
      </c>
      <c r="AA12" s="23" t="s">
        <v>177</v>
      </c>
      <c r="AB12" s="23">
        <v>24</v>
      </c>
      <c r="AC12" s="23" t="s">
        <v>10</v>
      </c>
      <c r="AD12" s="23"/>
      <c r="AE12" s="29">
        <f>Tabla1[[#This Row],[Cierre]]+Tabla1[[#This Row],[Vigencia Oferta (días)]]</f>
        <v>44508.82916666667</v>
      </c>
      <c r="AF12" s="87"/>
      <c r="AG12" s="28"/>
      <c r="AH12" s="164">
        <f>Tabla1[[#This Row],[Unidades2]]*Tabla1[[#This Row],[Precio Unitario]]</f>
        <v>0</v>
      </c>
      <c r="AI12" s="23" t="s">
        <v>44</v>
      </c>
      <c r="AJ12" s="26">
        <v>44509</v>
      </c>
      <c r="AK12" s="172">
        <f>Tabla1[[#This Row],[Fecha Vigencia]]-AJ12</f>
        <v>-0.17083333332993789</v>
      </c>
      <c r="AL12" s="23" t="s">
        <v>115</v>
      </c>
      <c r="AM12" s="87">
        <v>6000000</v>
      </c>
      <c r="AN12" s="29">
        <v>44207</v>
      </c>
      <c r="AO12" s="29">
        <v>44937</v>
      </c>
      <c r="AP12" s="23" t="s">
        <v>177</v>
      </c>
      <c r="AQ12" s="23" t="s">
        <v>184</v>
      </c>
      <c r="AR12" s="23" t="s">
        <v>10</v>
      </c>
      <c r="AS12" s="33">
        <v>0</v>
      </c>
      <c r="AT12" s="23" t="s">
        <v>10</v>
      </c>
      <c r="AU12" s="23"/>
      <c r="AV12" s="23"/>
      <c r="AW12" s="23" t="s">
        <v>185</v>
      </c>
      <c r="AX12" t="s">
        <v>186</v>
      </c>
      <c r="AY12" s="23"/>
      <c r="AZ12" s="23"/>
      <c r="BA12" s="23"/>
      <c r="BB12" s="32"/>
      <c r="BC12" s="73"/>
    </row>
    <row r="13" spans="1:55" x14ac:dyDescent="0.25">
      <c r="A13" s="22" t="s">
        <v>187</v>
      </c>
      <c r="B13" s="23" t="s">
        <v>188</v>
      </c>
      <c r="C13" s="23" t="s">
        <v>189</v>
      </c>
      <c r="D13" s="23" t="s">
        <v>190</v>
      </c>
      <c r="E13" s="24"/>
      <c r="F13" s="25"/>
      <c r="G13" s="23" t="s">
        <v>16</v>
      </c>
      <c r="H13" s="23" t="s">
        <v>168</v>
      </c>
      <c r="I13" s="2">
        <v>44489.700254629628</v>
      </c>
      <c r="J13" s="24">
        <f>MONTH(Tabla1[[#This Row],[Publicación]])</f>
        <v>10</v>
      </c>
      <c r="K13" s="24">
        <f>YEAR(Tabla1[[#This Row],[Publicación]])</f>
        <v>2021</v>
      </c>
      <c r="L13" s="2">
        <v>44509.666666666664</v>
      </c>
      <c r="M13" s="26">
        <v>44491.710416666669</v>
      </c>
      <c r="N13" s="25" t="s">
        <v>10</v>
      </c>
      <c r="O13" s="24" t="s">
        <v>25</v>
      </c>
      <c r="P13" s="24" t="s">
        <v>10</v>
      </c>
      <c r="Q13" s="2">
        <v>44489.708333333336</v>
      </c>
      <c r="R13" s="2">
        <v>44503.708333333336</v>
      </c>
      <c r="S13" s="26">
        <v>44594.75</v>
      </c>
      <c r="T13" s="27">
        <v>0</v>
      </c>
      <c r="U13" s="28">
        <f>Tabla1[[#This Row],[PPTO]]/(1+'Lista Datos'!$B$1)</f>
        <v>0</v>
      </c>
      <c r="V13" s="23"/>
      <c r="W13" s="18" t="s">
        <v>11</v>
      </c>
      <c r="X13" s="102">
        <v>1000000</v>
      </c>
      <c r="Y13" s="26">
        <v>44638</v>
      </c>
      <c r="Z13" s="18" t="s">
        <v>11</v>
      </c>
      <c r="AA13" s="23"/>
      <c r="AB13" s="23"/>
      <c r="AC13" s="23"/>
      <c r="AD13" s="23"/>
      <c r="AE13" s="29">
        <f>Tabla1[[#This Row],[Cierre]]+Tabla1[[#This Row],[Vigencia Oferta (días)]]</f>
        <v>44509.666666666664</v>
      </c>
      <c r="AF13" s="87"/>
      <c r="AG13" s="28"/>
      <c r="AH13" s="164">
        <f>Tabla1[[#This Row],[Unidades2]]*Tabla1[[#This Row],[Precio Unitario]]</f>
        <v>0</v>
      </c>
      <c r="AI13" s="23" t="s">
        <v>44</v>
      </c>
      <c r="AJ13" s="26">
        <v>44559</v>
      </c>
      <c r="AK13" s="172">
        <f>Tabla1[[#This Row],[Fecha Vigencia]]-AJ13</f>
        <v>-49.333333333335759</v>
      </c>
      <c r="AL13" s="23" t="s">
        <v>191</v>
      </c>
      <c r="AM13" s="87">
        <v>512172</v>
      </c>
      <c r="AN13" s="23"/>
      <c r="AO13" s="29"/>
      <c r="AP13" s="23"/>
      <c r="AQ13" s="23" t="s">
        <v>192</v>
      </c>
      <c r="AR13" s="23" t="s">
        <v>11</v>
      </c>
      <c r="AS13" s="33">
        <v>0.1</v>
      </c>
      <c r="AT13" s="29">
        <v>45504</v>
      </c>
      <c r="AU13" s="23"/>
      <c r="AV13" s="23"/>
      <c r="AW13" s="23" t="s">
        <v>193</v>
      </c>
      <c r="AX13" t="s">
        <v>194</v>
      </c>
      <c r="AY13" s="23"/>
      <c r="AZ13" s="23"/>
      <c r="BA13" s="23"/>
      <c r="BB13" s="32"/>
      <c r="BC13" s="73"/>
    </row>
    <row r="14" spans="1:55" x14ac:dyDescent="0.25">
      <c r="A14" s="22" t="s">
        <v>195</v>
      </c>
      <c r="B14" s="23" t="s">
        <v>196</v>
      </c>
      <c r="C14" s="23" t="s">
        <v>197</v>
      </c>
      <c r="D14" s="23" t="s">
        <v>198</v>
      </c>
      <c r="E14" s="24"/>
      <c r="F14" s="25"/>
      <c r="G14" s="23" t="s">
        <v>21</v>
      </c>
      <c r="H14" s="23" t="s">
        <v>106</v>
      </c>
      <c r="I14" s="2">
        <v>44502.461840277778</v>
      </c>
      <c r="J14" s="24">
        <f>MONTH(Tabla1[[#This Row],[Publicación]])</f>
        <v>11</v>
      </c>
      <c r="K14" s="24">
        <f>YEAR(Tabla1[[#This Row],[Publicación]])</f>
        <v>2021</v>
      </c>
      <c r="L14" s="2">
        <v>44509.729166666664</v>
      </c>
      <c r="M14" s="26">
        <v>44504.451388888891</v>
      </c>
      <c r="N14" s="25" t="s">
        <v>11</v>
      </c>
      <c r="O14" s="24"/>
      <c r="P14" s="24" t="s">
        <v>11</v>
      </c>
      <c r="Q14" s="2">
        <v>44502.500694444447</v>
      </c>
      <c r="R14" s="2">
        <v>44508.625</v>
      </c>
      <c r="S14" s="26">
        <v>44539.729166666664</v>
      </c>
      <c r="T14" s="27">
        <v>0</v>
      </c>
      <c r="U14" s="28">
        <f>Tabla1[[#This Row],[PPTO]]/(1+'Lista Datos'!$B$1)</f>
        <v>0</v>
      </c>
      <c r="V14" s="23"/>
      <c r="W14" s="18" t="s">
        <v>10</v>
      </c>
      <c r="X14" s="102"/>
      <c r="Y14" s="18" t="s">
        <v>146</v>
      </c>
      <c r="Z14" s="18" t="s">
        <v>10</v>
      </c>
      <c r="AA14" s="23"/>
      <c r="AB14" s="23"/>
      <c r="AC14" s="23" t="s">
        <v>10</v>
      </c>
      <c r="AD14" s="23">
        <v>90</v>
      </c>
      <c r="AE14" s="29">
        <f>Tabla1[[#This Row],[Cierre]]+Tabla1[[#This Row],[Vigencia Oferta (días)]]</f>
        <v>44599.729166666664</v>
      </c>
      <c r="AF14" s="87"/>
      <c r="AG14" s="28"/>
      <c r="AH14" s="164">
        <f>Tabla1[[#This Row],[Unidades2]]*Tabla1[[#This Row],[Precio Unitario]]</f>
        <v>0</v>
      </c>
      <c r="AI14" s="23" t="s">
        <v>44</v>
      </c>
      <c r="AJ14" s="26">
        <v>44537</v>
      </c>
      <c r="AK14" s="172">
        <f>Tabla1[[#This Row],[Fecha Vigencia]]-AJ14</f>
        <v>62.729166666664241</v>
      </c>
      <c r="AL14" s="23" t="s">
        <v>115</v>
      </c>
      <c r="AM14" s="87">
        <v>570461</v>
      </c>
      <c r="AN14" s="23"/>
      <c r="AO14" s="29"/>
      <c r="AP14" s="23"/>
      <c r="AQ14" s="23" t="s">
        <v>199</v>
      </c>
      <c r="AR14" s="23" t="s">
        <v>10</v>
      </c>
      <c r="AS14" s="23"/>
      <c r="AT14" s="23"/>
      <c r="AU14" s="23"/>
      <c r="AV14" s="23"/>
      <c r="AW14" s="23" t="s">
        <v>200</v>
      </c>
      <c r="AX14" t="s">
        <v>201</v>
      </c>
      <c r="AY14" s="23"/>
      <c r="AZ14" s="23"/>
      <c r="BA14" s="23"/>
      <c r="BB14" s="32"/>
      <c r="BC14" s="73"/>
    </row>
    <row r="15" spans="1:55" x14ac:dyDescent="0.25">
      <c r="A15" s="22" t="s">
        <v>202</v>
      </c>
      <c r="B15" s="23" t="s">
        <v>203</v>
      </c>
      <c r="C15" s="23" t="s">
        <v>203</v>
      </c>
      <c r="D15" s="23" t="s">
        <v>204</v>
      </c>
      <c r="E15" s="24"/>
      <c r="F15" s="25"/>
      <c r="G15" s="23" t="s">
        <v>21</v>
      </c>
      <c r="H15" s="23" t="s">
        <v>106</v>
      </c>
      <c r="I15" s="2">
        <v>44489.4453125</v>
      </c>
      <c r="J15" s="24">
        <f>MONTH(Tabla1[[#This Row],[Publicación]])</f>
        <v>10</v>
      </c>
      <c r="K15" s="24">
        <f>YEAR(Tabla1[[#This Row],[Publicación]])</f>
        <v>2021</v>
      </c>
      <c r="L15" s="2">
        <v>44512.625</v>
      </c>
      <c r="M15" s="26">
        <v>44491.845138888886</v>
      </c>
      <c r="N15" s="25" t="s">
        <v>10</v>
      </c>
      <c r="O15" s="24" t="s">
        <v>29</v>
      </c>
      <c r="P15" s="24" t="s">
        <v>10</v>
      </c>
      <c r="Q15" s="2">
        <v>44489.625</v>
      </c>
      <c r="R15" s="2">
        <v>44503.625</v>
      </c>
      <c r="S15" s="26">
        <v>44531</v>
      </c>
      <c r="T15" s="27">
        <v>0</v>
      </c>
      <c r="U15" s="28">
        <f>Tabla1[[#This Row],[PPTO]]/(1+'Lista Datos'!$B$1)</f>
        <v>0</v>
      </c>
      <c r="V15" s="23"/>
      <c r="W15" s="18" t="s">
        <v>10</v>
      </c>
      <c r="X15" s="102">
        <v>0</v>
      </c>
      <c r="Y15" s="18" t="s">
        <v>146</v>
      </c>
      <c r="Z15" s="18" t="s">
        <v>10</v>
      </c>
      <c r="AA15" s="23"/>
      <c r="AB15" s="23"/>
      <c r="AC15" s="23"/>
      <c r="AD15" s="23"/>
      <c r="AE15" s="29">
        <f>Tabla1[[#This Row],[Cierre]]+Tabla1[[#This Row],[Vigencia Oferta (días)]]</f>
        <v>44512.625</v>
      </c>
      <c r="AF15" s="87"/>
      <c r="AG15" s="28"/>
      <c r="AH15" s="164">
        <f>Tabla1[[#This Row],[Unidades2]]*Tabla1[[#This Row],[Precio Unitario]]</f>
        <v>0</v>
      </c>
      <c r="AI15" s="23" t="s">
        <v>44</v>
      </c>
      <c r="AJ15" s="26">
        <v>44529</v>
      </c>
      <c r="AK15" s="172">
        <f>Tabla1[[#This Row],[Fecha Vigencia]]-AJ15</f>
        <v>-16.375</v>
      </c>
      <c r="AL15" s="23" t="s">
        <v>205</v>
      </c>
      <c r="AM15" s="87">
        <v>44191332</v>
      </c>
      <c r="AN15" s="23"/>
      <c r="AO15" s="29"/>
      <c r="AP15" s="23"/>
      <c r="AQ15" s="23" t="s">
        <v>206</v>
      </c>
      <c r="AR15" s="23" t="s">
        <v>11</v>
      </c>
      <c r="AS15" s="33">
        <v>0.05</v>
      </c>
      <c r="AT15" s="29">
        <v>45752</v>
      </c>
      <c r="AU15" s="23"/>
      <c r="AV15" s="23"/>
      <c r="AW15" s="23" t="s">
        <v>207</v>
      </c>
      <c r="AX15" t="s">
        <v>208</v>
      </c>
      <c r="AY15" s="23"/>
      <c r="AZ15" s="23"/>
      <c r="BA15" s="23"/>
      <c r="BB15" s="32"/>
      <c r="BC15" s="73"/>
    </row>
    <row r="16" spans="1:55" x14ac:dyDescent="0.25">
      <c r="A16" s="22" t="s">
        <v>209</v>
      </c>
      <c r="B16" s="23" t="s">
        <v>210</v>
      </c>
      <c r="C16" s="23" t="s">
        <v>211</v>
      </c>
      <c r="D16" s="23" t="s">
        <v>212</v>
      </c>
      <c r="E16" s="24"/>
      <c r="F16" s="25"/>
      <c r="G16" s="23" t="s">
        <v>17</v>
      </c>
      <c r="H16" s="23" t="s">
        <v>213</v>
      </c>
      <c r="I16" s="2">
        <v>44505.68068287037</v>
      </c>
      <c r="J16" s="24">
        <f>MONTH(Tabla1[[#This Row],[Publicación]])</f>
        <v>11</v>
      </c>
      <c r="K16" s="24">
        <f>YEAR(Tabla1[[#This Row],[Publicación]])</f>
        <v>2021</v>
      </c>
      <c r="L16" s="2">
        <v>44515.625</v>
      </c>
      <c r="M16" s="26">
        <v>44509.525694444441</v>
      </c>
      <c r="N16" s="25" t="s">
        <v>10</v>
      </c>
      <c r="O16" s="24" t="s">
        <v>25</v>
      </c>
      <c r="P16" s="24" t="s">
        <v>10</v>
      </c>
      <c r="Q16" s="2">
        <v>44505.750694444447</v>
      </c>
      <c r="R16" s="2">
        <v>44511.751388888886</v>
      </c>
      <c r="S16" s="26">
        <v>44607.681250000001</v>
      </c>
      <c r="T16" s="27">
        <v>0</v>
      </c>
      <c r="U16" s="28">
        <f>Tabla1[[#This Row],[PPTO]]/(1+'Lista Datos'!$B$1)</f>
        <v>0</v>
      </c>
      <c r="V16" s="23"/>
      <c r="W16" s="18" t="s">
        <v>10</v>
      </c>
      <c r="X16" s="102"/>
      <c r="Y16" s="18" t="s">
        <v>146</v>
      </c>
      <c r="Z16" s="18" t="s">
        <v>10</v>
      </c>
      <c r="AA16" s="23"/>
      <c r="AB16" s="23"/>
      <c r="AC16" s="23"/>
      <c r="AD16" s="23"/>
      <c r="AE16" s="29">
        <f>Tabla1[[#This Row],[Cierre]]+Tabla1[[#This Row],[Vigencia Oferta (días)]]</f>
        <v>44515.625</v>
      </c>
      <c r="AF16" s="87"/>
      <c r="AG16" s="28"/>
      <c r="AH16" s="164">
        <f>Tabla1[[#This Row],[Unidades2]]*Tabla1[[#This Row],[Precio Unitario]]</f>
        <v>0</v>
      </c>
      <c r="AI16" s="23" t="s">
        <v>44</v>
      </c>
      <c r="AJ16" s="26">
        <v>44523</v>
      </c>
      <c r="AK16" s="172">
        <f>Tabla1[[#This Row],[Fecha Vigencia]]-AJ16</f>
        <v>-7.375</v>
      </c>
      <c r="AL16" s="23" t="s">
        <v>46</v>
      </c>
      <c r="AM16" s="87">
        <v>6447276</v>
      </c>
      <c r="AN16" s="23"/>
      <c r="AO16" s="29"/>
      <c r="AP16" s="23"/>
      <c r="AQ16" s="23" t="s">
        <v>214</v>
      </c>
      <c r="AR16" s="23" t="s">
        <v>10</v>
      </c>
      <c r="AS16" s="23"/>
      <c r="AT16" s="23"/>
      <c r="AU16" s="23"/>
      <c r="AV16" s="23"/>
      <c r="AW16" s="23" t="s">
        <v>215</v>
      </c>
      <c r="AX16" t="s">
        <v>216</v>
      </c>
      <c r="AY16" s="23"/>
      <c r="AZ16" s="23"/>
      <c r="BA16" s="23"/>
      <c r="BB16" s="32"/>
      <c r="BC16" s="73"/>
    </row>
    <row r="17" spans="1:55" x14ac:dyDescent="0.25">
      <c r="A17" s="22" t="s">
        <v>217</v>
      </c>
      <c r="B17" s="23" t="s">
        <v>218</v>
      </c>
      <c r="C17" s="23" t="s">
        <v>219</v>
      </c>
      <c r="D17" s="23" t="s">
        <v>220</v>
      </c>
      <c r="E17" s="24"/>
      <c r="F17" s="25"/>
      <c r="G17" s="23" t="s">
        <v>21</v>
      </c>
      <c r="H17" s="23" t="s">
        <v>106</v>
      </c>
      <c r="I17" s="2">
        <v>44509.434201388889</v>
      </c>
      <c r="J17" s="24">
        <f>MONTH(Tabla1[[#This Row],[Publicación]])</f>
        <v>11</v>
      </c>
      <c r="K17" s="24">
        <f>YEAR(Tabla1[[#This Row],[Publicación]])</f>
        <v>2021</v>
      </c>
      <c r="L17" s="2">
        <v>44515.666666666664</v>
      </c>
      <c r="M17" s="26">
        <v>44510.517361111109</v>
      </c>
      <c r="N17" s="25" t="s">
        <v>10</v>
      </c>
      <c r="O17" s="24" t="s">
        <v>35</v>
      </c>
      <c r="P17" s="24" t="s">
        <v>10</v>
      </c>
      <c r="Q17" s="2">
        <v>44509.438194444447</v>
      </c>
      <c r="R17" s="2">
        <v>44513.75</v>
      </c>
      <c r="S17" s="26">
        <v>44522.739837962959</v>
      </c>
      <c r="T17" s="27">
        <v>0</v>
      </c>
      <c r="U17" s="28">
        <f>Tabla1[[#This Row],[PPTO]]/(1+'Lista Datos'!$B$1)</f>
        <v>0</v>
      </c>
      <c r="V17" s="23"/>
      <c r="W17" s="18" t="s">
        <v>10</v>
      </c>
      <c r="X17" s="102"/>
      <c r="Y17" s="18" t="s">
        <v>146</v>
      </c>
      <c r="Z17" s="18" t="s">
        <v>10</v>
      </c>
      <c r="AA17" s="23"/>
      <c r="AB17" s="23"/>
      <c r="AC17" s="23"/>
      <c r="AD17" s="23"/>
      <c r="AE17" s="29">
        <f>Tabla1[[#This Row],[Cierre]]+Tabla1[[#This Row],[Vigencia Oferta (días)]]</f>
        <v>44515.666666666664</v>
      </c>
      <c r="AF17" s="87"/>
      <c r="AG17" s="28"/>
      <c r="AH17" s="164">
        <f>Tabla1[[#This Row],[Unidades2]]*Tabla1[[#This Row],[Precio Unitario]]</f>
        <v>0</v>
      </c>
      <c r="AI17" s="23" t="s">
        <v>44</v>
      </c>
      <c r="AJ17" s="26">
        <v>44522.739583333336</v>
      </c>
      <c r="AK17" s="172">
        <f>Tabla1[[#This Row],[Fecha Vigencia]]-AJ17</f>
        <v>-7.0729166666715173</v>
      </c>
      <c r="AL17" s="23" t="s">
        <v>46</v>
      </c>
      <c r="AM17" s="87">
        <v>79000</v>
      </c>
      <c r="AN17" s="23"/>
      <c r="AO17" s="29"/>
      <c r="AP17" s="23"/>
      <c r="AQ17" s="23" t="s">
        <v>221</v>
      </c>
      <c r="AR17" s="23" t="s">
        <v>10</v>
      </c>
      <c r="AS17" s="23"/>
      <c r="AT17" s="23"/>
      <c r="AU17" s="23"/>
      <c r="AV17" s="23"/>
      <c r="AW17" s="23" t="s">
        <v>222</v>
      </c>
      <c r="AX17" t="s">
        <v>223</v>
      </c>
      <c r="AY17" s="23"/>
      <c r="AZ17" s="23"/>
      <c r="BA17" s="23"/>
      <c r="BB17" s="32"/>
      <c r="BC17" s="73"/>
    </row>
    <row r="18" spans="1:55" x14ac:dyDescent="0.25">
      <c r="A18" s="22" t="s">
        <v>224</v>
      </c>
      <c r="B18" s="23" t="s">
        <v>225</v>
      </c>
      <c r="C18" s="23" t="s">
        <v>226</v>
      </c>
      <c r="D18" s="23" t="s">
        <v>227</v>
      </c>
      <c r="E18" s="24"/>
      <c r="F18" s="25"/>
      <c r="G18" s="23" t="s">
        <v>16</v>
      </c>
      <c r="H18" s="23" t="s">
        <v>145</v>
      </c>
      <c r="I18" s="2">
        <v>44484.650138888886</v>
      </c>
      <c r="J18" s="24">
        <f>MONTH(Tabla1[[#This Row],[Publicación]])</f>
        <v>10</v>
      </c>
      <c r="K18" s="24">
        <f>YEAR(Tabla1[[#This Row],[Publicación]])</f>
        <v>2021</v>
      </c>
      <c r="L18" s="2">
        <v>44515.666666666664</v>
      </c>
      <c r="M18" s="26">
        <v>44487.482638888891</v>
      </c>
      <c r="N18" s="25" t="s">
        <v>10</v>
      </c>
      <c r="O18" s="24" t="s">
        <v>25</v>
      </c>
      <c r="P18" s="24" t="s">
        <v>10</v>
      </c>
      <c r="Q18" s="2">
        <v>44484.670138888891</v>
      </c>
      <c r="R18" s="2">
        <v>44505.75</v>
      </c>
      <c r="S18" s="26">
        <v>44524.654733796298</v>
      </c>
      <c r="T18" s="27">
        <v>0</v>
      </c>
      <c r="U18" s="28">
        <f>Tabla1[[#This Row],[PPTO]]/(1+'Lista Datos'!$B$1)</f>
        <v>0</v>
      </c>
      <c r="V18" s="23"/>
      <c r="W18" s="18" t="s">
        <v>11</v>
      </c>
      <c r="X18" s="102">
        <v>1800000</v>
      </c>
      <c r="Y18" s="26">
        <v>44650</v>
      </c>
      <c r="Z18" s="18" t="s">
        <v>10</v>
      </c>
      <c r="AA18" s="23"/>
      <c r="AB18" s="23"/>
      <c r="AC18" s="23"/>
      <c r="AD18" s="23"/>
      <c r="AE18" s="29">
        <f>Tabla1[[#This Row],[Cierre]]+Tabla1[[#This Row],[Vigencia Oferta (días)]]</f>
        <v>44515.666666666664</v>
      </c>
      <c r="AF18" s="87"/>
      <c r="AG18" s="28"/>
      <c r="AH18" s="164">
        <f>Tabla1[[#This Row],[Unidades2]]*Tabla1[[#This Row],[Precio Unitario]]</f>
        <v>0</v>
      </c>
      <c r="AI18" s="23" t="s">
        <v>44</v>
      </c>
      <c r="AJ18" s="26">
        <v>44524.654733796298</v>
      </c>
      <c r="AK18" s="172">
        <f>Tabla1[[#This Row],[Fecha Vigencia]]-AJ18</f>
        <v>-8.9880671296341461</v>
      </c>
      <c r="AL18" s="23" t="s">
        <v>45</v>
      </c>
      <c r="AM18" s="87">
        <v>174000000</v>
      </c>
      <c r="AN18" s="23"/>
      <c r="AO18" s="29"/>
      <c r="AP18" s="23"/>
      <c r="AQ18" s="23" t="s">
        <v>228</v>
      </c>
      <c r="AR18" s="23" t="s">
        <v>11</v>
      </c>
      <c r="AS18" s="31">
        <v>8700000</v>
      </c>
      <c r="AT18" s="29">
        <v>45016</v>
      </c>
      <c r="AU18" s="23"/>
      <c r="AV18" s="23"/>
      <c r="AW18" s="23" t="s">
        <v>229</v>
      </c>
      <c r="AX18" t="s">
        <v>230</v>
      </c>
      <c r="AY18" s="23"/>
      <c r="AZ18" s="23"/>
      <c r="BA18" s="23"/>
      <c r="BB18" s="32"/>
      <c r="BC18" s="73"/>
    </row>
    <row r="19" spans="1:55" ht="11.25" x14ac:dyDescent="0.2">
      <c r="A19" s="22" t="s">
        <v>231</v>
      </c>
      <c r="B19" s="23" t="s">
        <v>232</v>
      </c>
      <c r="C19" s="23" t="s">
        <v>233</v>
      </c>
      <c r="D19" s="23" t="s">
        <v>234</v>
      </c>
      <c r="E19" s="24"/>
      <c r="F19" s="25"/>
      <c r="G19" s="23" t="s">
        <v>18</v>
      </c>
      <c r="H19" s="23" t="s">
        <v>213</v>
      </c>
      <c r="I19" s="2">
        <v>44511.525879629633</v>
      </c>
      <c r="J19" s="24">
        <f>MONTH(Tabla1[[#This Row],[Publicación]])</f>
        <v>11</v>
      </c>
      <c r="K19" s="24">
        <f>YEAR(Tabla1[[#This Row],[Publicación]])</f>
        <v>2021</v>
      </c>
      <c r="L19" s="2">
        <v>44516.666666666664</v>
      </c>
      <c r="M19" s="26">
        <v>44515.727777777778</v>
      </c>
      <c r="N19" s="25" t="s">
        <v>10</v>
      </c>
      <c r="O19" s="24" t="s">
        <v>27</v>
      </c>
      <c r="P19" s="24" t="s">
        <v>10</v>
      </c>
      <c r="Q19" s="2">
        <v>44511.525879629633</v>
      </c>
      <c r="R19" s="2">
        <v>44513.75</v>
      </c>
      <c r="S19" s="26">
        <v>44529.531388888892</v>
      </c>
      <c r="T19" s="27">
        <v>0</v>
      </c>
      <c r="U19" s="28">
        <f>Tabla1[[#This Row],[PPTO]]/(1+'Lista Datos'!$B$1)</f>
        <v>0</v>
      </c>
      <c r="V19" s="23"/>
      <c r="W19" s="18" t="s">
        <v>10</v>
      </c>
      <c r="X19" s="102"/>
      <c r="Y19" s="18" t="s">
        <v>146</v>
      </c>
      <c r="Z19" s="18" t="s">
        <v>10</v>
      </c>
      <c r="AA19" s="23"/>
      <c r="AB19" s="23"/>
      <c r="AC19" s="23"/>
      <c r="AD19" s="23"/>
      <c r="AE19" s="29">
        <f>Tabla1[[#This Row],[Cierre]]+Tabla1[[#This Row],[Vigencia Oferta (días)]]</f>
        <v>44516.666666666664</v>
      </c>
      <c r="AF19" s="87"/>
      <c r="AG19" s="28"/>
      <c r="AH19" s="164">
        <f>Tabla1[[#This Row],[Unidades2]]*Tabla1[[#This Row],[Precio Unitario]]</f>
        <v>0</v>
      </c>
      <c r="AI19" s="23" t="s">
        <v>44</v>
      </c>
      <c r="AJ19" s="26">
        <v>44529.53125</v>
      </c>
      <c r="AK19" s="172">
        <f>Tabla1[[#This Row],[Fecha Vigencia]]-AJ19</f>
        <v>-12.864583333335759</v>
      </c>
      <c r="AL19" s="23" t="s">
        <v>46</v>
      </c>
      <c r="AM19" s="87">
        <v>2611513</v>
      </c>
      <c r="AN19" s="23"/>
      <c r="AO19" s="29"/>
      <c r="AP19" s="23"/>
      <c r="AQ19" s="23" t="s">
        <v>235</v>
      </c>
      <c r="AR19" s="23" t="s">
        <v>10</v>
      </c>
      <c r="AS19" s="23"/>
      <c r="AT19" s="23"/>
      <c r="AU19" s="23"/>
      <c r="AV19" s="23"/>
      <c r="AW19" s="23"/>
      <c r="AX19" s="23"/>
      <c r="AY19" s="23"/>
      <c r="AZ19" s="23"/>
      <c r="BA19" s="23"/>
      <c r="BB19" s="32"/>
      <c r="BC19" s="73"/>
    </row>
    <row r="20" spans="1:55" x14ac:dyDescent="0.25">
      <c r="A20" s="22" t="s">
        <v>236</v>
      </c>
      <c r="B20" s="23" t="s">
        <v>237</v>
      </c>
      <c r="C20" s="23" t="s">
        <v>238</v>
      </c>
      <c r="D20" s="23" t="s">
        <v>239</v>
      </c>
      <c r="E20" s="24"/>
      <c r="F20" s="25"/>
      <c r="G20" s="23" t="s">
        <v>16</v>
      </c>
      <c r="H20" s="23" t="s">
        <v>240</v>
      </c>
      <c r="I20" s="2">
        <v>44505.470138888886</v>
      </c>
      <c r="J20" s="24">
        <f>MONTH(Tabla1[[#This Row],[Publicación]])</f>
        <v>11</v>
      </c>
      <c r="K20" s="24">
        <f>YEAR(Tabla1[[#This Row],[Publicación]])</f>
        <v>2021</v>
      </c>
      <c r="L20" s="2">
        <v>44517.416666666664</v>
      </c>
      <c r="M20" s="26">
        <v>44509.948611111111</v>
      </c>
      <c r="N20" s="25" t="s">
        <v>10</v>
      </c>
      <c r="O20" s="24" t="s">
        <v>25</v>
      </c>
      <c r="P20" s="24" t="s">
        <v>10</v>
      </c>
      <c r="Q20" s="2">
        <v>44505.750694444447</v>
      </c>
      <c r="R20" s="2">
        <v>44511.751388888886</v>
      </c>
      <c r="S20" s="26">
        <v>44607.681250000001</v>
      </c>
      <c r="T20" s="27">
        <v>0</v>
      </c>
      <c r="U20" s="28">
        <f>Tabla1[[#This Row],[PPTO]]/(1+'Lista Datos'!$B$1)</f>
        <v>0</v>
      </c>
      <c r="V20" s="23"/>
      <c r="W20" s="18" t="s">
        <v>10</v>
      </c>
      <c r="X20" s="102"/>
      <c r="Y20" s="18" t="s">
        <v>146</v>
      </c>
      <c r="Z20" s="18" t="s">
        <v>10</v>
      </c>
      <c r="AA20" s="23"/>
      <c r="AB20" s="23"/>
      <c r="AC20" s="23"/>
      <c r="AD20" s="23"/>
      <c r="AE20" s="29">
        <f>Tabla1[[#This Row],[Cierre]]+Tabla1[[#This Row],[Vigencia Oferta (días)]]</f>
        <v>44517.416666666664</v>
      </c>
      <c r="AF20" s="87"/>
      <c r="AG20" s="28"/>
      <c r="AH20" s="164">
        <f>Tabla1[[#This Row],[Unidades2]]*Tabla1[[#This Row],[Precio Unitario]]</f>
        <v>0</v>
      </c>
      <c r="AI20" s="23" t="s">
        <v>44</v>
      </c>
      <c r="AJ20" s="26">
        <v>44546</v>
      </c>
      <c r="AK20" s="172">
        <f>Tabla1[[#This Row],[Fecha Vigencia]]-AJ20</f>
        <v>-28.583333333335759</v>
      </c>
      <c r="AL20" s="23" t="s">
        <v>45</v>
      </c>
      <c r="AM20" s="87">
        <v>52500000</v>
      </c>
      <c r="AN20" s="23"/>
      <c r="AO20" s="29"/>
      <c r="AP20" s="23"/>
      <c r="AQ20" s="23" t="s">
        <v>241</v>
      </c>
      <c r="AR20" s="23" t="s">
        <v>10</v>
      </c>
      <c r="AS20" s="23"/>
      <c r="AT20" s="23"/>
      <c r="AU20" s="23"/>
      <c r="AV20" s="23"/>
      <c r="AW20" s="23" t="s">
        <v>215</v>
      </c>
      <c r="AX20" t="s">
        <v>216</v>
      </c>
      <c r="AY20" s="23"/>
      <c r="AZ20" s="23"/>
      <c r="BA20" s="23"/>
      <c r="BB20" s="32"/>
      <c r="BC20" s="73"/>
    </row>
    <row r="21" spans="1:55" x14ac:dyDescent="0.25">
      <c r="A21" s="22" t="s">
        <v>242</v>
      </c>
      <c r="B21" s="23" t="s">
        <v>243</v>
      </c>
      <c r="C21" s="23" t="s">
        <v>244</v>
      </c>
      <c r="D21" s="23" t="s">
        <v>245</v>
      </c>
      <c r="E21" s="24"/>
      <c r="F21" s="25"/>
      <c r="G21" s="23" t="s">
        <v>16</v>
      </c>
      <c r="H21" s="23" t="s">
        <v>168</v>
      </c>
      <c r="I21" s="2">
        <v>44505.664722222224</v>
      </c>
      <c r="J21" s="24">
        <f>MONTH(Tabla1[[#This Row],[Publicación]])</f>
        <v>11</v>
      </c>
      <c r="K21" s="24">
        <f>YEAR(Tabla1[[#This Row],[Publicación]])</f>
        <v>2021</v>
      </c>
      <c r="L21" s="2">
        <v>44517.625</v>
      </c>
      <c r="M21" s="26">
        <v>44509.55</v>
      </c>
      <c r="N21" s="25" t="s">
        <v>10</v>
      </c>
      <c r="O21" s="24" t="s">
        <v>25</v>
      </c>
      <c r="P21" s="24" t="s">
        <v>10</v>
      </c>
      <c r="Q21" s="2">
        <v>44505.688194444447</v>
      </c>
      <c r="R21" s="2">
        <v>44515.75</v>
      </c>
      <c r="S21" s="26">
        <v>44526.632650462961</v>
      </c>
      <c r="T21" s="27">
        <v>0</v>
      </c>
      <c r="U21" s="28">
        <f>Tabla1[[#This Row],[PPTO]]/(1+'Lista Datos'!$B$1)</f>
        <v>0</v>
      </c>
      <c r="V21" s="23"/>
      <c r="W21" s="18" t="s">
        <v>10</v>
      </c>
      <c r="X21" s="102"/>
      <c r="Y21" s="18" t="s">
        <v>146</v>
      </c>
      <c r="Z21" s="18" t="s">
        <v>11</v>
      </c>
      <c r="AA21" s="23"/>
      <c r="AB21" s="23"/>
      <c r="AC21" s="23"/>
      <c r="AD21" s="23"/>
      <c r="AE21" s="29">
        <f>Tabla1[[#This Row],[Cierre]]+Tabla1[[#This Row],[Vigencia Oferta (días)]]</f>
        <v>44517.625</v>
      </c>
      <c r="AF21" s="87"/>
      <c r="AG21" s="28"/>
      <c r="AH21" s="164">
        <f>Tabla1[[#This Row],[Unidades2]]*Tabla1[[#This Row],[Precio Unitario]]</f>
        <v>0</v>
      </c>
      <c r="AI21" s="23" t="s">
        <v>44</v>
      </c>
      <c r="AJ21" s="26">
        <v>44526.632638888892</v>
      </c>
      <c r="AK21" s="172">
        <f>Tabla1[[#This Row],[Fecha Vigencia]]-AJ21</f>
        <v>-9.007638888891961</v>
      </c>
      <c r="AL21" s="23" t="s">
        <v>46</v>
      </c>
      <c r="AM21" s="87">
        <v>5490312</v>
      </c>
      <c r="AN21" s="23"/>
      <c r="AO21" s="29"/>
      <c r="AP21" s="23"/>
      <c r="AQ21" s="23" t="s">
        <v>246</v>
      </c>
      <c r="AR21" s="23" t="s">
        <v>11</v>
      </c>
      <c r="AS21" s="33">
        <v>0.1</v>
      </c>
      <c r="AT21" s="29">
        <v>45023</v>
      </c>
      <c r="AU21" s="23"/>
      <c r="AV21" s="23"/>
      <c r="AW21" s="23" t="s">
        <v>247</v>
      </c>
      <c r="AX21" t="s">
        <v>248</v>
      </c>
      <c r="AY21" s="23"/>
      <c r="AZ21" s="23"/>
      <c r="BA21" s="23"/>
      <c r="BB21" s="32"/>
      <c r="BC21" s="73"/>
    </row>
    <row r="22" spans="1:55" x14ac:dyDescent="0.25">
      <c r="A22" s="22" t="s">
        <v>249</v>
      </c>
      <c r="B22" s="23" t="s">
        <v>250</v>
      </c>
      <c r="C22" s="23" t="s">
        <v>251</v>
      </c>
      <c r="D22" s="23" t="s">
        <v>252</v>
      </c>
      <c r="E22" s="24"/>
      <c r="F22" s="25"/>
      <c r="G22" s="23" t="s">
        <v>21</v>
      </c>
      <c r="H22" s="23" t="s">
        <v>106</v>
      </c>
      <c r="I22" s="2">
        <v>44508.389687499999</v>
      </c>
      <c r="J22" s="24">
        <f>MONTH(Tabla1[[#This Row],[Publicación]])</f>
        <v>11</v>
      </c>
      <c r="K22" s="24">
        <f>YEAR(Tabla1[[#This Row],[Publicación]])</f>
        <v>2021</v>
      </c>
      <c r="L22" s="2">
        <v>44517.645833333336</v>
      </c>
      <c r="M22" s="26">
        <v>44509.491666666669</v>
      </c>
      <c r="N22" s="25" t="s">
        <v>11</v>
      </c>
      <c r="O22" s="24"/>
      <c r="P22" s="24" t="s">
        <v>11</v>
      </c>
      <c r="Q22" s="2">
        <v>44508.999305555553</v>
      </c>
      <c r="R22" s="2">
        <v>44512.999305555553</v>
      </c>
      <c r="S22" s="26">
        <v>44540.426388888889</v>
      </c>
      <c r="T22" s="27">
        <v>0</v>
      </c>
      <c r="U22" s="28">
        <f>Tabla1[[#This Row],[PPTO]]/(1+'Lista Datos'!$B$1)</f>
        <v>0</v>
      </c>
      <c r="V22" s="23"/>
      <c r="W22" s="18" t="s">
        <v>10</v>
      </c>
      <c r="X22" s="102"/>
      <c r="Y22" s="18" t="s">
        <v>146</v>
      </c>
      <c r="Z22" s="18" t="s">
        <v>10</v>
      </c>
      <c r="AA22" s="23"/>
      <c r="AB22" s="23"/>
      <c r="AC22" s="23" t="s">
        <v>10</v>
      </c>
      <c r="AD22" s="23"/>
      <c r="AE22" s="29">
        <f>Tabla1[[#This Row],[Cierre]]+Tabla1[[#This Row],[Vigencia Oferta (días)]]</f>
        <v>44517.645833333336</v>
      </c>
      <c r="AF22" s="87"/>
      <c r="AG22" s="28"/>
      <c r="AH22" s="164">
        <f>Tabla1[[#This Row],[Unidades2]]*Tabla1[[#This Row],[Precio Unitario]]</f>
        <v>0</v>
      </c>
      <c r="AI22" s="23" t="s">
        <v>44</v>
      </c>
      <c r="AJ22" s="26">
        <v>44537</v>
      </c>
      <c r="AK22" s="172">
        <f>Tabla1[[#This Row],[Fecha Vigencia]]-AJ22</f>
        <v>-19.354166666664241</v>
      </c>
      <c r="AL22" s="23" t="s">
        <v>115</v>
      </c>
      <c r="AM22" s="87">
        <v>396880</v>
      </c>
      <c r="AN22" s="23"/>
      <c r="AO22" s="29"/>
      <c r="AP22" s="23"/>
      <c r="AQ22" s="23" t="s">
        <v>253</v>
      </c>
      <c r="AR22" s="23" t="s">
        <v>10</v>
      </c>
      <c r="AS22" s="23"/>
      <c r="AT22" s="23"/>
      <c r="AU22" s="23"/>
      <c r="AV22" s="23"/>
      <c r="AW22" s="23" t="s">
        <v>254</v>
      </c>
      <c r="AX22" t="s">
        <v>255</v>
      </c>
      <c r="AY22" s="23"/>
      <c r="AZ22" s="23"/>
      <c r="BA22" s="23"/>
      <c r="BB22" s="32"/>
      <c r="BC22" s="73"/>
    </row>
    <row r="23" spans="1:55" ht="11.25" x14ac:dyDescent="0.2">
      <c r="A23" s="22" t="s">
        <v>256</v>
      </c>
      <c r="B23" s="23" t="s">
        <v>257</v>
      </c>
      <c r="C23" s="23" t="s">
        <v>258</v>
      </c>
      <c r="D23" s="23" t="s">
        <v>259</v>
      </c>
      <c r="E23" s="24"/>
      <c r="F23" s="25"/>
      <c r="G23" s="23" t="s">
        <v>21</v>
      </c>
      <c r="H23" s="23" t="s">
        <v>106</v>
      </c>
      <c r="I23" s="2">
        <v>44515.76803240741</v>
      </c>
      <c r="J23" s="24">
        <f>MONTH(Tabla1[[#This Row],[Publicación]])</f>
        <v>11</v>
      </c>
      <c r="K23" s="24">
        <f>YEAR(Tabla1[[#This Row],[Publicación]])</f>
        <v>2021</v>
      </c>
      <c r="L23" s="2">
        <v>44522.625</v>
      </c>
      <c r="M23" s="26">
        <v>44516.432638888888</v>
      </c>
      <c r="N23" s="25" t="s">
        <v>10</v>
      </c>
      <c r="O23" s="24" t="s">
        <v>29</v>
      </c>
      <c r="P23" s="24" t="s">
        <v>10</v>
      </c>
      <c r="Q23" s="2">
        <v>44515.76803240741</v>
      </c>
      <c r="R23" s="2">
        <v>44518.833333333336</v>
      </c>
      <c r="S23" s="26">
        <v>44526.708333333336</v>
      </c>
      <c r="T23" s="27">
        <v>0</v>
      </c>
      <c r="U23" s="28">
        <f>Tabla1[[#This Row],[PPTO]]/(1+'Lista Datos'!$B$1)</f>
        <v>0</v>
      </c>
      <c r="V23" s="23"/>
      <c r="W23" s="18" t="s">
        <v>10</v>
      </c>
      <c r="X23" s="102"/>
      <c r="Y23" s="18" t="s">
        <v>146</v>
      </c>
      <c r="Z23" s="18" t="s">
        <v>10</v>
      </c>
      <c r="AA23" s="23"/>
      <c r="AB23" s="23"/>
      <c r="AC23" s="23"/>
      <c r="AD23" s="23"/>
      <c r="AE23" s="29">
        <f>Tabla1[[#This Row],[Cierre]]+Tabla1[[#This Row],[Vigencia Oferta (días)]]</f>
        <v>44522.625</v>
      </c>
      <c r="AF23" s="87"/>
      <c r="AG23" s="28"/>
      <c r="AH23" s="164">
        <f>Tabla1[[#This Row],[Unidades2]]*Tabla1[[#This Row],[Precio Unitario]]</f>
        <v>0</v>
      </c>
      <c r="AI23" s="23" t="s">
        <v>44</v>
      </c>
      <c r="AJ23" s="26">
        <v>44536</v>
      </c>
      <c r="AK23" s="172">
        <f>Tabla1[[#This Row],[Fecha Vigencia]]-AJ23</f>
        <v>-13.375</v>
      </c>
      <c r="AL23" s="23" t="s">
        <v>46</v>
      </c>
      <c r="AM23" s="87">
        <v>900000</v>
      </c>
      <c r="AN23" s="23"/>
      <c r="AO23" s="29"/>
      <c r="AP23" s="23"/>
      <c r="AQ23" s="23" t="s">
        <v>260</v>
      </c>
      <c r="AR23" s="23" t="s">
        <v>10</v>
      </c>
      <c r="AS23" s="23"/>
      <c r="AT23" s="23"/>
      <c r="AU23" s="23"/>
      <c r="AV23" s="23"/>
      <c r="AW23" s="23"/>
      <c r="AX23" s="48"/>
      <c r="AY23" s="23"/>
      <c r="AZ23" s="23"/>
      <c r="BA23" s="23"/>
      <c r="BB23" s="32"/>
      <c r="BC23" s="73"/>
    </row>
    <row r="24" spans="1:55" ht="11.25" x14ac:dyDescent="0.2">
      <c r="A24" s="22" t="s">
        <v>261</v>
      </c>
      <c r="B24" s="23" t="s">
        <v>262</v>
      </c>
      <c r="C24" s="23" t="s">
        <v>263</v>
      </c>
      <c r="D24" s="23" t="s">
        <v>264</v>
      </c>
      <c r="E24" s="24"/>
      <c r="F24" s="25"/>
      <c r="G24" s="23" t="s">
        <v>21</v>
      </c>
      <c r="H24" s="23" t="s">
        <v>106</v>
      </c>
      <c r="I24" s="2">
        <v>44515.635833333334</v>
      </c>
      <c r="J24" s="24">
        <f>MONTH(Tabla1[[#This Row],[Publicación]])</f>
        <v>11</v>
      </c>
      <c r="K24" s="24">
        <f>YEAR(Tabla1[[#This Row],[Publicación]])</f>
        <v>2021</v>
      </c>
      <c r="L24" s="2">
        <v>44522.625</v>
      </c>
      <c r="M24" s="26">
        <v>44516.463888888888</v>
      </c>
      <c r="N24" s="25" t="s">
        <v>10</v>
      </c>
      <c r="O24" s="24" t="s">
        <v>34</v>
      </c>
      <c r="P24" s="24" t="s">
        <v>10</v>
      </c>
      <c r="Q24" s="2">
        <v>44515.635833333334</v>
      </c>
      <c r="R24" s="2">
        <v>44518.75</v>
      </c>
      <c r="S24" s="26">
        <v>44530.525451388887</v>
      </c>
      <c r="T24" s="27">
        <v>0</v>
      </c>
      <c r="U24" s="28">
        <f>Tabla1[[#This Row],[PPTO]]/(1+'Lista Datos'!$B$1)</f>
        <v>0</v>
      </c>
      <c r="V24" s="23"/>
      <c r="W24" s="18" t="s">
        <v>10</v>
      </c>
      <c r="X24" s="102"/>
      <c r="Y24" s="18" t="s">
        <v>146</v>
      </c>
      <c r="Z24" s="18" t="s">
        <v>10</v>
      </c>
      <c r="AA24" s="23"/>
      <c r="AB24" s="23"/>
      <c r="AC24" s="23"/>
      <c r="AD24" s="23"/>
      <c r="AE24" s="29">
        <f>Tabla1[[#This Row],[Cierre]]+Tabla1[[#This Row],[Vigencia Oferta (días)]]</f>
        <v>44522.625</v>
      </c>
      <c r="AF24" s="87"/>
      <c r="AG24" s="28"/>
      <c r="AH24" s="164">
        <f>Tabla1[[#This Row],[Unidades2]]*Tabla1[[#This Row],[Precio Unitario]]</f>
        <v>0</v>
      </c>
      <c r="AI24" s="23" t="s">
        <v>137</v>
      </c>
      <c r="AJ24" s="26"/>
      <c r="AK24" s="172">
        <f>Tabla1[[#This Row],[Fecha Vigencia]]-AJ24</f>
        <v>44522.625</v>
      </c>
      <c r="AL24" s="23"/>
      <c r="AM24" s="87"/>
      <c r="AN24" s="23"/>
      <c r="AO24" s="29"/>
      <c r="AP24" s="23"/>
      <c r="AQ24" s="23" t="s">
        <v>265</v>
      </c>
      <c r="AR24" s="23" t="s">
        <v>10</v>
      </c>
      <c r="AS24" s="23"/>
      <c r="AT24" s="23"/>
      <c r="AU24" s="23"/>
      <c r="AV24" s="23"/>
      <c r="AW24" s="23"/>
      <c r="AX24" s="23"/>
      <c r="AY24" s="23"/>
      <c r="AZ24" s="23"/>
      <c r="BA24" s="23"/>
      <c r="BB24" s="32"/>
      <c r="BC24" s="73"/>
    </row>
    <row r="25" spans="1:55" x14ac:dyDescent="0.25">
      <c r="A25" s="22" t="s">
        <v>266</v>
      </c>
      <c r="B25" s="23" t="s">
        <v>267</v>
      </c>
      <c r="C25" s="23" t="s">
        <v>268</v>
      </c>
      <c r="D25" s="23" t="s">
        <v>269</v>
      </c>
      <c r="E25" s="24"/>
      <c r="F25" s="25"/>
      <c r="G25" s="23" t="s">
        <v>16</v>
      </c>
      <c r="H25" s="23" t="s">
        <v>168</v>
      </c>
      <c r="I25" s="2">
        <v>44510.403402777774</v>
      </c>
      <c r="J25" s="24">
        <f>MONTH(Tabla1[[#This Row],[Publicación]])</f>
        <v>11</v>
      </c>
      <c r="K25" s="24">
        <f>YEAR(Tabla1[[#This Row],[Publicación]])</f>
        <v>2021</v>
      </c>
      <c r="L25" s="2">
        <v>44522.826388888891</v>
      </c>
      <c r="M25" s="26">
        <v>44515.861805555556</v>
      </c>
      <c r="N25" s="25" t="s">
        <v>10</v>
      </c>
      <c r="O25" s="24" t="s">
        <v>25</v>
      </c>
      <c r="P25" s="24" t="s">
        <v>10</v>
      </c>
      <c r="Q25" s="2">
        <v>44510.567361111112</v>
      </c>
      <c r="R25" s="2">
        <v>44514.567361111112</v>
      </c>
      <c r="S25" s="26">
        <v>44523.82708333333</v>
      </c>
      <c r="T25" s="27">
        <v>0</v>
      </c>
      <c r="U25" s="28">
        <f>Tabla1[[#This Row],[PPTO]]/(1+'Lista Datos'!$B$1)</f>
        <v>0</v>
      </c>
      <c r="V25" s="23"/>
      <c r="W25" s="18" t="s">
        <v>10</v>
      </c>
      <c r="X25" s="102"/>
      <c r="Y25" s="18" t="s">
        <v>146</v>
      </c>
      <c r="Z25" s="18" t="s">
        <v>10</v>
      </c>
      <c r="AA25" s="23"/>
      <c r="AB25" s="23"/>
      <c r="AC25" s="23"/>
      <c r="AD25" s="23"/>
      <c r="AE25" s="29">
        <f>Tabla1[[#This Row],[Cierre]]+Tabla1[[#This Row],[Vigencia Oferta (días)]]</f>
        <v>44522.826388888891</v>
      </c>
      <c r="AF25" s="87"/>
      <c r="AG25" s="28"/>
      <c r="AH25" s="164">
        <f>Tabla1[[#This Row],[Unidades2]]*Tabla1[[#This Row],[Precio Unitario]]</f>
        <v>0</v>
      </c>
      <c r="AI25" s="23" t="s">
        <v>270</v>
      </c>
      <c r="AJ25" s="26"/>
      <c r="AK25" s="172">
        <f>Tabla1[[#This Row],[Fecha Vigencia]]-AJ25</f>
        <v>44522.826388888891</v>
      </c>
      <c r="AL25" s="23"/>
      <c r="AM25" s="87"/>
      <c r="AN25" s="23"/>
      <c r="AO25" s="29"/>
      <c r="AP25" s="23"/>
      <c r="AQ25" s="23" t="s">
        <v>271</v>
      </c>
      <c r="AR25" s="23" t="s">
        <v>10</v>
      </c>
      <c r="AS25" s="23"/>
      <c r="AT25" s="23"/>
      <c r="AU25" s="23"/>
      <c r="AV25" s="23"/>
      <c r="AW25" s="23" t="s">
        <v>272</v>
      </c>
      <c r="AX25" t="s">
        <v>273</v>
      </c>
      <c r="AY25" s="23"/>
      <c r="AZ25" s="23"/>
      <c r="BA25" s="23"/>
      <c r="BB25" s="32"/>
      <c r="BC25" s="73"/>
    </row>
    <row r="26" spans="1:55" x14ac:dyDescent="0.25">
      <c r="A26" s="22" t="s">
        <v>274</v>
      </c>
      <c r="B26" s="23" t="s">
        <v>275</v>
      </c>
      <c r="C26" s="23" t="s">
        <v>276</v>
      </c>
      <c r="D26" s="23" t="s">
        <v>277</v>
      </c>
      <c r="E26" s="24"/>
      <c r="F26" s="25"/>
      <c r="G26" s="23" t="s">
        <v>16</v>
      </c>
      <c r="H26" s="23" t="s">
        <v>145</v>
      </c>
      <c r="I26" s="2">
        <v>44510.478530092594</v>
      </c>
      <c r="J26" s="24">
        <f>MONTH(Tabla1[[#This Row],[Publicación]])</f>
        <v>11</v>
      </c>
      <c r="K26" s="24">
        <f>YEAR(Tabla1[[#This Row],[Publicación]])</f>
        <v>2021</v>
      </c>
      <c r="L26" s="2">
        <v>44523.375</v>
      </c>
      <c r="M26" s="26">
        <v>44515.53125</v>
      </c>
      <c r="N26" s="25" t="s">
        <v>10</v>
      </c>
      <c r="O26" s="24" t="s">
        <v>25</v>
      </c>
      <c r="P26" s="24" t="s">
        <v>10</v>
      </c>
      <c r="Q26" s="2">
        <v>44510.791666666664</v>
      </c>
      <c r="R26" s="2">
        <v>44517.791666666664</v>
      </c>
      <c r="S26" s="26">
        <v>44532.948773148149</v>
      </c>
      <c r="T26" s="27">
        <v>0</v>
      </c>
      <c r="U26" s="28">
        <f>Tabla1[[#This Row],[PPTO]]/(1+'Lista Datos'!$B$1)</f>
        <v>0</v>
      </c>
      <c r="V26" s="23"/>
      <c r="W26" s="18" t="s">
        <v>10</v>
      </c>
      <c r="X26" s="102"/>
      <c r="Y26" s="18" t="s">
        <v>146</v>
      </c>
      <c r="Z26" s="18" t="s">
        <v>10</v>
      </c>
      <c r="AA26" s="23"/>
      <c r="AB26" s="23"/>
      <c r="AC26" s="23"/>
      <c r="AD26" s="23"/>
      <c r="AE26" s="29">
        <f>Tabla1[[#This Row],[Cierre]]+Tabla1[[#This Row],[Vigencia Oferta (días)]]</f>
        <v>44523.375</v>
      </c>
      <c r="AF26" s="87"/>
      <c r="AG26" s="28"/>
      <c r="AH26" s="164">
        <f>Tabla1[[#This Row],[Unidades2]]*Tabla1[[#This Row],[Precio Unitario]]</f>
        <v>0</v>
      </c>
      <c r="AI26" s="23" t="s">
        <v>137</v>
      </c>
      <c r="AJ26" s="26"/>
      <c r="AK26" s="172">
        <f>Tabla1[[#This Row],[Fecha Vigencia]]-AJ26</f>
        <v>44523.375</v>
      </c>
      <c r="AL26" s="23"/>
      <c r="AM26" s="87"/>
      <c r="AN26" s="23"/>
      <c r="AO26" s="29"/>
      <c r="AP26" s="23"/>
      <c r="AQ26" s="23" t="s">
        <v>278</v>
      </c>
      <c r="AR26" s="23" t="s">
        <v>11</v>
      </c>
      <c r="AS26" s="33">
        <v>0.05</v>
      </c>
      <c r="AT26" s="29">
        <v>45741</v>
      </c>
      <c r="AU26" s="23"/>
      <c r="AV26" s="23"/>
      <c r="AW26" s="23" t="s">
        <v>279</v>
      </c>
      <c r="AX26" t="s">
        <v>280</v>
      </c>
      <c r="AY26" s="23"/>
      <c r="AZ26" s="23"/>
      <c r="BA26" s="23"/>
      <c r="BB26" s="32"/>
      <c r="BC26" s="73"/>
    </row>
    <row r="27" spans="1:55" x14ac:dyDescent="0.25">
      <c r="A27" s="22" t="s">
        <v>281</v>
      </c>
      <c r="B27" s="23" t="s">
        <v>282</v>
      </c>
      <c r="C27" s="23" t="s">
        <v>283</v>
      </c>
      <c r="D27" s="23" t="s">
        <v>284</v>
      </c>
      <c r="E27" s="24"/>
      <c r="F27" s="25"/>
      <c r="G27" s="23" t="s">
        <v>21</v>
      </c>
      <c r="H27" s="23" t="s">
        <v>106</v>
      </c>
      <c r="I27" s="2">
        <v>44516.633437500001</v>
      </c>
      <c r="J27" s="24">
        <f>MONTH(Tabla1[[#This Row],[Publicación]])</f>
        <v>11</v>
      </c>
      <c r="K27" s="24">
        <f>YEAR(Tabla1[[#This Row],[Publicación]])</f>
        <v>2021</v>
      </c>
      <c r="L27" s="2">
        <v>44524.458333333336</v>
      </c>
      <c r="M27" s="26">
        <v>44517.770138888889</v>
      </c>
      <c r="N27" s="25" t="s">
        <v>11</v>
      </c>
      <c r="O27" s="24"/>
      <c r="P27" s="24" t="s">
        <v>11</v>
      </c>
      <c r="Q27" s="2">
        <v>44516.793055555558</v>
      </c>
      <c r="R27" s="2">
        <v>44522.625</v>
      </c>
      <c r="S27" s="26">
        <v>44530.625</v>
      </c>
      <c r="T27" s="27">
        <v>0</v>
      </c>
      <c r="U27" s="28">
        <f>Tabla1[[#This Row],[PPTO]]/(1+'Lista Datos'!$B$1)</f>
        <v>0</v>
      </c>
      <c r="V27" s="23"/>
      <c r="W27" s="18" t="s">
        <v>10</v>
      </c>
      <c r="X27" s="102"/>
      <c r="Y27" s="18" t="s">
        <v>146</v>
      </c>
      <c r="Z27" s="18" t="s">
        <v>10</v>
      </c>
      <c r="AA27" s="23"/>
      <c r="AB27" s="23"/>
      <c r="AC27" s="23" t="s">
        <v>10</v>
      </c>
      <c r="AD27" s="23"/>
      <c r="AE27" s="29">
        <f>Tabla1[[#This Row],[Cierre]]+Tabla1[[#This Row],[Vigencia Oferta (días)]]</f>
        <v>44524.458333333336</v>
      </c>
      <c r="AF27" s="87"/>
      <c r="AG27" s="28"/>
      <c r="AH27" s="164">
        <f>Tabla1[[#This Row],[Unidades2]]*Tabla1[[#This Row],[Precio Unitario]]</f>
        <v>0</v>
      </c>
      <c r="AI27" s="23" t="s">
        <v>44</v>
      </c>
      <c r="AJ27" s="26">
        <v>44531</v>
      </c>
      <c r="AK27" s="172">
        <f>Tabla1[[#This Row],[Fecha Vigencia]]-AJ27</f>
        <v>-6.5416666666642413</v>
      </c>
      <c r="AL27" s="23" t="s">
        <v>46</v>
      </c>
      <c r="AM27" s="87">
        <v>110000</v>
      </c>
      <c r="AN27" s="23"/>
      <c r="AO27" s="29"/>
      <c r="AP27" s="23"/>
      <c r="AQ27" s="23" t="s">
        <v>285</v>
      </c>
      <c r="AR27" s="23" t="s">
        <v>10</v>
      </c>
      <c r="AS27" s="23"/>
      <c r="AT27" s="23"/>
      <c r="AU27" s="23"/>
      <c r="AV27" s="23"/>
      <c r="AW27" s="23" t="s">
        <v>286</v>
      </c>
      <c r="AX27" t="s">
        <v>287</v>
      </c>
      <c r="AY27" s="23"/>
      <c r="AZ27" s="23"/>
      <c r="BA27" s="23"/>
      <c r="BB27" s="32"/>
      <c r="BC27" s="73"/>
    </row>
    <row r="28" spans="1:55" ht="11.25" x14ac:dyDescent="0.2">
      <c r="A28" s="22" t="s">
        <v>288</v>
      </c>
      <c r="B28" s="23" t="s">
        <v>289</v>
      </c>
      <c r="C28" s="23" t="s">
        <v>290</v>
      </c>
      <c r="D28" s="23" t="s">
        <v>291</v>
      </c>
      <c r="E28" s="24"/>
      <c r="F28" s="25"/>
      <c r="G28" s="23" t="s">
        <v>16</v>
      </c>
      <c r="H28" s="23" t="s">
        <v>145</v>
      </c>
      <c r="I28" s="2">
        <v>44516.733124999999</v>
      </c>
      <c r="J28" s="24">
        <f>MONTH(Tabla1[[#This Row],[Publicación]])</f>
        <v>11</v>
      </c>
      <c r="K28" s="24">
        <f>YEAR(Tabla1[[#This Row],[Publicación]])</f>
        <v>2021</v>
      </c>
      <c r="L28" s="2">
        <v>44524.791666666664</v>
      </c>
      <c r="M28" s="26">
        <v>44517.473611111112</v>
      </c>
      <c r="N28" s="25" t="s">
        <v>11</v>
      </c>
      <c r="O28" s="24"/>
      <c r="P28" s="24" t="s">
        <v>11</v>
      </c>
      <c r="Q28" s="2">
        <v>44516.733124999999</v>
      </c>
      <c r="R28" s="2">
        <v>44519.75</v>
      </c>
      <c r="S28" s="26">
        <v>44532.680300925924</v>
      </c>
      <c r="T28" s="27">
        <v>0</v>
      </c>
      <c r="U28" s="28">
        <f>Tabla1[[#This Row],[PPTO]]/(1+'Lista Datos'!$B$1)</f>
        <v>0</v>
      </c>
      <c r="V28" s="23"/>
      <c r="W28" s="18" t="s">
        <v>10</v>
      </c>
      <c r="X28" s="102"/>
      <c r="Y28" s="18" t="s">
        <v>146</v>
      </c>
      <c r="Z28" s="18" t="s">
        <v>10</v>
      </c>
      <c r="AA28" s="23" t="s">
        <v>177</v>
      </c>
      <c r="AB28" s="23">
        <v>3</v>
      </c>
      <c r="AC28" s="23" t="s">
        <v>10</v>
      </c>
      <c r="AD28" s="23"/>
      <c r="AE28" s="29">
        <f>Tabla1[[#This Row],[Cierre]]+Tabla1[[#This Row],[Vigencia Oferta (días)]]</f>
        <v>44524.791666666664</v>
      </c>
      <c r="AF28" s="87"/>
      <c r="AG28" s="28"/>
      <c r="AH28" s="164">
        <f>Tabla1[[#This Row],[Unidades2]]*Tabla1[[#This Row],[Precio Unitario]]</f>
        <v>0</v>
      </c>
      <c r="AI28" s="23" t="s">
        <v>44</v>
      </c>
      <c r="AJ28" s="26">
        <v>44532.679861111108</v>
      </c>
      <c r="AK28" s="172">
        <f>Tabla1[[#This Row],[Fecha Vigencia]]-AJ28</f>
        <v>-7.8881944444437977</v>
      </c>
      <c r="AL28" s="23" t="s">
        <v>115</v>
      </c>
      <c r="AM28" s="87">
        <v>2500000</v>
      </c>
      <c r="AN28" s="29">
        <v>44532</v>
      </c>
      <c r="AO28" s="29">
        <v>44622</v>
      </c>
      <c r="AP28" s="23" t="s">
        <v>292</v>
      </c>
      <c r="AQ28" s="23" t="s">
        <v>293</v>
      </c>
      <c r="AR28" s="23" t="s">
        <v>10</v>
      </c>
      <c r="AS28" s="23"/>
      <c r="AT28" s="23"/>
      <c r="AU28" s="23"/>
      <c r="AV28" s="23"/>
      <c r="AW28" s="23"/>
      <c r="AX28" s="23"/>
      <c r="AY28" s="23"/>
      <c r="AZ28" s="23"/>
      <c r="BA28" s="23"/>
      <c r="BB28" s="32"/>
      <c r="BC28" s="73"/>
    </row>
    <row r="29" spans="1:55" x14ac:dyDescent="0.25">
      <c r="A29" s="22" t="s">
        <v>294</v>
      </c>
      <c r="B29" s="23" t="s">
        <v>295</v>
      </c>
      <c r="C29" s="23" t="s">
        <v>296</v>
      </c>
      <c r="D29" s="23" t="s">
        <v>297</v>
      </c>
      <c r="E29" s="24"/>
      <c r="F29" s="25"/>
      <c r="G29" s="23" t="s">
        <v>41</v>
      </c>
      <c r="H29" s="23" t="s">
        <v>298</v>
      </c>
      <c r="I29" s="2">
        <v>44515.681550925925</v>
      </c>
      <c r="J29" s="24">
        <f>MONTH(Tabla1[[#This Row],[Publicación]])</f>
        <v>11</v>
      </c>
      <c r="K29" s="24">
        <f>YEAR(Tabla1[[#This Row],[Publicación]])</f>
        <v>2021</v>
      </c>
      <c r="L29" s="2">
        <v>44525.625</v>
      </c>
      <c r="M29" s="26">
        <v>44515.807638888888</v>
      </c>
      <c r="N29" s="25" t="s">
        <v>10</v>
      </c>
      <c r="O29" s="24" t="s">
        <v>25</v>
      </c>
      <c r="P29" s="24" t="s">
        <v>10</v>
      </c>
      <c r="Q29" s="2">
        <v>44515.791666666664</v>
      </c>
      <c r="R29" s="2">
        <v>44519.708333333336</v>
      </c>
      <c r="S29" s="26">
        <v>44558.708333333336</v>
      </c>
      <c r="T29" s="27">
        <v>0</v>
      </c>
      <c r="U29" s="28">
        <f>Tabla1[[#This Row],[PPTO]]/(1+'Lista Datos'!$B$1)</f>
        <v>0</v>
      </c>
      <c r="V29" s="23"/>
      <c r="W29" s="18" t="s">
        <v>10</v>
      </c>
      <c r="X29" s="102"/>
      <c r="Y29" s="18" t="s">
        <v>146</v>
      </c>
      <c r="Z29" s="18" t="s">
        <v>10</v>
      </c>
      <c r="AA29" s="23"/>
      <c r="AB29" s="23"/>
      <c r="AC29" s="23"/>
      <c r="AD29" s="23"/>
      <c r="AE29" s="29">
        <f>Tabla1[[#This Row],[Cierre]]+Tabla1[[#This Row],[Vigencia Oferta (días)]]</f>
        <v>44525.625</v>
      </c>
      <c r="AF29" s="87"/>
      <c r="AG29" s="28"/>
      <c r="AH29" s="164">
        <f>Tabla1[[#This Row],[Unidades2]]*Tabla1[[#This Row],[Precio Unitario]]</f>
        <v>0</v>
      </c>
      <c r="AI29" s="23" t="s">
        <v>137</v>
      </c>
      <c r="AJ29" s="26"/>
      <c r="AK29" s="172">
        <f>Tabla1[[#This Row],[Fecha Vigencia]]-AJ29</f>
        <v>44525.625</v>
      </c>
      <c r="AL29" s="23"/>
      <c r="AM29" s="87"/>
      <c r="AN29" s="23"/>
      <c r="AO29" s="29"/>
      <c r="AP29" s="23"/>
      <c r="AQ29" s="23" t="s">
        <v>299</v>
      </c>
      <c r="AR29" s="23" t="s">
        <v>10</v>
      </c>
      <c r="AS29" s="23"/>
      <c r="AT29" s="23"/>
      <c r="AU29" s="23"/>
      <c r="AV29" s="23"/>
      <c r="AW29" s="23" t="s">
        <v>300</v>
      </c>
      <c r="AX29" t="s">
        <v>301</v>
      </c>
      <c r="AY29" s="23"/>
      <c r="AZ29" s="23"/>
      <c r="BA29" s="23"/>
      <c r="BB29" s="32"/>
      <c r="BC29" s="73"/>
    </row>
    <row r="30" spans="1:55" x14ac:dyDescent="0.25">
      <c r="A30" s="22" t="s">
        <v>302</v>
      </c>
      <c r="B30" s="23" t="s">
        <v>303</v>
      </c>
      <c r="C30" s="23" t="s">
        <v>304</v>
      </c>
      <c r="D30" s="23" t="s">
        <v>305</v>
      </c>
      <c r="E30" s="24"/>
      <c r="F30" s="25"/>
      <c r="G30" s="23" t="s">
        <v>16</v>
      </c>
      <c r="H30" s="23" t="s">
        <v>123</v>
      </c>
      <c r="I30" s="2">
        <v>44516.711608796293</v>
      </c>
      <c r="J30" s="24">
        <f>MONTH(Tabla1[[#This Row],[Publicación]])</f>
        <v>11</v>
      </c>
      <c r="K30" s="24">
        <f>YEAR(Tabla1[[#This Row],[Publicación]])</f>
        <v>2021</v>
      </c>
      <c r="L30" s="2">
        <v>44526.375</v>
      </c>
      <c r="M30" s="26">
        <v>44517.46597222222</v>
      </c>
      <c r="N30" s="25" t="s">
        <v>10</v>
      </c>
      <c r="O30" s="24" t="s">
        <v>25</v>
      </c>
      <c r="P30" s="24" t="s">
        <v>10</v>
      </c>
      <c r="Q30" s="2">
        <v>44516.75</v>
      </c>
      <c r="R30" s="2">
        <v>44523.666666666664</v>
      </c>
      <c r="S30" s="26">
        <v>44561.708333333336</v>
      </c>
      <c r="T30" s="27">
        <v>0</v>
      </c>
      <c r="U30" s="28">
        <f>Tabla1[[#This Row],[PPTO]]/(1+'Lista Datos'!$B$1)</f>
        <v>0</v>
      </c>
      <c r="V30" s="23"/>
      <c r="W30" s="18" t="s">
        <v>10</v>
      </c>
      <c r="X30" s="102"/>
      <c r="Y30" s="18" t="s">
        <v>146</v>
      </c>
      <c r="Z30" s="18" t="s">
        <v>10</v>
      </c>
      <c r="AA30" s="23"/>
      <c r="AB30" s="23"/>
      <c r="AC30" s="23"/>
      <c r="AD30" s="23"/>
      <c r="AE30" s="29">
        <f>Tabla1[[#This Row],[Cierre]]+Tabla1[[#This Row],[Vigencia Oferta (días)]]</f>
        <v>44526.375</v>
      </c>
      <c r="AF30" s="87"/>
      <c r="AG30" s="28"/>
      <c r="AH30" s="164">
        <f>Tabla1[[#This Row],[Unidades2]]*Tabla1[[#This Row],[Precio Unitario]]</f>
        <v>0</v>
      </c>
      <c r="AI30" s="23" t="s">
        <v>44</v>
      </c>
      <c r="AJ30" s="26">
        <v>44560</v>
      </c>
      <c r="AK30" s="172">
        <f>Tabla1[[#This Row],[Fecha Vigencia]]-AJ30</f>
        <v>-33.625</v>
      </c>
      <c r="AL30" s="23" t="s">
        <v>46</v>
      </c>
      <c r="AM30" s="87">
        <v>509502</v>
      </c>
      <c r="AN30" s="23"/>
      <c r="AO30" s="29"/>
      <c r="AP30" s="23"/>
      <c r="AQ30" s="23" t="s">
        <v>306</v>
      </c>
      <c r="AR30" s="23" t="s">
        <v>11</v>
      </c>
      <c r="AS30" s="33">
        <v>0.05</v>
      </c>
      <c r="AT30" s="29">
        <v>45107</v>
      </c>
      <c r="AU30" s="23"/>
      <c r="AV30" s="23"/>
      <c r="AW30" s="23" t="s">
        <v>307</v>
      </c>
      <c r="AX30" t="s">
        <v>308</v>
      </c>
      <c r="AY30" s="23" t="s">
        <v>309</v>
      </c>
      <c r="AZ30" s="23"/>
      <c r="BA30" s="23"/>
      <c r="BB30" s="32"/>
      <c r="BC30" s="73"/>
    </row>
    <row r="31" spans="1:55" x14ac:dyDescent="0.25">
      <c r="A31" s="22" t="s">
        <v>310</v>
      </c>
      <c r="B31" s="23" t="s">
        <v>311</v>
      </c>
      <c r="C31" s="23" t="s">
        <v>311</v>
      </c>
      <c r="D31" s="23" t="s">
        <v>312</v>
      </c>
      <c r="E31" s="24"/>
      <c r="F31" s="25"/>
      <c r="G31" s="23" t="s">
        <v>18</v>
      </c>
      <c r="H31" s="23" t="s">
        <v>213</v>
      </c>
      <c r="I31" s="2">
        <v>44512.68472222222</v>
      </c>
      <c r="J31" s="24">
        <f>MONTH(Tabla1[[#This Row],[Publicación]])</f>
        <v>11</v>
      </c>
      <c r="K31" s="24">
        <f>YEAR(Tabla1[[#This Row],[Publicación]])</f>
        <v>2021</v>
      </c>
      <c r="L31" s="2">
        <v>44526.509722222225</v>
      </c>
      <c r="M31" s="26">
        <v>44512.883333333331</v>
      </c>
      <c r="N31" s="25" t="s">
        <v>10</v>
      </c>
      <c r="O31" s="24" t="s">
        <v>25</v>
      </c>
      <c r="P31" s="24" t="s">
        <v>10</v>
      </c>
      <c r="Q31" s="2">
        <v>44512.844444444447</v>
      </c>
      <c r="R31" s="2">
        <v>44519.844444444447</v>
      </c>
      <c r="S31" s="26">
        <v>44532.66002314815</v>
      </c>
      <c r="T31" s="27">
        <v>0</v>
      </c>
      <c r="U31" s="28">
        <f>Tabla1[[#This Row],[PPTO]]/(1+'Lista Datos'!$B$1)</f>
        <v>0</v>
      </c>
      <c r="V31" s="23"/>
      <c r="W31" s="18" t="s">
        <v>10</v>
      </c>
      <c r="X31" s="102"/>
      <c r="Y31" s="18" t="s">
        <v>146</v>
      </c>
      <c r="Z31" s="18" t="s">
        <v>10</v>
      </c>
      <c r="AA31" s="23"/>
      <c r="AB31" s="23"/>
      <c r="AC31" s="23"/>
      <c r="AD31" s="23"/>
      <c r="AE31" s="29">
        <f>Tabla1[[#This Row],[Cierre]]+Tabla1[[#This Row],[Vigencia Oferta (días)]]</f>
        <v>44526.509722222225</v>
      </c>
      <c r="AF31" s="87"/>
      <c r="AG31" s="28"/>
      <c r="AH31" s="164">
        <f>Tabla1[[#This Row],[Unidades2]]*Tabla1[[#This Row],[Precio Unitario]]</f>
        <v>0</v>
      </c>
      <c r="AI31" s="23" t="s">
        <v>137</v>
      </c>
      <c r="AJ31" s="26"/>
      <c r="AK31" s="172">
        <f>Tabla1[[#This Row],[Fecha Vigencia]]-AJ31</f>
        <v>44526.509722222225</v>
      </c>
      <c r="AL31" s="23"/>
      <c r="AM31" s="87"/>
      <c r="AN31" s="23"/>
      <c r="AO31" s="29"/>
      <c r="AP31" s="23"/>
      <c r="AQ31" s="23" t="s">
        <v>313</v>
      </c>
      <c r="AR31" s="23" t="s">
        <v>11</v>
      </c>
      <c r="AS31" s="33">
        <v>0.05</v>
      </c>
      <c r="AT31" s="29">
        <v>45379</v>
      </c>
      <c r="AU31" s="23"/>
      <c r="AV31" s="23"/>
      <c r="AW31" s="23" t="s">
        <v>314</v>
      </c>
      <c r="AX31" t="s">
        <v>315</v>
      </c>
      <c r="AY31" s="23"/>
      <c r="AZ31" s="23"/>
      <c r="BA31" s="23"/>
      <c r="BB31" s="32"/>
      <c r="BC31" s="73"/>
    </row>
    <row r="32" spans="1:55" x14ac:dyDescent="0.25">
      <c r="A32" s="22" t="s">
        <v>316</v>
      </c>
      <c r="B32" s="23" t="s">
        <v>317</v>
      </c>
      <c r="C32" s="23" t="s">
        <v>318</v>
      </c>
      <c r="D32" s="23" t="s">
        <v>319</v>
      </c>
      <c r="E32" s="24"/>
      <c r="F32" s="25"/>
      <c r="G32" s="23" t="s">
        <v>16</v>
      </c>
      <c r="H32" s="23" t="s">
        <v>168</v>
      </c>
      <c r="I32" s="2">
        <v>44518.717893518522</v>
      </c>
      <c r="J32" s="24">
        <f>MONTH(Tabla1[[#This Row],[Publicación]])</f>
        <v>11</v>
      </c>
      <c r="K32" s="24">
        <f>YEAR(Tabla1[[#This Row],[Publicación]])</f>
        <v>2021</v>
      </c>
      <c r="L32" s="2">
        <v>44529.645833333336</v>
      </c>
      <c r="M32" s="26">
        <v>44522.758333333331</v>
      </c>
      <c r="N32" s="25" t="s">
        <v>11</v>
      </c>
      <c r="O32" s="24"/>
      <c r="P32" s="24" t="s">
        <v>11</v>
      </c>
      <c r="Q32" s="2">
        <v>44518.729861111111</v>
      </c>
      <c r="R32" s="2">
        <v>44526.708333333336</v>
      </c>
      <c r="S32" s="26">
        <v>44522.758333333331</v>
      </c>
      <c r="T32" s="27">
        <v>0</v>
      </c>
      <c r="U32" s="28">
        <f>Tabla1[[#This Row],[PPTO]]/(1+'Lista Datos'!$B$1)</f>
        <v>0</v>
      </c>
      <c r="V32" s="23"/>
      <c r="W32" s="18" t="s">
        <v>11</v>
      </c>
      <c r="X32" s="102">
        <v>200000</v>
      </c>
      <c r="Y32" s="26">
        <v>44619</v>
      </c>
      <c r="Z32" s="18" t="s">
        <v>10</v>
      </c>
      <c r="AA32" s="23"/>
      <c r="AB32" s="23"/>
      <c r="AC32" s="23" t="s">
        <v>10</v>
      </c>
      <c r="AD32" s="23"/>
      <c r="AE32" s="29">
        <f>Tabla1[[#This Row],[Cierre]]+Tabla1[[#This Row],[Vigencia Oferta (días)]]</f>
        <v>44529.645833333336</v>
      </c>
      <c r="AF32" s="87"/>
      <c r="AG32" s="28"/>
      <c r="AH32" s="164">
        <f>Tabla1[[#This Row],[Unidades2]]*Tabla1[[#This Row],[Precio Unitario]]</f>
        <v>0</v>
      </c>
      <c r="AI32" s="23" t="s">
        <v>320</v>
      </c>
      <c r="AJ32" s="26"/>
      <c r="AK32" s="172">
        <f>Tabla1[[#This Row],[Fecha Vigencia]]-AJ32</f>
        <v>44529.645833333336</v>
      </c>
      <c r="AL32" s="23"/>
      <c r="AM32" s="87"/>
      <c r="AN32" s="23"/>
      <c r="AO32" s="29"/>
      <c r="AP32" s="23"/>
      <c r="AQ32" s="23" t="s">
        <v>321</v>
      </c>
      <c r="AR32" s="23" t="s">
        <v>11</v>
      </c>
      <c r="AS32" s="33">
        <v>0.05</v>
      </c>
      <c r="AT32" s="29">
        <v>45757</v>
      </c>
      <c r="AU32" s="23"/>
      <c r="AV32" s="23"/>
      <c r="AW32" s="23" t="s">
        <v>322</v>
      </c>
      <c r="AX32" t="s">
        <v>323</v>
      </c>
      <c r="AY32" s="23"/>
      <c r="AZ32" s="23"/>
      <c r="BA32" s="23"/>
      <c r="BB32" s="32"/>
      <c r="BC32" s="73"/>
    </row>
    <row r="33" spans="1:55" x14ac:dyDescent="0.25">
      <c r="A33" s="22" t="s">
        <v>324</v>
      </c>
      <c r="B33" s="23" t="s">
        <v>325</v>
      </c>
      <c r="C33" s="23" t="s">
        <v>326</v>
      </c>
      <c r="D33" s="23" t="s">
        <v>319</v>
      </c>
      <c r="E33" s="24"/>
      <c r="F33" s="25"/>
      <c r="G33" s="23" t="s">
        <v>17</v>
      </c>
      <c r="H33" s="23" t="s">
        <v>168</v>
      </c>
      <c r="I33" s="2">
        <v>44516.792048611111</v>
      </c>
      <c r="J33" s="24">
        <f>MONTH(Tabla1[[#This Row],[Publicación]])</f>
        <v>11</v>
      </c>
      <c r="K33" s="24">
        <f>YEAR(Tabla1[[#This Row],[Publicación]])</f>
        <v>2021</v>
      </c>
      <c r="L33" s="2">
        <v>44529.645833333336</v>
      </c>
      <c r="M33" s="26">
        <v>44517.711111111108</v>
      </c>
      <c r="N33" s="25" t="s">
        <v>10</v>
      </c>
      <c r="O33" s="24" t="s">
        <v>25</v>
      </c>
      <c r="P33" s="24" t="s">
        <v>10</v>
      </c>
      <c r="Q33" s="2">
        <v>44516.999305555553</v>
      </c>
      <c r="R33" s="2">
        <v>44524.541666666664</v>
      </c>
      <c r="S33" s="26">
        <v>44564.680555555555</v>
      </c>
      <c r="T33" s="27">
        <v>0</v>
      </c>
      <c r="U33" s="28">
        <f>Tabla1[[#This Row],[PPTO]]/(1+'Lista Datos'!$B$1)</f>
        <v>0</v>
      </c>
      <c r="V33" s="23"/>
      <c r="W33" s="18" t="s">
        <v>10</v>
      </c>
      <c r="X33" s="102"/>
      <c r="Y33" s="18" t="s">
        <v>146</v>
      </c>
      <c r="Z33" s="18" t="s">
        <v>11</v>
      </c>
      <c r="AA33" s="23"/>
      <c r="AB33" s="23"/>
      <c r="AC33" s="23"/>
      <c r="AD33" s="23">
        <v>90</v>
      </c>
      <c r="AE33" s="29">
        <f>Tabla1[[#This Row],[Cierre]]+Tabla1[[#This Row],[Vigencia Oferta (días)]]</f>
        <v>44619.645833333336</v>
      </c>
      <c r="AF33" s="87"/>
      <c r="AG33" s="28"/>
      <c r="AH33" s="164">
        <f>Tabla1[[#This Row],[Unidades2]]*Tabla1[[#This Row],[Precio Unitario]]</f>
        <v>0</v>
      </c>
      <c r="AI33" s="23" t="s">
        <v>44</v>
      </c>
      <c r="AJ33" s="26">
        <v>44543</v>
      </c>
      <c r="AK33" s="172">
        <f>Tabla1[[#This Row],[Fecha Vigencia]]-AJ33</f>
        <v>76.645833333335759</v>
      </c>
      <c r="AL33" s="23" t="s">
        <v>46</v>
      </c>
      <c r="AM33" s="87">
        <v>105637756</v>
      </c>
      <c r="AN33" s="23"/>
      <c r="AO33" s="29"/>
      <c r="AP33" s="23"/>
      <c r="AQ33" s="23" t="s">
        <v>321</v>
      </c>
      <c r="AR33" s="23" t="s">
        <v>11</v>
      </c>
      <c r="AS33" s="33">
        <v>0.05</v>
      </c>
      <c r="AT33" s="23"/>
      <c r="AU33" s="23"/>
      <c r="AV33" s="23"/>
      <c r="AW33" s="23" t="s">
        <v>322</v>
      </c>
      <c r="AX33" t="s">
        <v>327</v>
      </c>
      <c r="AY33" s="23"/>
      <c r="AZ33" s="23"/>
      <c r="BA33" s="23"/>
      <c r="BB33" s="32"/>
      <c r="BC33" s="73"/>
    </row>
    <row r="34" spans="1:55" x14ac:dyDescent="0.25">
      <c r="A34" s="22" t="s">
        <v>328</v>
      </c>
      <c r="B34" s="23" t="s">
        <v>329</v>
      </c>
      <c r="C34" s="23" t="s">
        <v>330</v>
      </c>
      <c r="D34" s="23" t="s">
        <v>331</v>
      </c>
      <c r="E34" s="24"/>
      <c r="F34" s="25"/>
      <c r="G34" s="23" t="s">
        <v>21</v>
      </c>
      <c r="H34" s="23" t="s">
        <v>106</v>
      </c>
      <c r="I34" s="2">
        <v>44497.728263888886</v>
      </c>
      <c r="J34" s="24">
        <f>MONTH(Tabla1[[#This Row],[Publicación]])</f>
        <v>10</v>
      </c>
      <c r="K34" s="24">
        <f>YEAR(Tabla1[[#This Row],[Publicación]])</f>
        <v>2021</v>
      </c>
      <c r="L34" s="2">
        <v>44529.666666666664</v>
      </c>
      <c r="M34" s="26">
        <v>44504.488888888889</v>
      </c>
      <c r="N34" s="25" t="s">
        <v>11</v>
      </c>
      <c r="O34" s="24"/>
      <c r="P34" s="24" t="s">
        <v>11</v>
      </c>
      <c r="Q34" s="2">
        <v>44498.333333333336</v>
      </c>
      <c r="R34" s="2">
        <v>44508.833333333336</v>
      </c>
      <c r="S34" s="26">
        <v>44652.833333333336</v>
      </c>
      <c r="T34" s="27">
        <v>0</v>
      </c>
      <c r="U34" s="28">
        <f>Tabla1[[#This Row],[PPTO]]/(1+'Lista Datos'!$B$1)</f>
        <v>0</v>
      </c>
      <c r="V34" s="23"/>
      <c r="W34" s="18" t="s">
        <v>11</v>
      </c>
      <c r="X34" s="102">
        <v>200000</v>
      </c>
      <c r="Y34" s="26">
        <v>44680</v>
      </c>
      <c r="Z34" s="18" t="s">
        <v>10</v>
      </c>
      <c r="AA34" s="23"/>
      <c r="AB34" s="23"/>
      <c r="AC34" s="23" t="s">
        <v>10</v>
      </c>
      <c r="AD34" s="23"/>
      <c r="AE34" s="29">
        <f>Tabla1[[#This Row],[Cierre]]+Tabla1[[#This Row],[Vigencia Oferta (días)]]</f>
        <v>44529.666666666664</v>
      </c>
      <c r="AF34" s="87"/>
      <c r="AG34" s="28"/>
      <c r="AH34" s="164">
        <f>Tabla1[[#This Row],[Unidades2]]*Tabla1[[#This Row],[Precio Unitario]]</f>
        <v>0</v>
      </c>
      <c r="AI34" s="23" t="s">
        <v>44</v>
      </c>
      <c r="AJ34" s="26">
        <v>44690</v>
      </c>
      <c r="AK34" s="172">
        <f>Tabla1[[#This Row],[Fecha Vigencia]]-AJ34</f>
        <v>-160.33333333333576</v>
      </c>
      <c r="AL34" s="23" t="s">
        <v>205</v>
      </c>
      <c r="AM34" s="87">
        <v>7557512</v>
      </c>
      <c r="AN34" s="23"/>
      <c r="AO34" s="29"/>
      <c r="AP34" s="23"/>
      <c r="AQ34" s="23" t="s">
        <v>332</v>
      </c>
      <c r="AR34" s="23" t="s">
        <v>11</v>
      </c>
      <c r="AS34" s="33">
        <v>0.05</v>
      </c>
      <c r="AT34" s="29">
        <v>45474</v>
      </c>
      <c r="AU34" s="23"/>
      <c r="AV34" s="23"/>
      <c r="AW34" s="23" t="s">
        <v>333</v>
      </c>
      <c r="AX34" t="s">
        <v>140</v>
      </c>
      <c r="AY34" s="23"/>
      <c r="AZ34" s="23"/>
      <c r="BA34" s="23"/>
      <c r="BB34" s="32"/>
      <c r="BC34" s="73"/>
    </row>
    <row r="35" spans="1:55" x14ac:dyDescent="0.25">
      <c r="A35" s="22" t="s">
        <v>334</v>
      </c>
      <c r="B35" s="23" t="s">
        <v>335</v>
      </c>
      <c r="C35" s="23" t="s">
        <v>336</v>
      </c>
      <c r="D35" s="23" t="s">
        <v>337</v>
      </c>
      <c r="E35" s="24"/>
      <c r="F35" s="25"/>
      <c r="G35" s="23" t="s">
        <v>21</v>
      </c>
      <c r="H35" s="23" t="s">
        <v>106</v>
      </c>
      <c r="I35" s="2">
        <v>44520.850694444445</v>
      </c>
      <c r="J35" s="24">
        <f>MONTH(Tabla1[[#This Row],[Publicación]])</f>
        <v>11</v>
      </c>
      <c r="K35" s="24">
        <f>YEAR(Tabla1[[#This Row],[Publicación]])</f>
        <v>2021</v>
      </c>
      <c r="L35" s="2">
        <v>44530.625</v>
      </c>
      <c r="M35" s="26">
        <v>44525.36041666667</v>
      </c>
      <c r="N35" s="25" t="s">
        <v>10</v>
      </c>
      <c r="O35" s="24" t="s">
        <v>33</v>
      </c>
      <c r="P35" s="24" t="s">
        <v>10</v>
      </c>
      <c r="Q35" s="2">
        <v>44520.852777777778</v>
      </c>
      <c r="R35" s="2">
        <v>44525.75</v>
      </c>
      <c r="S35" s="26">
        <v>44530.75</v>
      </c>
      <c r="T35" s="27">
        <v>0</v>
      </c>
      <c r="U35" s="28">
        <f>Tabla1[[#This Row],[PPTO]]/(1+'Lista Datos'!$B$1)</f>
        <v>0</v>
      </c>
      <c r="V35" s="23"/>
      <c r="W35" s="18" t="s">
        <v>10</v>
      </c>
      <c r="X35" s="102"/>
      <c r="Y35" s="18" t="s">
        <v>146</v>
      </c>
      <c r="Z35" s="18" t="s">
        <v>10</v>
      </c>
      <c r="AA35" s="23"/>
      <c r="AB35" s="23"/>
      <c r="AC35" s="23"/>
      <c r="AD35" s="23"/>
      <c r="AE35" s="29">
        <f>Tabla1[[#This Row],[Cierre]]+Tabla1[[#This Row],[Vigencia Oferta (días)]]</f>
        <v>44530.625</v>
      </c>
      <c r="AF35" s="87"/>
      <c r="AG35" s="28"/>
      <c r="AH35" s="164">
        <f>Tabla1[[#This Row],[Unidades2]]*Tabla1[[#This Row],[Precio Unitario]]</f>
        <v>0</v>
      </c>
      <c r="AI35" s="23" t="s">
        <v>44</v>
      </c>
      <c r="AJ35" s="26">
        <v>44537</v>
      </c>
      <c r="AK35" s="172">
        <f>Tabla1[[#This Row],[Fecha Vigencia]]-AJ35</f>
        <v>-6.375</v>
      </c>
      <c r="AL35" s="23" t="s">
        <v>46</v>
      </c>
      <c r="AM35" s="87">
        <v>8400000</v>
      </c>
      <c r="AN35" s="23"/>
      <c r="AO35" s="29"/>
      <c r="AP35" s="23"/>
      <c r="AQ35" s="23" t="s">
        <v>338</v>
      </c>
      <c r="AR35" s="23" t="s">
        <v>10</v>
      </c>
      <c r="AS35" s="23"/>
      <c r="AT35" s="23"/>
      <c r="AU35" s="23"/>
      <c r="AV35" s="23"/>
      <c r="AW35" s="23" t="s">
        <v>339</v>
      </c>
      <c r="AX35" t="s">
        <v>340</v>
      </c>
      <c r="AY35" s="23"/>
      <c r="AZ35" s="23"/>
      <c r="BA35" s="23"/>
      <c r="BB35" s="32"/>
      <c r="BC35" s="73"/>
    </row>
    <row r="36" spans="1:55" x14ac:dyDescent="0.25">
      <c r="A36" s="22" t="s">
        <v>341</v>
      </c>
      <c r="B36" s="23" t="s">
        <v>342</v>
      </c>
      <c r="C36" s="23" t="s">
        <v>343</v>
      </c>
      <c r="D36" s="23" t="s">
        <v>344</v>
      </c>
      <c r="E36" s="24"/>
      <c r="F36" s="25"/>
      <c r="G36" s="23" t="s">
        <v>16</v>
      </c>
      <c r="H36" s="23" t="s">
        <v>345</v>
      </c>
      <c r="I36" s="2">
        <v>44509.641875000001</v>
      </c>
      <c r="J36" s="24">
        <f>MONTH(Tabla1[[#This Row],[Publicación]])</f>
        <v>11</v>
      </c>
      <c r="K36" s="24">
        <f>YEAR(Tabla1[[#This Row],[Publicación]])</f>
        <v>2021</v>
      </c>
      <c r="L36" s="2">
        <v>44530.666666666664</v>
      </c>
      <c r="M36" s="26">
        <v>44515.526388888888</v>
      </c>
      <c r="N36" s="25" t="s">
        <v>10</v>
      </c>
      <c r="O36" s="24" t="s">
        <v>31</v>
      </c>
      <c r="P36" s="24" t="s">
        <v>10</v>
      </c>
      <c r="Q36" s="2">
        <v>44509.667361111111</v>
      </c>
      <c r="R36" s="2">
        <v>44523.75</v>
      </c>
      <c r="S36" s="26">
        <v>44592.75</v>
      </c>
      <c r="T36" s="27">
        <v>0</v>
      </c>
      <c r="U36" s="28">
        <f>Tabla1[[#This Row],[PPTO]]/(1+'Lista Datos'!$B$1)</f>
        <v>0</v>
      </c>
      <c r="V36" s="23"/>
      <c r="W36" s="18" t="s">
        <v>10</v>
      </c>
      <c r="X36" s="102"/>
      <c r="Y36" s="18" t="s">
        <v>146</v>
      </c>
      <c r="Z36" s="18" t="s">
        <v>11</v>
      </c>
      <c r="AA36" s="23"/>
      <c r="AB36" s="23"/>
      <c r="AC36" s="23"/>
      <c r="AD36" s="23"/>
      <c r="AE36" s="29">
        <f>Tabla1[[#This Row],[Cierre]]+Tabla1[[#This Row],[Vigencia Oferta (días)]]</f>
        <v>44530.666666666664</v>
      </c>
      <c r="AF36" s="87"/>
      <c r="AG36" s="28"/>
      <c r="AH36" s="164">
        <f>Tabla1[[#This Row],[Unidades2]]*Tabla1[[#This Row],[Precio Unitario]]</f>
        <v>0</v>
      </c>
      <c r="AI36" s="23" t="s">
        <v>137</v>
      </c>
      <c r="AJ36" s="26"/>
      <c r="AK36" s="172">
        <f>Tabla1[[#This Row],[Fecha Vigencia]]-AJ36</f>
        <v>44530.666666666664</v>
      </c>
      <c r="AL36" s="23"/>
      <c r="AM36" s="87"/>
      <c r="AN36" s="23"/>
      <c r="AO36" s="29"/>
      <c r="AP36" s="23"/>
      <c r="AQ36" s="23" t="s">
        <v>346</v>
      </c>
      <c r="AR36" s="23" t="s">
        <v>11</v>
      </c>
      <c r="AS36" s="33">
        <v>0.05</v>
      </c>
      <c r="AT36" s="29">
        <v>45351</v>
      </c>
      <c r="AU36" s="23"/>
      <c r="AV36" s="23"/>
      <c r="AW36" s="23" t="s">
        <v>347</v>
      </c>
      <c r="AX36" t="s">
        <v>348</v>
      </c>
      <c r="AY36" s="23"/>
      <c r="AZ36" s="23"/>
      <c r="BA36" s="23"/>
      <c r="BB36" s="32"/>
      <c r="BC36" s="73"/>
    </row>
    <row r="37" spans="1:55" ht="11.25" x14ac:dyDescent="0.2">
      <c r="A37" s="22" t="s">
        <v>349</v>
      </c>
      <c r="B37" s="23" t="s">
        <v>350</v>
      </c>
      <c r="C37" s="23" t="s">
        <v>351</v>
      </c>
      <c r="D37" s="23" t="s">
        <v>352</v>
      </c>
      <c r="E37" s="24"/>
      <c r="F37" s="25"/>
      <c r="G37" s="23" t="s">
        <v>16</v>
      </c>
      <c r="H37" s="23" t="s">
        <v>240</v>
      </c>
      <c r="I37" s="2">
        <v>44525.511979166666</v>
      </c>
      <c r="J37" s="24">
        <f>MONTH(Tabla1[[#This Row],[Publicación]])</f>
        <v>11</v>
      </c>
      <c r="K37" s="24">
        <f>YEAR(Tabla1[[#This Row],[Publicación]])</f>
        <v>2021</v>
      </c>
      <c r="L37" s="2">
        <v>44530.675694444442</v>
      </c>
      <c r="M37" s="26">
        <v>44526.734722222223</v>
      </c>
      <c r="N37" s="25" t="s">
        <v>10</v>
      </c>
      <c r="O37" s="24" t="s">
        <v>25</v>
      </c>
      <c r="P37" s="24" t="s">
        <v>10</v>
      </c>
      <c r="Q37" s="2">
        <v>44525.511979166666</v>
      </c>
      <c r="R37" s="2">
        <v>44527.675694444442</v>
      </c>
      <c r="S37" s="26">
        <v>44532.675694444442</v>
      </c>
      <c r="T37" s="27">
        <v>0</v>
      </c>
      <c r="U37" s="28">
        <f>Tabla1[[#This Row],[PPTO]]/(1+'Lista Datos'!$B$1)</f>
        <v>0</v>
      </c>
      <c r="V37" s="23"/>
      <c r="W37" s="18" t="s">
        <v>10</v>
      </c>
      <c r="X37" s="102"/>
      <c r="Y37" s="18" t="s">
        <v>146</v>
      </c>
      <c r="Z37" s="18" t="s">
        <v>10</v>
      </c>
      <c r="AA37" s="23"/>
      <c r="AB37" s="23"/>
      <c r="AC37" s="23"/>
      <c r="AD37" s="23"/>
      <c r="AE37" s="29">
        <f>Tabla1[[#This Row],[Cierre]]+Tabla1[[#This Row],[Vigencia Oferta (días)]]</f>
        <v>44530.675694444442</v>
      </c>
      <c r="AF37" s="87"/>
      <c r="AG37" s="28"/>
      <c r="AH37" s="164">
        <f>Tabla1[[#This Row],[Unidades2]]*Tabla1[[#This Row],[Precio Unitario]]</f>
        <v>0</v>
      </c>
      <c r="AI37" s="23" t="s">
        <v>137</v>
      </c>
      <c r="AJ37" s="26"/>
      <c r="AK37" s="172">
        <f>Tabla1[[#This Row],[Fecha Vigencia]]-AJ37</f>
        <v>44530.675694444442</v>
      </c>
      <c r="AL37" s="23"/>
      <c r="AM37" s="87"/>
      <c r="AN37" s="23"/>
      <c r="AO37" s="29"/>
      <c r="AP37" s="23"/>
      <c r="AQ37" s="23" t="s">
        <v>353</v>
      </c>
      <c r="AR37" s="23" t="s">
        <v>10</v>
      </c>
      <c r="AS37" s="23"/>
      <c r="AT37" s="23"/>
      <c r="AU37" s="23"/>
      <c r="AV37" s="23"/>
      <c r="AW37" s="23"/>
      <c r="AX37" s="23"/>
      <c r="AY37" s="23"/>
      <c r="AZ37" s="23"/>
      <c r="BA37" s="23"/>
      <c r="BB37" s="32"/>
      <c r="BC37" s="73"/>
    </row>
    <row r="38" spans="1:55" x14ac:dyDescent="0.25">
      <c r="A38" s="22" t="s">
        <v>354</v>
      </c>
      <c r="B38" s="23" t="s">
        <v>355</v>
      </c>
      <c r="C38" s="23" t="s">
        <v>356</v>
      </c>
      <c r="D38" s="23" t="s">
        <v>357</v>
      </c>
      <c r="E38" s="24"/>
      <c r="F38" s="25"/>
      <c r="G38" s="23" t="s">
        <v>21</v>
      </c>
      <c r="H38" s="23" t="s">
        <v>106</v>
      </c>
      <c r="I38" s="2">
        <v>44525.509571759256</v>
      </c>
      <c r="J38" s="24">
        <f>MONTH(Tabla1[[#This Row],[Publicación]])</f>
        <v>11</v>
      </c>
      <c r="K38" s="24">
        <f>YEAR(Tabla1[[#This Row],[Publicación]])</f>
        <v>2021</v>
      </c>
      <c r="L38" s="2">
        <v>44531.625</v>
      </c>
      <c r="M38" s="26">
        <v>44526.879861111112</v>
      </c>
      <c r="N38" s="25" t="s">
        <v>10</v>
      </c>
      <c r="O38" s="24" t="s">
        <v>34</v>
      </c>
      <c r="P38" s="24" t="s">
        <v>10</v>
      </c>
      <c r="Q38" s="2">
        <v>44525.625</v>
      </c>
      <c r="R38" s="2">
        <v>44529.666666666664</v>
      </c>
      <c r="S38" s="26">
        <v>44560.708333333336</v>
      </c>
      <c r="T38" s="27">
        <v>0</v>
      </c>
      <c r="U38" s="28">
        <f>Tabla1[[#This Row],[PPTO]]/(1+'Lista Datos'!$B$1)</f>
        <v>0</v>
      </c>
      <c r="V38" s="23"/>
      <c r="W38" s="18" t="s">
        <v>10</v>
      </c>
      <c r="X38" s="102"/>
      <c r="Y38" s="18" t="s">
        <v>146</v>
      </c>
      <c r="Z38" s="18" t="s">
        <v>10</v>
      </c>
      <c r="AA38" s="23"/>
      <c r="AB38" s="23"/>
      <c r="AC38" s="23"/>
      <c r="AD38" s="23"/>
      <c r="AE38" s="29">
        <f>Tabla1[[#This Row],[Cierre]]+Tabla1[[#This Row],[Vigencia Oferta (días)]]</f>
        <v>44531.625</v>
      </c>
      <c r="AF38" s="87"/>
      <c r="AG38" s="28"/>
      <c r="AH38" s="164">
        <f>Tabla1[[#This Row],[Unidades2]]*Tabla1[[#This Row],[Precio Unitario]]</f>
        <v>0</v>
      </c>
      <c r="AI38" s="23" t="s">
        <v>137</v>
      </c>
      <c r="AJ38" s="26">
        <v>44546</v>
      </c>
      <c r="AK38" s="172">
        <f>Tabla1[[#This Row],[Fecha Vigencia]]-AJ38</f>
        <v>-14.375</v>
      </c>
      <c r="AL38" s="23"/>
      <c r="AM38" s="87"/>
      <c r="AN38" s="23"/>
      <c r="AO38" s="29"/>
      <c r="AP38" s="23"/>
      <c r="AQ38" s="23" t="s">
        <v>358</v>
      </c>
      <c r="AR38" s="23" t="s">
        <v>10</v>
      </c>
      <c r="AS38" s="23"/>
      <c r="AT38" s="23"/>
      <c r="AU38" s="23"/>
      <c r="AV38" s="23"/>
      <c r="AW38" s="23" t="s">
        <v>359</v>
      </c>
      <c r="AX38" t="s">
        <v>360</v>
      </c>
      <c r="AY38" s="23"/>
      <c r="AZ38" s="23"/>
      <c r="BA38" s="23"/>
      <c r="BB38" s="32"/>
      <c r="BC38" s="73"/>
    </row>
    <row r="39" spans="1:55" x14ac:dyDescent="0.25">
      <c r="A39" s="22" t="s">
        <v>361</v>
      </c>
      <c r="B39" s="23" t="s">
        <v>362</v>
      </c>
      <c r="C39" s="23" t="s">
        <v>363</v>
      </c>
      <c r="D39" s="23" t="s">
        <v>364</v>
      </c>
      <c r="E39" s="24"/>
      <c r="F39" s="25"/>
      <c r="G39" s="23" t="s">
        <v>21</v>
      </c>
      <c r="H39" s="23" t="s">
        <v>106</v>
      </c>
      <c r="I39" s="2">
        <v>44502.727777777778</v>
      </c>
      <c r="J39" s="24">
        <f>MONTH(Tabla1[[#This Row],[Publicación]])</f>
        <v>11</v>
      </c>
      <c r="K39" s="24">
        <f>YEAR(Tabla1[[#This Row],[Publicación]])</f>
        <v>2021</v>
      </c>
      <c r="L39" s="2">
        <v>44532.75</v>
      </c>
      <c r="M39" s="26">
        <v>44504.426388888889</v>
      </c>
      <c r="N39" s="25" t="s">
        <v>11</v>
      </c>
      <c r="O39" s="24"/>
      <c r="P39" s="24" t="s">
        <v>11</v>
      </c>
      <c r="Q39" s="2">
        <v>44502.75</v>
      </c>
      <c r="R39" s="2">
        <v>44515.5</v>
      </c>
      <c r="S39" s="26">
        <v>44572.75</v>
      </c>
      <c r="T39" s="27">
        <v>0</v>
      </c>
      <c r="U39" s="28">
        <f>Tabla1[[#This Row],[PPTO]]/(1+'Lista Datos'!$B$1)</f>
        <v>0</v>
      </c>
      <c r="V39" s="23"/>
      <c r="W39" s="18" t="s">
        <v>11</v>
      </c>
      <c r="X39" s="102">
        <v>100000</v>
      </c>
      <c r="Y39" s="26">
        <v>44662</v>
      </c>
      <c r="Z39" s="18" t="s">
        <v>10</v>
      </c>
      <c r="AA39" s="23"/>
      <c r="AB39" s="23"/>
      <c r="AC39" s="23" t="s">
        <v>10</v>
      </c>
      <c r="AD39" s="23"/>
      <c r="AE39" s="29">
        <f>Tabla1[[#This Row],[Cierre]]+Tabla1[[#This Row],[Vigencia Oferta (días)]]</f>
        <v>44532.75</v>
      </c>
      <c r="AF39" s="87"/>
      <c r="AG39" s="28"/>
      <c r="AH39" s="164">
        <f>Tabla1[[#This Row],[Unidades2]]*Tabla1[[#This Row],[Precio Unitario]]</f>
        <v>0</v>
      </c>
      <c r="AI39" s="23" t="s">
        <v>44</v>
      </c>
      <c r="AJ39" s="26">
        <v>44585</v>
      </c>
      <c r="AK39" s="172">
        <f>Tabla1[[#This Row],[Fecha Vigencia]]-AJ39</f>
        <v>-52.25</v>
      </c>
      <c r="AL39" s="23" t="s">
        <v>205</v>
      </c>
      <c r="AM39" s="87">
        <v>10000</v>
      </c>
      <c r="AN39" s="23"/>
      <c r="AO39" s="29"/>
      <c r="AP39" s="23"/>
      <c r="AQ39" s="23" t="s">
        <v>365</v>
      </c>
      <c r="AR39" s="23" t="s">
        <v>11</v>
      </c>
      <c r="AS39" s="33">
        <v>0.05</v>
      </c>
      <c r="AT39" s="29">
        <v>45386</v>
      </c>
      <c r="AU39" s="23"/>
      <c r="AV39" s="23"/>
      <c r="AW39" s="23" t="s">
        <v>366</v>
      </c>
      <c r="AX39" t="s">
        <v>367</v>
      </c>
      <c r="AY39" s="23"/>
      <c r="AZ39" s="23"/>
      <c r="BA39" s="23"/>
      <c r="BB39" s="32"/>
      <c r="BC39" s="73"/>
    </row>
    <row r="40" spans="1:55" x14ac:dyDescent="0.25">
      <c r="A40" s="22" t="s">
        <v>368</v>
      </c>
      <c r="B40" s="23" t="s">
        <v>369</v>
      </c>
      <c r="C40" s="23" t="s">
        <v>370</v>
      </c>
      <c r="D40" s="23" t="s">
        <v>371</v>
      </c>
      <c r="E40" s="24"/>
      <c r="F40" s="25"/>
      <c r="G40" s="23" t="s">
        <v>16</v>
      </c>
      <c r="H40" s="23" t="s">
        <v>145</v>
      </c>
      <c r="I40" s="2">
        <v>44525.511192129627</v>
      </c>
      <c r="J40" s="24">
        <f>MONTH(Tabla1[[#This Row],[Publicación]])</f>
        <v>11</v>
      </c>
      <c r="K40" s="24">
        <f>YEAR(Tabla1[[#This Row],[Publicación]])</f>
        <v>2021</v>
      </c>
      <c r="L40" s="2">
        <v>44536.625</v>
      </c>
      <c r="M40" s="26">
        <v>44526.901388888888</v>
      </c>
      <c r="N40" s="25" t="s">
        <v>10</v>
      </c>
      <c r="O40" s="24" t="s">
        <v>25</v>
      </c>
      <c r="P40" s="24" t="s">
        <v>10</v>
      </c>
      <c r="Q40" s="2">
        <v>44525.792361111111</v>
      </c>
      <c r="R40" s="2">
        <v>44532.75</v>
      </c>
      <c r="S40" s="26">
        <v>44582.833333333336</v>
      </c>
      <c r="T40" s="27">
        <v>0</v>
      </c>
      <c r="U40" s="28">
        <f>Tabla1[[#This Row],[PPTO]]/(1+'Lista Datos'!$B$1)</f>
        <v>0</v>
      </c>
      <c r="V40" s="23"/>
      <c r="W40" s="18" t="s">
        <v>10</v>
      </c>
      <c r="X40" s="102"/>
      <c r="Y40" s="18" t="s">
        <v>146</v>
      </c>
      <c r="Z40" s="18" t="s">
        <v>10</v>
      </c>
      <c r="AA40" s="23"/>
      <c r="AB40" s="23"/>
      <c r="AC40" s="23"/>
      <c r="AD40" s="23"/>
      <c r="AE40" s="29">
        <f>Tabla1[[#This Row],[Cierre]]+Tabla1[[#This Row],[Vigencia Oferta (días)]]</f>
        <v>44536.625</v>
      </c>
      <c r="AF40" s="87"/>
      <c r="AG40" s="28"/>
      <c r="AH40" s="164">
        <f>Tabla1[[#This Row],[Unidades2]]*Tabla1[[#This Row],[Precio Unitario]]</f>
        <v>0</v>
      </c>
      <c r="AI40" s="23" t="s">
        <v>137</v>
      </c>
      <c r="AJ40" s="26"/>
      <c r="AK40" s="172">
        <f>Tabla1[[#This Row],[Fecha Vigencia]]-AJ40</f>
        <v>44536.625</v>
      </c>
      <c r="AL40" s="23"/>
      <c r="AM40" s="87"/>
      <c r="AN40" s="23"/>
      <c r="AO40" s="29"/>
      <c r="AP40" s="23"/>
      <c r="AQ40" s="23" t="s">
        <v>372</v>
      </c>
      <c r="AR40" s="23" t="s">
        <v>10</v>
      </c>
      <c r="AS40" s="23"/>
      <c r="AT40" s="23"/>
      <c r="AU40" s="23"/>
      <c r="AV40" s="23"/>
      <c r="AW40" s="23" t="s">
        <v>373</v>
      </c>
      <c r="AX40" t="s">
        <v>374</v>
      </c>
      <c r="AY40" s="23"/>
      <c r="AZ40" s="23"/>
      <c r="BA40" s="23"/>
      <c r="BB40" s="32"/>
      <c r="BC40" s="73"/>
    </row>
    <row r="41" spans="1:55" x14ac:dyDescent="0.25">
      <c r="A41" s="22" t="s">
        <v>375</v>
      </c>
      <c r="B41" s="23" t="s">
        <v>376</v>
      </c>
      <c r="C41" s="23" t="s">
        <v>377</v>
      </c>
      <c r="D41" s="23" t="s">
        <v>378</v>
      </c>
      <c r="E41" s="24"/>
      <c r="F41" s="25"/>
      <c r="G41" s="23" t="s">
        <v>21</v>
      </c>
      <c r="H41" s="23" t="s">
        <v>106</v>
      </c>
      <c r="I41" s="2">
        <v>44525.504583333335</v>
      </c>
      <c r="J41" s="24">
        <f>MONTH(Tabla1[[#This Row],[Publicación]])</f>
        <v>11</v>
      </c>
      <c r="K41" s="24">
        <f>YEAR(Tabla1[[#This Row],[Publicación]])</f>
        <v>2021</v>
      </c>
      <c r="L41" s="2">
        <v>44536.666666666664</v>
      </c>
      <c r="M41" s="26">
        <v>44526.884722222225</v>
      </c>
      <c r="N41" s="25" t="s">
        <v>11</v>
      </c>
      <c r="O41" s="24"/>
      <c r="P41" s="24" t="s">
        <v>11</v>
      </c>
      <c r="Q41" s="2">
        <v>44525.71875</v>
      </c>
      <c r="R41" s="2">
        <v>44532.625</v>
      </c>
      <c r="S41" s="26">
        <v>44566.666666666664</v>
      </c>
      <c r="T41" s="27">
        <v>0</v>
      </c>
      <c r="U41" s="28">
        <f>Tabla1[[#This Row],[PPTO]]/(1+'Lista Datos'!$B$1)</f>
        <v>0</v>
      </c>
      <c r="V41" s="23"/>
      <c r="W41" s="18" t="s">
        <v>10</v>
      </c>
      <c r="X41" s="102"/>
      <c r="Y41" s="18" t="s">
        <v>146</v>
      </c>
      <c r="Z41" s="18" t="s">
        <v>10</v>
      </c>
      <c r="AA41" s="23"/>
      <c r="AB41" s="23"/>
      <c r="AC41" s="23" t="s">
        <v>10</v>
      </c>
      <c r="AD41" s="23"/>
      <c r="AE41" s="29">
        <f>Tabla1[[#This Row],[Cierre]]+Tabla1[[#This Row],[Vigencia Oferta (días)]]</f>
        <v>44536.666666666664</v>
      </c>
      <c r="AF41" s="87"/>
      <c r="AG41" s="28"/>
      <c r="AH41" s="164">
        <f>Tabla1[[#This Row],[Unidades2]]*Tabla1[[#This Row],[Precio Unitario]]</f>
        <v>0</v>
      </c>
      <c r="AI41" s="23" t="s">
        <v>44</v>
      </c>
      <c r="AJ41" s="26">
        <v>44565</v>
      </c>
      <c r="AK41" s="172">
        <f>Tabla1[[#This Row],[Fecha Vigencia]]-AJ41</f>
        <v>-28.333333333335759</v>
      </c>
      <c r="AL41" s="23" t="s">
        <v>115</v>
      </c>
      <c r="AM41" s="87">
        <v>1284300</v>
      </c>
      <c r="AN41" s="23"/>
      <c r="AO41" s="29"/>
      <c r="AP41" s="23"/>
      <c r="AQ41" s="23" t="s">
        <v>379</v>
      </c>
      <c r="AR41" s="23" t="s">
        <v>10</v>
      </c>
      <c r="AS41" s="23"/>
      <c r="AT41" s="23"/>
      <c r="AU41" s="23"/>
      <c r="AV41" s="23"/>
      <c r="AW41" s="23" t="s">
        <v>380</v>
      </c>
      <c r="AX41" t="s">
        <v>381</v>
      </c>
      <c r="AY41" s="23"/>
      <c r="AZ41" s="23"/>
      <c r="BA41" s="23"/>
      <c r="BB41" s="32"/>
      <c r="BC41" s="73"/>
    </row>
    <row r="42" spans="1:55" x14ac:dyDescent="0.25">
      <c r="A42" s="22" t="s">
        <v>382</v>
      </c>
      <c r="B42" s="23" t="s">
        <v>383</v>
      </c>
      <c r="C42" s="23" t="s">
        <v>384</v>
      </c>
      <c r="D42" s="23" t="s">
        <v>198</v>
      </c>
      <c r="E42" s="24"/>
      <c r="F42" s="25"/>
      <c r="G42" s="23" t="s">
        <v>21</v>
      </c>
      <c r="H42" s="23" t="s">
        <v>106</v>
      </c>
      <c r="I42" s="2">
        <v>44522.5390162037</v>
      </c>
      <c r="J42" s="24">
        <f>MONTH(Tabla1[[#This Row],[Publicación]])</f>
        <v>11</v>
      </c>
      <c r="K42" s="24">
        <f>YEAR(Tabla1[[#This Row],[Publicación]])</f>
        <v>2021</v>
      </c>
      <c r="L42" s="2">
        <v>44536.666666666664</v>
      </c>
      <c r="M42" s="26">
        <v>44523.623611111114</v>
      </c>
      <c r="N42" s="25" t="s">
        <v>10</v>
      </c>
      <c r="O42" s="24" t="s">
        <v>27</v>
      </c>
      <c r="P42" s="24" t="s">
        <v>10</v>
      </c>
      <c r="Q42" s="2">
        <v>44522.667361111111</v>
      </c>
      <c r="R42" s="2">
        <v>44530.666666666664</v>
      </c>
      <c r="S42" s="26">
        <v>44623.666666666664</v>
      </c>
      <c r="T42" s="27">
        <v>0</v>
      </c>
      <c r="U42" s="28">
        <f>Tabla1[[#This Row],[PPTO]]/(1+'Lista Datos'!$B$1)</f>
        <v>0</v>
      </c>
      <c r="V42" s="23"/>
      <c r="W42" s="18" t="s">
        <v>10</v>
      </c>
      <c r="X42" s="102"/>
      <c r="Y42" s="18" t="s">
        <v>146</v>
      </c>
      <c r="Z42" s="18" t="s">
        <v>10</v>
      </c>
      <c r="AA42" s="23"/>
      <c r="AB42" s="23"/>
      <c r="AC42" s="23"/>
      <c r="AD42" s="23"/>
      <c r="AE42" s="29">
        <f>Tabla1[[#This Row],[Cierre]]+Tabla1[[#This Row],[Vigencia Oferta (días)]]</f>
        <v>44536.666666666664</v>
      </c>
      <c r="AF42" s="87"/>
      <c r="AG42" s="28"/>
      <c r="AH42" s="164">
        <f>Tabla1[[#This Row],[Unidades2]]*Tabla1[[#This Row],[Precio Unitario]]</f>
        <v>0</v>
      </c>
      <c r="AI42" s="23" t="s">
        <v>385</v>
      </c>
      <c r="AJ42" s="26"/>
      <c r="AK42" s="172">
        <f>Tabla1[[#This Row],[Fecha Vigencia]]-AJ42</f>
        <v>44536.666666666664</v>
      </c>
      <c r="AL42" s="23"/>
      <c r="AM42" s="87"/>
      <c r="AN42" s="23"/>
      <c r="AO42" s="29"/>
      <c r="AP42" s="23"/>
      <c r="AQ42" s="23" t="s">
        <v>199</v>
      </c>
      <c r="AR42" s="23" t="s">
        <v>11</v>
      </c>
      <c r="AS42" s="33">
        <v>0.05</v>
      </c>
      <c r="AT42" s="29">
        <v>46079</v>
      </c>
      <c r="AU42" s="23"/>
      <c r="AV42" s="23"/>
      <c r="AW42" s="23" t="s">
        <v>386</v>
      </c>
      <c r="AX42" t="s">
        <v>387</v>
      </c>
      <c r="AY42" s="23"/>
      <c r="AZ42" s="23"/>
      <c r="BA42" s="23"/>
      <c r="BB42" s="32"/>
      <c r="BC42" s="73"/>
    </row>
    <row r="43" spans="1:55" x14ac:dyDescent="0.25">
      <c r="A43" s="22" t="s">
        <v>388</v>
      </c>
      <c r="B43" s="23" t="s">
        <v>389</v>
      </c>
      <c r="C43" s="23" t="s">
        <v>390</v>
      </c>
      <c r="D43" s="23" t="s">
        <v>391</v>
      </c>
      <c r="E43" s="24"/>
      <c r="F43" s="25"/>
      <c r="G43" s="23" t="s">
        <v>21</v>
      </c>
      <c r="H43" s="23" t="s">
        <v>106</v>
      </c>
      <c r="I43" s="2">
        <v>44524.488194444442</v>
      </c>
      <c r="J43" s="24">
        <f>MONTH(Tabla1[[#This Row],[Publicación]])</f>
        <v>11</v>
      </c>
      <c r="K43" s="24">
        <f>YEAR(Tabla1[[#This Row],[Publicación]])</f>
        <v>2021</v>
      </c>
      <c r="L43" s="2">
        <v>44536.739583333336</v>
      </c>
      <c r="M43" s="26">
        <v>44525.755555555559</v>
      </c>
      <c r="N43" s="25" t="s">
        <v>11</v>
      </c>
      <c r="O43" s="24"/>
      <c r="P43" s="23" t="s">
        <v>11</v>
      </c>
      <c r="Q43" s="2">
        <v>44524.843055555553</v>
      </c>
      <c r="R43" s="2">
        <v>44532.843055555553</v>
      </c>
      <c r="S43" s="26">
        <v>44568.740277777775</v>
      </c>
      <c r="T43" s="27">
        <v>0</v>
      </c>
      <c r="U43" s="28">
        <f>Tabla1[[#This Row],[PPTO]]/(1+'Lista Datos'!$B$1)</f>
        <v>0</v>
      </c>
      <c r="V43" s="23"/>
      <c r="W43" s="18" t="s">
        <v>10</v>
      </c>
      <c r="X43" s="102"/>
      <c r="Y43" s="18" t="s">
        <v>146</v>
      </c>
      <c r="Z43" s="18" t="s">
        <v>10</v>
      </c>
      <c r="AA43" s="23"/>
      <c r="AB43" s="23"/>
      <c r="AC43" s="23" t="s">
        <v>10</v>
      </c>
      <c r="AD43" s="23"/>
      <c r="AE43" s="29">
        <f>Tabla1[[#This Row],[Cierre]]+Tabla1[[#This Row],[Vigencia Oferta (días)]]</f>
        <v>44536.739583333336</v>
      </c>
      <c r="AF43" s="87"/>
      <c r="AG43" s="28"/>
      <c r="AH43" s="164">
        <f>Tabla1[[#This Row],[Unidades2]]*Tabla1[[#This Row],[Precio Unitario]]</f>
        <v>0</v>
      </c>
      <c r="AI43" s="23" t="s">
        <v>270</v>
      </c>
      <c r="AJ43" s="26"/>
      <c r="AK43" s="172">
        <f>Tabla1[[#This Row],[Fecha Vigencia]]-AJ43</f>
        <v>44536.739583333336</v>
      </c>
      <c r="AL43" s="23"/>
      <c r="AM43" s="87"/>
      <c r="AN43" s="23"/>
      <c r="AO43" s="29"/>
      <c r="AP43" s="23"/>
      <c r="AQ43" s="23" t="s">
        <v>392</v>
      </c>
      <c r="AR43" s="23" t="s">
        <v>10</v>
      </c>
      <c r="AS43" s="23"/>
      <c r="AT43" s="23"/>
      <c r="AU43" s="23"/>
      <c r="AV43" s="23"/>
      <c r="AW43" s="23" t="s">
        <v>393</v>
      </c>
      <c r="AX43" t="s">
        <v>394</v>
      </c>
      <c r="AY43" s="23"/>
      <c r="AZ43" s="23"/>
      <c r="BA43" s="23"/>
      <c r="BB43" s="32"/>
      <c r="BC43" s="73"/>
    </row>
    <row r="44" spans="1:55" x14ac:dyDescent="0.25">
      <c r="A44" s="22" t="s">
        <v>395</v>
      </c>
      <c r="B44" s="23" t="s">
        <v>396</v>
      </c>
      <c r="C44" s="23" t="s">
        <v>397</v>
      </c>
      <c r="D44" s="23" t="s">
        <v>398</v>
      </c>
      <c r="E44" s="24"/>
      <c r="F44" s="25"/>
      <c r="G44" s="23" t="s">
        <v>16</v>
      </c>
      <c r="H44" s="23" t="s">
        <v>345</v>
      </c>
      <c r="I44" s="2">
        <v>44525.524988425925</v>
      </c>
      <c r="J44" s="24">
        <f>MONTH(Tabla1[[#This Row],[Publicación]])</f>
        <v>11</v>
      </c>
      <c r="K44" s="24">
        <f>YEAR(Tabla1[[#This Row],[Publicación]])</f>
        <v>2021</v>
      </c>
      <c r="L44" s="2">
        <v>44536.828472222223</v>
      </c>
      <c r="M44" s="26">
        <v>44526.906944444447</v>
      </c>
      <c r="N44" s="25" t="s">
        <v>10</v>
      </c>
      <c r="O44" s="24" t="s">
        <v>25</v>
      </c>
      <c r="P44" s="24" t="s">
        <v>10</v>
      </c>
      <c r="Q44" s="2">
        <v>44525.54583333333</v>
      </c>
      <c r="R44" s="2">
        <v>44531.67083333333</v>
      </c>
      <c r="S44" s="26">
        <v>44599.82916666667</v>
      </c>
      <c r="T44" s="27">
        <v>0</v>
      </c>
      <c r="U44" s="28">
        <f>Tabla1[[#This Row],[PPTO]]/(1+'Lista Datos'!$B$1)</f>
        <v>0</v>
      </c>
      <c r="V44" s="23"/>
      <c r="W44" s="18" t="s">
        <v>10</v>
      </c>
      <c r="X44" s="102"/>
      <c r="Y44" s="18" t="s">
        <v>146</v>
      </c>
      <c r="Z44" s="18" t="s">
        <v>11</v>
      </c>
      <c r="AA44" s="23"/>
      <c r="AB44" s="23"/>
      <c r="AC44" s="23"/>
      <c r="AD44" s="23"/>
      <c r="AE44" s="29">
        <f>Tabla1[[#This Row],[Cierre]]+Tabla1[[#This Row],[Vigencia Oferta (días)]]</f>
        <v>44536.828472222223</v>
      </c>
      <c r="AF44" s="87"/>
      <c r="AG44" s="28"/>
      <c r="AH44" s="164">
        <f>Tabla1[[#This Row],[Unidades2]]*Tabla1[[#This Row],[Precio Unitario]]</f>
        <v>0</v>
      </c>
      <c r="AI44" s="23" t="s">
        <v>44</v>
      </c>
      <c r="AJ44" s="26">
        <v>44553</v>
      </c>
      <c r="AK44" s="172">
        <f>Tabla1[[#This Row],[Fecha Vigencia]]-AJ44</f>
        <v>-16.171527777776646</v>
      </c>
      <c r="AL44" s="23" t="s">
        <v>46</v>
      </c>
      <c r="AM44" s="87">
        <v>10980000</v>
      </c>
      <c r="AN44" s="23"/>
      <c r="AO44" s="29"/>
      <c r="AP44" s="23"/>
      <c r="AQ44" s="23" t="s">
        <v>399</v>
      </c>
      <c r="AR44" s="23" t="s">
        <v>11</v>
      </c>
      <c r="AS44" s="33">
        <v>0.05</v>
      </c>
      <c r="AT44" s="29">
        <v>45782</v>
      </c>
      <c r="AU44" s="23"/>
      <c r="AV44" s="23"/>
      <c r="AW44" s="23" t="s">
        <v>400</v>
      </c>
      <c r="AX44" t="s">
        <v>401</v>
      </c>
      <c r="AY44" s="23"/>
      <c r="AZ44" s="23"/>
      <c r="BA44" s="23"/>
      <c r="BB44" s="32"/>
      <c r="BC44" s="73"/>
    </row>
    <row r="45" spans="1:55" x14ac:dyDescent="0.25">
      <c r="A45" s="35" t="s">
        <v>402</v>
      </c>
      <c r="B45" s="23" t="s">
        <v>403</v>
      </c>
      <c r="C45" s="23" t="s">
        <v>404</v>
      </c>
      <c r="D45" s="23" t="s">
        <v>405</v>
      </c>
      <c r="E45" s="24"/>
      <c r="F45" s="25"/>
      <c r="G45" s="23" t="s">
        <v>21</v>
      </c>
      <c r="H45" s="23" t="s">
        <v>106</v>
      </c>
      <c r="I45" s="2">
        <v>44529.360983796294</v>
      </c>
      <c r="J45" s="24">
        <f>MONTH(Tabla1[[#This Row],[Publicación]])</f>
        <v>11</v>
      </c>
      <c r="K45" s="24">
        <f>YEAR(Tabla1[[#This Row],[Publicación]])</f>
        <v>2021</v>
      </c>
      <c r="L45" s="2">
        <v>44536.836805555555</v>
      </c>
      <c r="M45" s="26">
        <v>44532.481944444444</v>
      </c>
      <c r="N45" s="25" t="s">
        <v>11</v>
      </c>
      <c r="O45" s="24"/>
      <c r="P45" s="24" t="s">
        <v>11</v>
      </c>
      <c r="Q45" s="2">
        <v>44526.500694444447</v>
      </c>
      <c r="R45" s="2">
        <v>44531.836805555555</v>
      </c>
      <c r="S45" s="26">
        <v>44538.836805555555</v>
      </c>
      <c r="T45" s="27">
        <v>0</v>
      </c>
      <c r="U45" s="28">
        <f>Tabla1[[#This Row],[PPTO]]/(1+'Lista Datos'!$B$1)</f>
        <v>0</v>
      </c>
      <c r="V45" s="23"/>
      <c r="W45" s="18" t="s">
        <v>10</v>
      </c>
      <c r="X45" s="102"/>
      <c r="Y45" s="18" t="s">
        <v>146</v>
      </c>
      <c r="Z45" s="18" t="s">
        <v>10</v>
      </c>
      <c r="AA45" s="23"/>
      <c r="AB45" s="23"/>
      <c r="AC45" s="23" t="s">
        <v>10</v>
      </c>
      <c r="AD45" s="23"/>
      <c r="AE45" s="29">
        <f>Tabla1[[#This Row],[Cierre]]+Tabla1[[#This Row],[Vigencia Oferta (días)]]</f>
        <v>44536.836805555555</v>
      </c>
      <c r="AF45" s="87"/>
      <c r="AG45" s="28"/>
      <c r="AH45" s="164">
        <f>Tabla1[[#This Row],[Unidades2]]*Tabla1[[#This Row],[Precio Unitario]]</f>
        <v>0</v>
      </c>
      <c r="AI45" s="23" t="s">
        <v>44</v>
      </c>
      <c r="AJ45" s="26">
        <v>44546</v>
      </c>
      <c r="AK45" s="172">
        <f>Tabla1[[#This Row],[Fecha Vigencia]]-AJ45</f>
        <v>-9.1631944444452529</v>
      </c>
      <c r="AL45" s="23" t="s">
        <v>115</v>
      </c>
      <c r="AM45" s="87">
        <v>2944950</v>
      </c>
      <c r="AN45" s="23"/>
      <c r="AO45" s="29"/>
      <c r="AP45" s="23"/>
      <c r="AQ45" s="23" t="s">
        <v>406</v>
      </c>
      <c r="AR45" s="23" t="s">
        <v>10</v>
      </c>
      <c r="AS45" s="23"/>
      <c r="AT45" s="29"/>
      <c r="AU45" s="23"/>
      <c r="AV45" s="23"/>
      <c r="AW45" s="23" t="s">
        <v>407</v>
      </c>
      <c r="AX45" t="s">
        <v>408</v>
      </c>
      <c r="AY45" s="23"/>
      <c r="AZ45" s="23"/>
      <c r="BA45" s="23"/>
      <c r="BB45" s="32"/>
      <c r="BC45" s="73"/>
    </row>
    <row r="46" spans="1:55" x14ac:dyDescent="0.25">
      <c r="A46" s="22" t="s">
        <v>409</v>
      </c>
      <c r="B46" s="23" t="s">
        <v>410</v>
      </c>
      <c r="C46" s="23" t="s">
        <v>411</v>
      </c>
      <c r="D46" s="23" t="s">
        <v>412</v>
      </c>
      <c r="E46" s="24"/>
      <c r="F46" s="25"/>
      <c r="G46" s="23" t="s">
        <v>16</v>
      </c>
      <c r="H46" s="23" t="s">
        <v>168</v>
      </c>
      <c r="I46" s="2">
        <v>44531.435868055552</v>
      </c>
      <c r="J46" s="24">
        <f>MONTH(Tabla1[[#This Row],[Publicación]])</f>
        <v>12</v>
      </c>
      <c r="K46" s="24">
        <f>YEAR(Tabla1[[#This Row],[Publicación]])</f>
        <v>2021</v>
      </c>
      <c r="L46" s="2">
        <v>44537.462500000001</v>
      </c>
      <c r="M46" s="26">
        <v>44532.785416666666</v>
      </c>
      <c r="N46" s="25" t="s">
        <v>10</v>
      </c>
      <c r="O46" s="24" t="s">
        <v>25</v>
      </c>
      <c r="P46" s="24" t="s">
        <v>10</v>
      </c>
      <c r="Q46" s="2">
        <v>44531.463194444441</v>
      </c>
      <c r="R46" s="2">
        <v>44533.470138888886</v>
      </c>
      <c r="S46" s="26">
        <v>44544.629861111112</v>
      </c>
      <c r="T46" s="27">
        <v>0</v>
      </c>
      <c r="U46" s="28">
        <f>Tabla1[[#This Row],[PPTO]]/(1+'Lista Datos'!$B$1)</f>
        <v>0</v>
      </c>
      <c r="V46" s="23"/>
      <c r="W46" s="18" t="s">
        <v>10</v>
      </c>
      <c r="X46" s="102"/>
      <c r="Y46" s="18" t="s">
        <v>146</v>
      </c>
      <c r="Z46" s="18" t="s">
        <v>10</v>
      </c>
      <c r="AA46" s="23"/>
      <c r="AB46" s="23"/>
      <c r="AC46" s="23"/>
      <c r="AD46" s="23"/>
      <c r="AE46" s="29">
        <f>Tabla1[[#This Row],[Cierre]]+Tabla1[[#This Row],[Vigencia Oferta (días)]]</f>
        <v>44537.462500000001</v>
      </c>
      <c r="AF46" s="87"/>
      <c r="AG46" s="28"/>
      <c r="AH46" s="164">
        <f>Tabla1[[#This Row],[Unidades2]]*Tabla1[[#This Row],[Precio Unitario]]</f>
        <v>0</v>
      </c>
      <c r="AI46" s="23" t="s">
        <v>320</v>
      </c>
      <c r="AJ46" s="26"/>
      <c r="AK46" s="172">
        <f>Tabla1[[#This Row],[Fecha Vigencia]]-AJ46</f>
        <v>44537.462500000001</v>
      </c>
      <c r="AL46" s="23"/>
      <c r="AM46" s="87"/>
      <c r="AN46" s="23"/>
      <c r="AO46" s="29"/>
      <c r="AP46" s="23"/>
      <c r="AQ46" s="23" t="s">
        <v>413</v>
      </c>
      <c r="AR46" s="23" t="s">
        <v>10</v>
      </c>
      <c r="AS46" s="23"/>
      <c r="AT46" s="23"/>
      <c r="AU46" s="23"/>
      <c r="AV46" s="23"/>
      <c r="AW46" s="23" t="s">
        <v>414</v>
      </c>
      <c r="AX46" t="s">
        <v>415</v>
      </c>
      <c r="AY46" s="23" t="s">
        <v>416</v>
      </c>
      <c r="AZ46" s="23"/>
      <c r="BA46" s="23"/>
      <c r="BB46" s="32"/>
      <c r="BC46" s="73"/>
    </row>
    <row r="47" spans="1:55" x14ac:dyDescent="0.25">
      <c r="A47" s="22" t="s">
        <v>417</v>
      </c>
      <c r="B47" s="23" t="s">
        <v>418</v>
      </c>
      <c r="C47" s="23" t="s">
        <v>419</v>
      </c>
      <c r="D47" s="23" t="s">
        <v>227</v>
      </c>
      <c r="E47" s="24"/>
      <c r="F47" s="25"/>
      <c r="G47" s="23" t="s">
        <v>21</v>
      </c>
      <c r="H47" s="23" t="s">
        <v>106</v>
      </c>
      <c r="I47" s="2">
        <v>44517.632696759261</v>
      </c>
      <c r="J47" s="24">
        <f>MONTH(Tabla1[[#This Row],[Publicación]])</f>
        <v>11</v>
      </c>
      <c r="K47" s="24">
        <f>YEAR(Tabla1[[#This Row],[Publicación]])</f>
        <v>2021</v>
      </c>
      <c r="L47" s="2">
        <v>44537.625</v>
      </c>
      <c r="M47" s="26">
        <v>44519.42083333333</v>
      </c>
      <c r="N47" s="25" t="s">
        <v>10</v>
      </c>
      <c r="O47" s="24" t="s">
        <v>29</v>
      </c>
      <c r="P47" s="24" t="s">
        <v>10</v>
      </c>
      <c r="Q47" s="2">
        <v>44517.6875</v>
      </c>
      <c r="R47" s="2">
        <v>44531.75</v>
      </c>
      <c r="S47" s="26">
        <v>44557.75</v>
      </c>
      <c r="T47" s="27">
        <v>0</v>
      </c>
      <c r="U47" s="28">
        <f>Tabla1[[#This Row],[PPTO]]/(1+'Lista Datos'!$B$1)</f>
        <v>0</v>
      </c>
      <c r="V47" s="23"/>
      <c r="W47" s="18" t="s">
        <v>10</v>
      </c>
      <c r="X47" s="102"/>
      <c r="Y47" s="18" t="s">
        <v>146</v>
      </c>
      <c r="Z47" s="18" t="s">
        <v>10</v>
      </c>
      <c r="AA47" s="23"/>
      <c r="AB47" s="23"/>
      <c r="AC47" s="23"/>
      <c r="AD47" s="23"/>
      <c r="AE47" s="29">
        <f>Tabla1[[#This Row],[Cierre]]+Tabla1[[#This Row],[Vigencia Oferta (días)]]</f>
        <v>44537.625</v>
      </c>
      <c r="AF47" s="87"/>
      <c r="AG47" s="28"/>
      <c r="AH47" s="164">
        <f>Tabla1[[#This Row],[Unidades2]]*Tabla1[[#This Row],[Precio Unitario]]</f>
        <v>0</v>
      </c>
      <c r="AI47" s="23" t="s">
        <v>44</v>
      </c>
      <c r="AJ47" s="26">
        <v>44589</v>
      </c>
      <c r="AK47" s="172">
        <f>Tabla1[[#This Row],[Fecha Vigencia]]-AJ47</f>
        <v>-51.375</v>
      </c>
      <c r="AL47" s="23" t="s">
        <v>46</v>
      </c>
      <c r="AM47" s="87">
        <v>10727</v>
      </c>
      <c r="AN47" s="23"/>
      <c r="AO47" s="29"/>
      <c r="AP47" s="23"/>
      <c r="AQ47" s="23" t="s">
        <v>228</v>
      </c>
      <c r="AR47" s="23" t="s">
        <v>11</v>
      </c>
      <c r="AS47" s="31">
        <v>1000000</v>
      </c>
      <c r="AT47" s="29">
        <v>45352</v>
      </c>
      <c r="AU47" s="23"/>
      <c r="AV47" s="23"/>
      <c r="AW47" s="23" t="s">
        <v>420</v>
      </c>
      <c r="AX47" t="s">
        <v>421</v>
      </c>
      <c r="AY47" s="23"/>
      <c r="AZ47" s="23"/>
      <c r="BA47" s="23"/>
      <c r="BB47" s="32"/>
      <c r="BC47" s="73"/>
    </row>
    <row r="48" spans="1:55" x14ac:dyDescent="0.25">
      <c r="A48" s="22" t="s">
        <v>422</v>
      </c>
      <c r="B48" s="23" t="s">
        <v>423</v>
      </c>
      <c r="C48" s="23" t="s">
        <v>424</v>
      </c>
      <c r="D48" s="23" t="s">
        <v>425</v>
      </c>
      <c r="E48" s="24"/>
      <c r="F48" s="25"/>
      <c r="G48" s="23" t="s">
        <v>16</v>
      </c>
      <c r="H48" s="23" t="s">
        <v>168</v>
      </c>
      <c r="I48" s="2">
        <v>44517.659722222219</v>
      </c>
      <c r="J48" s="24">
        <f>MONTH(Tabla1[[#This Row],[Publicación]])</f>
        <v>11</v>
      </c>
      <c r="K48" s="24">
        <f>YEAR(Tabla1[[#This Row],[Publicación]])</f>
        <v>2021</v>
      </c>
      <c r="L48" s="2">
        <v>44537.708333333336</v>
      </c>
      <c r="M48" s="26">
        <v>44518.763194444444</v>
      </c>
      <c r="N48" s="25" t="s">
        <v>10</v>
      </c>
      <c r="O48" s="24" t="s">
        <v>25</v>
      </c>
      <c r="P48" s="24" t="s">
        <v>10</v>
      </c>
      <c r="Q48" s="2">
        <v>44517.700694444444</v>
      </c>
      <c r="R48" s="2">
        <v>44530.708333333336</v>
      </c>
      <c r="S48" s="26">
        <v>44564.708333333336</v>
      </c>
      <c r="T48" s="27">
        <v>0</v>
      </c>
      <c r="U48" s="28">
        <f>Tabla1[[#This Row],[PPTO]]/(1+'Lista Datos'!$B$1)</f>
        <v>0</v>
      </c>
      <c r="V48" s="23"/>
      <c r="W48" s="18" t="s">
        <v>10</v>
      </c>
      <c r="X48" s="102"/>
      <c r="Y48" s="18" t="s">
        <v>146</v>
      </c>
      <c r="Z48" s="18" t="s">
        <v>10</v>
      </c>
      <c r="AA48" s="23"/>
      <c r="AB48" s="23"/>
      <c r="AC48" s="23"/>
      <c r="AD48" s="23"/>
      <c r="AE48" s="29">
        <f>Tabla1[[#This Row],[Cierre]]+Tabla1[[#This Row],[Vigencia Oferta (días)]]</f>
        <v>44537.708333333336</v>
      </c>
      <c r="AF48" s="87"/>
      <c r="AG48" s="28"/>
      <c r="AH48" s="164">
        <f>Tabla1[[#This Row],[Unidades2]]*Tabla1[[#This Row],[Precio Unitario]]</f>
        <v>0</v>
      </c>
      <c r="AI48" s="23" t="s">
        <v>44</v>
      </c>
      <c r="AJ48" s="26">
        <v>44565</v>
      </c>
      <c r="AK48" s="172">
        <f>Tabla1[[#This Row],[Fecha Vigencia]]-AJ48</f>
        <v>-27.291666666664241</v>
      </c>
      <c r="AL48" s="23" t="s">
        <v>45</v>
      </c>
      <c r="AM48" s="87">
        <v>108018756</v>
      </c>
      <c r="AN48" s="23"/>
      <c r="AO48" s="29"/>
      <c r="AP48" s="23"/>
      <c r="AQ48" s="23" t="s">
        <v>426</v>
      </c>
      <c r="AR48" s="23" t="s">
        <v>11</v>
      </c>
      <c r="AS48" s="33">
        <v>0.05</v>
      </c>
      <c r="AT48" s="29">
        <v>45201</v>
      </c>
      <c r="AU48" s="23"/>
      <c r="AV48" s="23"/>
      <c r="AW48" s="23" t="s">
        <v>427</v>
      </c>
      <c r="AX48" t="s">
        <v>428</v>
      </c>
      <c r="AY48" s="23"/>
      <c r="AZ48" s="23"/>
      <c r="BA48" s="23"/>
      <c r="BB48" s="32"/>
      <c r="BC48" s="73"/>
    </row>
    <row r="49" spans="1:55" x14ac:dyDescent="0.25">
      <c r="A49" s="22" t="s">
        <v>429</v>
      </c>
      <c r="B49" s="23" t="s">
        <v>430</v>
      </c>
      <c r="C49" s="23" t="s">
        <v>431</v>
      </c>
      <c r="D49" s="23" t="s">
        <v>432</v>
      </c>
      <c r="E49" s="24"/>
      <c r="F49" s="25"/>
      <c r="G49" s="23" t="s">
        <v>16</v>
      </c>
      <c r="H49" s="23" t="s">
        <v>168</v>
      </c>
      <c r="I49" s="2">
        <v>44530.526261574072</v>
      </c>
      <c r="J49" s="24">
        <f>MONTH(Tabla1[[#This Row],[Publicación]])</f>
        <v>11</v>
      </c>
      <c r="K49" s="24">
        <f>YEAR(Tabla1[[#This Row],[Publicación]])</f>
        <v>2021</v>
      </c>
      <c r="L49" s="2">
        <v>44540.556250000001</v>
      </c>
      <c r="M49" s="26">
        <v>44530.613888888889</v>
      </c>
      <c r="N49" s="25" t="s">
        <v>10</v>
      </c>
      <c r="O49" s="24" t="s">
        <v>25</v>
      </c>
      <c r="P49" s="24" t="s">
        <v>10</v>
      </c>
      <c r="Q49" s="2">
        <v>44530.688888888886</v>
      </c>
      <c r="R49" s="2">
        <v>44536.688888888886</v>
      </c>
      <c r="S49" s="26">
        <v>44558.556944444441</v>
      </c>
      <c r="T49" s="27">
        <v>0</v>
      </c>
      <c r="U49" s="28">
        <f>Tabla1[[#This Row],[PPTO]]/(1+'Lista Datos'!$B$1)</f>
        <v>0</v>
      </c>
      <c r="V49" s="23"/>
      <c r="W49" s="18" t="s">
        <v>10</v>
      </c>
      <c r="X49" s="102"/>
      <c r="Y49" s="18" t="s">
        <v>146</v>
      </c>
      <c r="Z49" s="18" t="s">
        <v>10</v>
      </c>
      <c r="AA49" s="23"/>
      <c r="AB49" s="23"/>
      <c r="AC49" s="23"/>
      <c r="AD49" s="23"/>
      <c r="AE49" s="29">
        <f>Tabla1[[#This Row],[Cierre]]+Tabla1[[#This Row],[Vigencia Oferta (días)]]</f>
        <v>44540.556250000001</v>
      </c>
      <c r="AF49" s="87"/>
      <c r="AG49" s="28"/>
      <c r="AH49" s="164">
        <f>Tabla1[[#This Row],[Unidades2]]*Tabla1[[#This Row],[Precio Unitario]]</f>
        <v>0</v>
      </c>
      <c r="AI49" s="23" t="s">
        <v>44</v>
      </c>
      <c r="AJ49" s="26">
        <v>44544</v>
      </c>
      <c r="AK49" s="172">
        <f>Tabla1[[#This Row],[Fecha Vigencia]]-AJ49</f>
        <v>-3.4437499999985448</v>
      </c>
      <c r="AL49" s="23" t="s">
        <v>45</v>
      </c>
      <c r="AM49" s="87">
        <v>15293400</v>
      </c>
      <c r="AN49" s="23"/>
      <c r="AO49" s="29"/>
      <c r="AP49" s="23"/>
      <c r="AQ49" s="23" t="s">
        <v>433</v>
      </c>
      <c r="AR49" s="23" t="s">
        <v>10</v>
      </c>
      <c r="AS49" s="23"/>
      <c r="AT49" s="23"/>
      <c r="AU49" s="23"/>
      <c r="AV49" s="23"/>
      <c r="AW49" s="23" t="s">
        <v>434</v>
      </c>
      <c r="AX49" t="s">
        <v>435</v>
      </c>
      <c r="AY49" s="23"/>
      <c r="AZ49" s="23"/>
      <c r="BA49" s="23"/>
      <c r="BB49" s="32"/>
      <c r="BC49" s="73"/>
    </row>
    <row r="50" spans="1:55" ht="11.25" x14ac:dyDescent="0.2">
      <c r="A50" s="36" t="s">
        <v>436</v>
      </c>
      <c r="B50" s="37" t="s">
        <v>437</v>
      </c>
      <c r="C50" s="37" t="s">
        <v>438</v>
      </c>
      <c r="D50" s="37" t="s">
        <v>439</v>
      </c>
      <c r="E50" s="38"/>
      <c r="F50" s="39"/>
      <c r="G50" s="37" t="s">
        <v>16</v>
      </c>
      <c r="H50" s="37" t="s">
        <v>168</v>
      </c>
      <c r="I50" s="2">
        <v>44536.677777777775</v>
      </c>
      <c r="J50" s="24">
        <f>MONTH(Tabla1[[#This Row],[Publicación]])</f>
        <v>12</v>
      </c>
      <c r="K50" s="24">
        <f>YEAR(Tabla1[[#This Row],[Publicación]])</f>
        <v>2021</v>
      </c>
      <c r="L50" s="40">
        <v>44543.625</v>
      </c>
      <c r="M50" s="41">
        <v>44539.845833333333</v>
      </c>
      <c r="N50" s="39" t="s">
        <v>10</v>
      </c>
      <c r="O50" s="38" t="s">
        <v>25</v>
      </c>
      <c r="P50" s="24" t="s">
        <v>10</v>
      </c>
      <c r="Q50" s="40">
        <v>44536.677997685183</v>
      </c>
      <c r="R50" s="40">
        <v>44538.652777777781</v>
      </c>
      <c r="S50" s="41">
        <v>44553.652777777781</v>
      </c>
      <c r="T50" s="27">
        <v>0</v>
      </c>
      <c r="U50" s="28">
        <f>Tabla1[[#This Row],[PPTO]]/(1+'Lista Datos'!$B$1)</f>
        <v>0</v>
      </c>
      <c r="V50" s="37"/>
      <c r="W50" s="19" t="s">
        <v>10</v>
      </c>
      <c r="X50" s="112"/>
      <c r="Y50" s="19" t="s">
        <v>146</v>
      </c>
      <c r="Z50" s="19" t="s">
        <v>10</v>
      </c>
      <c r="AA50" s="37"/>
      <c r="AB50" s="37"/>
      <c r="AC50" s="37"/>
      <c r="AD50" s="37"/>
      <c r="AE50" s="29">
        <f>Tabla1[[#This Row],[Cierre]]+Tabla1[[#This Row],[Vigencia Oferta (días)]]</f>
        <v>44543.625</v>
      </c>
      <c r="AF50" s="88"/>
      <c r="AG50" s="43"/>
      <c r="AH50" s="164">
        <f>Tabla1[[#This Row],[Unidades2]]*Tabla1[[#This Row],[Precio Unitario]]</f>
        <v>0</v>
      </c>
      <c r="AI50" s="37" t="s">
        <v>137</v>
      </c>
      <c r="AJ50" s="41"/>
      <c r="AK50" s="172">
        <f>Tabla1[[#This Row],[Fecha Vigencia]]-AJ50</f>
        <v>44543.625</v>
      </c>
      <c r="AL50" s="37"/>
      <c r="AM50" s="88"/>
      <c r="AN50" s="37"/>
      <c r="AO50" s="50"/>
      <c r="AP50" s="37"/>
      <c r="AQ50" s="37" t="s">
        <v>440</v>
      </c>
      <c r="AR50" s="37" t="s">
        <v>10</v>
      </c>
      <c r="AS50" s="37"/>
      <c r="AT50" s="37"/>
      <c r="AU50" s="37"/>
      <c r="AV50" s="37"/>
      <c r="AW50" s="37"/>
      <c r="AX50" s="37"/>
      <c r="AY50" s="37"/>
      <c r="AZ50" s="37"/>
      <c r="BA50" s="37"/>
      <c r="BB50" s="44"/>
      <c r="BC50" s="73"/>
    </row>
    <row r="51" spans="1:55" x14ac:dyDescent="0.25">
      <c r="A51" s="22" t="s">
        <v>441</v>
      </c>
      <c r="B51" s="23" t="s">
        <v>442</v>
      </c>
      <c r="C51" s="23" t="s">
        <v>443</v>
      </c>
      <c r="D51" s="23" t="s">
        <v>444</v>
      </c>
      <c r="E51" s="24"/>
      <c r="F51" s="25"/>
      <c r="G51" s="23" t="s">
        <v>16</v>
      </c>
      <c r="H51" s="23" t="s">
        <v>345</v>
      </c>
      <c r="I51" s="2">
        <v>44525.645138888889</v>
      </c>
      <c r="J51" s="24">
        <f>MONTH(Tabla1[[#This Row],[Publicación]])</f>
        <v>11</v>
      </c>
      <c r="K51" s="24">
        <f>YEAR(Tabla1[[#This Row],[Publicación]])</f>
        <v>2021</v>
      </c>
      <c r="L51" s="2">
        <v>44543.625</v>
      </c>
      <c r="M51" s="26">
        <v>44526.928472222222</v>
      </c>
      <c r="N51" s="25" t="s">
        <v>10</v>
      </c>
      <c r="O51" s="24" t="s">
        <v>25</v>
      </c>
      <c r="P51" s="24" t="s">
        <v>10</v>
      </c>
      <c r="Q51" s="2">
        <v>44525.792361111111</v>
      </c>
      <c r="R51" s="2">
        <v>44533.625</v>
      </c>
      <c r="S51" s="26">
        <v>44550.791666666664</v>
      </c>
      <c r="T51" s="27">
        <v>0</v>
      </c>
      <c r="U51" s="28">
        <f>Tabla1[[#This Row],[PPTO]]/(1+'Lista Datos'!$B$1)</f>
        <v>0</v>
      </c>
      <c r="V51" s="23"/>
      <c r="W51" s="18" t="s">
        <v>10</v>
      </c>
      <c r="X51" s="102"/>
      <c r="Y51" s="18" t="s">
        <v>146</v>
      </c>
      <c r="Z51" s="18" t="s">
        <v>10</v>
      </c>
      <c r="AA51" s="23"/>
      <c r="AB51" s="23"/>
      <c r="AC51" s="23"/>
      <c r="AD51" s="23"/>
      <c r="AE51" s="29">
        <f>Tabla1[[#This Row],[Cierre]]+Tabla1[[#This Row],[Vigencia Oferta (días)]]</f>
        <v>44543.625</v>
      </c>
      <c r="AF51" s="87"/>
      <c r="AG51" s="28"/>
      <c r="AH51" s="164">
        <f>Tabla1[[#This Row],[Unidades2]]*Tabla1[[#This Row],[Precio Unitario]]</f>
        <v>0</v>
      </c>
      <c r="AI51" s="23" t="s">
        <v>44</v>
      </c>
      <c r="AJ51" s="26">
        <v>44567</v>
      </c>
      <c r="AK51" s="172">
        <f>Tabla1[[#This Row],[Fecha Vigencia]]-AJ51</f>
        <v>-23.375</v>
      </c>
      <c r="AL51" s="23" t="s">
        <v>45</v>
      </c>
      <c r="AM51" s="87">
        <v>5400000</v>
      </c>
      <c r="AN51" s="23"/>
      <c r="AO51" s="29"/>
      <c r="AP51" s="23"/>
      <c r="AQ51" s="23" t="s">
        <v>445</v>
      </c>
      <c r="AR51" s="23" t="s">
        <v>10</v>
      </c>
      <c r="AS51" s="23"/>
      <c r="AT51" s="23"/>
      <c r="AU51" s="23"/>
      <c r="AV51" s="23"/>
      <c r="AW51" s="23" t="s">
        <v>446</v>
      </c>
      <c r="AX51" t="s">
        <v>447</v>
      </c>
      <c r="AY51" s="23"/>
      <c r="AZ51" s="23"/>
      <c r="BA51" s="23"/>
      <c r="BB51" s="32"/>
      <c r="BC51" s="73"/>
    </row>
    <row r="52" spans="1:55" ht="11.25" x14ac:dyDescent="0.2">
      <c r="A52" s="22" t="s">
        <v>448</v>
      </c>
      <c r="B52" s="23" t="s">
        <v>449</v>
      </c>
      <c r="C52" s="23" t="s">
        <v>450</v>
      </c>
      <c r="D52" s="23" t="s">
        <v>297</v>
      </c>
      <c r="E52" s="24"/>
      <c r="F52" s="25"/>
      <c r="G52" s="23" t="s">
        <v>41</v>
      </c>
      <c r="H52" s="23" t="s">
        <v>145</v>
      </c>
      <c r="I52" s="2">
        <v>44530.411504629628</v>
      </c>
      <c r="J52" s="24">
        <f>MONTH(Tabla1[[#This Row],[Publicación]])</f>
        <v>11</v>
      </c>
      <c r="K52" s="24">
        <f>YEAR(Tabla1[[#This Row],[Publicación]])</f>
        <v>2021</v>
      </c>
      <c r="L52" s="2">
        <v>44543.628472222219</v>
      </c>
      <c r="M52" s="26">
        <v>44530.59652777778</v>
      </c>
      <c r="N52" s="25" t="s">
        <v>10</v>
      </c>
      <c r="O52" s="24" t="s">
        <v>25</v>
      </c>
      <c r="P52" s="24" t="s">
        <v>10</v>
      </c>
      <c r="Q52" s="2">
        <v>44530.416666666664</v>
      </c>
      <c r="R52" s="2">
        <v>44533.625</v>
      </c>
      <c r="S52" s="26">
        <v>44561.75</v>
      </c>
      <c r="T52" s="27">
        <v>0</v>
      </c>
      <c r="U52" s="28">
        <f>Tabla1[[#This Row],[PPTO]]/(1+'Lista Datos'!$B$1)</f>
        <v>0</v>
      </c>
      <c r="V52" s="23"/>
      <c r="W52" s="18" t="s">
        <v>10</v>
      </c>
      <c r="X52" s="102"/>
      <c r="Y52" s="18" t="s">
        <v>146</v>
      </c>
      <c r="Z52" s="18" t="s">
        <v>10</v>
      </c>
      <c r="AA52" s="23"/>
      <c r="AB52" s="23"/>
      <c r="AC52" s="23"/>
      <c r="AD52" s="23"/>
      <c r="AE52" s="29">
        <f>Tabla1[[#This Row],[Cierre]]+Tabla1[[#This Row],[Vigencia Oferta (días)]]</f>
        <v>44543.628472222219</v>
      </c>
      <c r="AF52" s="87"/>
      <c r="AG52" s="28"/>
      <c r="AH52" s="164">
        <f>Tabla1[[#This Row],[Unidades2]]*Tabla1[[#This Row],[Precio Unitario]]</f>
        <v>0</v>
      </c>
      <c r="AI52" s="23" t="s">
        <v>137</v>
      </c>
      <c r="AJ52" s="26"/>
      <c r="AK52" s="172">
        <f>Tabla1[[#This Row],[Fecha Vigencia]]-AJ52</f>
        <v>44543.628472222219</v>
      </c>
      <c r="AL52" s="23"/>
      <c r="AM52" s="87"/>
      <c r="AN52" s="23"/>
      <c r="AO52" s="29"/>
      <c r="AP52" s="23"/>
      <c r="AQ52" s="23" t="s">
        <v>299</v>
      </c>
      <c r="AR52" s="23" t="s">
        <v>10</v>
      </c>
      <c r="AS52" s="23"/>
      <c r="AT52" s="23"/>
      <c r="AU52" s="23"/>
      <c r="AV52" s="23"/>
      <c r="AW52" s="23" t="s">
        <v>451</v>
      </c>
      <c r="AX52" s="45" t="s">
        <v>452</v>
      </c>
      <c r="AY52" s="23"/>
      <c r="AZ52" s="23"/>
      <c r="BA52" s="23"/>
      <c r="BB52" s="32"/>
      <c r="BC52" s="73"/>
    </row>
    <row r="53" spans="1:55" ht="11.25" x14ac:dyDescent="0.2">
      <c r="A53" s="22" t="s">
        <v>453</v>
      </c>
      <c r="B53" s="23" t="s">
        <v>311</v>
      </c>
      <c r="C53" s="23" t="s">
        <v>311</v>
      </c>
      <c r="D53" s="23" t="s">
        <v>454</v>
      </c>
      <c r="E53" s="24"/>
      <c r="F53" s="25"/>
      <c r="G53" s="23" t="s">
        <v>16</v>
      </c>
      <c r="H53" s="23" t="s">
        <v>123</v>
      </c>
      <c r="I53" s="2">
        <v>44533.705196759256</v>
      </c>
      <c r="J53" s="24">
        <f>MONTH(Tabla1[[#This Row],[Publicación]])</f>
        <v>12</v>
      </c>
      <c r="K53" s="24">
        <f>YEAR(Tabla1[[#This Row],[Publicación]])</f>
        <v>2021</v>
      </c>
      <c r="L53" s="2">
        <v>44543.631249999999</v>
      </c>
      <c r="M53" s="26">
        <v>44539.799305555556</v>
      </c>
      <c r="N53" s="25" t="s">
        <v>10</v>
      </c>
      <c r="O53" s="24" t="s">
        <v>25</v>
      </c>
      <c r="P53" s="24" t="s">
        <v>10</v>
      </c>
      <c r="Q53" s="2">
        <v>44533.84652777778</v>
      </c>
      <c r="R53" s="2">
        <v>44537.84652777778</v>
      </c>
      <c r="S53" s="26">
        <v>44551.631944444445</v>
      </c>
      <c r="T53" s="27">
        <v>0</v>
      </c>
      <c r="U53" s="28">
        <f>Tabla1[[#This Row],[PPTO]]/(1+'Lista Datos'!$B$1)</f>
        <v>0</v>
      </c>
      <c r="V53" s="23"/>
      <c r="W53" s="18" t="s">
        <v>10</v>
      </c>
      <c r="X53" s="102"/>
      <c r="Y53" s="18" t="s">
        <v>146</v>
      </c>
      <c r="Z53" s="18" t="s">
        <v>10</v>
      </c>
      <c r="AA53" s="23"/>
      <c r="AB53" s="23"/>
      <c r="AC53" s="23"/>
      <c r="AD53" s="23"/>
      <c r="AE53" s="29">
        <f>Tabla1[[#This Row],[Cierre]]+Tabla1[[#This Row],[Vigencia Oferta (días)]]</f>
        <v>44543.631249999999</v>
      </c>
      <c r="AF53" s="87"/>
      <c r="AG53" s="28"/>
      <c r="AH53" s="164">
        <f>Tabla1[[#This Row],[Unidades2]]*Tabla1[[#This Row],[Precio Unitario]]</f>
        <v>0</v>
      </c>
      <c r="AI53" s="23" t="s">
        <v>44</v>
      </c>
      <c r="AJ53" s="26">
        <v>44560</v>
      </c>
      <c r="AK53" s="172">
        <f>Tabla1[[#This Row],[Fecha Vigencia]]-AJ53</f>
        <v>-16.368750000001455</v>
      </c>
      <c r="AL53" s="23" t="s">
        <v>46</v>
      </c>
      <c r="AM53" s="87">
        <v>24000000</v>
      </c>
      <c r="AN53" s="23"/>
      <c r="AO53" s="29"/>
      <c r="AP53" s="23"/>
      <c r="AQ53" s="23" t="s">
        <v>313</v>
      </c>
      <c r="AR53" s="23" t="s">
        <v>11</v>
      </c>
      <c r="AS53" s="33">
        <v>0.05</v>
      </c>
      <c r="AT53" s="29">
        <v>45379</v>
      </c>
      <c r="AU53" s="23"/>
      <c r="AV53" s="23"/>
      <c r="AW53" s="23" t="s">
        <v>314</v>
      </c>
      <c r="AX53" s="23" t="s">
        <v>315</v>
      </c>
      <c r="AY53" s="23"/>
      <c r="AZ53" s="23"/>
      <c r="BA53" s="23"/>
      <c r="BB53" s="32"/>
      <c r="BC53" s="73"/>
    </row>
    <row r="54" spans="1:55" ht="11.25" x14ac:dyDescent="0.2">
      <c r="A54" s="22" t="s">
        <v>455</v>
      </c>
      <c r="B54" s="23" t="s">
        <v>456</v>
      </c>
      <c r="C54" s="23" t="s">
        <v>457</v>
      </c>
      <c r="D54" s="23" t="s">
        <v>458</v>
      </c>
      <c r="E54" s="24"/>
      <c r="F54" s="25"/>
      <c r="G54" s="23" t="s">
        <v>21</v>
      </c>
      <c r="H54" s="23" t="s">
        <v>106</v>
      </c>
      <c r="I54" s="2">
        <v>44389.746261574073</v>
      </c>
      <c r="J54" s="24">
        <f>MONTH(Tabla1[[#This Row],[Publicación]])</f>
        <v>7</v>
      </c>
      <c r="K54" s="24">
        <f>YEAR(Tabla1[[#This Row],[Publicación]])</f>
        <v>2021</v>
      </c>
      <c r="L54" s="2">
        <v>44543.645833333336</v>
      </c>
      <c r="M54" s="26">
        <v>44451</v>
      </c>
      <c r="N54" s="25" t="s">
        <v>11</v>
      </c>
      <c r="O54" s="24"/>
      <c r="P54" s="24" t="s">
        <v>11</v>
      </c>
      <c r="Q54" s="2">
        <v>44537.894444444442</v>
      </c>
      <c r="R54" s="2">
        <v>44539.666666666664</v>
      </c>
      <c r="S54" s="26">
        <v>44580.785416666666</v>
      </c>
      <c r="T54" s="27">
        <v>0</v>
      </c>
      <c r="U54" s="28">
        <f>Tabla1[[#This Row],[PPTO]]/(1+'Lista Datos'!$B$1)</f>
        <v>0</v>
      </c>
      <c r="V54" s="23">
        <v>30</v>
      </c>
      <c r="W54" s="18" t="s">
        <v>10</v>
      </c>
      <c r="X54" s="102"/>
      <c r="Y54" s="18" t="s">
        <v>146</v>
      </c>
      <c r="Z54" s="18" t="s">
        <v>10</v>
      </c>
      <c r="AA54" s="23" t="s">
        <v>177</v>
      </c>
      <c r="AB54" s="23">
        <v>24</v>
      </c>
      <c r="AC54" s="23" t="s">
        <v>10</v>
      </c>
      <c r="AD54" s="23">
        <v>120</v>
      </c>
      <c r="AE54" s="29">
        <f>Tabla1[[#This Row],[Cierre]]+Tabla1[[#This Row],[Vigencia Oferta (días)]]</f>
        <v>44663.645833333336</v>
      </c>
      <c r="AF54" s="87">
        <v>180</v>
      </c>
      <c r="AG54" s="28">
        <v>44088</v>
      </c>
      <c r="AH54" s="164">
        <f>Tabla1[[#This Row],[Unidades2]]*Tabla1[[#This Row],[Precio Unitario]]</f>
        <v>7935840</v>
      </c>
      <c r="AI54" s="23" t="s">
        <v>44</v>
      </c>
      <c r="AJ54" s="26">
        <v>44608</v>
      </c>
      <c r="AK54" s="172">
        <f>Tabla1[[#This Row],[Fecha Vigencia]]-AJ54</f>
        <v>55.645833333335759</v>
      </c>
      <c r="AL54" s="23" t="s">
        <v>115</v>
      </c>
      <c r="AM54" s="87">
        <v>44088</v>
      </c>
      <c r="AN54" s="23"/>
      <c r="AO54" s="29"/>
      <c r="AP54" s="23"/>
      <c r="AQ54" s="23" t="s">
        <v>321</v>
      </c>
      <c r="AR54" s="23" t="s">
        <v>10</v>
      </c>
      <c r="AS54" s="23"/>
      <c r="AT54" s="23"/>
      <c r="AU54" s="23" t="s">
        <v>459</v>
      </c>
      <c r="AV54" s="23"/>
      <c r="AW54" s="23" t="s">
        <v>460</v>
      </c>
      <c r="AX54" s="23" t="s">
        <v>327</v>
      </c>
      <c r="AY54" s="23"/>
      <c r="AZ54" s="23"/>
      <c r="BA54" s="23"/>
      <c r="BB54" s="32"/>
      <c r="BC54" s="73"/>
    </row>
    <row r="55" spans="1:55" x14ac:dyDescent="0.25">
      <c r="A55" s="22" t="s">
        <v>461</v>
      </c>
      <c r="B55" s="23" t="s">
        <v>462</v>
      </c>
      <c r="C55" s="23" t="s">
        <v>463</v>
      </c>
      <c r="D55" s="23" t="s">
        <v>464</v>
      </c>
      <c r="E55" s="24"/>
      <c r="F55" s="25"/>
      <c r="G55" s="23" t="s">
        <v>16</v>
      </c>
      <c r="H55" s="23" t="s">
        <v>168</v>
      </c>
      <c r="I55" s="2">
        <v>44522.653449074074</v>
      </c>
      <c r="J55" s="24">
        <f>MONTH(Tabla1[[#This Row],[Publicación]])</f>
        <v>11</v>
      </c>
      <c r="K55" s="24">
        <f>YEAR(Tabla1[[#This Row],[Publicación]])</f>
        <v>2021</v>
      </c>
      <c r="L55" s="2">
        <v>44543.666666666664</v>
      </c>
      <c r="M55" s="26">
        <v>44522.769444444442</v>
      </c>
      <c r="N55" s="25" t="s">
        <v>11</v>
      </c>
      <c r="O55" s="24"/>
      <c r="P55" s="24" t="s">
        <v>11</v>
      </c>
      <c r="Q55" s="2">
        <v>44522.709027777775</v>
      </c>
      <c r="R55" s="2">
        <v>44537.708333333336</v>
      </c>
      <c r="S55" s="26">
        <v>44582.666666666664</v>
      </c>
      <c r="T55" s="27">
        <v>0</v>
      </c>
      <c r="U55" s="28">
        <f>Tabla1[[#This Row],[PPTO]]/(1+'Lista Datos'!$B$1)</f>
        <v>0</v>
      </c>
      <c r="V55" s="23"/>
      <c r="W55" s="18" t="s">
        <v>10</v>
      </c>
      <c r="X55" s="102"/>
      <c r="Y55" s="18" t="s">
        <v>146</v>
      </c>
      <c r="Z55" s="18" t="s">
        <v>10</v>
      </c>
      <c r="AA55" s="23" t="s">
        <v>177</v>
      </c>
      <c r="AB55" s="23">
        <v>60</v>
      </c>
      <c r="AC55" s="23" t="s">
        <v>10</v>
      </c>
      <c r="AD55" s="23"/>
      <c r="AE55" s="29">
        <f>Tabla1[[#This Row],[Cierre]]+Tabla1[[#This Row],[Vigencia Oferta (días)]]</f>
        <v>44543.666666666664</v>
      </c>
      <c r="AF55" s="87"/>
      <c r="AG55" s="28"/>
      <c r="AH55" s="164">
        <f>Tabla1[[#This Row],[Unidades2]]*Tabla1[[#This Row],[Precio Unitario]]</f>
        <v>0</v>
      </c>
      <c r="AI55" s="23" t="s">
        <v>44</v>
      </c>
      <c r="AJ55" s="26">
        <v>44624</v>
      </c>
      <c r="AK55" s="172">
        <f>Tabla1[[#This Row],[Fecha Vigencia]]-AJ55</f>
        <v>-80.333333333335759</v>
      </c>
      <c r="AL55" s="23" t="s">
        <v>191</v>
      </c>
      <c r="AM55" s="87">
        <v>150000000</v>
      </c>
      <c r="AN55" s="29">
        <v>44596</v>
      </c>
      <c r="AO55" s="29">
        <v>46422</v>
      </c>
      <c r="AP55" s="23" t="s">
        <v>177</v>
      </c>
      <c r="AQ55" s="23" t="s">
        <v>465</v>
      </c>
      <c r="AR55" s="23" t="s">
        <v>11</v>
      </c>
      <c r="AS55" s="33">
        <v>0.05</v>
      </c>
      <c r="AT55" s="29">
        <v>46542</v>
      </c>
      <c r="AU55" s="23"/>
      <c r="AV55" s="23"/>
      <c r="AW55" s="23" t="s">
        <v>466</v>
      </c>
      <c r="AX55" t="s">
        <v>467</v>
      </c>
      <c r="AY55" s="23"/>
      <c r="AZ55" s="23"/>
      <c r="BA55" s="23"/>
      <c r="BB55" s="32"/>
      <c r="BC55" s="73"/>
    </row>
    <row r="56" spans="1:55" x14ac:dyDescent="0.25">
      <c r="A56" s="22" t="s">
        <v>468</v>
      </c>
      <c r="B56" s="23" t="s">
        <v>469</v>
      </c>
      <c r="C56" s="23" t="s">
        <v>470</v>
      </c>
      <c r="D56" s="23" t="s">
        <v>471</v>
      </c>
      <c r="E56" s="24"/>
      <c r="F56" s="25"/>
      <c r="G56" s="23" t="s">
        <v>20</v>
      </c>
      <c r="H56" s="23" t="s">
        <v>176</v>
      </c>
      <c r="I56" s="2">
        <v>44512.445057870369</v>
      </c>
      <c r="J56" s="24">
        <f>MONTH(Tabla1[[#This Row],[Publicación]])</f>
        <v>11</v>
      </c>
      <c r="K56" s="24">
        <f>YEAR(Tabla1[[#This Row],[Publicación]])</f>
        <v>2021</v>
      </c>
      <c r="L56" s="2">
        <v>44543.666666666664</v>
      </c>
      <c r="M56" s="26">
        <v>44512.741666666669</v>
      </c>
      <c r="N56" s="25" t="s">
        <v>10</v>
      </c>
      <c r="O56" s="24" t="s">
        <v>34</v>
      </c>
      <c r="P56" s="24" t="s">
        <v>10</v>
      </c>
      <c r="Q56" s="2">
        <v>44512.458333333336</v>
      </c>
      <c r="R56" s="2">
        <v>44532.958333333336</v>
      </c>
      <c r="S56" s="26">
        <v>44580.958333333336</v>
      </c>
      <c r="T56" s="28">
        <v>336000000</v>
      </c>
      <c r="U56" s="28">
        <f>Tabla1[[#This Row],[PPTO]]/(1+'Lista Datos'!$B$1)</f>
        <v>282352941.17647058</v>
      </c>
      <c r="V56" s="23"/>
      <c r="W56" s="18" t="s">
        <v>11</v>
      </c>
      <c r="X56" s="102">
        <v>1000000</v>
      </c>
      <c r="Y56" s="26">
        <v>44663</v>
      </c>
      <c r="Z56" s="18" t="s">
        <v>10</v>
      </c>
      <c r="AA56" s="23" t="s">
        <v>177</v>
      </c>
      <c r="AB56" s="23">
        <v>24</v>
      </c>
      <c r="AC56" s="23" t="s">
        <v>10</v>
      </c>
      <c r="AD56" s="23"/>
      <c r="AE56" s="29">
        <f>Tabla1[[#This Row],[Cierre]]+Tabla1[[#This Row],[Vigencia Oferta (días)]]</f>
        <v>44543.666666666664</v>
      </c>
      <c r="AF56" s="87"/>
      <c r="AG56" s="28"/>
      <c r="AH56" s="164">
        <f>Tabla1[[#This Row],[Unidades2]]*Tabla1[[#This Row],[Precio Unitario]]</f>
        <v>0</v>
      </c>
      <c r="AI56" s="23" t="s">
        <v>44</v>
      </c>
      <c r="AJ56" s="26">
        <v>44560</v>
      </c>
      <c r="AK56" s="172">
        <f>Tabla1[[#This Row],[Fecha Vigencia]]-AJ56</f>
        <v>-16.333333333335759</v>
      </c>
      <c r="AL56" s="23" t="s">
        <v>472</v>
      </c>
      <c r="AM56" s="87">
        <v>325680000</v>
      </c>
      <c r="AN56" s="23"/>
      <c r="AO56" s="29"/>
      <c r="AP56" s="23"/>
      <c r="AQ56" s="23" t="s">
        <v>473</v>
      </c>
      <c r="AR56" s="23" t="s">
        <v>11</v>
      </c>
      <c r="AS56" s="33">
        <v>0.1</v>
      </c>
      <c r="AT56" s="29">
        <v>45410</v>
      </c>
      <c r="AU56" s="23"/>
      <c r="AV56" s="23"/>
      <c r="AW56" s="23" t="s">
        <v>474</v>
      </c>
      <c r="AX56" t="s">
        <v>475</v>
      </c>
      <c r="AY56" s="23"/>
      <c r="AZ56" s="23"/>
      <c r="BA56" s="23"/>
      <c r="BB56" s="32"/>
      <c r="BC56" s="73"/>
    </row>
    <row r="57" spans="1:55" x14ac:dyDescent="0.25">
      <c r="A57" s="22" t="s">
        <v>476</v>
      </c>
      <c r="B57" s="23" t="s">
        <v>477</v>
      </c>
      <c r="C57" s="23" t="s">
        <v>478</v>
      </c>
      <c r="D57" s="23" t="s">
        <v>479</v>
      </c>
      <c r="E57" s="24"/>
      <c r="F57" s="25"/>
      <c r="G57" s="23" t="s">
        <v>16</v>
      </c>
      <c r="H57" s="23" t="s">
        <v>145</v>
      </c>
      <c r="I57" s="2">
        <v>44532.371608796297</v>
      </c>
      <c r="J57" s="24">
        <f>MONTH(Tabla1[[#This Row],[Publicación]])</f>
        <v>12</v>
      </c>
      <c r="K57" s="24">
        <f>YEAR(Tabla1[[#This Row],[Publicación]])</f>
        <v>2021</v>
      </c>
      <c r="L57" s="2">
        <v>44543.708333333336</v>
      </c>
      <c r="M57" s="26">
        <v>44533.658333333333</v>
      </c>
      <c r="N57" s="25" t="s">
        <v>11</v>
      </c>
      <c r="O57" s="24"/>
      <c r="P57" s="24" t="s">
        <v>11</v>
      </c>
      <c r="Q57" s="2">
        <v>44532.53125</v>
      </c>
      <c r="R57" s="2">
        <v>44540.65625</v>
      </c>
      <c r="S57" s="26">
        <v>44553.679166666669</v>
      </c>
      <c r="T57" s="27">
        <v>0</v>
      </c>
      <c r="U57" s="28">
        <f>Tabla1[[#This Row],[PPTO]]/(1+'Lista Datos'!$B$1)</f>
        <v>0</v>
      </c>
      <c r="V57" s="23"/>
      <c r="W57" s="18" t="s">
        <v>10</v>
      </c>
      <c r="X57" s="113"/>
      <c r="Y57" s="18" t="s">
        <v>146</v>
      </c>
      <c r="Z57" s="18" t="s">
        <v>11</v>
      </c>
      <c r="AA57" s="23"/>
      <c r="AB57" s="23"/>
      <c r="AC57" s="23" t="s">
        <v>10</v>
      </c>
      <c r="AD57" s="23"/>
      <c r="AE57" s="29">
        <f>Tabla1[[#This Row],[Cierre]]+Tabla1[[#This Row],[Vigencia Oferta (días)]]</f>
        <v>44543.708333333336</v>
      </c>
      <c r="AF57" s="87"/>
      <c r="AG57" s="28"/>
      <c r="AH57" s="164">
        <f>Tabla1[[#This Row],[Unidades2]]*Tabla1[[#This Row],[Precio Unitario]]</f>
        <v>0</v>
      </c>
      <c r="AI57" s="23" t="s">
        <v>320</v>
      </c>
      <c r="AJ57" s="26">
        <v>44593.689467592594</v>
      </c>
      <c r="AK57" s="172">
        <f>Tabla1[[#This Row],[Fecha Vigencia]]-AJ57</f>
        <v>-49.981134259258397</v>
      </c>
      <c r="AL57" s="23"/>
      <c r="AM57" s="87"/>
      <c r="AN57" s="23"/>
      <c r="AO57" s="29"/>
      <c r="AP57" s="23"/>
      <c r="AQ57" s="23" t="s">
        <v>480</v>
      </c>
      <c r="AR57" s="23" t="s">
        <v>11</v>
      </c>
      <c r="AS57" s="33">
        <v>0.08</v>
      </c>
      <c r="AT57" s="29">
        <v>45330</v>
      </c>
      <c r="AU57" s="23"/>
      <c r="AV57" s="23"/>
      <c r="AW57" s="23" t="s">
        <v>481</v>
      </c>
      <c r="AX57" t="s">
        <v>482</v>
      </c>
      <c r="AY57" s="23"/>
      <c r="AZ57" s="23"/>
      <c r="BA57" s="23"/>
      <c r="BB57" s="32"/>
      <c r="BC57" s="73"/>
    </row>
    <row r="58" spans="1:55" x14ac:dyDescent="0.25">
      <c r="A58" s="22" t="s">
        <v>483</v>
      </c>
      <c r="B58" s="23" t="s">
        <v>484</v>
      </c>
      <c r="C58" s="23" t="s">
        <v>485</v>
      </c>
      <c r="D58" s="23" t="s">
        <v>486</v>
      </c>
      <c r="E58" s="24"/>
      <c r="F58" s="25"/>
      <c r="G58" s="23" t="s">
        <v>17</v>
      </c>
      <c r="H58" s="23" t="s">
        <v>213</v>
      </c>
      <c r="I58" s="2">
        <v>44511.458622685182</v>
      </c>
      <c r="J58" s="24">
        <f>MONTH(Tabla1[[#This Row],[Publicación]])</f>
        <v>11</v>
      </c>
      <c r="K58" s="24">
        <f>YEAR(Tabla1[[#This Row],[Publicación]])</f>
        <v>2021</v>
      </c>
      <c r="L58" s="2">
        <v>44543.708333333336</v>
      </c>
      <c r="M58" s="26">
        <v>44531.411805555559</v>
      </c>
      <c r="N58" s="25" t="s">
        <v>11</v>
      </c>
      <c r="O58" s="24"/>
      <c r="P58" s="24" t="s">
        <v>11</v>
      </c>
      <c r="Q58" s="2">
        <v>44511.625</v>
      </c>
      <c r="R58" s="2">
        <v>44531.625</v>
      </c>
      <c r="S58" s="26">
        <v>44601.709027777775</v>
      </c>
      <c r="T58" s="27">
        <v>0</v>
      </c>
      <c r="U58" s="28">
        <f>Tabla1[[#This Row],[PPTO]]/(1+'Lista Datos'!$B$1)</f>
        <v>0</v>
      </c>
      <c r="V58" s="23"/>
      <c r="W58" s="18" t="s">
        <v>11</v>
      </c>
      <c r="X58" s="102">
        <v>3000000</v>
      </c>
      <c r="Y58" s="26">
        <v>44663</v>
      </c>
      <c r="Z58" s="18" t="s">
        <v>11</v>
      </c>
      <c r="AA58" s="23"/>
      <c r="AB58" s="23"/>
      <c r="AC58" s="23" t="s">
        <v>10</v>
      </c>
      <c r="AD58" s="23"/>
      <c r="AE58" s="29">
        <f>Tabla1[[#This Row],[Cierre]]+Tabla1[[#This Row],[Vigencia Oferta (días)]]</f>
        <v>44543.708333333336</v>
      </c>
      <c r="AF58" s="87"/>
      <c r="AG58" s="28"/>
      <c r="AH58" s="164">
        <f>Tabla1[[#This Row],[Unidades2]]*Tabla1[[#This Row],[Precio Unitario]]</f>
        <v>0</v>
      </c>
      <c r="AI58" s="23" t="s">
        <v>320</v>
      </c>
      <c r="AJ58" s="26"/>
      <c r="AK58" s="172">
        <f>Tabla1[[#This Row],[Fecha Vigencia]]-AJ58</f>
        <v>44543.708333333336</v>
      </c>
      <c r="AL58" s="23"/>
      <c r="AM58" s="87"/>
      <c r="AN58" s="23"/>
      <c r="AO58" s="29"/>
      <c r="AP58" s="23"/>
      <c r="AQ58" s="23" t="s">
        <v>487</v>
      </c>
      <c r="AR58" s="23" t="s">
        <v>11</v>
      </c>
      <c r="AS58" s="33">
        <v>0.1</v>
      </c>
      <c r="AT58" s="29">
        <v>44752</v>
      </c>
      <c r="AU58" s="23"/>
      <c r="AV58" s="23"/>
      <c r="AW58" s="23" t="s">
        <v>488</v>
      </c>
      <c r="AX58" t="s">
        <v>489</v>
      </c>
      <c r="AY58" s="23"/>
      <c r="AZ58" s="23"/>
      <c r="BA58" s="23"/>
      <c r="BB58" s="32"/>
      <c r="BC58" s="73"/>
    </row>
    <row r="59" spans="1:55" ht="11.25" x14ac:dyDescent="0.2">
      <c r="A59" s="22" t="s">
        <v>490</v>
      </c>
      <c r="B59" s="23" t="s">
        <v>491</v>
      </c>
      <c r="C59" s="23" t="s">
        <v>492</v>
      </c>
      <c r="D59" s="23" t="s">
        <v>493</v>
      </c>
      <c r="E59" s="24"/>
      <c r="F59" s="25"/>
      <c r="G59" s="23" t="s">
        <v>16</v>
      </c>
      <c r="H59" s="23" t="s">
        <v>168</v>
      </c>
      <c r="I59" s="2">
        <v>44533.705196759256</v>
      </c>
      <c r="J59" s="24">
        <f>MONTH(Tabla1[[#This Row],[Publicación]])</f>
        <v>12</v>
      </c>
      <c r="K59" s="24">
        <f>YEAR(Tabla1[[#This Row],[Publicación]])</f>
        <v>2021</v>
      </c>
      <c r="L59" s="2">
        <v>44543.729166666664</v>
      </c>
      <c r="M59" s="26">
        <v>44539.779166666667</v>
      </c>
      <c r="N59" s="25" t="s">
        <v>10</v>
      </c>
      <c r="O59" s="24" t="s">
        <v>25</v>
      </c>
      <c r="P59" s="24" t="s">
        <v>10</v>
      </c>
      <c r="Q59" s="2">
        <v>44267.629861111112</v>
      </c>
      <c r="R59" s="2">
        <v>44389.75</v>
      </c>
      <c r="S59" s="26">
        <v>44592.729861111111</v>
      </c>
      <c r="T59" s="27">
        <v>0</v>
      </c>
      <c r="U59" s="28">
        <f>Tabla1[[#This Row],[PPTO]]/(1+'Lista Datos'!$B$1)</f>
        <v>0</v>
      </c>
      <c r="V59" s="23"/>
      <c r="W59" s="18" t="s">
        <v>10</v>
      </c>
      <c r="X59" s="102"/>
      <c r="Y59" s="18" t="s">
        <v>146</v>
      </c>
      <c r="Z59" s="18" t="s">
        <v>10</v>
      </c>
      <c r="AA59" s="23"/>
      <c r="AB59" s="23"/>
      <c r="AC59" s="23"/>
      <c r="AD59" s="23"/>
      <c r="AE59" s="29">
        <f>Tabla1[[#This Row],[Cierre]]+Tabla1[[#This Row],[Vigencia Oferta (días)]]</f>
        <v>44543.729166666664</v>
      </c>
      <c r="AF59" s="89"/>
      <c r="AG59" s="59"/>
      <c r="AH59" s="165">
        <f>Tabla1[[#This Row],[Unidades2]]*Tabla1[[#This Row],[Precio Unitario]]</f>
        <v>0</v>
      </c>
      <c r="AI59" s="23" t="s">
        <v>320</v>
      </c>
      <c r="AJ59" s="26"/>
      <c r="AK59" s="172">
        <f>Tabla1[[#This Row],[Fecha Vigencia]]-AJ59</f>
        <v>44543.729166666664</v>
      </c>
      <c r="AL59" s="23"/>
      <c r="AM59" s="89"/>
      <c r="AN59" s="23"/>
      <c r="AO59" s="29"/>
      <c r="AP59" s="23"/>
      <c r="AQ59" s="23" t="s">
        <v>494</v>
      </c>
      <c r="AR59" s="23" t="s">
        <v>10</v>
      </c>
      <c r="AS59" s="23"/>
      <c r="AT59" s="23"/>
      <c r="AU59" s="23"/>
      <c r="AV59" s="23"/>
      <c r="AW59" s="23" t="s">
        <v>495</v>
      </c>
      <c r="AX59" s="23" t="s">
        <v>496</v>
      </c>
      <c r="AY59" s="23"/>
      <c r="AZ59" s="23"/>
      <c r="BA59" s="23"/>
      <c r="BB59" s="32"/>
      <c r="BC59" s="73"/>
    </row>
    <row r="60" spans="1:55" x14ac:dyDescent="0.25">
      <c r="A60" s="22" t="s">
        <v>497</v>
      </c>
      <c r="B60" s="23" t="s">
        <v>498</v>
      </c>
      <c r="C60" s="23" t="s">
        <v>499</v>
      </c>
      <c r="D60" s="23" t="s">
        <v>190</v>
      </c>
      <c r="E60" s="24"/>
      <c r="F60" s="25"/>
      <c r="G60" s="23" t="s">
        <v>20</v>
      </c>
      <c r="H60" s="23" t="s">
        <v>176</v>
      </c>
      <c r="I60" s="2">
        <v>44523.645937499998</v>
      </c>
      <c r="J60" s="24">
        <f>MONTH(Tabla1[[#This Row],[Publicación]])</f>
        <v>11</v>
      </c>
      <c r="K60" s="24">
        <f>YEAR(Tabla1[[#This Row],[Publicación]])</f>
        <v>2021</v>
      </c>
      <c r="L60" s="2">
        <v>44543.77847222222</v>
      </c>
      <c r="M60" s="26">
        <v>44523.711111111108</v>
      </c>
      <c r="N60" s="25" t="s">
        <v>10</v>
      </c>
      <c r="O60" s="24" t="s">
        <v>27</v>
      </c>
      <c r="P60" s="24" t="s">
        <v>10</v>
      </c>
      <c r="Q60" s="2">
        <v>44523.854166666664</v>
      </c>
      <c r="R60" s="2">
        <v>44532.708333333336</v>
      </c>
      <c r="S60" s="26">
        <v>44580.708333333336</v>
      </c>
      <c r="T60" s="27">
        <v>0</v>
      </c>
      <c r="U60" s="28">
        <f>Tabla1[[#This Row],[PPTO]]/(1+'Lista Datos'!$B$1)</f>
        <v>0</v>
      </c>
      <c r="V60" s="23"/>
      <c r="W60" s="18" t="s">
        <v>10</v>
      </c>
      <c r="X60" s="102"/>
      <c r="Y60" s="18" t="s">
        <v>146</v>
      </c>
      <c r="Z60" s="18" t="s">
        <v>10</v>
      </c>
      <c r="AA60" s="23" t="s">
        <v>177</v>
      </c>
      <c r="AB60" s="23"/>
      <c r="AC60" s="23" t="s">
        <v>10</v>
      </c>
      <c r="AD60" s="23"/>
      <c r="AE60" s="29">
        <f>Tabla1[[#This Row],[Cierre]]+Tabla1[[#This Row],[Vigencia Oferta (días)]]</f>
        <v>44543.77847222222</v>
      </c>
      <c r="AF60" s="87"/>
      <c r="AG60" s="28"/>
      <c r="AH60" s="164">
        <f>Tabla1[[#This Row],[Unidades2]]*Tabla1[[#This Row],[Precio Unitario]]</f>
        <v>0</v>
      </c>
      <c r="AI60" s="23" t="s">
        <v>44</v>
      </c>
      <c r="AJ60" s="26">
        <v>44581</v>
      </c>
      <c r="AK60" s="172">
        <f>Tabla1[[#This Row],[Fecha Vigencia]]-AJ60</f>
        <v>-37.221527777779556</v>
      </c>
      <c r="AL60" s="23" t="s">
        <v>472</v>
      </c>
      <c r="AM60" s="87">
        <v>175000000</v>
      </c>
      <c r="AN60" s="23"/>
      <c r="AO60" s="29"/>
      <c r="AP60" s="23"/>
      <c r="AQ60" s="23" t="s">
        <v>500</v>
      </c>
      <c r="AR60" s="23" t="s">
        <v>11</v>
      </c>
      <c r="AS60" s="33">
        <v>0.05</v>
      </c>
      <c r="AT60" s="29">
        <v>46573</v>
      </c>
      <c r="AU60" s="23"/>
      <c r="AV60" s="23"/>
      <c r="AW60" s="23" t="s">
        <v>501</v>
      </c>
      <c r="AX60" t="s">
        <v>502</v>
      </c>
      <c r="AY60" s="23"/>
      <c r="AZ60" s="23"/>
      <c r="BA60" s="23"/>
      <c r="BB60" s="32"/>
      <c r="BC60" s="73"/>
    </row>
    <row r="61" spans="1:55" x14ac:dyDescent="0.25">
      <c r="A61" s="22" t="s">
        <v>503</v>
      </c>
      <c r="B61" s="23" t="s">
        <v>504</v>
      </c>
      <c r="C61" s="23" t="s">
        <v>505</v>
      </c>
      <c r="D61" s="23" t="s">
        <v>245</v>
      </c>
      <c r="E61" s="24"/>
      <c r="F61" s="25"/>
      <c r="G61" s="23" t="s">
        <v>16</v>
      </c>
      <c r="H61" s="23" t="s">
        <v>168</v>
      </c>
      <c r="I61" s="2">
        <v>44531.701851851853</v>
      </c>
      <c r="J61" s="24">
        <f>MONTH(Tabla1[[#This Row],[Publicación]])</f>
        <v>12</v>
      </c>
      <c r="K61" s="24">
        <f>YEAR(Tabla1[[#This Row],[Publicación]])</f>
        <v>2021</v>
      </c>
      <c r="L61" s="2">
        <v>44544.625</v>
      </c>
      <c r="M61" s="26">
        <v>44533.619444444441</v>
      </c>
      <c r="N61" s="25" t="s">
        <v>10</v>
      </c>
      <c r="O61" s="24" t="s">
        <v>25</v>
      </c>
      <c r="P61" s="24" t="s">
        <v>10</v>
      </c>
      <c r="Q61" s="2">
        <v>44531.709027777775</v>
      </c>
      <c r="R61" s="2">
        <v>44540.75</v>
      </c>
      <c r="S61" s="26">
        <v>44564.629166666666</v>
      </c>
      <c r="T61" s="27">
        <v>0</v>
      </c>
      <c r="U61" s="28">
        <f>Tabla1[[#This Row],[PPTO]]/(1+'Lista Datos'!$B$1)</f>
        <v>0</v>
      </c>
      <c r="V61" s="23"/>
      <c r="W61" s="18" t="s">
        <v>10</v>
      </c>
      <c r="X61" s="102"/>
      <c r="Y61" s="18" t="s">
        <v>146</v>
      </c>
      <c r="Z61" s="18" t="s">
        <v>10</v>
      </c>
      <c r="AA61" s="23"/>
      <c r="AB61" s="23"/>
      <c r="AC61" s="23"/>
      <c r="AD61" s="23"/>
      <c r="AE61" s="29">
        <f>Tabla1[[#This Row],[Cierre]]+Tabla1[[#This Row],[Vigencia Oferta (días)]]</f>
        <v>44544.625</v>
      </c>
      <c r="AF61" s="87"/>
      <c r="AG61" s="28"/>
      <c r="AH61" s="164">
        <f>Tabla1[[#This Row],[Unidades2]]*Tabla1[[#This Row],[Precio Unitario]]</f>
        <v>0</v>
      </c>
      <c r="AI61" s="23" t="s">
        <v>44</v>
      </c>
      <c r="AJ61" s="26">
        <v>44634</v>
      </c>
      <c r="AK61" s="172">
        <f>Tabla1[[#This Row],[Fecha Vigencia]]-AJ61</f>
        <v>-89.375</v>
      </c>
      <c r="AL61" s="23" t="s">
        <v>46</v>
      </c>
      <c r="AM61" s="87">
        <v>158800000</v>
      </c>
      <c r="AN61" s="23"/>
      <c r="AO61" s="29"/>
      <c r="AP61" s="23"/>
      <c r="AQ61" s="23" t="s">
        <v>246</v>
      </c>
      <c r="AR61" s="23" t="s">
        <v>11</v>
      </c>
      <c r="AS61" s="33">
        <v>0.1</v>
      </c>
      <c r="AT61" s="29">
        <v>45453</v>
      </c>
      <c r="AU61" s="23"/>
      <c r="AV61" s="23"/>
      <c r="AW61" s="23" t="s">
        <v>506</v>
      </c>
      <c r="AX61" t="s">
        <v>507</v>
      </c>
      <c r="AY61" s="23"/>
      <c r="AZ61" s="23"/>
      <c r="BA61" s="23"/>
      <c r="BB61" s="32"/>
      <c r="BC61" s="73"/>
    </row>
    <row r="62" spans="1:55" x14ac:dyDescent="0.25">
      <c r="A62" s="22" t="s">
        <v>508</v>
      </c>
      <c r="B62" s="23" t="s">
        <v>509</v>
      </c>
      <c r="C62" s="23" t="s">
        <v>510</v>
      </c>
      <c r="D62" s="23" t="s">
        <v>511</v>
      </c>
      <c r="E62" s="24"/>
      <c r="F62" s="25"/>
      <c r="G62" s="23" t="s">
        <v>21</v>
      </c>
      <c r="H62" s="23" t="s">
        <v>106</v>
      </c>
      <c r="I62" s="6">
        <v>44537.464409722219</v>
      </c>
      <c r="J62" s="24">
        <f>MONTH(Tabla1[[#This Row],[Publicación]])</f>
        <v>12</v>
      </c>
      <c r="K62" s="24">
        <f>YEAR(Tabla1[[#This Row],[Publicación]])</f>
        <v>2021</v>
      </c>
      <c r="L62" s="2">
        <v>44545.543055555558</v>
      </c>
      <c r="M62" s="26">
        <v>44451</v>
      </c>
      <c r="N62" s="25" t="s">
        <v>11</v>
      </c>
      <c r="O62" s="24"/>
      <c r="P62" s="24" t="s">
        <v>11</v>
      </c>
      <c r="Q62" s="2">
        <v>44537.500694444447</v>
      </c>
      <c r="R62" s="2">
        <v>44543.543055555558</v>
      </c>
      <c r="S62" s="26">
        <v>44578.649305555555</v>
      </c>
      <c r="T62" s="28">
        <v>33000000</v>
      </c>
      <c r="U62" s="28">
        <f>Tabla1[[#This Row],[PPTO]]/(1+'Lista Datos'!$B$1)</f>
        <v>27731092.43697479</v>
      </c>
      <c r="V62" s="23">
        <v>45</v>
      </c>
      <c r="W62" s="18" t="s">
        <v>10</v>
      </c>
      <c r="X62" s="102"/>
      <c r="Y62" s="18" t="s">
        <v>146</v>
      </c>
      <c r="Z62" s="18" t="s">
        <v>10</v>
      </c>
      <c r="AA62" s="23" t="s">
        <v>512</v>
      </c>
      <c r="AB62" s="23"/>
      <c r="AC62" s="23" t="s">
        <v>10</v>
      </c>
      <c r="AD62" s="23">
        <v>90</v>
      </c>
      <c r="AE62" s="29">
        <f>Tabla1[[#This Row],[Cierre]]+Tabla1[[#This Row],[Vigencia Oferta (días)]]</f>
        <v>44635.543055555558</v>
      </c>
      <c r="AF62" s="87">
        <v>500</v>
      </c>
      <c r="AG62" s="28"/>
      <c r="AH62" s="164">
        <f>Tabla1[[#This Row],[Unidades2]]*Tabla1[[#This Row],[Precio Unitario]]</f>
        <v>0</v>
      </c>
      <c r="AI62" s="23" t="s">
        <v>44</v>
      </c>
      <c r="AJ62" s="26">
        <v>44680</v>
      </c>
      <c r="AK62" s="172">
        <f>Tabla1[[#This Row],[Fecha Vigencia]]-AJ62</f>
        <v>-44.456944444442343</v>
      </c>
      <c r="AL62" s="23" t="s">
        <v>115</v>
      </c>
      <c r="AM62" s="87">
        <v>6322000</v>
      </c>
      <c r="AN62" s="23"/>
      <c r="AO62" s="29"/>
      <c r="AP62" s="23"/>
      <c r="AQ62" s="23" t="s">
        <v>513</v>
      </c>
      <c r="AR62" s="23" t="s">
        <v>10</v>
      </c>
      <c r="AS62" s="23"/>
      <c r="AT62" s="23"/>
      <c r="AU62" s="24" t="s">
        <v>459</v>
      </c>
      <c r="AV62" s="24"/>
      <c r="AW62" s="23" t="s">
        <v>514</v>
      </c>
      <c r="AX62" t="s">
        <v>515</v>
      </c>
      <c r="AY62" s="23"/>
      <c r="AZ62" s="23"/>
      <c r="BA62" s="23"/>
      <c r="BB62" s="32"/>
      <c r="BC62" s="73"/>
    </row>
    <row r="63" spans="1:55" x14ac:dyDescent="0.25">
      <c r="A63" s="22" t="s">
        <v>516</v>
      </c>
      <c r="B63" s="23" t="s">
        <v>517</v>
      </c>
      <c r="C63" s="23" t="s">
        <v>518</v>
      </c>
      <c r="D63" s="23" t="s">
        <v>519</v>
      </c>
      <c r="E63" s="24"/>
      <c r="F63" s="25"/>
      <c r="G63" s="23" t="s">
        <v>16</v>
      </c>
      <c r="H63" s="23" t="s">
        <v>520</v>
      </c>
      <c r="I63" s="2">
        <v>44526.496111111112</v>
      </c>
      <c r="J63" s="24">
        <f>MONTH(Tabla1[[#This Row],[Publicación]])</f>
        <v>11</v>
      </c>
      <c r="K63" s="24">
        <f>YEAR(Tabla1[[#This Row],[Publicación]])</f>
        <v>2021</v>
      </c>
      <c r="L63" s="2">
        <v>44547.626388888886</v>
      </c>
      <c r="M63" s="26">
        <v>44529.606249999997</v>
      </c>
      <c r="N63" s="25" t="s">
        <v>11</v>
      </c>
      <c r="O63" s="24"/>
      <c r="P63" s="24" t="s">
        <v>11</v>
      </c>
      <c r="Q63" s="2">
        <v>44526.500694444447</v>
      </c>
      <c r="R63" s="2">
        <v>44539.75</v>
      </c>
      <c r="S63" s="26">
        <v>44586.418055555558</v>
      </c>
      <c r="T63" s="27">
        <v>0</v>
      </c>
      <c r="U63" s="28">
        <f>Tabla1[[#This Row],[PPTO]]/(1+'Lista Datos'!$B$1)</f>
        <v>0</v>
      </c>
      <c r="V63" s="23"/>
      <c r="W63" s="18" t="s">
        <v>10</v>
      </c>
      <c r="X63" s="102"/>
      <c r="Y63" s="18" t="s">
        <v>146</v>
      </c>
      <c r="Z63" s="18" t="s">
        <v>11</v>
      </c>
      <c r="AA63" s="23" t="s">
        <v>177</v>
      </c>
      <c r="AB63" s="23">
        <v>24</v>
      </c>
      <c r="AC63" s="23" t="s">
        <v>10</v>
      </c>
      <c r="AD63" s="23"/>
      <c r="AE63" s="29">
        <f>Tabla1[[#This Row],[Cierre]]+Tabla1[[#This Row],[Vigencia Oferta (días)]]</f>
        <v>44547.626388888886</v>
      </c>
      <c r="AF63" s="87"/>
      <c r="AG63" s="28"/>
      <c r="AH63" s="164">
        <f>Tabla1[[#This Row],[Unidades2]]*Tabla1[[#This Row],[Precio Unitario]]</f>
        <v>0</v>
      </c>
      <c r="AI63" s="23" t="s">
        <v>44</v>
      </c>
      <c r="AJ63" s="26">
        <v>44557</v>
      </c>
      <c r="AK63" s="172">
        <f>Tabla1[[#This Row],[Fecha Vigencia]]-AJ63</f>
        <v>-9.3736111111138598</v>
      </c>
      <c r="AL63" s="23" t="s">
        <v>472</v>
      </c>
      <c r="AM63" s="87">
        <v>140440508</v>
      </c>
      <c r="AN63" s="29">
        <v>44557</v>
      </c>
      <c r="AO63" s="29">
        <v>45287</v>
      </c>
      <c r="AP63" s="23" t="s">
        <v>177</v>
      </c>
      <c r="AQ63" s="23" t="s">
        <v>521</v>
      </c>
      <c r="AR63" s="23" t="s">
        <v>11</v>
      </c>
      <c r="AS63" s="33">
        <v>0.05</v>
      </c>
      <c r="AT63" s="29">
        <v>45894</v>
      </c>
      <c r="AU63" s="23"/>
      <c r="AV63" s="23"/>
      <c r="AW63" s="23" t="s">
        <v>407</v>
      </c>
      <c r="AX63" t="s">
        <v>408</v>
      </c>
      <c r="AY63" s="23"/>
      <c r="AZ63" s="23"/>
      <c r="BA63" s="23"/>
      <c r="BB63" s="32"/>
      <c r="BC63" s="73"/>
    </row>
    <row r="64" spans="1:55" x14ac:dyDescent="0.25">
      <c r="A64" s="22" t="s">
        <v>522</v>
      </c>
      <c r="B64" s="23" t="s">
        <v>523</v>
      </c>
      <c r="C64" s="23" t="s">
        <v>524</v>
      </c>
      <c r="D64" s="23" t="s">
        <v>525</v>
      </c>
      <c r="E64" s="24"/>
      <c r="F64" s="25"/>
      <c r="G64" s="23" t="s">
        <v>21</v>
      </c>
      <c r="H64" s="23" t="s">
        <v>106</v>
      </c>
      <c r="I64" s="2">
        <v>44544.395624999997</v>
      </c>
      <c r="J64" s="24">
        <f>MONTH(Tabla1[[#This Row],[Publicación]])</f>
        <v>12</v>
      </c>
      <c r="K64" s="24">
        <f>YEAR(Tabla1[[#This Row],[Publicación]])</f>
        <v>2021</v>
      </c>
      <c r="L64" s="2">
        <v>44550.625</v>
      </c>
      <c r="M64" s="26"/>
      <c r="N64" s="25" t="s">
        <v>10</v>
      </c>
      <c r="O64" s="24" t="s">
        <v>25</v>
      </c>
      <c r="P64" s="24" t="s">
        <v>10</v>
      </c>
      <c r="Q64" s="2">
        <v>44544.53125</v>
      </c>
      <c r="R64" s="2">
        <v>44547.375</v>
      </c>
      <c r="S64" s="26">
        <v>44561.434016203704</v>
      </c>
      <c r="T64" s="27">
        <v>0</v>
      </c>
      <c r="U64" s="28">
        <f>Tabla1[[#This Row],[PPTO]]/(1+'Lista Datos'!$B$1)</f>
        <v>0</v>
      </c>
      <c r="V64" s="23"/>
      <c r="W64" s="18" t="s">
        <v>10</v>
      </c>
      <c r="X64" s="102"/>
      <c r="Y64" s="18" t="s">
        <v>146</v>
      </c>
      <c r="Z64" s="18" t="s">
        <v>10</v>
      </c>
      <c r="AA64" s="23"/>
      <c r="AB64" s="23"/>
      <c r="AC64" s="23"/>
      <c r="AD64" s="23"/>
      <c r="AE64" s="29">
        <f>Tabla1[[#This Row],[Cierre]]+Tabla1[[#This Row],[Vigencia Oferta (días)]]</f>
        <v>44550.625</v>
      </c>
      <c r="AF64" s="87"/>
      <c r="AG64" s="28"/>
      <c r="AH64" s="164">
        <f>Tabla1[[#This Row],[Unidades2]]*Tabla1[[#This Row],[Precio Unitario]]</f>
        <v>0</v>
      </c>
      <c r="AI64" s="23" t="s">
        <v>44</v>
      </c>
      <c r="AJ64" s="26">
        <v>44560</v>
      </c>
      <c r="AK64" s="172">
        <f>Tabla1[[#This Row],[Fecha Vigencia]]-AJ64</f>
        <v>-9.375</v>
      </c>
      <c r="AL64" s="23" t="s">
        <v>205</v>
      </c>
      <c r="AM64" s="87">
        <v>32000</v>
      </c>
      <c r="AN64" s="23"/>
      <c r="AO64" s="29"/>
      <c r="AP64" s="23"/>
      <c r="AQ64" s="23" t="s">
        <v>526</v>
      </c>
      <c r="AR64" s="23" t="s">
        <v>10</v>
      </c>
      <c r="AS64" s="23"/>
      <c r="AT64" s="23"/>
      <c r="AU64" s="23"/>
      <c r="AV64" s="23"/>
      <c r="AW64" s="23" t="s">
        <v>527</v>
      </c>
      <c r="AX64" t="s">
        <v>528</v>
      </c>
      <c r="AY64" s="23"/>
      <c r="AZ64" s="23"/>
      <c r="BA64" s="23"/>
      <c r="BB64" s="32"/>
      <c r="BC64" s="73"/>
    </row>
    <row r="65" spans="1:55" x14ac:dyDescent="0.25">
      <c r="A65" s="22" t="s">
        <v>529</v>
      </c>
      <c r="B65" s="23" t="s">
        <v>530</v>
      </c>
      <c r="C65" s="23" t="s">
        <v>531</v>
      </c>
      <c r="D65" s="23" t="s">
        <v>532</v>
      </c>
      <c r="E65" s="24"/>
      <c r="F65" s="25"/>
      <c r="G65" s="23" t="s">
        <v>16</v>
      </c>
      <c r="H65" s="23" t="s">
        <v>533</v>
      </c>
      <c r="I65" s="2">
        <v>44539.492083333331</v>
      </c>
      <c r="J65" s="24">
        <f>MONTH(Tabla1[[#This Row],[Publicación]])</f>
        <v>12</v>
      </c>
      <c r="K65" s="24">
        <f>YEAR(Tabla1[[#This Row],[Publicación]])</f>
        <v>2021</v>
      </c>
      <c r="L65" s="2">
        <v>44550.625</v>
      </c>
      <c r="M65" s="26">
        <v>44544</v>
      </c>
      <c r="N65" s="25" t="s">
        <v>10</v>
      </c>
      <c r="O65" s="24" t="s">
        <v>25</v>
      </c>
      <c r="P65" s="24" t="s">
        <v>10</v>
      </c>
      <c r="Q65" s="2">
        <v>44539.500694444447</v>
      </c>
      <c r="R65" s="2">
        <v>44544.833333333336</v>
      </c>
      <c r="S65" s="26">
        <v>44557.709467592591</v>
      </c>
      <c r="T65" s="27">
        <v>0</v>
      </c>
      <c r="U65" s="28">
        <f>Tabla1[[#This Row],[PPTO]]/(1+'Lista Datos'!$B$1)</f>
        <v>0</v>
      </c>
      <c r="V65" s="23"/>
      <c r="W65" s="18" t="s">
        <v>10</v>
      </c>
      <c r="X65" s="102"/>
      <c r="Y65" s="18" t="s">
        <v>146</v>
      </c>
      <c r="Z65" s="18" t="s">
        <v>10</v>
      </c>
      <c r="AA65" s="23"/>
      <c r="AB65" s="23"/>
      <c r="AC65" s="23"/>
      <c r="AD65" s="23"/>
      <c r="AE65" s="29">
        <f>Tabla1[[#This Row],[Cierre]]+Tabla1[[#This Row],[Vigencia Oferta (días)]]</f>
        <v>44550.625</v>
      </c>
      <c r="AF65" s="87"/>
      <c r="AG65" s="28"/>
      <c r="AH65" s="164">
        <f>Tabla1[[#This Row],[Unidades2]]*Tabla1[[#This Row],[Precio Unitario]]</f>
        <v>0</v>
      </c>
      <c r="AI65" s="23" t="s">
        <v>44</v>
      </c>
      <c r="AJ65" s="26">
        <v>44551</v>
      </c>
      <c r="AK65" s="172">
        <f>Tabla1[[#This Row],[Fecha Vigencia]]-AJ65</f>
        <v>-0.375</v>
      </c>
      <c r="AL65" s="23" t="s">
        <v>46</v>
      </c>
      <c r="AM65" s="87">
        <v>96171</v>
      </c>
      <c r="AN65" s="23"/>
      <c r="AO65" s="29"/>
      <c r="AP65" s="23"/>
      <c r="AQ65" s="23" t="s">
        <v>534</v>
      </c>
      <c r="AR65" s="23" t="s">
        <v>11</v>
      </c>
      <c r="AS65" s="33">
        <v>0.05</v>
      </c>
      <c r="AT65" s="29">
        <v>44926</v>
      </c>
      <c r="AU65" s="23"/>
      <c r="AV65" s="23"/>
      <c r="AW65" s="23" t="s">
        <v>535</v>
      </c>
      <c r="AX65" t="s">
        <v>536</v>
      </c>
      <c r="AY65" s="23"/>
      <c r="AZ65" s="23"/>
      <c r="BA65" s="23"/>
      <c r="BB65" s="32"/>
      <c r="BC65" s="73"/>
    </row>
    <row r="66" spans="1:55" x14ac:dyDescent="0.25">
      <c r="A66" s="22" t="s">
        <v>537</v>
      </c>
      <c r="B66" s="23" t="s">
        <v>538</v>
      </c>
      <c r="C66" s="23"/>
      <c r="D66" s="23" t="s">
        <v>539</v>
      </c>
      <c r="E66" s="24"/>
      <c r="F66" s="25"/>
      <c r="G66" s="23" t="s">
        <v>21</v>
      </c>
      <c r="H66" s="23" t="s">
        <v>106</v>
      </c>
      <c r="I66" s="2">
        <v>44544.382789351854</v>
      </c>
      <c r="J66" s="24">
        <f>MONTH(Tabla1[[#This Row],[Publicación]])</f>
        <v>12</v>
      </c>
      <c r="K66" s="24">
        <f>YEAR(Tabla1[[#This Row],[Publicación]])</f>
        <v>2021</v>
      </c>
      <c r="L66" s="2">
        <v>44550.625694444447</v>
      </c>
      <c r="M66" s="26">
        <v>44546.36041666667</v>
      </c>
      <c r="N66" s="25" t="s">
        <v>10</v>
      </c>
      <c r="O66" s="24" t="s">
        <v>25</v>
      </c>
      <c r="P66" s="24" t="s">
        <v>10</v>
      </c>
      <c r="Q66" s="2">
        <v>44544.397222222222</v>
      </c>
      <c r="R66" s="2">
        <v>44547.420138888891</v>
      </c>
      <c r="S66" s="26">
        <v>44554.464085648149</v>
      </c>
      <c r="T66" s="27">
        <v>0</v>
      </c>
      <c r="U66" s="28">
        <f>Tabla1[[#This Row],[PPTO]]/(1+'Lista Datos'!$B$1)</f>
        <v>0</v>
      </c>
      <c r="V66" s="23"/>
      <c r="W66" s="18" t="s">
        <v>10</v>
      </c>
      <c r="X66" s="102"/>
      <c r="Y66" s="18" t="s">
        <v>146</v>
      </c>
      <c r="Z66" s="18" t="s">
        <v>10</v>
      </c>
      <c r="AA66" s="23"/>
      <c r="AB66" s="23"/>
      <c r="AC66" s="23"/>
      <c r="AD66" s="23"/>
      <c r="AE66" s="29">
        <f>Tabla1[[#This Row],[Cierre]]+Tabla1[[#This Row],[Vigencia Oferta (días)]]</f>
        <v>44550.625694444447</v>
      </c>
      <c r="AF66" s="87"/>
      <c r="AG66" s="28"/>
      <c r="AH66" s="164">
        <f>Tabla1[[#This Row],[Unidades2]]*Tabla1[[#This Row],[Precio Unitario]]</f>
        <v>0</v>
      </c>
      <c r="AI66" s="23" t="s">
        <v>44</v>
      </c>
      <c r="AJ66" s="26">
        <v>44553</v>
      </c>
      <c r="AK66" s="172">
        <f>Tabla1[[#This Row],[Fecha Vigencia]]-AJ66</f>
        <v>-2.3743055555532919</v>
      </c>
      <c r="AL66" s="23" t="s">
        <v>46</v>
      </c>
      <c r="AM66" s="87">
        <v>270000</v>
      </c>
      <c r="AN66" s="23"/>
      <c r="AO66" s="29"/>
      <c r="AP66" s="23"/>
      <c r="AQ66" s="23" t="s">
        <v>540</v>
      </c>
      <c r="AR66" s="23" t="s">
        <v>10</v>
      </c>
      <c r="AS66" s="23"/>
      <c r="AT66" s="23"/>
      <c r="AU66" s="23"/>
      <c r="AV66" s="23"/>
      <c r="AW66" s="23" t="s">
        <v>541</v>
      </c>
      <c r="AX66" t="s">
        <v>542</v>
      </c>
      <c r="AY66" s="23"/>
      <c r="AZ66" s="23"/>
      <c r="BA66" s="23"/>
      <c r="BB66" s="32"/>
      <c r="BC66" s="73"/>
    </row>
    <row r="67" spans="1:55" x14ac:dyDescent="0.25">
      <c r="A67" s="22" t="s">
        <v>543</v>
      </c>
      <c r="B67" s="23" t="s">
        <v>544</v>
      </c>
      <c r="C67" s="23" t="s">
        <v>545</v>
      </c>
      <c r="D67" s="23" t="s">
        <v>546</v>
      </c>
      <c r="E67" s="24"/>
      <c r="F67" s="25"/>
      <c r="G67" s="23" t="s">
        <v>16</v>
      </c>
      <c r="H67" s="23" t="s">
        <v>168</v>
      </c>
      <c r="I67" s="2">
        <v>44543.415995370371</v>
      </c>
      <c r="J67" s="24">
        <f>MONTH(Tabla1[[#This Row],[Publicación]])</f>
        <v>12</v>
      </c>
      <c r="K67" s="24">
        <f>YEAR(Tabla1[[#This Row],[Publicación]])</f>
        <v>2021</v>
      </c>
      <c r="L67" s="2">
        <v>44550.655555555553</v>
      </c>
      <c r="M67" s="26">
        <v>44545</v>
      </c>
      <c r="N67" s="25" t="s">
        <v>10</v>
      </c>
      <c r="O67" s="24" t="s">
        <v>25</v>
      </c>
      <c r="P67" s="24" t="s">
        <v>10</v>
      </c>
      <c r="Q67" s="2">
        <v>44543.65625</v>
      </c>
      <c r="R67" s="2">
        <v>44546.780555555553</v>
      </c>
      <c r="S67" s="26">
        <v>44644.65625</v>
      </c>
      <c r="T67" s="27">
        <v>0</v>
      </c>
      <c r="U67" s="28">
        <f>Tabla1[[#This Row],[PPTO]]/(1+'Lista Datos'!$B$1)</f>
        <v>0</v>
      </c>
      <c r="V67" s="23"/>
      <c r="W67" s="18" t="s">
        <v>10</v>
      </c>
      <c r="X67" s="102"/>
      <c r="Y67" s="18" t="s">
        <v>146</v>
      </c>
      <c r="Z67" s="18" t="s">
        <v>10</v>
      </c>
      <c r="AA67" s="23"/>
      <c r="AB67" s="23"/>
      <c r="AC67" s="23"/>
      <c r="AD67" s="23"/>
      <c r="AE67" s="29">
        <f>Tabla1[[#This Row],[Cierre]]+Tabla1[[#This Row],[Vigencia Oferta (días)]]</f>
        <v>44550.655555555553</v>
      </c>
      <c r="AF67" s="87"/>
      <c r="AG67" s="28"/>
      <c r="AH67" s="164">
        <f>Tabla1[[#This Row],[Unidades2]]*Tabla1[[#This Row],[Precio Unitario]]</f>
        <v>0</v>
      </c>
      <c r="AI67" s="23" t="s">
        <v>385</v>
      </c>
      <c r="AJ67" s="26"/>
      <c r="AK67" s="172">
        <f>Tabla1[[#This Row],[Fecha Vigencia]]-AJ67</f>
        <v>44550.655555555553</v>
      </c>
      <c r="AL67" s="23"/>
      <c r="AM67" s="87"/>
      <c r="AN67" s="23"/>
      <c r="AO67" s="29"/>
      <c r="AP67" s="23"/>
      <c r="AQ67" s="23" t="s">
        <v>547</v>
      </c>
      <c r="AR67" s="23" t="s">
        <v>10</v>
      </c>
      <c r="AS67" s="23"/>
      <c r="AT67" s="23"/>
      <c r="AU67" s="23"/>
      <c r="AV67" s="23"/>
      <c r="AW67" s="23" t="s">
        <v>548</v>
      </c>
      <c r="AX67" t="s">
        <v>549</v>
      </c>
      <c r="AY67" s="23"/>
      <c r="AZ67" s="23"/>
      <c r="BA67" s="23"/>
      <c r="BB67" s="32"/>
      <c r="BC67" s="73"/>
    </row>
    <row r="68" spans="1:55" x14ac:dyDescent="0.25">
      <c r="A68" s="22" t="s">
        <v>550</v>
      </c>
      <c r="B68" s="23" t="s">
        <v>551</v>
      </c>
      <c r="C68" s="23" t="s">
        <v>552</v>
      </c>
      <c r="D68" s="23" t="s">
        <v>553</v>
      </c>
      <c r="E68" s="24"/>
      <c r="F68" s="25"/>
      <c r="G68" s="23" t="s">
        <v>16</v>
      </c>
      <c r="H68" s="23" t="s">
        <v>123</v>
      </c>
      <c r="I68" s="2">
        <v>44530.682071759256</v>
      </c>
      <c r="J68" s="24">
        <f>MONTH(Tabla1[[#This Row],[Publicación]])</f>
        <v>11</v>
      </c>
      <c r="K68" s="24">
        <f>YEAR(Tabla1[[#This Row],[Publicación]])</f>
        <v>2021</v>
      </c>
      <c r="L68" s="2">
        <v>44550.666666666664</v>
      </c>
      <c r="M68" s="26">
        <v>44531.365972222222</v>
      </c>
      <c r="N68" s="25" t="s">
        <v>11</v>
      </c>
      <c r="O68" s="24"/>
      <c r="P68" s="24" t="s">
        <v>11</v>
      </c>
      <c r="Q68" s="2">
        <v>44530.75</v>
      </c>
      <c r="R68" s="2">
        <v>44543.666666666664</v>
      </c>
      <c r="S68" s="26">
        <v>44613.782638888886</v>
      </c>
      <c r="T68" s="27">
        <v>0</v>
      </c>
      <c r="U68" s="28">
        <f>Tabla1[[#This Row],[PPTO]]/(1+'Lista Datos'!$B$1)</f>
        <v>0</v>
      </c>
      <c r="V68" s="23"/>
      <c r="W68" s="18" t="s">
        <v>10</v>
      </c>
      <c r="X68" s="102"/>
      <c r="Y68" s="18" t="s">
        <v>146</v>
      </c>
      <c r="Z68" s="18" t="s">
        <v>11</v>
      </c>
      <c r="AA68" s="23" t="s">
        <v>177</v>
      </c>
      <c r="AB68" s="23">
        <v>36</v>
      </c>
      <c r="AC68" s="23" t="s">
        <v>10</v>
      </c>
      <c r="AD68" s="23"/>
      <c r="AE68" s="29">
        <f>Tabla1[[#This Row],[Cierre]]+Tabla1[[#This Row],[Vigencia Oferta (días)]]</f>
        <v>44550.666666666664</v>
      </c>
      <c r="AF68" s="87"/>
      <c r="AG68" s="28"/>
      <c r="AH68" s="164">
        <f>Tabla1[[#This Row],[Unidades2]]*Tabla1[[#This Row],[Precio Unitario]]</f>
        <v>0</v>
      </c>
      <c r="AI68" s="23" t="s">
        <v>44</v>
      </c>
      <c r="AJ68" s="26">
        <v>44600</v>
      </c>
      <c r="AK68" s="172">
        <f>Tabla1[[#This Row],[Fecha Vigencia]]-AJ68</f>
        <v>-49.333333333335759</v>
      </c>
      <c r="AL68" s="23" t="s">
        <v>45</v>
      </c>
      <c r="AM68" s="87">
        <v>213000000</v>
      </c>
      <c r="AN68" s="29">
        <v>44600</v>
      </c>
      <c r="AO68" s="29">
        <v>45696</v>
      </c>
      <c r="AP68" s="23" t="s">
        <v>177</v>
      </c>
      <c r="AQ68" s="23" t="s">
        <v>554</v>
      </c>
      <c r="AR68" s="23" t="s">
        <v>11</v>
      </c>
      <c r="AS68" s="33">
        <v>0.1</v>
      </c>
      <c r="AT68" s="29">
        <v>46021</v>
      </c>
      <c r="AU68" s="23"/>
      <c r="AV68" s="23"/>
      <c r="AW68" s="23" t="s">
        <v>555</v>
      </c>
      <c r="AX68" t="s">
        <v>556</v>
      </c>
      <c r="AY68" s="23"/>
      <c r="AZ68" s="23"/>
      <c r="BA68" s="23"/>
      <c r="BB68" s="32"/>
      <c r="BC68" s="73"/>
    </row>
    <row r="69" spans="1:55" ht="11.25" x14ac:dyDescent="0.2">
      <c r="A69" s="22" t="s">
        <v>557</v>
      </c>
      <c r="B69" s="23" t="s">
        <v>437</v>
      </c>
      <c r="C69" s="23"/>
      <c r="D69" s="23" t="s">
        <v>558</v>
      </c>
      <c r="E69" s="24"/>
      <c r="F69" s="25"/>
      <c r="G69" s="23" t="s">
        <v>16</v>
      </c>
      <c r="H69" s="23" t="s">
        <v>168</v>
      </c>
      <c r="I69" s="2">
        <v>44545.715162037035</v>
      </c>
      <c r="J69" s="24">
        <f>MONTH(Tabla1[[#This Row],[Publicación]])</f>
        <v>12</v>
      </c>
      <c r="K69" s="24">
        <f>YEAR(Tabla1[[#This Row],[Publicación]])</f>
        <v>2021</v>
      </c>
      <c r="L69" s="2">
        <v>44550.697916666664</v>
      </c>
      <c r="M69" s="26">
        <v>44547</v>
      </c>
      <c r="N69" s="25" t="s">
        <v>10</v>
      </c>
      <c r="O69" s="24" t="s">
        <v>25</v>
      </c>
      <c r="P69" s="24" t="s">
        <v>10</v>
      </c>
      <c r="Q69" s="2">
        <v>44545.715162037035</v>
      </c>
      <c r="R69" s="2">
        <v>44547.697916666664</v>
      </c>
      <c r="S69" s="26">
        <v>44567.697916666664</v>
      </c>
      <c r="T69" s="27">
        <v>0</v>
      </c>
      <c r="U69" s="28">
        <f>Tabla1[[#This Row],[PPTO]]/(1+'Lista Datos'!$B$1)</f>
        <v>0</v>
      </c>
      <c r="V69" s="23"/>
      <c r="W69" s="18" t="s">
        <v>10</v>
      </c>
      <c r="X69" s="102"/>
      <c r="Y69" s="18" t="s">
        <v>146</v>
      </c>
      <c r="Z69" s="18" t="s">
        <v>10</v>
      </c>
      <c r="AA69" s="23"/>
      <c r="AB69" s="23"/>
      <c r="AC69" s="23"/>
      <c r="AD69" s="23"/>
      <c r="AE69" s="29">
        <f>Tabla1[[#This Row],[Cierre]]+Tabla1[[#This Row],[Vigencia Oferta (días)]]</f>
        <v>44550.697916666664</v>
      </c>
      <c r="AF69" s="87"/>
      <c r="AG69" s="28"/>
      <c r="AH69" s="164">
        <f>Tabla1[[#This Row],[Unidades2]]*Tabla1[[#This Row],[Precio Unitario]]</f>
        <v>0</v>
      </c>
      <c r="AI69" s="23" t="s">
        <v>320</v>
      </c>
      <c r="AJ69" s="26">
        <v>44552.700706018521</v>
      </c>
      <c r="AK69" s="172">
        <f>Tabla1[[#This Row],[Fecha Vigencia]]-AJ69</f>
        <v>-2.002789351856336</v>
      </c>
      <c r="AL69" s="23"/>
      <c r="AM69" s="87"/>
      <c r="AN69" s="23"/>
      <c r="AO69" s="29"/>
      <c r="AP69" s="23"/>
      <c r="AQ69" s="23" t="s">
        <v>440</v>
      </c>
      <c r="AR69" s="23"/>
      <c r="AS69" s="23"/>
      <c r="AT69" s="23"/>
      <c r="AU69" s="23"/>
      <c r="AV69" s="23"/>
      <c r="AW69" s="23"/>
      <c r="AX69" s="23"/>
      <c r="AY69" s="23"/>
      <c r="AZ69" s="23"/>
      <c r="BA69" s="23"/>
      <c r="BB69" s="32"/>
      <c r="BC69" s="73"/>
    </row>
    <row r="70" spans="1:55" x14ac:dyDescent="0.25">
      <c r="A70" s="22" t="s">
        <v>559</v>
      </c>
      <c r="B70" s="23" t="s">
        <v>560</v>
      </c>
      <c r="C70" s="23" t="s">
        <v>561</v>
      </c>
      <c r="D70" s="23" t="s">
        <v>562</v>
      </c>
      <c r="E70" s="24"/>
      <c r="F70" s="25"/>
      <c r="G70" s="23" t="s">
        <v>16</v>
      </c>
      <c r="H70" s="23" t="s">
        <v>145</v>
      </c>
      <c r="I70" s="2">
        <v>44540.695127314815</v>
      </c>
      <c r="J70" s="24">
        <f>MONTH(Tabla1[[#This Row],[Publicación]])</f>
        <v>12</v>
      </c>
      <c r="K70" s="24">
        <f>YEAR(Tabla1[[#This Row],[Publicación]])</f>
        <v>2021</v>
      </c>
      <c r="L70" s="2">
        <v>44551.416666666664</v>
      </c>
      <c r="M70" s="26">
        <v>44543</v>
      </c>
      <c r="N70" s="25" t="s">
        <v>10</v>
      </c>
      <c r="O70" s="24" t="s">
        <v>25</v>
      </c>
      <c r="P70" s="24" t="s">
        <v>10</v>
      </c>
      <c r="Q70" s="2">
        <v>44540.792361111111</v>
      </c>
      <c r="R70" s="2">
        <v>44547.75</v>
      </c>
      <c r="S70" s="26">
        <v>44559.622534722221</v>
      </c>
      <c r="T70" s="27">
        <v>0</v>
      </c>
      <c r="U70" s="28">
        <f>Tabla1[[#This Row],[PPTO]]/(1+'Lista Datos'!$B$1)</f>
        <v>0</v>
      </c>
      <c r="V70" s="23"/>
      <c r="W70" s="18" t="s">
        <v>10</v>
      </c>
      <c r="X70" s="102"/>
      <c r="Y70" s="18" t="s">
        <v>146</v>
      </c>
      <c r="Z70" s="18" t="s">
        <v>10</v>
      </c>
      <c r="AA70" s="23"/>
      <c r="AB70" s="23"/>
      <c r="AC70" s="23"/>
      <c r="AD70" s="23"/>
      <c r="AE70" s="29">
        <f>Tabla1[[#This Row],[Cierre]]+Tabla1[[#This Row],[Vigencia Oferta (días)]]</f>
        <v>44551.416666666664</v>
      </c>
      <c r="AF70" s="87"/>
      <c r="AG70" s="28"/>
      <c r="AH70" s="164">
        <f>Tabla1[[#This Row],[Unidades2]]*Tabla1[[#This Row],[Precio Unitario]]</f>
        <v>0</v>
      </c>
      <c r="AI70" s="23" t="s">
        <v>44</v>
      </c>
      <c r="AJ70" s="26">
        <v>44559</v>
      </c>
      <c r="AK70" s="172">
        <f>Tabla1[[#This Row],[Fecha Vigencia]]-AJ70</f>
        <v>-7.5833333333357587</v>
      </c>
      <c r="AL70" s="23" t="s">
        <v>46</v>
      </c>
      <c r="AM70" s="87">
        <v>2880000</v>
      </c>
      <c r="AN70" s="23"/>
      <c r="AO70" s="29"/>
      <c r="AP70" s="23"/>
      <c r="AQ70" s="23" t="s">
        <v>372</v>
      </c>
      <c r="AR70" s="23" t="s">
        <v>10</v>
      </c>
      <c r="AS70" s="23"/>
      <c r="AT70" s="23"/>
      <c r="AU70" s="23"/>
      <c r="AV70" s="23"/>
      <c r="AW70" s="23" t="s">
        <v>373</v>
      </c>
      <c r="AX70" t="s">
        <v>374</v>
      </c>
      <c r="AY70" s="23"/>
      <c r="AZ70" s="23"/>
      <c r="BA70" s="23"/>
      <c r="BB70" s="32"/>
      <c r="BC70" s="73"/>
    </row>
    <row r="71" spans="1:55" x14ac:dyDescent="0.25">
      <c r="A71" s="22" t="s">
        <v>563</v>
      </c>
      <c r="B71" s="23" t="s">
        <v>564</v>
      </c>
      <c r="C71" s="23" t="s">
        <v>565</v>
      </c>
      <c r="D71" s="23" t="s">
        <v>566</v>
      </c>
      <c r="E71" s="24"/>
      <c r="F71" s="25"/>
      <c r="G71" s="23" t="s">
        <v>16</v>
      </c>
      <c r="H71" s="23" t="s">
        <v>345</v>
      </c>
      <c r="I71" s="2">
        <v>44544.745347222219</v>
      </c>
      <c r="J71" s="24">
        <f>MONTH(Tabla1[[#This Row],[Publicación]])</f>
        <v>12</v>
      </c>
      <c r="K71" s="24">
        <f>YEAR(Tabla1[[#This Row],[Publicación]])</f>
        <v>2021</v>
      </c>
      <c r="L71" s="2">
        <v>44551.625</v>
      </c>
      <c r="M71" s="26">
        <v>44545</v>
      </c>
      <c r="N71" s="25" t="s">
        <v>10</v>
      </c>
      <c r="O71" s="24" t="s">
        <v>25</v>
      </c>
      <c r="P71" s="24" t="s">
        <v>10</v>
      </c>
      <c r="Q71" s="2">
        <v>44545.354166666664</v>
      </c>
      <c r="R71" s="2">
        <v>44550.5</v>
      </c>
      <c r="S71" s="26">
        <v>44560.705231481479</v>
      </c>
      <c r="T71" s="27">
        <v>0</v>
      </c>
      <c r="U71" s="28">
        <f>Tabla1[[#This Row],[PPTO]]/(1+'Lista Datos'!$B$1)</f>
        <v>0</v>
      </c>
      <c r="V71" s="23"/>
      <c r="W71" s="18" t="s">
        <v>10</v>
      </c>
      <c r="X71" s="102"/>
      <c r="Y71" s="18" t="s">
        <v>146</v>
      </c>
      <c r="Z71" s="18" t="s">
        <v>10</v>
      </c>
      <c r="AA71" s="23"/>
      <c r="AB71" s="23"/>
      <c r="AC71" s="23"/>
      <c r="AD71" s="23"/>
      <c r="AE71" s="29">
        <f>Tabla1[[#This Row],[Cierre]]+Tabla1[[#This Row],[Vigencia Oferta (días)]]</f>
        <v>44551.625</v>
      </c>
      <c r="AF71" s="87"/>
      <c r="AG71" s="28"/>
      <c r="AH71" s="164">
        <f>Tabla1[[#This Row],[Unidades2]]*Tabla1[[#This Row],[Precio Unitario]]</f>
        <v>0</v>
      </c>
      <c r="AI71" s="23" t="s">
        <v>44</v>
      </c>
      <c r="AJ71" s="26">
        <v>44552</v>
      </c>
      <c r="AK71" s="172">
        <f>Tabla1[[#This Row],[Fecha Vigencia]]-AJ71</f>
        <v>-0.375</v>
      </c>
      <c r="AL71" s="23" t="s">
        <v>46</v>
      </c>
      <c r="AM71" s="87">
        <v>1495000</v>
      </c>
      <c r="AN71" s="23"/>
      <c r="AO71" s="29"/>
      <c r="AP71" s="23"/>
      <c r="AQ71" s="23" t="s">
        <v>567</v>
      </c>
      <c r="AR71" s="23" t="s">
        <v>10</v>
      </c>
      <c r="AS71" s="23"/>
      <c r="AT71" s="23"/>
      <c r="AU71" s="23"/>
      <c r="AV71" s="23"/>
      <c r="AW71" s="23" t="s">
        <v>568</v>
      </c>
      <c r="AX71" t="s">
        <v>569</v>
      </c>
      <c r="AY71" s="23"/>
      <c r="AZ71" s="23"/>
      <c r="BA71" s="23"/>
      <c r="BB71" s="32"/>
      <c r="BC71" s="73"/>
    </row>
    <row r="72" spans="1:55" x14ac:dyDescent="0.25">
      <c r="A72" s="22" t="s">
        <v>570</v>
      </c>
      <c r="B72" s="23" t="s">
        <v>571</v>
      </c>
      <c r="C72" s="23" t="s">
        <v>571</v>
      </c>
      <c r="D72" s="23" t="s">
        <v>153</v>
      </c>
      <c r="E72" s="24"/>
      <c r="F72" s="25"/>
      <c r="G72" s="23" t="s">
        <v>16</v>
      </c>
      <c r="H72" s="23" t="s">
        <v>145</v>
      </c>
      <c r="I72" s="2">
        <v>44548.778738425928</v>
      </c>
      <c r="J72" s="24">
        <f>MONTH(Tabla1[[#This Row],[Publicación]])</f>
        <v>12</v>
      </c>
      <c r="K72" s="24">
        <f>YEAR(Tabla1[[#This Row],[Publicación]])</f>
        <v>2021</v>
      </c>
      <c r="L72" s="2">
        <v>44553.781944444447</v>
      </c>
      <c r="M72" s="26">
        <v>44550</v>
      </c>
      <c r="N72" s="25" t="s">
        <v>10</v>
      </c>
      <c r="O72" s="24" t="s">
        <v>25</v>
      </c>
      <c r="P72" s="24" t="s">
        <v>10</v>
      </c>
      <c r="Q72" s="2">
        <v>44548.864583333336</v>
      </c>
      <c r="R72" s="2">
        <v>44551.999305555553</v>
      </c>
      <c r="S72" s="26">
        <v>44560.559224537035</v>
      </c>
      <c r="T72" s="27">
        <v>0</v>
      </c>
      <c r="U72" s="28">
        <f>Tabla1[[#This Row],[PPTO]]/(1+'Lista Datos'!$B$1)</f>
        <v>0</v>
      </c>
      <c r="V72" s="23"/>
      <c r="W72" s="18" t="s">
        <v>10</v>
      </c>
      <c r="X72" s="102"/>
      <c r="Y72" s="18" t="s">
        <v>146</v>
      </c>
      <c r="Z72" s="18" t="s">
        <v>10</v>
      </c>
      <c r="AA72" s="23"/>
      <c r="AB72" s="23"/>
      <c r="AC72" s="23"/>
      <c r="AD72" s="23"/>
      <c r="AE72" s="29">
        <f>Tabla1[[#This Row],[Cierre]]+Tabla1[[#This Row],[Vigencia Oferta (días)]]</f>
        <v>44553.781944444447</v>
      </c>
      <c r="AF72" s="87"/>
      <c r="AG72" s="28"/>
      <c r="AH72" s="164">
        <f>Tabla1[[#This Row],[Unidades2]]*Tabla1[[#This Row],[Precio Unitario]]</f>
        <v>0</v>
      </c>
      <c r="AI72" s="23" t="s">
        <v>44</v>
      </c>
      <c r="AJ72" s="26">
        <v>44560</v>
      </c>
      <c r="AK72" s="172">
        <f>Tabla1[[#This Row],[Fecha Vigencia]]-AJ72</f>
        <v>-6.2180555555532919</v>
      </c>
      <c r="AL72" s="23" t="s">
        <v>46</v>
      </c>
      <c r="AM72" s="87">
        <v>40817091</v>
      </c>
      <c r="AN72" s="23"/>
      <c r="AO72" s="29"/>
      <c r="AP72" s="23"/>
      <c r="AQ72" s="23" t="s">
        <v>572</v>
      </c>
      <c r="AR72" s="23" t="s">
        <v>10</v>
      </c>
      <c r="AS72" s="23"/>
      <c r="AT72" s="23"/>
      <c r="AU72" s="23"/>
      <c r="AV72" s="23"/>
      <c r="AW72" s="23" t="s">
        <v>573</v>
      </c>
      <c r="AX72" t="s">
        <v>574</v>
      </c>
      <c r="AY72" s="23"/>
      <c r="AZ72" s="23"/>
      <c r="BA72" s="23"/>
      <c r="BB72" s="32"/>
      <c r="BC72" s="73"/>
    </row>
    <row r="73" spans="1:55" ht="11.25" x14ac:dyDescent="0.2">
      <c r="A73" s="22" t="s">
        <v>575</v>
      </c>
      <c r="B73" s="23" t="s">
        <v>576</v>
      </c>
      <c r="C73" s="23"/>
      <c r="D73" s="23" t="s">
        <v>577</v>
      </c>
      <c r="E73" s="24"/>
      <c r="F73" s="25"/>
      <c r="G73" s="23" t="s">
        <v>41</v>
      </c>
      <c r="H73" s="23" t="s">
        <v>240</v>
      </c>
      <c r="I73" s="2">
        <v>44547.541817129626</v>
      </c>
      <c r="J73" s="24">
        <f>MONTH(Tabla1[[#This Row],[Publicación]])</f>
        <v>12</v>
      </c>
      <c r="K73" s="24">
        <f>YEAR(Tabla1[[#This Row],[Publicación]])</f>
        <v>2021</v>
      </c>
      <c r="L73" s="2">
        <v>44554.416666666664</v>
      </c>
      <c r="M73" s="26">
        <v>44551</v>
      </c>
      <c r="N73" s="25" t="s">
        <v>11</v>
      </c>
      <c r="O73" s="24"/>
      <c r="P73" s="24" t="s">
        <v>11</v>
      </c>
      <c r="Q73" s="2">
        <v>44547.541817129626</v>
      </c>
      <c r="R73" s="2">
        <v>44550.708333333336</v>
      </c>
      <c r="S73" s="26">
        <v>44559.635370370372</v>
      </c>
      <c r="T73" s="27">
        <v>0</v>
      </c>
      <c r="U73" s="28">
        <f>Tabla1[[#This Row],[PPTO]]/(1+'Lista Datos'!$B$1)</f>
        <v>0</v>
      </c>
      <c r="V73" s="23"/>
      <c r="W73" s="18" t="s">
        <v>10</v>
      </c>
      <c r="X73" s="102"/>
      <c r="Y73" s="18" t="s">
        <v>146</v>
      </c>
      <c r="Z73" s="18" t="s">
        <v>10</v>
      </c>
      <c r="AA73" s="23"/>
      <c r="AB73" s="23"/>
      <c r="AC73" s="23" t="s">
        <v>10</v>
      </c>
      <c r="AD73" s="23"/>
      <c r="AE73" s="29">
        <f>Tabla1[[#This Row],[Cierre]]+Tabla1[[#This Row],[Vigencia Oferta (días)]]</f>
        <v>44554.416666666664</v>
      </c>
      <c r="AF73" s="87"/>
      <c r="AG73" s="28"/>
      <c r="AH73" s="164">
        <f>Tabla1[[#This Row],[Unidades2]]*Tabla1[[#This Row],[Precio Unitario]]</f>
        <v>0</v>
      </c>
      <c r="AI73" s="23" t="s">
        <v>44</v>
      </c>
      <c r="AJ73" s="26">
        <v>44559</v>
      </c>
      <c r="AK73" s="172">
        <f>Tabla1[[#This Row],[Fecha Vigencia]]-AJ73</f>
        <v>-4.5833333333357587</v>
      </c>
      <c r="AL73" s="23" t="s">
        <v>115</v>
      </c>
      <c r="AM73" s="87">
        <v>115002</v>
      </c>
      <c r="AN73" s="23"/>
      <c r="AO73" s="29"/>
      <c r="AP73" s="23"/>
      <c r="AQ73" s="23" t="s">
        <v>299</v>
      </c>
      <c r="AR73" s="23" t="s">
        <v>10</v>
      </c>
      <c r="AS73" s="23"/>
      <c r="AT73" s="23"/>
      <c r="AU73" s="23"/>
      <c r="AV73" s="23"/>
      <c r="AW73" s="23"/>
      <c r="AX73" s="23"/>
      <c r="AY73" s="23"/>
      <c r="AZ73" s="23"/>
      <c r="BA73" s="23"/>
      <c r="BB73" s="32"/>
      <c r="BC73" s="73"/>
    </row>
    <row r="74" spans="1:55" ht="11.25" x14ac:dyDescent="0.2">
      <c r="A74" s="22" t="s">
        <v>578</v>
      </c>
      <c r="B74" s="23" t="s">
        <v>579</v>
      </c>
      <c r="C74" s="23" t="s">
        <v>580</v>
      </c>
      <c r="D74" s="23" t="s">
        <v>581</v>
      </c>
      <c r="E74" s="24"/>
      <c r="F74" s="25"/>
      <c r="G74" s="23" t="s">
        <v>21</v>
      </c>
      <c r="H74" s="23" t="s">
        <v>106</v>
      </c>
      <c r="I74" s="2">
        <v>44552.523217592592</v>
      </c>
      <c r="J74" s="24">
        <f>MONTH(Tabla1[[#This Row],[Publicación]])</f>
        <v>12</v>
      </c>
      <c r="K74" s="24">
        <f>YEAR(Tabla1[[#This Row],[Publicación]])</f>
        <v>2021</v>
      </c>
      <c r="L74" s="2">
        <v>44557.625</v>
      </c>
      <c r="M74" s="26">
        <v>44553</v>
      </c>
      <c r="N74" s="25" t="s">
        <v>10</v>
      </c>
      <c r="O74" s="24" t="s">
        <v>27</v>
      </c>
      <c r="P74" s="24" t="s">
        <v>10</v>
      </c>
      <c r="Q74" s="2">
        <v>44552.523217592592</v>
      </c>
      <c r="R74" s="2">
        <v>44554.6875</v>
      </c>
      <c r="S74" s="26">
        <v>44560.625787037039</v>
      </c>
      <c r="T74" s="27">
        <v>0</v>
      </c>
      <c r="U74" s="28">
        <f>Tabla1[[#This Row],[PPTO]]/(1+'Lista Datos'!$B$1)</f>
        <v>0</v>
      </c>
      <c r="V74" s="23"/>
      <c r="W74" s="18" t="s">
        <v>10</v>
      </c>
      <c r="X74" s="102"/>
      <c r="Y74" s="18" t="s">
        <v>146</v>
      </c>
      <c r="Z74" s="18" t="s">
        <v>10</v>
      </c>
      <c r="AA74" s="23"/>
      <c r="AB74" s="23"/>
      <c r="AC74" s="23"/>
      <c r="AD74" s="23"/>
      <c r="AE74" s="29">
        <f>Tabla1[[#This Row],[Cierre]]+Tabla1[[#This Row],[Vigencia Oferta (días)]]</f>
        <v>44557.625</v>
      </c>
      <c r="AF74" s="87"/>
      <c r="AG74" s="28"/>
      <c r="AH74" s="164">
        <f>Tabla1[[#This Row],[Unidades2]]*Tabla1[[#This Row],[Precio Unitario]]</f>
        <v>0</v>
      </c>
      <c r="AI74" s="23" t="s">
        <v>44</v>
      </c>
      <c r="AJ74" s="26">
        <v>44560</v>
      </c>
      <c r="AK74" s="172">
        <f>Tabla1[[#This Row],[Fecha Vigencia]]-AJ74</f>
        <v>-2.375</v>
      </c>
      <c r="AL74" s="23" t="s">
        <v>582</v>
      </c>
      <c r="AM74" s="87">
        <v>555000</v>
      </c>
      <c r="AN74" s="23"/>
      <c r="AO74" s="29"/>
      <c r="AP74" s="23"/>
      <c r="AQ74" s="23" t="s">
        <v>583</v>
      </c>
      <c r="AR74" s="23"/>
      <c r="AS74" s="23"/>
      <c r="AT74" s="23"/>
      <c r="AU74" s="23"/>
      <c r="AV74" s="23"/>
      <c r="AW74" s="23"/>
      <c r="AX74" s="23"/>
      <c r="AY74" s="23"/>
      <c r="AZ74" s="23"/>
      <c r="BA74" s="23"/>
      <c r="BB74" s="32"/>
      <c r="BC74" s="73"/>
    </row>
    <row r="75" spans="1:55" x14ac:dyDescent="0.25">
      <c r="A75" s="22" t="s">
        <v>584</v>
      </c>
      <c r="B75" s="23" t="s">
        <v>585</v>
      </c>
      <c r="C75" s="23" t="s">
        <v>586</v>
      </c>
      <c r="D75" s="23" t="s">
        <v>587</v>
      </c>
      <c r="E75" s="24"/>
      <c r="F75" s="25"/>
      <c r="G75" s="23" t="s">
        <v>16</v>
      </c>
      <c r="H75" s="23" t="s">
        <v>145</v>
      </c>
      <c r="I75" s="2">
        <v>44548.54583333333</v>
      </c>
      <c r="J75" s="24">
        <f>MONTH(Tabla1[[#This Row],[Publicación]])</f>
        <v>12</v>
      </c>
      <c r="K75" s="24">
        <f>YEAR(Tabla1[[#This Row],[Publicación]])</f>
        <v>2021</v>
      </c>
      <c r="L75" s="2">
        <v>44557.645833333336</v>
      </c>
      <c r="M75" s="26">
        <v>44550</v>
      </c>
      <c r="N75" s="25" t="s">
        <v>10</v>
      </c>
      <c r="O75" s="24" t="s">
        <v>25</v>
      </c>
      <c r="P75" s="24" t="s">
        <v>10</v>
      </c>
      <c r="Q75" s="2">
        <v>44548.584027777775</v>
      </c>
      <c r="R75" s="2">
        <v>44552.729861111111</v>
      </c>
      <c r="S75" s="26">
        <v>44561.729166666664</v>
      </c>
      <c r="T75" s="27">
        <v>0</v>
      </c>
      <c r="U75" s="28">
        <f>Tabla1[[#This Row],[PPTO]]/(1+'Lista Datos'!$B$1)</f>
        <v>0</v>
      </c>
      <c r="V75" s="23"/>
      <c r="W75" s="18" t="s">
        <v>10</v>
      </c>
      <c r="X75" s="102"/>
      <c r="Y75" s="18" t="s">
        <v>146</v>
      </c>
      <c r="Z75" s="18" t="s">
        <v>10</v>
      </c>
      <c r="AA75" s="23"/>
      <c r="AB75" s="23"/>
      <c r="AC75" s="23"/>
      <c r="AD75" s="23"/>
      <c r="AE75" s="29">
        <f>Tabla1[[#This Row],[Cierre]]+Tabla1[[#This Row],[Vigencia Oferta (días)]]</f>
        <v>44557.645833333336</v>
      </c>
      <c r="AF75" s="87"/>
      <c r="AG75" s="28"/>
      <c r="AH75" s="164">
        <f>Tabla1[[#This Row],[Unidades2]]*Tabla1[[#This Row],[Precio Unitario]]</f>
        <v>0</v>
      </c>
      <c r="AI75" s="23" t="s">
        <v>44</v>
      </c>
      <c r="AJ75" s="26">
        <v>44595</v>
      </c>
      <c r="AK75" s="172">
        <f>Tabla1[[#This Row],[Fecha Vigencia]]-AJ75</f>
        <v>-37.354166666664241</v>
      </c>
      <c r="AL75" s="23" t="s">
        <v>46</v>
      </c>
      <c r="AM75" s="87">
        <v>354500</v>
      </c>
      <c r="AN75" s="23"/>
      <c r="AO75" s="29"/>
      <c r="AP75" s="23"/>
      <c r="AQ75" s="23" t="s">
        <v>588</v>
      </c>
      <c r="AR75" s="23" t="s">
        <v>10</v>
      </c>
      <c r="AS75" s="23"/>
      <c r="AT75" s="23"/>
      <c r="AU75" s="23"/>
      <c r="AV75" s="23"/>
      <c r="AW75" s="23" t="s">
        <v>589</v>
      </c>
      <c r="AX75" t="s">
        <v>590</v>
      </c>
      <c r="AY75" s="23"/>
      <c r="AZ75" s="23"/>
      <c r="BA75" s="23"/>
      <c r="BB75" s="32"/>
      <c r="BC75" s="73"/>
    </row>
    <row r="76" spans="1:55" x14ac:dyDescent="0.25">
      <c r="A76" s="22" t="s">
        <v>591</v>
      </c>
      <c r="B76" s="23" t="s">
        <v>592</v>
      </c>
      <c r="C76" s="23" t="s">
        <v>593</v>
      </c>
      <c r="D76" s="23" t="s">
        <v>594</v>
      </c>
      <c r="E76" s="24"/>
      <c r="F76" s="25"/>
      <c r="G76" s="23" t="s">
        <v>16</v>
      </c>
      <c r="H76" s="23" t="s">
        <v>168</v>
      </c>
      <c r="I76" s="2">
        <v>44545.446817129632</v>
      </c>
      <c r="J76" s="24">
        <f>MONTH(Tabla1[[#This Row],[Publicación]])</f>
        <v>12</v>
      </c>
      <c r="K76" s="24">
        <f>YEAR(Tabla1[[#This Row],[Publicación]])</f>
        <v>2021</v>
      </c>
      <c r="L76" s="2">
        <v>44557.676388888889</v>
      </c>
      <c r="M76" s="26">
        <v>44547</v>
      </c>
      <c r="N76" s="25" t="s">
        <v>10</v>
      </c>
      <c r="O76" s="24" t="s">
        <v>25</v>
      </c>
      <c r="P76" s="24" t="s">
        <v>10</v>
      </c>
      <c r="Q76" s="2">
        <v>44545.708333333336</v>
      </c>
      <c r="R76" s="2">
        <v>44551.541666666664</v>
      </c>
      <c r="S76" s="26">
        <v>44620.677083333336</v>
      </c>
      <c r="T76" s="27">
        <v>0</v>
      </c>
      <c r="U76" s="28">
        <f>Tabla1[[#This Row],[PPTO]]/(1+'Lista Datos'!$B$1)</f>
        <v>0</v>
      </c>
      <c r="V76" s="23"/>
      <c r="W76" s="18" t="s">
        <v>10</v>
      </c>
      <c r="X76" s="102"/>
      <c r="Y76" s="18" t="s">
        <v>146</v>
      </c>
      <c r="Z76" s="18" t="s">
        <v>10</v>
      </c>
      <c r="AA76" s="23"/>
      <c r="AB76" s="23"/>
      <c r="AC76" s="23"/>
      <c r="AD76" s="23"/>
      <c r="AE76" s="29">
        <f>Tabla1[[#This Row],[Cierre]]+Tabla1[[#This Row],[Vigencia Oferta (días)]]</f>
        <v>44557.676388888889</v>
      </c>
      <c r="AF76" s="87"/>
      <c r="AG76" s="28"/>
      <c r="AH76" s="164">
        <f>Tabla1[[#This Row],[Unidades2]]*Tabla1[[#This Row],[Precio Unitario]]</f>
        <v>0</v>
      </c>
      <c r="AI76" s="23" t="s">
        <v>44</v>
      </c>
      <c r="AJ76" s="26">
        <v>44616</v>
      </c>
      <c r="AK76" s="172">
        <f>Tabla1[[#This Row],[Fecha Vigencia]]-AJ76</f>
        <v>-58.323611111110949</v>
      </c>
      <c r="AL76" s="23" t="s">
        <v>45</v>
      </c>
      <c r="AM76" s="87">
        <v>155281</v>
      </c>
      <c r="AN76" s="23"/>
      <c r="AO76" s="29"/>
      <c r="AP76" s="23"/>
      <c r="AQ76" s="23" t="s">
        <v>595</v>
      </c>
      <c r="AR76" s="23" t="s">
        <v>11</v>
      </c>
      <c r="AS76" s="31">
        <v>300000</v>
      </c>
      <c r="AT76" s="29">
        <v>44941</v>
      </c>
      <c r="AU76" s="23"/>
      <c r="AV76" s="23"/>
      <c r="AW76" s="23" t="s">
        <v>596</v>
      </c>
      <c r="AX76" t="s">
        <v>597</v>
      </c>
      <c r="AY76" s="23"/>
      <c r="AZ76" s="23"/>
      <c r="BA76" s="23"/>
      <c r="BB76" s="32"/>
      <c r="BC76" s="73"/>
    </row>
    <row r="77" spans="1:55" x14ac:dyDescent="0.25">
      <c r="A77" s="22" t="s">
        <v>598</v>
      </c>
      <c r="B77" s="23" t="s">
        <v>599</v>
      </c>
      <c r="C77" s="23" t="s">
        <v>599</v>
      </c>
      <c r="D77" s="23" t="s">
        <v>600</v>
      </c>
      <c r="E77" s="24"/>
      <c r="F77" s="25"/>
      <c r="G77" s="23" t="s">
        <v>16</v>
      </c>
      <c r="H77" s="23" t="s">
        <v>123</v>
      </c>
      <c r="I77" s="2">
        <v>44551.711886574078</v>
      </c>
      <c r="J77" s="24">
        <f>MONTH(Tabla1[[#This Row],[Publicación]])</f>
        <v>12</v>
      </c>
      <c r="K77" s="24">
        <f>YEAR(Tabla1[[#This Row],[Publicación]])</f>
        <v>2021</v>
      </c>
      <c r="L77" s="2">
        <v>44557.767361111109</v>
      </c>
      <c r="M77" s="26">
        <v>44552</v>
      </c>
      <c r="N77" s="25" t="s">
        <v>10</v>
      </c>
      <c r="O77" s="24" t="s">
        <v>25</v>
      </c>
      <c r="P77" s="24" t="s">
        <v>10</v>
      </c>
      <c r="Q77" s="2">
        <v>44551.850694444445</v>
      </c>
      <c r="R77" s="2">
        <v>44555.850694444445</v>
      </c>
      <c r="S77" s="26">
        <v>44559.520833333336</v>
      </c>
      <c r="T77" s="27">
        <v>0</v>
      </c>
      <c r="U77" s="28">
        <f>Tabla1[[#This Row],[PPTO]]/(1+'Lista Datos'!$B$1)</f>
        <v>0</v>
      </c>
      <c r="V77" s="23"/>
      <c r="W77" s="18" t="s">
        <v>10</v>
      </c>
      <c r="X77" s="102"/>
      <c r="Y77" s="18" t="s">
        <v>146</v>
      </c>
      <c r="Z77" s="18" t="s">
        <v>10</v>
      </c>
      <c r="AA77" s="23"/>
      <c r="AB77" s="23"/>
      <c r="AC77" s="23"/>
      <c r="AD77" s="23"/>
      <c r="AE77" s="29">
        <f>Tabla1[[#This Row],[Cierre]]+Tabla1[[#This Row],[Vigencia Oferta (días)]]</f>
        <v>44557.767361111109</v>
      </c>
      <c r="AF77" s="87"/>
      <c r="AG77" s="28"/>
      <c r="AH77" s="164">
        <f>Tabla1[[#This Row],[Unidades2]]*Tabla1[[#This Row],[Precio Unitario]]</f>
        <v>0</v>
      </c>
      <c r="AI77" s="23" t="s">
        <v>44</v>
      </c>
      <c r="AJ77" s="26">
        <v>44561</v>
      </c>
      <c r="AK77" s="172">
        <f>Tabla1[[#This Row],[Fecha Vigencia]]-AJ77</f>
        <v>-3.2326388888905058</v>
      </c>
      <c r="AL77" s="23" t="s">
        <v>46</v>
      </c>
      <c r="AM77" s="87">
        <v>4000000</v>
      </c>
      <c r="AN77" s="23"/>
      <c r="AO77" s="29"/>
      <c r="AP77" s="23"/>
      <c r="AQ77" s="23" t="s">
        <v>601</v>
      </c>
      <c r="AR77" s="23" t="s">
        <v>10</v>
      </c>
      <c r="AS77" s="23"/>
      <c r="AT77" s="23"/>
      <c r="AU77" s="23"/>
      <c r="AV77" s="23"/>
      <c r="AW77" s="23" t="s">
        <v>602</v>
      </c>
      <c r="AX77" t="s">
        <v>603</v>
      </c>
      <c r="AY77" s="23"/>
      <c r="AZ77" s="23"/>
      <c r="BA77" s="23"/>
      <c r="BB77" s="32"/>
      <c r="BC77" s="73"/>
    </row>
    <row r="78" spans="1:55" ht="11.25" x14ac:dyDescent="0.2">
      <c r="A78" s="22" t="s">
        <v>604</v>
      </c>
      <c r="B78" s="23" t="s">
        <v>605</v>
      </c>
      <c r="C78" s="23"/>
      <c r="D78" s="23" t="s">
        <v>606</v>
      </c>
      <c r="E78" s="24"/>
      <c r="F78" s="25"/>
      <c r="G78" s="23" t="s">
        <v>21</v>
      </c>
      <c r="H78" s="23" t="s">
        <v>106</v>
      </c>
      <c r="I78" s="2">
        <v>44551.575810185182</v>
      </c>
      <c r="J78" s="24">
        <f>MONTH(Tabla1[[#This Row],[Publicación]])</f>
        <v>12</v>
      </c>
      <c r="K78" s="24">
        <f>YEAR(Tabla1[[#This Row],[Publicación]])</f>
        <v>2021</v>
      </c>
      <c r="L78" s="2">
        <v>44557.885416666664</v>
      </c>
      <c r="M78" s="26">
        <v>44551</v>
      </c>
      <c r="N78" s="25" t="s">
        <v>10</v>
      </c>
      <c r="O78" s="24" t="s">
        <v>29</v>
      </c>
      <c r="P78" s="24" t="s">
        <v>10</v>
      </c>
      <c r="Q78" s="2">
        <v>44552.885416666664</v>
      </c>
      <c r="R78" s="2">
        <v>44553.885416666664</v>
      </c>
      <c r="S78" s="26">
        <v>44558.83148148148</v>
      </c>
      <c r="T78" s="27">
        <v>0</v>
      </c>
      <c r="U78" s="28">
        <f>Tabla1[[#This Row],[PPTO]]/(1+'Lista Datos'!$B$1)</f>
        <v>0</v>
      </c>
      <c r="V78" s="23"/>
      <c r="W78" s="18" t="s">
        <v>10</v>
      </c>
      <c r="X78" s="102"/>
      <c r="Y78" s="18" t="s">
        <v>146</v>
      </c>
      <c r="Z78" s="18" t="s">
        <v>10</v>
      </c>
      <c r="AA78" s="23"/>
      <c r="AB78" s="23"/>
      <c r="AC78" s="23"/>
      <c r="AD78" s="23"/>
      <c r="AE78" s="29">
        <f>Tabla1[[#This Row],[Cierre]]+Tabla1[[#This Row],[Vigencia Oferta (días)]]</f>
        <v>44557.885416666664</v>
      </c>
      <c r="AF78" s="87"/>
      <c r="AG78" s="28"/>
      <c r="AH78" s="164">
        <f>Tabla1[[#This Row],[Unidades2]]*Tabla1[[#This Row],[Precio Unitario]]</f>
        <v>0</v>
      </c>
      <c r="AI78" s="23" t="s">
        <v>320</v>
      </c>
      <c r="AJ78" s="26">
        <v>44558</v>
      </c>
      <c r="AK78" s="172">
        <f>Tabla1[[#This Row],[Fecha Vigencia]]-AJ78</f>
        <v>-0.11458333333575865</v>
      </c>
      <c r="AL78" s="23"/>
      <c r="AM78" s="87"/>
      <c r="AN78" s="23"/>
      <c r="AO78" s="29"/>
      <c r="AP78" s="23"/>
      <c r="AQ78" s="23" t="s">
        <v>607</v>
      </c>
      <c r="AR78" s="23" t="s">
        <v>10</v>
      </c>
      <c r="AS78" s="23"/>
      <c r="AT78" s="23"/>
      <c r="AU78" s="23"/>
      <c r="AV78" s="23"/>
      <c r="AW78" s="23"/>
      <c r="AX78" s="23"/>
      <c r="AY78" s="23"/>
      <c r="AZ78" s="23"/>
      <c r="BA78" s="23"/>
      <c r="BB78" s="32"/>
      <c r="BC78" s="73"/>
    </row>
    <row r="79" spans="1:55" x14ac:dyDescent="0.25">
      <c r="A79" s="22" t="s">
        <v>608</v>
      </c>
      <c r="B79" s="23" t="s">
        <v>609</v>
      </c>
      <c r="C79" s="23" t="s">
        <v>276</v>
      </c>
      <c r="D79" s="23" t="s">
        <v>277</v>
      </c>
      <c r="E79" s="24"/>
      <c r="F79" s="25"/>
      <c r="G79" s="23" t="s">
        <v>16</v>
      </c>
      <c r="H79" s="23" t="s">
        <v>145</v>
      </c>
      <c r="I79" s="2">
        <v>44544.542581018519</v>
      </c>
      <c r="J79" s="24">
        <f>MONTH(Tabla1[[#This Row],[Publicación]])</f>
        <v>12</v>
      </c>
      <c r="K79" s="24">
        <f>YEAR(Tabla1[[#This Row],[Publicación]])</f>
        <v>2021</v>
      </c>
      <c r="L79" s="2">
        <v>44558.375</v>
      </c>
      <c r="M79" s="26">
        <v>44545</v>
      </c>
      <c r="N79" s="25" t="s">
        <v>10</v>
      </c>
      <c r="O79" s="24" t="s">
        <v>25</v>
      </c>
      <c r="P79" s="24" t="s">
        <v>10</v>
      </c>
      <c r="Q79" s="2">
        <v>44544.791666666664</v>
      </c>
      <c r="R79" s="2">
        <v>44552.791666666664</v>
      </c>
      <c r="S79" s="26">
        <v>44589.791666666664</v>
      </c>
      <c r="T79" s="27">
        <v>0</v>
      </c>
      <c r="U79" s="28">
        <f>Tabla1[[#This Row],[PPTO]]/(1+'Lista Datos'!$B$1)</f>
        <v>0</v>
      </c>
      <c r="V79" s="23"/>
      <c r="W79" s="18" t="s">
        <v>10</v>
      </c>
      <c r="X79" s="102"/>
      <c r="Y79" s="18" t="s">
        <v>146</v>
      </c>
      <c r="Z79" s="18" t="s">
        <v>10</v>
      </c>
      <c r="AA79" s="23"/>
      <c r="AB79" s="23"/>
      <c r="AC79" s="23"/>
      <c r="AD79" s="23"/>
      <c r="AE79" s="29">
        <f>Tabla1[[#This Row],[Cierre]]+Tabla1[[#This Row],[Vigencia Oferta (días)]]</f>
        <v>44558.375</v>
      </c>
      <c r="AF79" s="87"/>
      <c r="AG79" s="28"/>
      <c r="AH79" s="164">
        <f>Tabla1[[#This Row],[Unidades2]]*Tabla1[[#This Row],[Precio Unitario]]</f>
        <v>0</v>
      </c>
      <c r="AI79" s="23" t="s">
        <v>320</v>
      </c>
      <c r="AJ79" s="26">
        <v>44579.650254629632</v>
      </c>
      <c r="AK79" s="172">
        <f>Tabla1[[#This Row],[Fecha Vigencia]]-AJ79</f>
        <v>-21.2752546296324</v>
      </c>
      <c r="AL79" s="23"/>
      <c r="AM79" s="87"/>
      <c r="AN79" s="23"/>
      <c r="AO79" s="29"/>
      <c r="AP79" s="23"/>
      <c r="AQ79" s="23" t="s">
        <v>278</v>
      </c>
      <c r="AR79" s="23" t="s">
        <v>11</v>
      </c>
      <c r="AS79" s="33">
        <v>0.05</v>
      </c>
      <c r="AT79" s="29">
        <v>45772</v>
      </c>
      <c r="AU79" s="23"/>
      <c r="AV79" s="23"/>
      <c r="AW79" s="23" t="s">
        <v>610</v>
      </c>
      <c r="AX79" t="s">
        <v>611</v>
      </c>
      <c r="AY79" s="23"/>
      <c r="AZ79" s="23"/>
      <c r="BA79" s="23"/>
      <c r="BB79" s="32"/>
      <c r="BC79" s="73"/>
    </row>
    <row r="80" spans="1:55" x14ac:dyDescent="0.25">
      <c r="A80" s="22" t="s">
        <v>612</v>
      </c>
      <c r="B80" s="23" t="s">
        <v>613</v>
      </c>
      <c r="C80" s="23" t="s">
        <v>614</v>
      </c>
      <c r="D80" s="23" t="s">
        <v>615</v>
      </c>
      <c r="E80" s="24"/>
      <c r="F80" s="25"/>
      <c r="G80" s="23" t="s">
        <v>16</v>
      </c>
      <c r="H80" s="23" t="s">
        <v>145</v>
      </c>
      <c r="I80" s="2">
        <v>44550.983078703706</v>
      </c>
      <c r="J80" s="24">
        <f>MONTH(Tabla1[[#This Row],[Publicación]])</f>
        <v>12</v>
      </c>
      <c r="K80" s="24">
        <f>YEAR(Tabla1[[#This Row],[Publicación]])</f>
        <v>2021</v>
      </c>
      <c r="L80" s="2">
        <v>44560.375</v>
      </c>
      <c r="M80" s="26">
        <v>44551</v>
      </c>
      <c r="N80" s="25" t="s">
        <v>10</v>
      </c>
      <c r="O80" s="24" t="s">
        <v>25</v>
      </c>
      <c r="P80" s="24" t="s">
        <v>10</v>
      </c>
      <c r="Q80" s="2">
        <v>44550.999305555553</v>
      </c>
      <c r="R80" s="2">
        <v>44554.999305555553</v>
      </c>
      <c r="S80" s="26">
        <v>44568.666666666664</v>
      </c>
      <c r="T80" s="27">
        <v>0</v>
      </c>
      <c r="U80" s="28">
        <f>Tabla1[[#This Row],[PPTO]]/(1+'Lista Datos'!$B$1)</f>
        <v>0</v>
      </c>
      <c r="V80" s="23"/>
      <c r="W80" s="18" t="s">
        <v>11</v>
      </c>
      <c r="X80" s="114">
        <v>100000</v>
      </c>
      <c r="Y80" s="26">
        <v>44592</v>
      </c>
      <c r="Z80" s="18" t="s">
        <v>10</v>
      </c>
      <c r="AA80" s="23"/>
      <c r="AB80" s="23"/>
      <c r="AC80" s="23"/>
      <c r="AD80" s="23"/>
      <c r="AE80" s="29">
        <f>Tabla1[[#This Row],[Cierre]]+Tabla1[[#This Row],[Vigencia Oferta (días)]]</f>
        <v>44560.375</v>
      </c>
      <c r="AF80" s="87"/>
      <c r="AG80" s="28"/>
      <c r="AH80" s="164">
        <f>Tabla1[[#This Row],[Unidades2]]*Tabla1[[#This Row],[Precio Unitario]]</f>
        <v>0</v>
      </c>
      <c r="AI80" s="23" t="s">
        <v>44</v>
      </c>
      <c r="AJ80" s="26">
        <v>44208</v>
      </c>
      <c r="AK80" s="172">
        <f>Tabla1[[#This Row],[Fecha Vigencia]]-AJ80</f>
        <v>352.375</v>
      </c>
      <c r="AL80" s="23" t="s">
        <v>45</v>
      </c>
      <c r="AM80" s="87">
        <v>138878</v>
      </c>
      <c r="AN80" s="23"/>
      <c r="AO80" s="29"/>
      <c r="AP80" s="23"/>
      <c r="AQ80" s="23" t="s">
        <v>616</v>
      </c>
      <c r="AR80" s="23" t="s">
        <v>11</v>
      </c>
      <c r="AS80" s="33">
        <v>0.1</v>
      </c>
      <c r="AT80" s="29">
        <v>44926</v>
      </c>
      <c r="AU80" s="23"/>
      <c r="AV80" s="23"/>
      <c r="AW80" s="23" t="s">
        <v>617</v>
      </c>
      <c r="AX80" t="s">
        <v>618</v>
      </c>
      <c r="AY80" s="23"/>
      <c r="AZ80" s="23"/>
      <c r="BA80" s="23"/>
      <c r="BB80" s="32"/>
      <c r="BC80" s="73"/>
    </row>
    <row r="81" spans="1:55" x14ac:dyDescent="0.25">
      <c r="A81" s="22" t="s">
        <v>619</v>
      </c>
      <c r="B81" s="23" t="s">
        <v>620</v>
      </c>
      <c r="C81" s="23" t="s">
        <v>621</v>
      </c>
      <c r="D81" s="23" t="s">
        <v>622</v>
      </c>
      <c r="E81" s="24"/>
      <c r="F81" s="25"/>
      <c r="G81" s="23" t="s">
        <v>16</v>
      </c>
      <c r="H81" s="23" t="s">
        <v>123</v>
      </c>
      <c r="I81" s="2">
        <v>44543.758726851855</v>
      </c>
      <c r="J81" s="24">
        <f>MONTH(Tabla1[[#This Row],[Publicación]])</f>
        <v>12</v>
      </c>
      <c r="K81" s="24">
        <f>YEAR(Tabla1[[#This Row],[Publicación]])</f>
        <v>2021</v>
      </c>
      <c r="L81" s="2">
        <v>44560.645833333336</v>
      </c>
      <c r="M81" s="26">
        <v>44545</v>
      </c>
      <c r="N81" s="25" t="s">
        <v>11</v>
      </c>
      <c r="O81" s="24"/>
      <c r="P81" s="24" t="s">
        <v>11</v>
      </c>
      <c r="Q81" s="2">
        <v>44543.882638888892</v>
      </c>
      <c r="R81" s="2">
        <v>44547.882638888892</v>
      </c>
      <c r="S81" s="26">
        <v>44581.625</v>
      </c>
      <c r="T81" s="27">
        <v>0</v>
      </c>
      <c r="U81" s="28">
        <f>Tabla1[[#This Row],[PPTO]]/(1+'Lista Datos'!$B$1)</f>
        <v>0</v>
      </c>
      <c r="V81" s="23"/>
      <c r="W81" s="18" t="s">
        <v>10</v>
      </c>
      <c r="X81" s="102"/>
      <c r="Y81" s="18" t="s">
        <v>146</v>
      </c>
      <c r="Z81" s="18" t="s">
        <v>10</v>
      </c>
      <c r="AA81" s="23" t="s">
        <v>177</v>
      </c>
      <c r="AB81" s="23">
        <v>24</v>
      </c>
      <c r="AC81" s="23" t="s">
        <v>10</v>
      </c>
      <c r="AD81" s="23"/>
      <c r="AE81" s="29">
        <f>Tabla1[[#This Row],[Cierre]]+Tabla1[[#This Row],[Vigencia Oferta (días)]]</f>
        <v>44560.645833333336</v>
      </c>
      <c r="AF81" s="87"/>
      <c r="AG81" s="28"/>
      <c r="AH81" s="164">
        <f>Tabla1[[#This Row],[Unidades2]]*Tabla1[[#This Row],[Precio Unitario]]</f>
        <v>0</v>
      </c>
      <c r="AI81" s="23" t="s">
        <v>44</v>
      </c>
      <c r="AJ81" s="26">
        <v>44643</v>
      </c>
      <c r="AK81" s="172">
        <f>Tabla1[[#This Row],[Fecha Vigencia]]-AJ81</f>
        <v>-82.354166666664241</v>
      </c>
      <c r="AL81" s="23" t="s">
        <v>115</v>
      </c>
      <c r="AM81" s="87">
        <v>67230468</v>
      </c>
      <c r="AN81" s="29">
        <v>44643</v>
      </c>
      <c r="AO81" s="29">
        <v>45374</v>
      </c>
      <c r="AP81" s="23" t="s">
        <v>177</v>
      </c>
      <c r="AQ81" s="23" t="s">
        <v>623</v>
      </c>
      <c r="AR81" s="23" t="s">
        <v>11</v>
      </c>
      <c r="AS81" s="33">
        <v>0.05</v>
      </c>
      <c r="AT81" s="29">
        <v>45382</v>
      </c>
      <c r="AU81" s="23"/>
      <c r="AV81" s="23"/>
      <c r="AW81" s="23" t="s">
        <v>624</v>
      </c>
      <c r="AX81" t="s">
        <v>625</v>
      </c>
      <c r="AY81" s="23"/>
      <c r="AZ81" s="23"/>
      <c r="BA81" s="23"/>
      <c r="BB81" s="32"/>
      <c r="BC81" s="73"/>
    </row>
    <row r="82" spans="1:55" ht="11.25" x14ac:dyDescent="0.2">
      <c r="A82" s="22" t="s">
        <v>626</v>
      </c>
      <c r="B82" s="23" t="s">
        <v>437</v>
      </c>
      <c r="C82" s="23"/>
      <c r="D82" s="23" t="s">
        <v>558</v>
      </c>
      <c r="E82" s="24"/>
      <c r="F82" s="25"/>
      <c r="G82" s="23" t="s">
        <v>16</v>
      </c>
      <c r="H82" s="23" t="s">
        <v>168</v>
      </c>
      <c r="I82" s="2">
        <v>44554.439479166664</v>
      </c>
      <c r="J82" s="24">
        <f>MONTH(Tabla1[[#This Row],[Publicación]])</f>
        <v>12</v>
      </c>
      <c r="K82" s="24">
        <f>YEAR(Tabla1[[#This Row],[Publicación]])</f>
        <v>2021</v>
      </c>
      <c r="L82" s="2">
        <v>44564.625</v>
      </c>
      <c r="M82" s="26">
        <v>44557</v>
      </c>
      <c r="N82" s="25" t="s">
        <v>10</v>
      </c>
      <c r="O82" s="24" t="s">
        <v>25</v>
      </c>
      <c r="P82" s="24" t="s">
        <v>10</v>
      </c>
      <c r="Q82" s="2">
        <v>44554.439479166664</v>
      </c>
      <c r="R82" s="2">
        <v>44559.542361111111</v>
      </c>
      <c r="S82" s="26">
        <v>44572.333333333336</v>
      </c>
      <c r="T82" s="27">
        <v>0</v>
      </c>
      <c r="U82" s="28">
        <f>Tabla1[[#This Row],[PPTO]]/(1+'Lista Datos'!$B$1)</f>
        <v>0</v>
      </c>
      <c r="V82" s="23"/>
      <c r="W82" s="18" t="s">
        <v>10</v>
      </c>
      <c r="X82" s="102"/>
      <c r="Y82" s="18" t="s">
        <v>146</v>
      </c>
      <c r="Z82" s="18" t="s">
        <v>10</v>
      </c>
      <c r="AA82" s="23"/>
      <c r="AB82" s="23"/>
      <c r="AC82" s="23"/>
      <c r="AD82" s="23"/>
      <c r="AE82" s="29">
        <f>Tabla1[[#This Row],[Cierre]]+Tabla1[[#This Row],[Vigencia Oferta (días)]]</f>
        <v>44564.625</v>
      </c>
      <c r="AF82" s="87"/>
      <c r="AG82" s="28"/>
      <c r="AH82" s="164">
        <f>Tabla1[[#This Row],[Unidades2]]*Tabla1[[#This Row],[Precio Unitario]]</f>
        <v>0</v>
      </c>
      <c r="AI82" s="23" t="s">
        <v>137</v>
      </c>
      <c r="AJ82" s="26">
        <v>44566.627800925926</v>
      </c>
      <c r="AK82" s="172">
        <f>Tabla1[[#This Row],[Fecha Vigencia]]-AJ82</f>
        <v>-2.0028009259258397</v>
      </c>
      <c r="AL82" s="23"/>
      <c r="AM82" s="87"/>
      <c r="AN82" s="23"/>
      <c r="AO82" s="29"/>
      <c r="AP82" s="23"/>
      <c r="AQ82" s="23" t="s">
        <v>440</v>
      </c>
      <c r="AR82" s="23" t="s">
        <v>10</v>
      </c>
      <c r="AS82" s="23"/>
      <c r="AT82" s="23"/>
      <c r="AU82" s="23"/>
      <c r="AV82" s="23"/>
      <c r="AW82" s="23"/>
      <c r="AX82" s="23"/>
      <c r="AY82" s="23"/>
      <c r="AZ82" s="23"/>
      <c r="BA82" s="23"/>
      <c r="BB82" s="32"/>
      <c r="BC82" s="73"/>
    </row>
    <row r="83" spans="1:55" ht="11.25" x14ac:dyDescent="0.2">
      <c r="A83" s="22" t="s">
        <v>627</v>
      </c>
      <c r="B83" s="23" t="s">
        <v>628</v>
      </c>
      <c r="C83" s="23"/>
      <c r="D83" s="23" t="s">
        <v>629</v>
      </c>
      <c r="E83" s="24"/>
      <c r="F83" s="25"/>
      <c r="G83" s="23" t="s">
        <v>16</v>
      </c>
      <c r="H83" s="23" t="s">
        <v>345</v>
      </c>
      <c r="I83" s="2">
        <v>44551.346284722225</v>
      </c>
      <c r="J83" s="24">
        <f>MONTH(Tabla1[[#This Row],[Publicación]])</f>
        <v>12</v>
      </c>
      <c r="K83" s="24">
        <f>YEAR(Tabla1[[#This Row],[Publicación]])</f>
        <v>2021</v>
      </c>
      <c r="L83" s="2">
        <v>44564.625</v>
      </c>
      <c r="M83" s="26">
        <v>44551</v>
      </c>
      <c r="N83" s="25" t="s">
        <v>10</v>
      </c>
      <c r="O83" s="24" t="s">
        <v>25</v>
      </c>
      <c r="P83" s="24" t="s">
        <v>10</v>
      </c>
      <c r="Q83" s="2">
        <v>44551.346284722225</v>
      </c>
      <c r="R83" s="2">
        <v>44561.583333333336</v>
      </c>
      <c r="S83" s="26">
        <v>44582.75</v>
      </c>
      <c r="T83" s="27">
        <v>0</v>
      </c>
      <c r="U83" s="28">
        <f>Tabla1[[#This Row],[PPTO]]/(1+'Lista Datos'!$B$1)</f>
        <v>0</v>
      </c>
      <c r="V83" s="23"/>
      <c r="W83" s="18" t="s">
        <v>10</v>
      </c>
      <c r="X83" s="102"/>
      <c r="Y83" s="18" t="s">
        <v>146</v>
      </c>
      <c r="Z83" s="18" t="s">
        <v>10</v>
      </c>
      <c r="AA83" s="23"/>
      <c r="AB83" s="23"/>
      <c r="AC83" s="23"/>
      <c r="AD83" s="23"/>
      <c r="AE83" s="29">
        <f>Tabla1[[#This Row],[Cierre]]+Tabla1[[#This Row],[Vigencia Oferta (días)]]</f>
        <v>44564.625</v>
      </c>
      <c r="AF83" s="87"/>
      <c r="AG83" s="28"/>
      <c r="AH83" s="164">
        <f>Tabla1[[#This Row],[Unidades2]]*Tabla1[[#This Row],[Precio Unitario]]</f>
        <v>0</v>
      </c>
      <c r="AI83" s="23" t="s">
        <v>44</v>
      </c>
      <c r="AJ83" s="26">
        <v>44588</v>
      </c>
      <c r="AK83" s="172">
        <f>Tabla1[[#This Row],[Fecha Vigencia]]-AJ83</f>
        <v>-23.375</v>
      </c>
      <c r="AL83" s="23" t="s">
        <v>46</v>
      </c>
      <c r="AM83" s="87">
        <v>3528000</v>
      </c>
      <c r="AN83" s="23"/>
      <c r="AO83" s="29"/>
      <c r="AP83" s="23"/>
      <c r="AQ83" s="23" t="s">
        <v>630</v>
      </c>
      <c r="AR83" s="23" t="s">
        <v>10</v>
      </c>
      <c r="AS83" s="23"/>
      <c r="AT83" s="23"/>
      <c r="AU83" s="23"/>
      <c r="AV83" s="23"/>
      <c r="AW83" s="23"/>
      <c r="AX83" s="23"/>
      <c r="AY83" s="23"/>
      <c r="AZ83" s="23"/>
      <c r="BA83" s="23"/>
      <c r="BB83" s="32"/>
      <c r="BC83" s="73"/>
    </row>
    <row r="84" spans="1:55" x14ac:dyDescent="0.25">
      <c r="A84" s="22" t="s">
        <v>631</v>
      </c>
      <c r="B84" s="23" t="s">
        <v>632</v>
      </c>
      <c r="C84" s="23" t="s">
        <v>633</v>
      </c>
      <c r="D84" s="23" t="s">
        <v>634</v>
      </c>
      <c r="E84" s="24"/>
      <c r="F84" s="25"/>
      <c r="G84" s="23" t="s">
        <v>16</v>
      </c>
      <c r="H84" s="23" t="s">
        <v>123</v>
      </c>
      <c r="I84" s="2">
        <v>44554.430717592593</v>
      </c>
      <c r="J84" s="24">
        <f>MONTH(Tabla1[[#This Row],[Publicación]])</f>
        <v>12</v>
      </c>
      <c r="K84" s="24">
        <f>YEAR(Tabla1[[#This Row],[Publicación]])</f>
        <v>2021</v>
      </c>
      <c r="L84" s="2">
        <v>44564.666666666664</v>
      </c>
      <c r="M84" s="26">
        <v>44557</v>
      </c>
      <c r="N84" s="25" t="s">
        <v>10</v>
      </c>
      <c r="O84" s="24" t="s">
        <v>25</v>
      </c>
      <c r="P84" s="24" t="s">
        <v>10</v>
      </c>
      <c r="Q84" s="2">
        <v>44554.541666666664</v>
      </c>
      <c r="R84" s="2">
        <v>44558.625694444447</v>
      </c>
      <c r="S84" s="26">
        <v>44572.333333333336</v>
      </c>
      <c r="T84" s="27">
        <v>0</v>
      </c>
      <c r="U84" s="28">
        <f>Tabla1[[#This Row],[PPTO]]/(1+'Lista Datos'!$B$1)</f>
        <v>0</v>
      </c>
      <c r="V84" s="23"/>
      <c r="W84" s="18" t="s">
        <v>10</v>
      </c>
      <c r="X84" s="102"/>
      <c r="Y84" s="18" t="s">
        <v>146</v>
      </c>
      <c r="Z84" s="18" t="s">
        <v>10</v>
      </c>
      <c r="AA84" s="23"/>
      <c r="AB84" s="23"/>
      <c r="AC84" s="23"/>
      <c r="AD84" s="23"/>
      <c r="AE84" s="29">
        <f>Tabla1[[#This Row],[Cierre]]+Tabla1[[#This Row],[Vigencia Oferta (días)]]</f>
        <v>44564.666666666664</v>
      </c>
      <c r="AF84" s="87"/>
      <c r="AG84" s="28"/>
      <c r="AH84" s="164">
        <f>Tabla1[[#This Row],[Unidades2]]*Tabla1[[#This Row],[Precio Unitario]]</f>
        <v>0</v>
      </c>
      <c r="AI84" s="23" t="s">
        <v>44</v>
      </c>
      <c r="AJ84" s="26">
        <v>44571.45449074074</v>
      </c>
      <c r="AK84" s="172">
        <f>Tabla1[[#This Row],[Fecha Vigencia]]-AJ84</f>
        <v>-6.7878240740756155</v>
      </c>
      <c r="AL84" s="23" t="s">
        <v>46</v>
      </c>
      <c r="AM84" s="87">
        <v>980900</v>
      </c>
      <c r="AN84" s="23"/>
      <c r="AO84" s="29"/>
      <c r="AP84" s="23"/>
      <c r="AQ84" s="23" t="s">
        <v>635</v>
      </c>
      <c r="AR84" s="23" t="s">
        <v>10</v>
      </c>
      <c r="AS84" s="23"/>
      <c r="AT84" s="23"/>
      <c r="AU84" s="23"/>
      <c r="AV84" s="23"/>
      <c r="AW84" s="23" t="s">
        <v>636</v>
      </c>
      <c r="AX84" t="s">
        <v>637</v>
      </c>
      <c r="AY84" s="23"/>
      <c r="AZ84" s="23"/>
      <c r="BA84" s="23"/>
      <c r="BB84" s="32"/>
      <c r="BC84" s="73"/>
    </row>
    <row r="85" spans="1:55" x14ac:dyDescent="0.25">
      <c r="A85" s="22" t="s">
        <v>638</v>
      </c>
      <c r="B85" s="23" t="s">
        <v>639</v>
      </c>
      <c r="C85" s="23" t="s">
        <v>640</v>
      </c>
      <c r="D85" s="23" t="s">
        <v>641</v>
      </c>
      <c r="E85" s="24"/>
      <c r="F85" s="25"/>
      <c r="G85" s="23" t="s">
        <v>16</v>
      </c>
      <c r="H85" s="23" t="s">
        <v>145</v>
      </c>
      <c r="I85" s="2">
        <v>44552.72792824074</v>
      </c>
      <c r="J85" s="24">
        <f>MONTH(Tabla1[[#This Row],[Publicación]])</f>
        <v>12</v>
      </c>
      <c r="K85" s="24">
        <f>YEAR(Tabla1[[#This Row],[Publicación]])</f>
        <v>2021</v>
      </c>
      <c r="L85" s="2">
        <v>44564.680555555555</v>
      </c>
      <c r="M85" s="26">
        <v>44553</v>
      </c>
      <c r="N85" s="25" t="s">
        <v>10</v>
      </c>
      <c r="O85" s="24" t="s">
        <v>642</v>
      </c>
      <c r="P85" s="24" t="s">
        <v>10</v>
      </c>
      <c r="Q85" s="2">
        <v>44552.790972222225</v>
      </c>
      <c r="R85" s="2">
        <v>44558.498611111114</v>
      </c>
      <c r="S85" s="26">
        <v>44574.681250000001</v>
      </c>
      <c r="T85" s="27">
        <v>0</v>
      </c>
      <c r="U85" s="28">
        <f>Tabla1[[#This Row],[PPTO]]/(1+'Lista Datos'!$B$1)</f>
        <v>0</v>
      </c>
      <c r="V85" s="23"/>
      <c r="W85" s="18" t="s">
        <v>10</v>
      </c>
      <c r="X85" s="102"/>
      <c r="Y85" s="18" t="s">
        <v>146</v>
      </c>
      <c r="Z85" s="18" t="s">
        <v>10</v>
      </c>
      <c r="AA85" s="23"/>
      <c r="AB85" s="23"/>
      <c r="AC85" s="23"/>
      <c r="AD85" s="23"/>
      <c r="AE85" s="29">
        <f>Tabla1[[#This Row],[Cierre]]+Tabla1[[#This Row],[Vigencia Oferta (días)]]</f>
        <v>44564.680555555555</v>
      </c>
      <c r="AF85" s="87"/>
      <c r="AG85" s="28"/>
      <c r="AH85" s="164">
        <f>Tabla1[[#This Row],[Unidades2]]*Tabla1[[#This Row],[Precio Unitario]]</f>
        <v>0</v>
      </c>
      <c r="AI85" s="23" t="s">
        <v>137</v>
      </c>
      <c r="AJ85" s="26">
        <v>44578.683344907404</v>
      </c>
      <c r="AK85" s="172">
        <f>Tabla1[[#This Row],[Fecha Vigencia]]-AJ85</f>
        <v>-14.00278935184906</v>
      </c>
      <c r="AL85" s="23"/>
      <c r="AM85" s="87"/>
      <c r="AN85" s="23"/>
      <c r="AO85" s="29"/>
      <c r="AP85" s="23"/>
      <c r="AQ85" s="23" t="s">
        <v>643</v>
      </c>
      <c r="AR85" s="23" t="s">
        <v>10</v>
      </c>
      <c r="AS85" s="23"/>
      <c r="AT85" s="23"/>
      <c r="AU85" s="23"/>
      <c r="AV85" s="23"/>
      <c r="AW85" s="23" t="s">
        <v>644</v>
      </c>
      <c r="AX85" t="s">
        <v>645</v>
      </c>
      <c r="AY85" s="23"/>
      <c r="AZ85" s="23"/>
      <c r="BA85" s="23"/>
      <c r="BB85" s="32"/>
      <c r="BC85" s="73"/>
    </row>
    <row r="86" spans="1:55" ht="11.25" x14ac:dyDescent="0.2">
      <c r="A86" s="22" t="s">
        <v>646</v>
      </c>
      <c r="B86" s="23" t="s">
        <v>647</v>
      </c>
      <c r="C86" s="23"/>
      <c r="D86" s="23" t="s">
        <v>648</v>
      </c>
      <c r="E86" s="24"/>
      <c r="F86" s="25"/>
      <c r="G86" s="23" t="s">
        <v>16</v>
      </c>
      <c r="H86" s="23" t="s">
        <v>168</v>
      </c>
      <c r="I86" s="2">
        <v>44559.642812500002</v>
      </c>
      <c r="J86" s="24">
        <f>MONTH(Tabla1[[#This Row],[Publicación]])</f>
        <v>12</v>
      </c>
      <c r="K86" s="24">
        <f>YEAR(Tabla1[[#This Row],[Publicación]])</f>
        <v>2021</v>
      </c>
      <c r="L86" s="2">
        <v>44565.76666666667</v>
      </c>
      <c r="M86" s="26">
        <v>44560</v>
      </c>
      <c r="N86" s="25" t="s">
        <v>10</v>
      </c>
      <c r="O86" s="24" t="s">
        <v>25</v>
      </c>
      <c r="P86" s="24" t="s">
        <v>10</v>
      </c>
      <c r="Q86" s="2">
        <v>44559.642812500002</v>
      </c>
      <c r="R86" s="2">
        <v>44564.645833333336</v>
      </c>
      <c r="S86" s="26">
        <v>44573.683333333334</v>
      </c>
      <c r="T86" s="27">
        <v>0</v>
      </c>
      <c r="U86" s="28">
        <f>Tabla1[[#This Row],[PPTO]]/(1+'Lista Datos'!$B$1)</f>
        <v>0</v>
      </c>
      <c r="V86" s="23"/>
      <c r="W86" s="18" t="s">
        <v>10</v>
      </c>
      <c r="X86" s="102"/>
      <c r="Y86" s="18" t="s">
        <v>146</v>
      </c>
      <c r="Z86" s="18" t="s">
        <v>10</v>
      </c>
      <c r="AA86" s="23"/>
      <c r="AB86" s="23"/>
      <c r="AC86" s="23"/>
      <c r="AD86" s="23"/>
      <c r="AE86" s="29">
        <f>Tabla1[[#This Row],[Cierre]]+Tabla1[[#This Row],[Vigencia Oferta (días)]]</f>
        <v>44565.76666666667</v>
      </c>
      <c r="AF86" s="87"/>
      <c r="AG86" s="28"/>
      <c r="AH86" s="164">
        <f>Tabla1[[#This Row],[Unidades2]]*Tabla1[[#This Row],[Precio Unitario]]</f>
        <v>0</v>
      </c>
      <c r="AI86" s="23" t="s">
        <v>44</v>
      </c>
      <c r="AJ86" s="26">
        <v>44579</v>
      </c>
      <c r="AK86" s="172">
        <f>Tabla1[[#This Row],[Fecha Vigencia]]-AJ86</f>
        <v>-13.233333333329938</v>
      </c>
      <c r="AL86" s="23" t="s">
        <v>46</v>
      </c>
      <c r="AM86" s="87">
        <v>1232000</v>
      </c>
      <c r="AN86" s="23"/>
      <c r="AO86" s="29"/>
      <c r="AP86" s="23"/>
      <c r="AQ86" s="23" t="s">
        <v>649</v>
      </c>
      <c r="AR86" s="23" t="s">
        <v>10</v>
      </c>
      <c r="AS86" s="23"/>
      <c r="AT86" s="23"/>
      <c r="AU86" s="23"/>
      <c r="AV86" s="23"/>
      <c r="AW86" s="23"/>
      <c r="AX86" s="23"/>
      <c r="AY86" s="23"/>
      <c r="AZ86" s="23"/>
      <c r="BA86" s="23"/>
      <c r="BB86" s="32"/>
      <c r="BC86" s="73"/>
    </row>
    <row r="87" spans="1:55" ht="11.25" x14ac:dyDescent="0.2">
      <c r="A87" s="22" t="s">
        <v>650</v>
      </c>
      <c r="B87" s="23" t="s">
        <v>651</v>
      </c>
      <c r="C87" s="23"/>
      <c r="D87" s="23" t="s">
        <v>652</v>
      </c>
      <c r="E87" s="24"/>
      <c r="F87" s="25"/>
      <c r="G87" s="23" t="s">
        <v>16</v>
      </c>
      <c r="H87" s="23" t="s">
        <v>345</v>
      </c>
      <c r="I87" s="2">
        <v>44560.500405092593</v>
      </c>
      <c r="J87" s="24">
        <f>MONTH(Tabla1[[#This Row],[Publicación]])</f>
        <v>12</v>
      </c>
      <c r="K87" s="24">
        <f>YEAR(Tabla1[[#This Row],[Publicación]])</f>
        <v>2021</v>
      </c>
      <c r="L87" s="2">
        <v>44567.583333333336</v>
      </c>
      <c r="M87" s="26">
        <v>44561</v>
      </c>
      <c r="N87" s="25" t="s">
        <v>10</v>
      </c>
      <c r="O87" s="24" t="s">
        <v>25</v>
      </c>
      <c r="P87" s="24" t="s">
        <v>10</v>
      </c>
      <c r="Q87" s="2">
        <v>44560.500405092593</v>
      </c>
      <c r="R87" s="2">
        <v>44565.873611111114</v>
      </c>
      <c r="S87" s="26">
        <v>44581.873611111114</v>
      </c>
      <c r="T87" s="27">
        <v>0</v>
      </c>
      <c r="U87" s="28">
        <f>Tabla1[[#This Row],[PPTO]]/(1+'Lista Datos'!$B$1)</f>
        <v>0</v>
      </c>
      <c r="V87" s="23"/>
      <c r="W87" s="18" t="s">
        <v>10</v>
      </c>
      <c r="X87" s="102"/>
      <c r="Y87" s="18" t="s">
        <v>146</v>
      </c>
      <c r="Z87" s="18" t="s">
        <v>10</v>
      </c>
      <c r="AA87" s="23"/>
      <c r="AB87" s="23"/>
      <c r="AC87" s="23"/>
      <c r="AD87" s="23"/>
      <c r="AE87" s="29">
        <f>Tabla1[[#This Row],[Cierre]]+Tabla1[[#This Row],[Vigencia Oferta (días)]]</f>
        <v>44567.583333333336</v>
      </c>
      <c r="AF87" s="87"/>
      <c r="AG87" s="28"/>
      <c r="AH87" s="164">
        <f>Tabla1[[#This Row],[Unidades2]]*Tabla1[[#This Row],[Precio Unitario]]</f>
        <v>0</v>
      </c>
      <c r="AI87" s="23" t="s">
        <v>44</v>
      </c>
      <c r="AJ87" s="26">
        <v>44585.78869212963</v>
      </c>
      <c r="AK87" s="172">
        <f>Tabla1[[#This Row],[Fecha Vigencia]]-AJ87</f>
        <v>-18.205358796294604</v>
      </c>
      <c r="AL87" s="23" t="s">
        <v>46</v>
      </c>
      <c r="AM87" s="87">
        <v>17160</v>
      </c>
      <c r="AN87" s="23"/>
      <c r="AO87" s="29"/>
      <c r="AP87" s="23"/>
      <c r="AQ87" s="23" t="s">
        <v>653</v>
      </c>
      <c r="AR87" s="23" t="s">
        <v>10</v>
      </c>
      <c r="AS87" s="23"/>
      <c r="AT87" s="23"/>
      <c r="AU87" s="23"/>
      <c r="AV87" s="23"/>
      <c r="AW87" s="23"/>
      <c r="AX87" s="23"/>
      <c r="AY87" s="23" t="s">
        <v>309</v>
      </c>
      <c r="AZ87" s="23"/>
      <c r="BA87" s="23"/>
      <c r="BB87" s="32"/>
      <c r="BC87" s="73"/>
    </row>
    <row r="88" spans="1:55" x14ac:dyDescent="0.25">
      <c r="A88" s="22" t="s">
        <v>654</v>
      </c>
      <c r="B88" s="23" t="s">
        <v>655</v>
      </c>
      <c r="C88" s="23" t="s">
        <v>656</v>
      </c>
      <c r="D88" s="23" t="s">
        <v>657</v>
      </c>
      <c r="E88" s="24"/>
      <c r="F88" s="25"/>
      <c r="G88" s="23" t="s">
        <v>16</v>
      </c>
      <c r="H88" s="23" t="s">
        <v>145</v>
      </c>
      <c r="I88" s="2">
        <v>44557.677569444444</v>
      </c>
      <c r="J88" s="24">
        <f>MONTH(Tabla1[[#This Row],[Publicación]])</f>
        <v>12</v>
      </c>
      <c r="K88" s="24">
        <f>YEAR(Tabla1[[#This Row],[Publicación]])</f>
        <v>2021</v>
      </c>
      <c r="L88" s="2">
        <v>44567.645833333336</v>
      </c>
      <c r="M88" s="26">
        <v>44557</v>
      </c>
      <c r="N88" s="25" t="s">
        <v>10</v>
      </c>
      <c r="O88" s="24" t="s">
        <v>25</v>
      </c>
      <c r="P88" s="24" t="s">
        <v>10</v>
      </c>
      <c r="Q88" s="2">
        <v>44557.831250000003</v>
      </c>
      <c r="R88" s="2">
        <v>44564.831250000003</v>
      </c>
      <c r="S88" s="26">
        <v>44568.646527777775</v>
      </c>
      <c r="T88" s="27">
        <v>0</v>
      </c>
      <c r="U88" s="28">
        <f>Tabla1[[#This Row],[PPTO]]/(1+'Lista Datos'!$B$1)</f>
        <v>0</v>
      </c>
      <c r="V88" s="23"/>
      <c r="W88" s="18" t="s">
        <v>10</v>
      </c>
      <c r="X88" s="102"/>
      <c r="Y88" s="18" t="s">
        <v>146</v>
      </c>
      <c r="Z88" s="18" t="s">
        <v>10</v>
      </c>
      <c r="AA88" s="23"/>
      <c r="AB88" s="23"/>
      <c r="AC88" s="23"/>
      <c r="AD88" s="23"/>
      <c r="AE88" s="29">
        <f>Tabla1[[#This Row],[Cierre]]+Tabla1[[#This Row],[Vigencia Oferta (días)]]</f>
        <v>44567.645833333336</v>
      </c>
      <c r="AF88" s="87"/>
      <c r="AG88" s="28"/>
      <c r="AH88" s="164">
        <f>Tabla1[[#This Row],[Unidades2]]*Tabla1[[#This Row],[Precio Unitario]]</f>
        <v>0</v>
      </c>
      <c r="AI88" s="23" t="s">
        <v>137</v>
      </c>
      <c r="AJ88" s="26">
        <v>44571.648634259262</v>
      </c>
      <c r="AK88" s="172">
        <f>Tabla1[[#This Row],[Fecha Vigencia]]-AJ88</f>
        <v>-4.0028009259258397</v>
      </c>
      <c r="AL88" s="23"/>
      <c r="AM88" s="87"/>
      <c r="AN88" s="23"/>
      <c r="AO88" s="29"/>
      <c r="AP88" s="23"/>
      <c r="AQ88" s="23" t="s">
        <v>658</v>
      </c>
      <c r="AR88" s="23" t="s">
        <v>10</v>
      </c>
      <c r="AS88" s="23"/>
      <c r="AT88" s="23"/>
      <c r="AU88" s="23"/>
      <c r="AV88" s="23"/>
      <c r="AW88" s="23" t="s">
        <v>659</v>
      </c>
      <c r="AX88" t="s">
        <v>660</v>
      </c>
      <c r="AY88" s="23"/>
      <c r="AZ88" s="23"/>
      <c r="BA88" s="23"/>
      <c r="BB88" s="32"/>
      <c r="BC88" s="73"/>
    </row>
    <row r="89" spans="1:55" x14ac:dyDescent="0.25">
      <c r="A89" s="22" t="s">
        <v>661</v>
      </c>
      <c r="B89" s="23" t="s">
        <v>662</v>
      </c>
      <c r="C89" s="23" t="s">
        <v>663</v>
      </c>
      <c r="D89" s="23" t="s">
        <v>664</v>
      </c>
      <c r="E89" s="24"/>
      <c r="F89" s="25"/>
      <c r="G89" s="23" t="s">
        <v>16</v>
      </c>
      <c r="H89" s="23" t="s">
        <v>145</v>
      </c>
      <c r="I89" s="2">
        <v>44559.370833333334</v>
      </c>
      <c r="J89" s="24">
        <f>MONTH(Tabla1[[#This Row],[Publicación]])</f>
        <v>12</v>
      </c>
      <c r="K89" s="24">
        <f>YEAR(Tabla1[[#This Row],[Publicación]])</f>
        <v>2021</v>
      </c>
      <c r="L89" s="2">
        <v>44568.447916666664</v>
      </c>
      <c r="M89" s="26">
        <v>44560</v>
      </c>
      <c r="N89" s="25" t="s">
        <v>10</v>
      </c>
      <c r="O89" s="24" t="s">
        <v>25</v>
      </c>
      <c r="P89" s="24" t="s">
        <v>10</v>
      </c>
      <c r="Q89" s="2">
        <v>44559.53125</v>
      </c>
      <c r="R89" s="2">
        <v>44563.53125</v>
      </c>
      <c r="S89" s="26">
        <v>44573.448611111111</v>
      </c>
      <c r="T89" s="27">
        <v>0</v>
      </c>
      <c r="U89" s="28">
        <f>Tabla1[[#This Row],[PPTO]]/(1+'Lista Datos'!$B$1)</f>
        <v>0</v>
      </c>
      <c r="V89" s="23"/>
      <c r="W89" s="18" t="s">
        <v>10</v>
      </c>
      <c r="X89" s="102"/>
      <c r="Y89" s="18" t="s">
        <v>146</v>
      </c>
      <c r="Z89" s="18" t="s">
        <v>10</v>
      </c>
      <c r="AA89" s="23"/>
      <c r="AB89" s="23"/>
      <c r="AC89" s="23"/>
      <c r="AD89" s="23"/>
      <c r="AE89" s="29">
        <f>Tabla1[[#This Row],[Cierre]]+Tabla1[[#This Row],[Vigencia Oferta (días)]]</f>
        <v>44568.447916666664</v>
      </c>
      <c r="AF89" s="87"/>
      <c r="AG89" s="28"/>
      <c r="AH89" s="164">
        <f>Tabla1[[#This Row],[Unidades2]]*Tabla1[[#This Row],[Precio Unitario]]</f>
        <v>0</v>
      </c>
      <c r="AI89" s="23" t="s">
        <v>44</v>
      </c>
      <c r="AJ89" s="26">
        <v>44579</v>
      </c>
      <c r="AK89" s="172">
        <f>Tabla1[[#This Row],[Fecha Vigencia]]-AJ89</f>
        <v>-10.552083333335759</v>
      </c>
      <c r="AL89" s="23" t="s">
        <v>45</v>
      </c>
      <c r="AM89" s="87">
        <v>83494</v>
      </c>
      <c r="AN89" s="23"/>
      <c r="AO89" s="29"/>
      <c r="AP89" s="23"/>
      <c r="AQ89" s="23" t="s">
        <v>665</v>
      </c>
      <c r="AR89" s="23" t="s">
        <v>10</v>
      </c>
      <c r="AS89" s="23"/>
      <c r="AT89" s="23"/>
      <c r="AU89" s="23"/>
      <c r="AV89" s="23"/>
      <c r="AW89" s="23" t="s">
        <v>666</v>
      </c>
      <c r="AX89" t="s">
        <v>667</v>
      </c>
      <c r="AY89" s="23"/>
      <c r="AZ89" s="23"/>
      <c r="BA89" s="23"/>
      <c r="BB89" s="32"/>
      <c r="BC89" s="73"/>
    </row>
    <row r="90" spans="1:55" x14ac:dyDescent="0.25">
      <c r="A90" s="22" t="s">
        <v>668</v>
      </c>
      <c r="B90" s="23" t="s">
        <v>342</v>
      </c>
      <c r="C90" s="23" t="s">
        <v>669</v>
      </c>
      <c r="D90" s="23" t="s">
        <v>344</v>
      </c>
      <c r="E90" s="24"/>
      <c r="F90" s="25"/>
      <c r="G90" s="23" t="s">
        <v>16</v>
      </c>
      <c r="H90" s="23" t="s">
        <v>345</v>
      </c>
      <c r="I90" s="2">
        <v>44546.600335648145</v>
      </c>
      <c r="J90" s="24">
        <f>MONTH(Tabla1[[#This Row],[Publicación]])</f>
        <v>12</v>
      </c>
      <c r="K90" s="24">
        <f>YEAR(Tabla1[[#This Row],[Publicación]])</f>
        <v>2021</v>
      </c>
      <c r="L90" s="2">
        <v>44568.75</v>
      </c>
      <c r="M90" s="26">
        <v>44550</v>
      </c>
      <c r="N90" s="25" t="s">
        <v>10</v>
      </c>
      <c r="O90" s="24" t="s">
        <v>25</v>
      </c>
      <c r="P90" s="24" t="s">
        <v>10</v>
      </c>
      <c r="Q90" s="2">
        <v>44547.333333333336</v>
      </c>
      <c r="R90" s="2">
        <v>44559.75</v>
      </c>
      <c r="S90" s="26">
        <v>44620.75</v>
      </c>
      <c r="T90" s="27">
        <v>0</v>
      </c>
      <c r="U90" s="28">
        <f>Tabla1[[#This Row],[PPTO]]/(1+'Lista Datos'!$B$1)</f>
        <v>0</v>
      </c>
      <c r="V90" s="23"/>
      <c r="W90" s="18" t="s">
        <v>10</v>
      </c>
      <c r="X90" s="102"/>
      <c r="Y90" s="18" t="s">
        <v>146</v>
      </c>
      <c r="Z90" s="18" t="s">
        <v>11</v>
      </c>
      <c r="AA90" s="23"/>
      <c r="AB90" s="23"/>
      <c r="AC90" s="23"/>
      <c r="AD90" s="23"/>
      <c r="AE90" s="29">
        <f>Tabla1[[#This Row],[Cierre]]+Tabla1[[#This Row],[Vigencia Oferta (días)]]</f>
        <v>44568.75</v>
      </c>
      <c r="AF90" s="87"/>
      <c r="AG90" s="28"/>
      <c r="AH90" s="164">
        <f>Tabla1[[#This Row],[Unidades2]]*Tabla1[[#This Row],[Precio Unitario]]</f>
        <v>0</v>
      </c>
      <c r="AI90" s="23" t="s">
        <v>44</v>
      </c>
      <c r="AJ90" s="26">
        <v>44610</v>
      </c>
      <c r="AK90" s="172">
        <f>Tabla1[[#This Row],[Fecha Vigencia]]-AJ90</f>
        <v>-41.25</v>
      </c>
      <c r="AL90" s="23" t="s">
        <v>191</v>
      </c>
      <c r="AM90" s="87">
        <v>150000000</v>
      </c>
      <c r="AN90" s="23"/>
      <c r="AO90" s="29"/>
      <c r="AP90" s="23"/>
      <c r="AQ90" s="23" t="s">
        <v>346</v>
      </c>
      <c r="AR90" s="23" t="s">
        <v>11</v>
      </c>
      <c r="AS90" s="33">
        <v>0.05</v>
      </c>
      <c r="AT90" s="29">
        <v>45380</v>
      </c>
      <c r="AU90" s="23"/>
      <c r="AV90" s="23"/>
      <c r="AW90" s="23" t="s">
        <v>670</v>
      </c>
      <c r="AX90" t="s">
        <v>671</v>
      </c>
      <c r="AY90" s="23"/>
      <c r="AZ90" s="23"/>
      <c r="BA90" s="23"/>
      <c r="BB90" s="32"/>
      <c r="BC90" s="73"/>
    </row>
    <row r="91" spans="1:55" x14ac:dyDescent="0.25">
      <c r="A91" s="22" t="s">
        <v>672</v>
      </c>
      <c r="B91" s="23" t="s">
        <v>673</v>
      </c>
      <c r="C91" s="23" t="s">
        <v>674</v>
      </c>
      <c r="D91" s="23" t="s">
        <v>675</v>
      </c>
      <c r="E91" s="24"/>
      <c r="F91" s="25"/>
      <c r="G91" s="23" t="s">
        <v>16</v>
      </c>
      <c r="H91" s="23" t="s">
        <v>533</v>
      </c>
      <c r="I91" s="2">
        <v>44560.641319444447</v>
      </c>
      <c r="J91" s="24">
        <f>MONTH(Tabla1[[#This Row],[Publicación]])</f>
        <v>12</v>
      </c>
      <c r="K91" s="24">
        <f>YEAR(Tabla1[[#This Row],[Publicación]])</f>
        <v>2021</v>
      </c>
      <c r="L91" s="2">
        <v>44571.652083333334</v>
      </c>
      <c r="M91" s="26">
        <v>44561</v>
      </c>
      <c r="N91" s="25" t="s">
        <v>10</v>
      </c>
      <c r="O91" s="24" t="s">
        <v>25</v>
      </c>
      <c r="P91" s="24" t="s">
        <v>10</v>
      </c>
      <c r="Q91" s="2">
        <v>44560.761805555558</v>
      </c>
      <c r="R91" s="2">
        <v>44564.761805555558</v>
      </c>
      <c r="S91" s="26">
        <v>44592.777777777781</v>
      </c>
      <c r="T91" s="27">
        <v>0</v>
      </c>
      <c r="U91" s="28">
        <f>Tabla1[[#This Row],[PPTO]]/(1+'Lista Datos'!$B$1)</f>
        <v>0</v>
      </c>
      <c r="V91" s="23"/>
      <c r="W91" s="18" t="s">
        <v>10</v>
      </c>
      <c r="X91" s="102"/>
      <c r="Y91" s="18" t="s">
        <v>146</v>
      </c>
      <c r="Z91" s="18" t="s">
        <v>10</v>
      </c>
      <c r="AA91" s="23"/>
      <c r="AB91" s="23"/>
      <c r="AC91" s="23"/>
      <c r="AD91" s="23"/>
      <c r="AE91" s="29">
        <f>Tabla1[[#This Row],[Cierre]]+Tabla1[[#This Row],[Vigencia Oferta (días)]]</f>
        <v>44571.652083333334</v>
      </c>
      <c r="AF91" s="87"/>
      <c r="AG91" s="28"/>
      <c r="AH91" s="164">
        <f>Tabla1[[#This Row],[Unidades2]]*Tabla1[[#This Row],[Precio Unitario]]</f>
        <v>0</v>
      </c>
      <c r="AI91" s="23" t="s">
        <v>385</v>
      </c>
      <c r="AJ91" s="26"/>
      <c r="AK91" s="172">
        <f>Tabla1[[#This Row],[Fecha Vigencia]]-AJ91</f>
        <v>44571.652083333334</v>
      </c>
      <c r="AL91" s="23"/>
      <c r="AM91" s="87"/>
      <c r="AN91" s="23"/>
      <c r="AO91" s="29"/>
      <c r="AP91" s="23"/>
      <c r="AQ91" s="23" t="s">
        <v>676</v>
      </c>
      <c r="AR91" s="23" t="s">
        <v>10</v>
      </c>
      <c r="AS91" s="23"/>
      <c r="AT91" s="23"/>
      <c r="AU91" s="23"/>
      <c r="AV91" s="23"/>
      <c r="AW91" s="23" t="s">
        <v>677</v>
      </c>
      <c r="AX91" t="s">
        <v>678</v>
      </c>
      <c r="AY91" s="23"/>
      <c r="AZ91" s="23"/>
      <c r="BA91" s="23"/>
      <c r="BB91" s="32"/>
      <c r="BC91" s="73"/>
    </row>
    <row r="92" spans="1:55" x14ac:dyDescent="0.25">
      <c r="A92" s="22" t="s">
        <v>679</v>
      </c>
      <c r="B92" s="23" t="s">
        <v>680</v>
      </c>
      <c r="C92" s="23"/>
      <c r="D92" s="23" t="s">
        <v>681</v>
      </c>
      <c r="E92" s="24"/>
      <c r="F92" s="25"/>
      <c r="G92" s="23" t="s">
        <v>16</v>
      </c>
      <c r="H92" s="23" t="s">
        <v>145</v>
      </c>
      <c r="I92" s="2">
        <v>44567.442916666667</v>
      </c>
      <c r="J92" s="24">
        <f>MONTH(Tabla1[[#This Row],[Publicación]])</f>
        <v>1</v>
      </c>
      <c r="K92" s="24">
        <f>YEAR(Tabla1[[#This Row],[Publicación]])</f>
        <v>2022</v>
      </c>
      <c r="L92" s="2">
        <v>44573.518055555556</v>
      </c>
      <c r="M92" s="26">
        <v>44203</v>
      </c>
      <c r="N92" s="25" t="s">
        <v>10</v>
      </c>
      <c r="O92" s="24" t="s">
        <v>25</v>
      </c>
      <c r="P92" s="24" t="s">
        <v>10</v>
      </c>
      <c r="Q92" s="2">
        <v>44567.601388888892</v>
      </c>
      <c r="R92" s="2">
        <v>44571.601388888892</v>
      </c>
      <c r="S92" s="26">
        <v>44592.643750000003</v>
      </c>
      <c r="T92" s="27">
        <v>0</v>
      </c>
      <c r="U92" s="28">
        <f>Tabla1[[#This Row],[PPTO]]/(1+'Lista Datos'!$B$1)</f>
        <v>0</v>
      </c>
      <c r="V92" s="23"/>
      <c r="W92" s="18" t="s">
        <v>10</v>
      </c>
      <c r="X92" s="102"/>
      <c r="Y92" s="18" t="s">
        <v>146</v>
      </c>
      <c r="Z92" s="18" t="s">
        <v>10</v>
      </c>
      <c r="AA92" s="23" t="s">
        <v>512</v>
      </c>
      <c r="AB92" s="23"/>
      <c r="AC92" s="23"/>
      <c r="AD92" s="23"/>
      <c r="AE92" s="29">
        <f>Tabla1[[#This Row],[Cierre]]+Tabla1[[#This Row],[Vigencia Oferta (días)]]</f>
        <v>44573.518055555556</v>
      </c>
      <c r="AF92" s="87"/>
      <c r="AG92" s="28"/>
      <c r="AH92" s="164">
        <f>Tabla1[[#This Row],[Unidades2]]*Tabla1[[#This Row],[Precio Unitario]]</f>
        <v>0</v>
      </c>
      <c r="AI92" s="23" t="s">
        <v>44</v>
      </c>
      <c r="AJ92" s="26">
        <v>44606</v>
      </c>
      <c r="AK92" s="172">
        <f>Tabla1[[#This Row],[Fecha Vigencia]]-AJ92</f>
        <v>-32.481944444443798</v>
      </c>
      <c r="AL92" s="23" t="s">
        <v>46</v>
      </c>
      <c r="AM92" s="87">
        <v>15000</v>
      </c>
      <c r="AN92" s="23"/>
      <c r="AO92" s="29"/>
      <c r="AP92" s="23" t="s">
        <v>292</v>
      </c>
      <c r="AQ92" s="23" t="s">
        <v>682</v>
      </c>
      <c r="AR92" s="23" t="s">
        <v>10</v>
      </c>
      <c r="AS92" s="23"/>
      <c r="AT92" s="23"/>
      <c r="AU92" s="23"/>
      <c r="AV92" s="23"/>
      <c r="AW92" s="23" t="s">
        <v>683</v>
      </c>
      <c r="AX92" t="s">
        <v>684</v>
      </c>
      <c r="AY92" s="23"/>
      <c r="AZ92" s="23"/>
      <c r="BA92" s="23"/>
      <c r="BB92" s="32"/>
      <c r="BC92" s="73"/>
    </row>
    <row r="93" spans="1:55" x14ac:dyDescent="0.25">
      <c r="A93" s="22" t="s">
        <v>685</v>
      </c>
      <c r="B93" s="23" t="s">
        <v>686</v>
      </c>
      <c r="C93" s="23" t="s">
        <v>687</v>
      </c>
      <c r="D93" s="23" t="s">
        <v>688</v>
      </c>
      <c r="E93" s="24"/>
      <c r="F93" s="25"/>
      <c r="G93" s="23" t="s">
        <v>16</v>
      </c>
      <c r="H93" s="23" t="s">
        <v>145</v>
      </c>
      <c r="I93" s="2">
        <v>44567.624305555553</v>
      </c>
      <c r="J93" s="24">
        <f>MONTH(Tabla1[[#This Row],[Publicación]])</f>
        <v>1</v>
      </c>
      <c r="K93" s="24">
        <f>YEAR(Tabla1[[#This Row],[Publicación]])</f>
        <v>2022</v>
      </c>
      <c r="L93" s="2">
        <v>44573.702777777777</v>
      </c>
      <c r="M93" s="26">
        <v>44572</v>
      </c>
      <c r="N93" s="25" t="s">
        <v>10</v>
      </c>
      <c r="O93" s="24" t="s">
        <v>25</v>
      </c>
      <c r="P93" s="24" t="s">
        <v>10</v>
      </c>
      <c r="Q93" s="2">
        <v>44567.786111111112</v>
      </c>
      <c r="R93" s="2">
        <v>44571.827777777777</v>
      </c>
      <c r="S93" s="26">
        <v>44592.703472222223</v>
      </c>
      <c r="T93" s="27">
        <v>0</v>
      </c>
      <c r="U93" s="28">
        <f>Tabla1[[#This Row],[PPTO]]/(1+'Lista Datos'!$B$1)</f>
        <v>0</v>
      </c>
      <c r="V93" s="23"/>
      <c r="W93" s="18" t="s">
        <v>10</v>
      </c>
      <c r="X93" s="102"/>
      <c r="Y93" s="18" t="s">
        <v>146</v>
      </c>
      <c r="Z93" s="18" t="s">
        <v>10</v>
      </c>
      <c r="AA93" s="23"/>
      <c r="AB93" s="23"/>
      <c r="AC93" s="23"/>
      <c r="AD93" s="23"/>
      <c r="AE93" s="29">
        <f>Tabla1[[#This Row],[Cierre]]+Tabla1[[#This Row],[Vigencia Oferta (días)]]</f>
        <v>44573.702777777777</v>
      </c>
      <c r="AF93" s="87"/>
      <c r="AG93" s="28"/>
      <c r="AH93" s="164">
        <f>Tabla1[[#This Row],[Unidades2]]*Tabla1[[#This Row],[Precio Unitario]]</f>
        <v>0</v>
      </c>
      <c r="AI93" s="23" t="s">
        <v>44</v>
      </c>
      <c r="AJ93" s="26">
        <v>44581</v>
      </c>
      <c r="AK93" s="172">
        <f>Tabla1[[#This Row],[Fecha Vigencia]]-AJ93</f>
        <v>-7.297222222223354</v>
      </c>
      <c r="AL93" s="23" t="s">
        <v>45</v>
      </c>
      <c r="AM93" s="87">
        <v>9300</v>
      </c>
      <c r="AN93" s="23"/>
      <c r="AO93" s="29"/>
      <c r="AP93" s="23"/>
      <c r="AQ93" s="23" t="s">
        <v>689</v>
      </c>
      <c r="AR93" s="23" t="s">
        <v>10</v>
      </c>
      <c r="AS93" s="23"/>
      <c r="AT93" s="23"/>
      <c r="AU93" s="23"/>
      <c r="AV93" s="23"/>
      <c r="AW93" s="23" t="s">
        <v>690</v>
      </c>
      <c r="AX93" t="s">
        <v>691</v>
      </c>
      <c r="AY93" s="23"/>
      <c r="AZ93" s="23"/>
      <c r="BA93" s="23"/>
      <c r="BB93" s="32"/>
      <c r="BC93" s="73"/>
    </row>
    <row r="94" spans="1:55" x14ac:dyDescent="0.25">
      <c r="A94" s="22" t="s">
        <v>692</v>
      </c>
      <c r="B94" s="23" t="s">
        <v>449</v>
      </c>
      <c r="C94" s="23" t="s">
        <v>693</v>
      </c>
      <c r="D94" s="23" t="s">
        <v>694</v>
      </c>
      <c r="E94" s="24"/>
      <c r="F94" s="25"/>
      <c r="G94" s="23" t="s">
        <v>41</v>
      </c>
      <c r="H94" s="23"/>
      <c r="I94" s="2">
        <v>44564.401064814818</v>
      </c>
      <c r="J94" s="24">
        <f>MONTH(Tabla1[[#This Row],[Publicación]])</f>
        <v>1</v>
      </c>
      <c r="K94" s="24">
        <f>YEAR(Tabla1[[#This Row],[Publicación]])</f>
        <v>2022</v>
      </c>
      <c r="L94" s="2">
        <v>44574.666666666664</v>
      </c>
      <c r="M94" s="26">
        <v>44565</v>
      </c>
      <c r="N94" s="25" t="s">
        <v>10</v>
      </c>
      <c r="O94" s="24" t="s">
        <v>25</v>
      </c>
      <c r="P94" s="24" t="s">
        <v>10</v>
      </c>
      <c r="Q94" s="2">
        <v>44564.4375</v>
      </c>
      <c r="R94" s="2">
        <v>44568.5</v>
      </c>
      <c r="S94" s="26">
        <v>44592.75</v>
      </c>
      <c r="T94" s="27">
        <v>0</v>
      </c>
      <c r="U94" s="28">
        <f>Tabla1[[#This Row],[PPTO]]/(1+'Lista Datos'!$B$1)</f>
        <v>0</v>
      </c>
      <c r="V94" s="23"/>
      <c r="W94" s="18" t="s">
        <v>10</v>
      </c>
      <c r="X94" s="102"/>
      <c r="Y94" s="18" t="s">
        <v>146</v>
      </c>
      <c r="Z94" s="18" t="s">
        <v>10</v>
      </c>
      <c r="AA94" s="23"/>
      <c r="AB94" s="23"/>
      <c r="AC94" s="23"/>
      <c r="AD94" s="23"/>
      <c r="AE94" s="29">
        <f>Tabla1[[#This Row],[Cierre]]+Tabla1[[#This Row],[Vigencia Oferta (días)]]</f>
        <v>44574.666666666664</v>
      </c>
      <c r="AF94" s="87"/>
      <c r="AG94" s="28"/>
      <c r="AH94" s="164">
        <f>Tabla1[[#This Row],[Unidades2]]*Tabla1[[#This Row],[Precio Unitario]]</f>
        <v>0</v>
      </c>
      <c r="AI94" s="23" t="s">
        <v>44</v>
      </c>
      <c r="AJ94" s="26">
        <v>44595.413958333331</v>
      </c>
      <c r="AK94" s="172">
        <f>Tabla1[[#This Row],[Fecha Vigencia]]-AJ94</f>
        <v>-20.74729166666657</v>
      </c>
      <c r="AL94" s="23" t="s">
        <v>45</v>
      </c>
      <c r="AM94" s="87">
        <v>4856965</v>
      </c>
      <c r="AN94" s="23"/>
      <c r="AO94" s="29"/>
      <c r="AP94" s="23"/>
      <c r="AQ94" s="23" t="s">
        <v>299</v>
      </c>
      <c r="AR94" s="23" t="s">
        <v>10</v>
      </c>
      <c r="AS94" s="23"/>
      <c r="AT94" s="23"/>
      <c r="AU94" s="23"/>
      <c r="AV94" s="23"/>
      <c r="AW94" s="23" t="s">
        <v>451</v>
      </c>
      <c r="AX94" t="s">
        <v>452</v>
      </c>
      <c r="AY94" s="23"/>
      <c r="AZ94" s="23"/>
      <c r="BA94" s="23"/>
      <c r="BB94" s="32"/>
      <c r="BC94" s="73"/>
    </row>
    <row r="95" spans="1:55" ht="11.25" x14ac:dyDescent="0.2">
      <c r="A95" s="22" t="s">
        <v>695</v>
      </c>
      <c r="B95" s="23" t="s">
        <v>696</v>
      </c>
      <c r="C95" s="23"/>
      <c r="D95" s="23" t="s">
        <v>697</v>
      </c>
      <c r="E95" s="24"/>
      <c r="F95" s="25"/>
      <c r="G95" s="23" t="s">
        <v>16</v>
      </c>
      <c r="H95" s="23" t="s">
        <v>168</v>
      </c>
      <c r="I95" s="2">
        <v>44567.700694444444</v>
      </c>
      <c r="J95" s="24">
        <f>MONTH(Tabla1[[#This Row],[Publicación]])</f>
        <v>1</v>
      </c>
      <c r="K95" s="24">
        <f>YEAR(Tabla1[[#This Row],[Publicación]])</f>
        <v>2022</v>
      </c>
      <c r="L95" s="2">
        <v>44574.825694444444</v>
      </c>
      <c r="M95" s="26">
        <v>44572</v>
      </c>
      <c r="N95" s="25" t="s">
        <v>10</v>
      </c>
      <c r="O95" s="24" t="s">
        <v>25</v>
      </c>
      <c r="P95" s="24" t="s">
        <v>10</v>
      </c>
      <c r="Q95" s="2">
        <v>44567.700694444444</v>
      </c>
      <c r="R95" s="2">
        <v>44571.78402777778</v>
      </c>
      <c r="S95" s="26">
        <v>44578.65902777778</v>
      </c>
      <c r="T95" s="27">
        <v>0</v>
      </c>
      <c r="U95" s="28">
        <f>Tabla1[[#This Row],[PPTO]]/(1+'Lista Datos'!$B$1)</f>
        <v>0</v>
      </c>
      <c r="V95" s="23"/>
      <c r="W95" s="18" t="s">
        <v>10</v>
      </c>
      <c r="X95" s="102"/>
      <c r="Y95" s="18" t="s">
        <v>146</v>
      </c>
      <c r="Z95" s="18" t="s">
        <v>10</v>
      </c>
      <c r="AA95" s="23"/>
      <c r="AB95" s="23"/>
      <c r="AC95" s="23"/>
      <c r="AD95" s="23"/>
      <c r="AE95" s="29">
        <f>Tabla1[[#This Row],[Cierre]]+Tabla1[[#This Row],[Vigencia Oferta (días)]]</f>
        <v>44574.825694444444</v>
      </c>
      <c r="AF95" s="87"/>
      <c r="AG95" s="28"/>
      <c r="AH95" s="164">
        <f>Tabla1[[#This Row],[Unidades2]]*Tabla1[[#This Row],[Precio Unitario]]</f>
        <v>0</v>
      </c>
      <c r="AI95" s="23" t="s">
        <v>137</v>
      </c>
      <c r="AJ95" s="26"/>
      <c r="AK95" s="172">
        <f>Tabla1[[#This Row],[Fecha Vigencia]]-AJ95</f>
        <v>44574.825694444444</v>
      </c>
      <c r="AL95" s="23"/>
      <c r="AM95" s="87"/>
      <c r="AN95" s="23"/>
      <c r="AO95" s="29"/>
      <c r="AP95" s="23"/>
      <c r="AQ95" s="23" t="s">
        <v>698</v>
      </c>
      <c r="AR95" s="23" t="s">
        <v>10</v>
      </c>
      <c r="AS95" s="23"/>
      <c r="AT95" s="23"/>
      <c r="AU95" s="23"/>
      <c r="AV95" s="23"/>
      <c r="AW95" s="23"/>
      <c r="AX95" s="23"/>
      <c r="AY95" s="23"/>
      <c r="AZ95" s="23"/>
      <c r="BA95" s="23"/>
      <c r="BB95" s="32"/>
      <c r="BC95" s="73"/>
    </row>
    <row r="96" spans="1:55" x14ac:dyDescent="0.25">
      <c r="A96" s="22" t="s">
        <v>699</v>
      </c>
      <c r="B96" s="23" t="s">
        <v>700</v>
      </c>
      <c r="C96" s="23" t="s">
        <v>701</v>
      </c>
      <c r="D96" s="23" t="s">
        <v>702</v>
      </c>
      <c r="E96" s="24"/>
      <c r="F96" s="25"/>
      <c r="G96" s="23" t="s">
        <v>16</v>
      </c>
      <c r="H96" s="23" t="s">
        <v>168</v>
      </c>
      <c r="I96" s="2">
        <v>44567.654166666667</v>
      </c>
      <c r="J96" s="24">
        <f>MONTH(Tabla1[[#This Row],[Publicación]])</f>
        <v>1</v>
      </c>
      <c r="K96" s="24">
        <f>YEAR(Tabla1[[#This Row],[Publicación]])</f>
        <v>2022</v>
      </c>
      <c r="L96" s="2">
        <v>44575.375694444447</v>
      </c>
      <c r="M96" s="26">
        <v>44572</v>
      </c>
      <c r="N96" s="25" t="s">
        <v>10</v>
      </c>
      <c r="O96" s="24" t="s">
        <v>25</v>
      </c>
      <c r="P96" s="24" t="s">
        <v>10</v>
      </c>
      <c r="Q96" s="2">
        <v>44567.999305555553</v>
      </c>
      <c r="R96" s="2">
        <v>44574.354166666664</v>
      </c>
      <c r="S96" s="26">
        <v>44578.731944444444</v>
      </c>
      <c r="T96" s="27">
        <v>0</v>
      </c>
      <c r="U96" s="28">
        <f>Tabla1[[#This Row],[PPTO]]/(1+'Lista Datos'!$B$1)</f>
        <v>0</v>
      </c>
      <c r="V96" s="23"/>
      <c r="W96" s="18" t="s">
        <v>10</v>
      </c>
      <c r="X96" s="102"/>
      <c r="Y96" s="18" t="s">
        <v>146</v>
      </c>
      <c r="Z96" s="18" t="s">
        <v>10</v>
      </c>
      <c r="AA96" s="23"/>
      <c r="AB96" s="23"/>
      <c r="AC96" s="23"/>
      <c r="AD96" s="23"/>
      <c r="AE96" s="29">
        <f>Tabla1[[#This Row],[Cierre]]+Tabla1[[#This Row],[Vigencia Oferta (días)]]</f>
        <v>44575.375694444447</v>
      </c>
      <c r="AF96" s="87"/>
      <c r="AG96" s="28"/>
      <c r="AH96" s="164">
        <f>Tabla1[[#This Row],[Unidades2]]*Tabla1[[#This Row],[Precio Unitario]]</f>
        <v>0</v>
      </c>
      <c r="AI96" s="23" t="s">
        <v>44</v>
      </c>
      <c r="AJ96" s="26">
        <v>44581.706631944442</v>
      </c>
      <c r="AK96" s="172">
        <f>Tabla1[[#This Row],[Fecha Vigencia]]-AJ96</f>
        <v>-6.3309374999953434</v>
      </c>
      <c r="AL96" s="23" t="s">
        <v>45</v>
      </c>
      <c r="AM96" s="87">
        <v>4708399</v>
      </c>
      <c r="AN96" s="23" t="s">
        <v>703</v>
      </c>
      <c r="AO96" s="29" t="s">
        <v>704</v>
      </c>
      <c r="AP96" s="23"/>
      <c r="AQ96" s="23" t="s">
        <v>705</v>
      </c>
      <c r="AR96" s="23" t="s">
        <v>10</v>
      </c>
      <c r="AS96" s="23"/>
      <c r="AT96" s="23"/>
      <c r="AU96" s="23"/>
      <c r="AV96" s="23"/>
      <c r="AW96" s="23" t="s">
        <v>706</v>
      </c>
      <c r="AX96" t="s">
        <v>707</v>
      </c>
      <c r="AY96" s="23"/>
      <c r="AZ96" s="23"/>
      <c r="BA96" s="23"/>
      <c r="BB96" s="32"/>
      <c r="BC96" s="73"/>
    </row>
    <row r="97" spans="1:55" x14ac:dyDescent="0.25">
      <c r="A97" s="22" t="s">
        <v>708</v>
      </c>
      <c r="B97" s="23" t="s">
        <v>709</v>
      </c>
      <c r="C97" s="23" t="s">
        <v>710</v>
      </c>
      <c r="D97" s="23" t="s">
        <v>702</v>
      </c>
      <c r="E97" s="24"/>
      <c r="F97" s="25"/>
      <c r="G97" s="23" t="s">
        <v>16</v>
      </c>
      <c r="H97" s="23" t="s">
        <v>168</v>
      </c>
      <c r="I97" s="2">
        <v>44567.694444444445</v>
      </c>
      <c r="J97" s="24">
        <f>MONTH(Tabla1[[#This Row],[Publicación]])</f>
        <v>1</v>
      </c>
      <c r="K97" s="24">
        <f>YEAR(Tabla1[[#This Row],[Publicación]])</f>
        <v>2022</v>
      </c>
      <c r="L97" s="2">
        <v>44575.375694444447</v>
      </c>
      <c r="M97" s="26">
        <v>44572</v>
      </c>
      <c r="N97" s="25" t="s">
        <v>10</v>
      </c>
      <c r="O97" s="24" t="s">
        <v>25</v>
      </c>
      <c r="P97" s="24" t="s">
        <v>10</v>
      </c>
      <c r="Q97" s="2">
        <v>44567.999305555553</v>
      </c>
      <c r="R97" s="2">
        <v>44574.357638888891</v>
      </c>
      <c r="S97" s="26">
        <v>44588.772916666669</v>
      </c>
      <c r="T97" s="27">
        <v>0</v>
      </c>
      <c r="U97" s="28">
        <f>Tabla1[[#This Row],[PPTO]]/(1+'Lista Datos'!$B$1)</f>
        <v>0</v>
      </c>
      <c r="V97" s="23"/>
      <c r="W97" s="18" t="s">
        <v>10</v>
      </c>
      <c r="X97" s="102"/>
      <c r="Y97" s="18" t="s">
        <v>146</v>
      </c>
      <c r="Z97" s="18" t="s">
        <v>10</v>
      </c>
      <c r="AA97" s="23"/>
      <c r="AB97" s="23"/>
      <c r="AC97" s="23"/>
      <c r="AD97" s="23"/>
      <c r="AE97" s="29">
        <f>Tabla1[[#This Row],[Cierre]]+Tabla1[[#This Row],[Vigencia Oferta (días)]]</f>
        <v>44575.375694444447</v>
      </c>
      <c r="AF97" s="87"/>
      <c r="AG97" s="28"/>
      <c r="AH97" s="164">
        <f>Tabla1[[#This Row],[Unidades2]]*Tabla1[[#This Row],[Precio Unitario]]</f>
        <v>0</v>
      </c>
      <c r="AI97" s="23" t="s">
        <v>44</v>
      </c>
      <c r="AJ97" s="26">
        <v>44581.676168981481</v>
      </c>
      <c r="AK97" s="172">
        <f>Tabla1[[#This Row],[Fecha Vigencia]]-AJ97</f>
        <v>-6.3004745370344608</v>
      </c>
      <c r="AL97" s="23" t="s">
        <v>45</v>
      </c>
      <c r="AM97" s="87">
        <v>1708190</v>
      </c>
      <c r="AN97" s="23"/>
      <c r="AO97" s="29"/>
      <c r="AP97" s="23"/>
      <c r="AQ97" s="23" t="s">
        <v>705</v>
      </c>
      <c r="AR97" s="23" t="s">
        <v>10</v>
      </c>
      <c r="AS97" s="23"/>
      <c r="AT97" s="23"/>
      <c r="AU97" s="23"/>
      <c r="AV97" s="23"/>
      <c r="AW97" s="23" t="s">
        <v>706</v>
      </c>
      <c r="AX97" t="s">
        <v>707</v>
      </c>
      <c r="AY97" s="23"/>
      <c r="AZ97" s="23"/>
      <c r="BA97" s="23"/>
      <c r="BB97" s="32"/>
      <c r="BC97" s="73"/>
    </row>
    <row r="98" spans="1:55" x14ac:dyDescent="0.25">
      <c r="A98" s="22" t="s">
        <v>711</v>
      </c>
      <c r="B98" s="23" t="s">
        <v>712</v>
      </c>
      <c r="C98" s="23" t="s">
        <v>713</v>
      </c>
      <c r="D98" s="23" t="s">
        <v>714</v>
      </c>
      <c r="E98" s="24"/>
      <c r="F98" s="25"/>
      <c r="G98" s="23" t="s">
        <v>16</v>
      </c>
      <c r="H98" s="23" t="s">
        <v>533</v>
      </c>
      <c r="I98" s="2">
        <v>44565.709027777775</v>
      </c>
      <c r="J98" s="24">
        <f>MONTH(Tabla1[[#This Row],[Publicación]])</f>
        <v>1</v>
      </c>
      <c r="K98" s="24">
        <f>YEAR(Tabla1[[#This Row],[Publicación]])</f>
        <v>2022</v>
      </c>
      <c r="L98" s="2">
        <v>44578.628472222219</v>
      </c>
      <c r="M98" s="26">
        <v>44568</v>
      </c>
      <c r="N98" s="25" t="s">
        <v>10</v>
      </c>
      <c r="O98" s="24" t="s">
        <v>25</v>
      </c>
      <c r="P98" s="24" t="s">
        <v>10</v>
      </c>
      <c r="Q98" s="2">
        <v>44565.759027777778</v>
      </c>
      <c r="R98" s="2">
        <v>44568.759027777778</v>
      </c>
      <c r="S98" s="26">
        <v>44620.804166666669</v>
      </c>
      <c r="T98" s="27">
        <v>0</v>
      </c>
      <c r="U98" s="28">
        <f>Tabla1[[#This Row],[PPTO]]/(1+'Lista Datos'!$B$1)</f>
        <v>0</v>
      </c>
      <c r="V98" s="23"/>
      <c r="W98" s="18" t="s">
        <v>10</v>
      </c>
      <c r="X98" s="102"/>
      <c r="Y98" s="18" t="s">
        <v>146</v>
      </c>
      <c r="Z98" s="18" t="s">
        <v>10</v>
      </c>
      <c r="AA98" s="23"/>
      <c r="AB98" s="23"/>
      <c r="AC98" s="23"/>
      <c r="AD98" s="23"/>
      <c r="AE98" s="29">
        <f>Tabla1[[#This Row],[Cierre]]+Tabla1[[#This Row],[Vigencia Oferta (días)]]</f>
        <v>44578.628472222219</v>
      </c>
      <c r="AF98" s="87"/>
      <c r="AG98" s="28"/>
      <c r="AH98" s="164">
        <f>Tabla1[[#This Row],[Unidades2]]*Tabla1[[#This Row],[Precio Unitario]]</f>
        <v>0</v>
      </c>
      <c r="AI98" s="23" t="s">
        <v>44</v>
      </c>
      <c r="AJ98" s="26">
        <v>44586.496180555558</v>
      </c>
      <c r="AK98" s="172">
        <f>Tabla1[[#This Row],[Fecha Vigencia]]-AJ98</f>
        <v>-7.867708333338669</v>
      </c>
      <c r="AL98" s="23" t="s">
        <v>45</v>
      </c>
      <c r="AM98" s="87">
        <v>165405</v>
      </c>
      <c r="AN98" s="23"/>
      <c r="AO98" s="29"/>
      <c r="AP98" s="23"/>
      <c r="AQ98" s="23" t="s">
        <v>715</v>
      </c>
      <c r="AR98" s="23" t="s">
        <v>10</v>
      </c>
      <c r="AS98" s="33">
        <v>0.1</v>
      </c>
      <c r="AT98" s="29">
        <v>45382</v>
      </c>
      <c r="AU98" s="23"/>
      <c r="AV98" s="23"/>
      <c r="AW98" s="23" t="s">
        <v>716</v>
      </c>
      <c r="AX98" t="s">
        <v>717</v>
      </c>
      <c r="AY98" s="23"/>
      <c r="AZ98" s="23"/>
      <c r="BA98" s="23"/>
      <c r="BB98" s="32"/>
      <c r="BC98" s="73"/>
    </row>
    <row r="99" spans="1:55" x14ac:dyDescent="0.25">
      <c r="A99" s="22" t="s">
        <v>718</v>
      </c>
      <c r="B99" s="23" t="s">
        <v>719</v>
      </c>
      <c r="C99" s="23" t="s">
        <v>720</v>
      </c>
      <c r="D99" s="23" t="s">
        <v>136</v>
      </c>
      <c r="E99" s="24"/>
      <c r="F99" s="25"/>
      <c r="G99" s="23" t="s">
        <v>16</v>
      </c>
      <c r="H99" s="23" t="s">
        <v>123</v>
      </c>
      <c r="I99" s="2">
        <v>44572.454699074071</v>
      </c>
      <c r="J99" s="24">
        <f>MONTH(Tabla1[[#This Row],[Publicación]])</f>
        <v>1</v>
      </c>
      <c r="K99" s="24">
        <f>YEAR(Tabla1[[#This Row],[Publicación]])</f>
        <v>2022</v>
      </c>
      <c r="L99" s="2">
        <v>44578.666666666664</v>
      </c>
      <c r="M99" s="26">
        <v>44574</v>
      </c>
      <c r="N99" s="25" t="s">
        <v>11</v>
      </c>
      <c r="O99" s="24"/>
      <c r="P99" s="24" t="s">
        <v>11</v>
      </c>
      <c r="Q99" s="2">
        <v>44574.708333333336</v>
      </c>
      <c r="R99" s="2">
        <v>44575.708333333336</v>
      </c>
      <c r="S99" s="26">
        <v>44607.726388888892</v>
      </c>
      <c r="T99" s="27">
        <v>0</v>
      </c>
      <c r="U99" s="28">
        <f>Tabla1[[#This Row],[PPTO]]/(1+'Lista Datos'!$B$1)</f>
        <v>0</v>
      </c>
      <c r="V99" s="23"/>
      <c r="W99" s="18" t="s">
        <v>10</v>
      </c>
      <c r="X99" s="102"/>
      <c r="Y99" s="18" t="s">
        <v>146</v>
      </c>
      <c r="Z99" s="18" t="s">
        <v>10</v>
      </c>
      <c r="AA99" s="23" t="s">
        <v>177</v>
      </c>
      <c r="AB99" s="23">
        <v>24</v>
      </c>
      <c r="AC99" s="23" t="s">
        <v>10</v>
      </c>
      <c r="AD99" s="23"/>
      <c r="AE99" s="29">
        <f>Tabla1[[#This Row],[Cierre]]+Tabla1[[#This Row],[Vigencia Oferta (días)]]</f>
        <v>44578.666666666664</v>
      </c>
      <c r="AF99" s="87"/>
      <c r="AG99" s="28"/>
      <c r="AH99" s="164">
        <f>Tabla1[[#This Row],[Unidades2]]*Tabla1[[#This Row],[Precio Unitario]]</f>
        <v>0</v>
      </c>
      <c r="AI99" s="23" t="s">
        <v>44</v>
      </c>
      <c r="AJ99" s="26">
        <v>44607</v>
      </c>
      <c r="AK99" s="172">
        <f>Tabla1[[#This Row],[Fecha Vigencia]]-AJ99</f>
        <v>-28.333333333335759</v>
      </c>
      <c r="AL99" s="23" t="s">
        <v>115</v>
      </c>
      <c r="AM99" s="87">
        <v>21653376</v>
      </c>
      <c r="AN99" s="29">
        <v>44607</v>
      </c>
      <c r="AO99" s="29">
        <v>45337</v>
      </c>
      <c r="AP99" s="23" t="s">
        <v>177</v>
      </c>
      <c r="AQ99" s="23" t="s">
        <v>138</v>
      </c>
      <c r="AR99" s="23" t="s">
        <v>10</v>
      </c>
      <c r="AS99" s="23"/>
      <c r="AT99" s="23"/>
      <c r="AU99" s="23"/>
      <c r="AV99" s="23"/>
      <c r="AW99" s="23" t="s">
        <v>139</v>
      </c>
      <c r="AX99" t="s">
        <v>140</v>
      </c>
      <c r="AY99" s="23"/>
      <c r="AZ99" s="23"/>
      <c r="BA99" s="23"/>
      <c r="BB99" s="32"/>
      <c r="BC99" s="73"/>
    </row>
    <row r="100" spans="1:55" x14ac:dyDescent="0.25">
      <c r="A100" s="22" t="s">
        <v>721</v>
      </c>
      <c r="B100" s="23" t="s">
        <v>722</v>
      </c>
      <c r="C100" s="23" t="s">
        <v>723</v>
      </c>
      <c r="D100" s="23" t="s">
        <v>724</v>
      </c>
      <c r="E100" s="24"/>
      <c r="F100" s="25"/>
      <c r="G100" s="23" t="s">
        <v>16</v>
      </c>
      <c r="H100" s="23" t="s">
        <v>145</v>
      </c>
      <c r="I100" s="2">
        <v>44567.70689814815</v>
      </c>
      <c r="J100" s="24">
        <f>MONTH(Tabla1[[#This Row],[Publicación]])</f>
        <v>1</v>
      </c>
      <c r="K100" s="24">
        <f>YEAR(Tabla1[[#This Row],[Publicación]])</f>
        <v>2022</v>
      </c>
      <c r="L100" s="2">
        <v>44578.666666666664</v>
      </c>
      <c r="M100" s="26">
        <v>44572</v>
      </c>
      <c r="N100" s="25" t="s">
        <v>10</v>
      </c>
      <c r="O100" s="24" t="s">
        <v>25</v>
      </c>
      <c r="P100" s="24" t="s">
        <v>10</v>
      </c>
      <c r="Q100" s="2">
        <v>44571.666666666664</v>
      </c>
      <c r="R100" s="2">
        <v>44573.666666666664</v>
      </c>
      <c r="S100" s="26">
        <v>44593.666666666664</v>
      </c>
      <c r="T100" s="27">
        <v>0</v>
      </c>
      <c r="U100" s="28">
        <f>Tabla1[[#This Row],[PPTO]]/(1+'Lista Datos'!$B$1)</f>
        <v>0</v>
      </c>
      <c r="V100" s="23"/>
      <c r="W100" s="18" t="s">
        <v>10</v>
      </c>
      <c r="X100" s="102"/>
      <c r="Y100" s="18" t="s">
        <v>146</v>
      </c>
      <c r="Z100" s="18" t="s">
        <v>10</v>
      </c>
      <c r="AA100" s="23"/>
      <c r="AB100" s="23"/>
      <c r="AC100" s="23"/>
      <c r="AD100" s="23"/>
      <c r="AE100" s="29">
        <f>Tabla1[[#This Row],[Cierre]]+Tabla1[[#This Row],[Vigencia Oferta (días)]]</f>
        <v>44578.666666666664</v>
      </c>
      <c r="AF100" s="87"/>
      <c r="AG100" s="28"/>
      <c r="AH100" s="164">
        <f>Tabla1[[#This Row],[Unidades2]]*Tabla1[[#This Row],[Precio Unitario]]</f>
        <v>0</v>
      </c>
      <c r="AI100" s="23" t="s">
        <v>137</v>
      </c>
      <c r="AJ100" s="26"/>
      <c r="AK100" s="172">
        <f>Tabla1[[#This Row],[Fecha Vigencia]]-AJ100</f>
        <v>44578.666666666664</v>
      </c>
      <c r="AL100" s="23"/>
      <c r="AM100" s="87"/>
      <c r="AN100" s="23"/>
      <c r="AO100" s="29"/>
      <c r="AP100" s="23"/>
      <c r="AQ100" s="23" t="s">
        <v>725</v>
      </c>
      <c r="AR100" s="23" t="s">
        <v>11</v>
      </c>
      <c r="AS100" s="33">
        <v>0.05</v>
      </c>
      <c r="AT100" s="29">
        <v>44985</v>
      </c>
      <c r="AU100" s="23"/>
      <c r="AV100" s="23"/>
      <c r="AW100" s="23" t="s">
        <v>726</v>
      </c>
      <c r="AX100" t="s">
        <v>727</v>
      </c>
      <c r="AY100" s="23"/>
      <c r="AZ100" s="23"/>
      <c r="BA100" s="23"/>
      <c r="BB100" s="32"/>
      <c r="BC100" s="73"/>
    </row>
    <row r="101" spans="1:55" x14ac:dyDescent="0.25">
      <c r="A101" s="22" t="s">
        <v>728</v>
      </c>
      <c r="B101" s="23" t="s">
        <v>729</v>
      </c>
      <c r="C101" s="23" t="s">
        <v>730</v>
      </c>
      <c r="D101" s="23" t="s">
        <v>731</v>
      </c>
      <c r="E101" s="24"/>
      <c r="F101" s="25"/>
      <c r="G101" s="23" t="s">
        <v>16</v>
      </c>
      <c r="H101" s="23" t="s">
        <v>145</v>
      </c>
      <c r="I101" s="2">
        <v>44571.661076388889</v>
      </c>
      <c r="J101" s="24">
        <f>MONTH(Tabla1[[#This Row],[Publicación]])</f>
        <v>1</v>
      </c>
      <c r="K101" s="24">
        <f>YEAR(Tabla1[[#This Row],[Publicación]])</f>
        <v>2022</v>
      </c>
      <c r="L101" s="2">
        <v>44578.734722222223</v>
      </c>
      <c r="M101" s="26">
        <v>44574</v>
      </c>
      <c r="N101" s="25" t="s">
        <v>10</v>
      </c>
      <c r="O101" s="24" t="s">
        <v>25</v>
      </c>
      <c r="P101" s="24" t="s">
        <v>10</v>
      </c>
      <c r="Q101" s="2">
        <v>44574.694444444445</v>
      </c>
      <c r="R101" s="2">
        <v>44575.818055555559</v>
      </c>
      <c r="S101" s="26">
        <v>44582.73541666667</v>
      </c>
      <c r="T101" s="27">
        <v>0</v>
      </c>
      <c r="U101" s="28">
        <f>Tabla1[[#This Row],[PPTO]]/(1+'Lista Datos'!$B$1)</f>
        <v>0</v>
      </c>
      <c r="V101" s="23"/>
      <c r="W101" s="18" t="s">
        <v>10</v>
      </c>
      <c r="X101" s="102"/>
      <c r="Y101" s="18" t="s">
        <v>146</v>
      </c>
      <c r="Z101" s="18" t="s">
        <v>10</v>
      </c>
      <c r="AA101" s="23"/>
      <c r="AB101" s="23"/>
      <c r="AC101" s="23"/>
      <c r="AD101" s="23"/>
      <c r="AE101" s="29">
        <f>Tabla1[[#This Row],[Cierre]]+Tabla1[[#This Row],[Vigencia Oferta (días)]]</f>
        <v>44578.734722222223</v>
      </c>
      <c r="AF101" s="87"/>
      <c r="AG101" s="28"/>
      <c r="AH101" s="164">
        <f>Tabla1[[#This Row],[Unidades2]]*Tabla1[[#This Row],[Precio Unitario]]</f>
        <v>0</v>
      </c>
      <c r="AI101" s="23" t="s">
        <v>137</v>
      </c>
      <c r="AJ101" s="26"/>
      <c r="AK101" s="172">
        <f>Tabla1[[#This Row],[Fecha Vigencia]]-AJ101</f>
        <v>44578.734722222223</v>
      </c>
      <c r="AL101" s="23"/>
      <c r="AM101" s="87"/>
      <c r="AN101" s="23"/>
      <c r="AO101" s="29"/>
      <c r="AP101" s="23"/>
      <c r="AQ101" s="23" t="s">
        <v>732</v>
      </c>
      <c r="AR101" s="23" t="s">
        <v>10</v>
      </c>
      <c r="AS101" s="23"/>
      <c r="AT101" s="23"/>
      <c r="AU101" s="23"/>
      <c r="AV101" s="23"/>
      <c r="AW101" s="23" t="s">
        <v>733</v>
      </c>
      <c r="AX101" t="s">
        <v>734</v>
      </c>
      <c r="AY101" s="23"/>
      <c r="AZ101" s="23"/>
      <c r="BA101" s="23"/>
      <c r="BB101" s="32"/>
      <c r="BC101" s="73"/>
    </row>
    <row r="102" spans="1:55" x14ac:dyDescent="0.25">
      <c r="A102" s="22" t="s">
        <v>735</v>
      </c>
      <c r="B102" s="23" t="s">
        <v>736</v>
      </c>
      <c r="C102" s="23" t="s">
        <v>737</v>
      </c>
      <c r="D102" s="23" t="s">
        <v>738</v>
      </c>
      <c r="E102" s="24"/>
      <c r="F102" s="25"/>
      <c r="G102" s="23" t="s">
        <v>41</v>
      </c>
      <c r="H102" s="23" t="s">
        <v>240</v>
      </c>
      <c r="I102" s="2">
        <v>44565.748032407406</v>
      </c>
      <c r="J102" s="24">
        <f>MONTH(Tabla1[[#This Row],[Publicación]])</f>
        <v>1</v>
      </c>
      <c r="K102" s="24">
        <f>YEAR(Tabla1[[#This Row],[Publicación]])</f>
        <v>2022</v>
      </c>
      <c r="L102" s="2">
        <v>44578.770833333336</v>
      </c>
      <c r="M102" s="26">
        <v>44565</v>
      </c>
      <c r="N102" s="25" t="s">
        <v>11</v>
      </c>
      <c r="O102" s="24"/>
      <c r="P102" s="24" t="s">
        <v>11</v>
      </c>
      <c r="Q102" s="2">
        <v>44565.792361111111</v>
      </c>
      <c r="R102" s="2">
        <v>44573.791666666664</v>
      </c>
      <c r="S102" s="26">
        <v>44621.770833333336</v>
      </c>
      <c r="T102" s="27">
        <v>16500000</v>
      </c>
      <c r="U102" s="28">
        <f>Tabla1[[#This Row],[PPTO]]/(1+'Lista Datos'!$B$1)</f>
        <v>13865546.218487395</v>
      </c>
      <c r="V102" s="23"/>
      <c r="W102" s="18" t="s">
        <v>10</v>
      </c>
      <c r="X102" s="102"/>
      <c r="Y102" s="18" t="s">
        <v>146</v>
      </c>
      <c r="Z102" s="18" t="s">
        <v>10</v>
      </c>
      <c r="AA102" s="23" t="s">
        <v>177</v>
      </c>
      <c r="AB102" s="23">
        <v>12</v>
      </c>
      <c r="AC102" s="23" t="s">
        <v>10</v>
      </c>
      <c r="AD102" s="23"/>
      <c r="AE102" s="29">
        <f>Tabla1[[#This Row],[Cierre]]+Tabla1[[#This Row],[Vigencia Oferta (días)]]</f>
        <v>44578.770833333336</v>
      </c>
      <c r="AF102" s="87"/>
      <c r="AG102" s="28"/>
      <c r="AH102" s="164">
        <f>Tabla1[[#This Row],[Unidades2]]*Tabla1[[#This Row],[Precio Unitario]]</f>
        <v>0</v>
      </c>
      <c r="AI102" s="23" t="s">
        <v>320</v>
      </c>
      <c r="AJ102" s="26"/>
      <c r="AK102" s="172">
        <f>Tabla1[[#This Row],[Fecha Vigencia]]-AJ102</f>
        <v>44578.770833333336</v>
      </c>
      <c r="AL102" s="23"/>
      <c r="AM102" s="87"/>
      <c r="AN102" s="23"/>
      <c r="AO102" s="29"/>
      <c r="AP102" s="23"/>
      <c r="AQ102" s="23" t="s">
        <v>739</v>
      </c>
      <c r="AR102" s="23" t="s">
        <v>11</v>
      </c>
      <c r="AS102" s="33">
        <v>0.05</v>
      </c>
      <c r="AT102" s="23"/>
      <c r="AU102" s="23"/>
      <c r="AV102" s="23"/>
      <c r="AW102" s="23" t="s">
        <v>740</v>
      </c>
      <c r="AX102" t="s">
        <v>741</v>
      </c>
      <c r="AY102" s="23"/>
      <c r="AZ102" s="23"/>
      <c r="BA102" s="23"/>
      <c r="BB102" s="32"/>
      <c r="BC102" s="73"/>
    </row>
    <row r="103" spans="1:55" x14ac:dyDescent="0.25">
      <c r="A103" s="22" t="s">
        <v>742</v>
      </c>
      <c r="B103" s="23" t="s">
        <v>743</v>
      </c>
      <c r="C103" s="23" t="s">
        <v>744</v>
      </c>
      <c r="D103" s="23" t="s">
        <v>744</v>
      </c>
      <c r="E103" s="24"/>
      <c r="F103" s="25"/>
      <c r="G103" s="23" t="s">
        <v>16</v>
      </c>
      <c r="H103" s="23" t="s">
        <v>123</v>
      </c>
      <c r="I103" s="2">
        <v>44568.665347222224</v>
      </c>
      <c r="J103" s="24">
        <f>MONTH(Tabla1[[#This Row],[Publicación]])</f>
        <v>1</v>
      </c>
      <c r="K103" s="24">
        <f>YEAR(Tabla1[[#This Row],[Publicación]])</f>
        <v>2022</v>
      </c>
      <c r="L103" s="2">
        <v>44579.625</v>
      </c>
      <c r="M103" s="26">
        <v>44571</v>
      </c>
      <c r="N103" s="25" t="s">
        <v>10</v>
      </c>
      <c r="O103" s="24" t="s">
        <v>25</v>
      </c>
      <c r="P103" s="24" t="s">
        <v>10</v>
      </c>
      <c r="Q103" s="2">
        <v>44573.416666666664</v>
      </c>
      <c r="R103" s="2">
        <v>44575.458333333336</v>
      </c>
      <c r="S103" s="26">
        <v>44603.666666666664</v>
      </c>
      <c r="T103" s="27">
        <v>0</v>
      </c>
      <c r="U103" s="28">
        <f>Tabla1[[#This Row],[PPTO]]/(1+'Lista Datos'!$B$1)</f>
        <v>0</v>
      </c>
      <c r="V103" s="23"/>
      <c r="W103" s="18" t="s">
        <v>10</v>
      </c>
      <c r="X103" s="102"/>
      <c r="Y103" s="18" t="s">
        <v>146</v>
      </c>
      <c r="Z103" s="18" t="s">
        <v>10</v>
      </c>
      <c r="AA103" s="23"/>
      <c r="AB103" s="23"/>
      <c r="AC103" s="23"/>
      <c r="AD103" s="23"/>
      <c r="AE103" s="29">
        <f>Tabla1[[#This Row],[Cierre]]+Tabla1[[#This Row],[Vigencia Oferta (días)]]</f>
        <v>44579.625</v>
      </c>
      <c r="AF103" s="87"/>
      <c r="AG103" s="28"/>
      <c r="AH103" s="164">
        <f>Tabla1[[#This Row],[Unidades2]]*Tabla1[[#This Row],[Precio Unitario]]</f>
        <v>0</v>
      </c>
      <c r="AI103" s="23" t="s">
        <v>44</v>
      </c>
      <c r="AJ103" s="26">
        <v>44603</v>
      </c>
      <c r="AK103" s="172">
        <f>Tabla1[[#This Row],[Fecha Vigencia]]-AJ103</f>
        <v>-23.375</v>
      </c>
      <c r="AL103" s="23" t="s">
        <v>46</v>
      </c>
      <c r="AM103" s="87">
        <v>28361331</v>
      </c>
      <c r="AN103" s="23"/>
      <c r="AO103" s="29"/>
      <c r="AP103" s="23"/>
      <c r="AQ103" s="23" t="s">
        <v>583</v>
      </c>
      <c r="AR103" s="23" t="s">
        <v>11</v>
      </c>
      <c r="AS103" s="33">
        <v>0.05</v>
      </c>
      <c r="AT103" s="29">
        <v>45016</v>
      </c>
      <c r="AU103" s="23"/>
      <c r="AV103" s="23"/>
      <c r="AW103" s="23" t="s">
        <v>745</v>
      </c>
      <c r="AX103" t="s">
        <v>746</v>
      </c>
      <c r="AY103" s="23"/>
      <c r="AZ103" s="23"/>
      <c r="BA103" s="23"/>
      <c r="BB103" s="32"/>
      <c r="BC103" s="73"/>
    </row>
    <row r="104" spans="1:55" x14ac:dyDescent="0.25">
      <c r="A104" s="22" t="s">
        <v>747</v>
      </c>
      <c r="B104" s="23" t="s">
        <v>673</v>
      </c>
      <c r="C104" s="23" t="s">
        <v>748</v>
      </c>
      <c r="D104" s="23" t="s">
        <v>675</v>
      </c>
      <c r="E104" s="24"/>
      <c r="F104" s="25"/>
      <c r="G104" s="23" t="s">
        <v>16</v>
      </c>
      <c r="H104" s="23" t="s">
        <v>533</v>
      </c>
      <c r="I104" s="2">
        <v>44571.726944444446</v>
      </c>
      <c r="J104" s="24">
        <f>MONTH(Tabla1[[#This Row],[Publicación]])</f>
        <v>1</v>
      </c>
      <c r="K104" s="24">
        <f>YEAR(Tabla1[[#This Row],[Publicación]])</f>
        <v>2022</v>
      </c>
      <c r="L104" s="2">
        <v>44581.694444444445</v>
      </c>
      <c r="M104" s="26">
        <v>44572</v>
      </c>
      <c r="N104" s="25" t="s">
        <v>10</v>
      </c>
      <c r="O104" s="24" t="s">
        <v>25</v>
      </c>
      <c r="P104" s="24" t="s">
        <v>10</v>
      </c>
      <c r="Q104" s="2">
        <v>44571.831250000003</v>
      </c>
      <c r="R104" s="2">
        <v>44575.831250000003</v>
      </c>
      <c r="S104" s="26">
        <v>44592.737500000003</v>
      </c>
      <c r="T104" s="27">
        <v>0</v>
      </c>
      <c r="U104" s="28">
        <f>Tabla1[[#This Row],[PPTO]]/(1+'Lista Datos'!$B$1)</f>
        <v>0</v>
      </c>
      <c r="V104" s="23"/>
      <c r="W104" s="18" t="s">
        <v>10</v>
      </c>
      <c r="X104" s="102"/>
      <c r="Y104" s="18" t="s">
        <v>146</v>
      </c>
      <c r="Z104" s="18" t="s">
        <v>10</v>
      </c>
      <c r="AA104" s="23"/>
      <c r="AB104" s="23"/>
      <c r="AC104" s="23"/>
      <c r="AD104" s="23"/>
      <c r="AE104" s="29">
        <f>Tabla1[[#This Row],[Cierre]]+Tabla1[[#This Row],[Vigencia Oferta (días)]]</f>
        <v>44581.694444444445</v>
      </c>
      <c r="AF104" s="87"/>
      <c r="AG104" s="28"/>
      <c r="AH104" s="164">
        <f>Tabla1[[#This Row],[Unidades2]]*Tabla1[[#This Row],[Precio Unitario]]</f>
        <v>0</v>
      </c>
      <c r="AI104" s="23" t="s">
        <v>44</v>
      </c>
      <c r="AJ104" s="26">
        <v>44599.531678240739</v>
      </c>
      <c r="AK104" s="172">
        <f>Tabla1[[#This Row],[Fecha Vigencia]]-AJ104</f>
        <v>-17.837233796293731</v>
      </c>
      <c r="AL104" s="23" t="s">
        <v>45</v>
      </c>
      <c r="AM104" s="87">
        <v>23772144</v>
      </c>
      <c r="AN104" s="23"/>
      <c r="AO104" s="29"/>
      <c r="AP104" s="23"/>
      <c r="AQ104" s="23" t="s">
        <v>676</v>
      </c>
      <c r="AR104" s="23" t="s">
        <v>10</v>
      </c>
      <c r="AS104" s="23"/>
      <c r="AT104" s="23"/>
      <c r="AU104" s="23"/>
      <c r="AV104" s="23"/>
      <c r="AW104" s="23" t="s">
        <v>677</v>
      </c>
      <c r="AX104" t="s">
        <v>678</v>
      </c>
      <c r="AY104" s="23"/>
      <c r="AZ104" s="23"/>
      <c r="BA104" s="23"/>
      <c r="BB104" s="32"/>
      <c r="BC104" s="73"/>
    </row>
    <row r="105" spans="1:55" x14ac:dyDescent="0.25">
      <c r="A105" s="22" t="s">
        <v>749</v>
      </c>
      <c r="B105" s="23" t="s">
        <v>750</v>
      </c>
      <c r="C105" s="23" t="s">
        <v>751</v>
      </c>
      <c r="D105" s="23" t="s">
        <v>752</v>
      </c>
      <c r="E105" s="24"/>
      <c r="F105" s="25"/>
      <c r="G105" s="23" t="s">
        <v>20</v>
      </c>
      <c r="H105" s="23" t="s">
        <v>176</v>
      </c>
      <c r="I105" s="2">
        <v>44575.494444444441</v>
      </c>
      <c r="J105" s="24">
        <f>MONTH(Tabla1[[#This Row],[Publicación]])</f>
        <v>1</v>
      </c>
      <c r="K105" s="24">
        <f>YEAR(Tabla1[[#This Row],[Publicación]])</f>
        <v>2022</v>
      </c>
      <c r="L105" s="2">
        <v>44582.458333333336</v>
      </c>
      <c r="M105" s="26">
        <v>44575.765277777777</v>
      </c>
      <c r="N105" s="25" t="s">
        <v>10</v>
      </c>
      <c r="O105" s="24" t="s">
        <v>33</v>
      </c>
      <c r="P105" s="24" t="s">
        <v>10</v>
      </c>
      <c r="Q105" s="2">
        <v>44578.625</v>
      </c>
      <c r="R105" s="2">
        <v>44578.631944444445</v>
      </c>
      <c r="S105" s="26">
        <v>44595.666666666664</v>
      </c>
      <c r="T105" s="27">
        <v>0</v>
      </c>
      <c r="U105" s="28">
        <f>Tabla1[[#This Row],[PPTO]]/(1+'Lista Datos'!$B$1)</f>
        <v>0</v>
      </c>
      <c r="V105" s="23"/>
      <c r="W105" s="18" t="s">
        <v>10</v>
      </c>
      <c r="X105" s="102"/>
      <c r="Y105" s="18" t="s">
        <v>146</v>
      </c>
      <c r="Z105" s="18" t="s">
        <v>10</v>
      </c>
      <c r="AA105" s="23" t="s">
        <v>177</v>
      </c>
      <c r="AB105" s="23"/>
      <c r="AC105" s="23" t="s">
        <v>10</v>
      </c>
      <c r="AD105" s="23"/>
      <c r="AE105" s="29">
        <f>Tabla1[[#This Row],[Cierre]]+Tabla1[[#This Row],[Vigencia Oferta (días)]]</f>
        <v>44582.458333333336</v>
      </c>
      <c r="AF105" s="87"/>
      <c r="AG105" s="28"/>
      <c r="AH105" s="164">
        <f>Tabla1[[#This Row],[Unidades2]]*Tabla1[[#This Row],[Precio Unitario]]</f>
        <v>0</v>
      </c>
      <c r="AI105" s="23" t="s">
        <v>320</v>
      </c>
      <c r="AJ105" s="26"/>
      <c r="AK105" s="172">
        <f>Tabla1[[#This Row],[Fecha Vigencia]]-AJ105</f>
        <v>44582.458333333336</v>
      </c>
      <c r="AL105" s="23"/>
      <c r="AM105" s="87"/>
      <c r="AN105" s="23"/>
      <c r="AO105" s="29"/>
      <c r="AP105" s="23"/>
      <c r="AQ105" s="23" t="s">
        <v>749</v>
      </c>
      <c r="AR105" s="23" t="s">
        <v>10</v>
      </c>
      <c r="AS105" s="23"/>
      <c r="AT105" s="23"/>
      <c r="AU105" s="23"/>
      <c r="AV105" s="23"/>
      <c r="AW105" s="23" t="s">
        <v>753</v>
      </c>
      <c r="AX105" t="s">
        <v>754</v>
      </c>
      <c r="AY105" s="23"/>
      <c r="AZ105" s="23"/>
      <c r="BA105" s="23"/>
      <c r="BB105" s="32"/>
      <c r="BC105" s="73"/>
    </row>
    <row r="106" spans="1:55" x14ac:dyDescent="0.25">
      <c r="A106" s="22" t="s">
        <v>755</v>
      </c>
      <c r="B106" s="23" t="s">
        <v>756</v>
      </c>
      <c r="C106" s="23" t="s">
        <v>757</v>
      </c>
      <c r="D106" s="23" t="s">
        <v>758</v>
      </c>
      <c r="E106" s="24"/>
      <c r="F106" s="25"/>
      <c r="G106" s="23" t="s">
        <v>16</v>
      </c>
      <c r="H106" s="23" t="s">
        <v>533</v>
      </c>
      <c r="I106" s="2">
        <v>44578.526412037034</v>
      </c>
      <c r="J106" s="24">
        <f>MONTH(Tabla1[[#This Row],[Publicación]])</f>
        <v>1</v>
      </c>
      <c r="K106" s="24">
        <f>YEAR(Tabla1[[#This Row],[Publicación]])</f>
        <v>2022</v>
      </c>
      <c r="L106" s="2">
        <v>44585.625</v>
      </c>
      <c r="M106" s="26">
        <v>44581</v>
      </c>
      <c r="N106" s="25" t="s">
        <v>10</v>
      </c>
      <c r="O106" s="24" t="s">
        <v>25</v>
      </c>
      <c r="P106" s="24" t="s">
        <v>10</v>
      </c>
      <c r="Q106" s="2">
        <v>44581.625</v>
      </c>
      <c r="R106" s="2">
        <v>44582.625</v>
      </c>
      <c r="S106" s="26">
        <v>44586.625694444447</v>
      </c>
      <c r="T106" s="27">
        <v>0</v>
      </c>
      <c r="U106" s="28">
        <f>Tabla1[[#This Row],[PPTO]]/(1+'Lista Datos'!$B$1)</f>
        <v>0</v>
      </c>
      <c r="V106" s="23"/>
      <c r="W106" s="18" t="s">
        <v>10</v>
      </c>
      <c r="X106" s="102"/>
      <c r="Y106" s="18" t="s">
        <v>146</v>
      </c>
      <c r="Z106" s="18" t="s">
        <v>10</v>
      </c>
      <c r="AA106" s="23"/>
      <c r="AB106" s="23"/>
      <c r="AC106" s="23"/>
      <c r="AD106" s="23"/>
      <c r="AE106" s="29">
        <f>Tabla1[[#This Row],[Cierre]]+Tabla1[[#This Row],[Vigencia Oferta (días)]]</f>
        <v>44585.625</v>
      </c>
      <c r="AF106" s="87"/>
      <c r="AG106" s="28"/>
      <c r="AH106" s="164">
        <f>Tabla1[[#This Row],[Unidades2]]*Tabla1[[#This Row],[Precio Unitario]]</f>
        <v>0</v>
      </c>
      <c r="AI106" s="23" t="s">
        <v>44</v>
      </c>
      <c r="AJ106" s="26">
        <v>44588</v>
      </c>
      <c r="AK106" s="172">
        <f>Tabla1[[#This Row],[Fecha Vigencia]]-AJ106</f>
        <v>-2.375</v>
      </c>
      <c r="AL106" s="23" t="s">
        <v>45</v>
      </c>
      <c r="AM106" s="87">
        <v>80795</v>
      </c>
      <c r="AN106" s="23"/>
      <c r="AO106" s="29"/>
      <c r="AP106" s="23"/>
      <c r="AQ106" s="23" t="s">
        <v>759</v>
      </c>
      <c r="AR106" s="23" t="s">
        <v>10</v>
      </c>
      <c r="AS106" s="23"/>
      <c r="AT106" s="23"/>
      <c r="AU106" s="23"/>
      <c r="AV106" s="23"/>
      <c r="AW106" s="23" t="s">
        <v>760</v>
      </c>
      <c r="AX106" t="s">
        <v>761</v>
      </c>
      <c r="AY106" s="23"/>
      <c r="AZ106" s="23"/>
      <c r="BA106" s="23"/>
      <c r="BB106" s="32"/>
      <c r="BC106" s="73"/>
    </row>
    <row r="107" spans="1:55" x14ac:dyDescent="0.25">
      <c r="A107" s="22" t="s">
        <v>762</v>
      </c>
      <c r="B107" s="23" t="s">
        <v>763</v>
      </c>
      <c r="C107" s="23" t="s">
        <v>764</v>
      </c>
      <c r="D107" s="23" t="s">
        <v>113</v>
      </c>
      <c r="E107" s="24"/>
      <c r="F107" s="25"/>
      <c r="G107" s="23" t="s">
        <v>41</v>
      </c>
      <c r="H107" s="23" t="s">
        <v>298</v>
      </c>
      <c r="I107" s="2">
        <v>44574.711180555554</v>
      </c>
      <c r="J107" s="24">
        <f>MONTH(Tabla1[[#This Row],[Publicación]])</f>
        <v>1</v>
      </c>
      <c r="K107" s="24">
        <f>YEAR(Tabla1[[#This Row],[Publicación]])</f>
        <v>2022</v>
      </c>
      <c r="L107" s="2">
        <v>44585.791666666664</v>
      </c>
      <c r="M107" s="26">
        <v>44575</v>
      </c>
      <c r="N107" s="25" t="s">
        <v>10</v>
      </c>
      <c r="O107" s="24" t="s">
        <v>25</v>
      </c>
      <c r="P107" s="24" t="s">
        <v>10</v>
      </c>
      <c r="Q107" s="2">
        <v>44578.75</v>
      </c>
      <c r="R107" s="2">
        <v>44581.75</v>
      </c>
      <c r="S107" s="26">
        <v>44705.75</v>
      </c>
      <c r="T107" s="27">
        <v>0</v>
      </c>
      <c r="U107" s="28">
        <f>Tabla1[[#This Row],[PPTO]]/(1+'Lista Datos'!$B$1)</f>
        <v>0</v>
      </c>
      <c r="V107" s="23"/>
      <c r="W107" s="18" t="s">
        <v>10</v>
      </c>
      <c r="X107" s="102"/>
      <c r="Y107" s="18" t="s">
        <v>146</v>
      </c>
      <c r="Z107" s="18" t="s">
        <v>10</v>
      </c>
      <c r="AA107" s="23"/>
      <c r="AB107" s="23"/>
      <c r="AC107" s="23"/>
      <c r="AD107" s="23"/>
      <c r="AE107" s="29">
        <f>Tabla1[[#This Row],[Cierre]]+Tabla1[[#This Row],[Vigencia Oferta (días)]]</f>
        <v>44585.791666666664</v>
      </c>
      <c r="AF107" s="87"/>
      <c r="AG107" s="28"/>
      <c r="AH107" s="164">
        <f>Tabla1[[#This Row],[Unidades2]]*Tabla1[[#This Row],[Precio Unitario]]</f>
        <v>0</v>
      </c>
      <c r="AI107" s="23" t="s">
        <v>320</v>
      </c>
      <c r="AJ107" s="26"/>
      <c r="AK107" s="172">
        <f>Tabla1[[#This Row],[Fecha Vigencia]]-AJ107</f>
        <v>44585.791666666664</v>
      </c>
      <c r="AL107" s="23"/>
      <c r="AM107" s="87"/>
      <c r="AN107" s="23"/>
      <c r="AO107" s="29"/>
      <c r="AP107" s="23"/>
      <c r="AQ107" s="23" t="s">
        <v>116</v>
      </c>
      <c r="AR107" s="23" t="s">
        <v>10</v>
      </c>
      <c r="AS107" s="23"/>
      <c r="AT107" s="23"/>
      <c r="AU107" s="23"/>
      <c r="AV107" s="23"/>
      <c r="AW107" s="23" t="s">
        <v>765</v>
      </c>
      <c r="AX107" t="s">
        <v>766</v>
      </c>
      <c r="AY107" s="23"/>
      <c r="AZ107" s="23"/>
      <c r="BA107" s="23"/>
      <c r="BB107" s="32"/>
      <c r="BC107" s="73"/>
    </row>
    <row r="108" spans="1:55" x14ac:dyDescent="0.25">
      <c r="A108" s="22" t="s">
        <v>767</v>
      </c>
      <c r="B108" s="23" t="s">
        <v>768</v>
      </c>
      <c r="C108" s="23" t="s">
        <v>769</v>
      </c>
      <c r="D108" s="23" t="s">
        <v>770</v>
      </c>
      <c r="E108" s="24"/>
      <c r="F108" s="25"/>
      <c r="G108" s="23" t="s">
        <v>21</v>
      </c>
      <c r="H108" s="23" t="s">
        <v>106</v>
      </c>
      <c r="I108" s="2">
        <v>44571.755844907406</v>
      </c>
      <c r="J108" s="24">
        <f>MONTH(Tabla1[[#This Row],[Publicación]])</f>
        <v>1</v>
      </c>
      <c r="K108" s="24">
        <f>YEAR(Tabla1[[#This Row],[Publicación]])</f>
        <v>2022</v>
      </c>
      <c r="L108" s="2">
        <v>44587.416666666664</v>
      </c>
      <c r="M108" s="26">
        <v>44574</v>
      </c>
      <c r="N108" s="25" t="s">
        <v>10</v>
      </c>
      <c r="O108" s="24" t="s">
        <v>27</v>
      </c>
      <c r="P108" s="24" t="s">
        <v>10</v>
      </c>
      <c r="Q108" s="2">
        <v>44574.375</v>
      </c>
      <c r="R108" s="2">
        <v>44575.708333333336</v>
      </c>
      <c r="S108" s="26">
        <v>44712.416666666664</v>
      </c>
      <c r="T108" s="27">
        <v>0</v>
      </c>
      <c r="U108" s="28">
        <f>Tabla1[[#This Row],[PPTO]]/(1+'Lista Datos'!$B$1)</f>
        <v>0</v>
      </c>
      <c r="V108" s="23"/>
      <c r="W108" s="18" t="s">
        <v>10</v>
      </c>
      <c r="X108" s="102"/>
      <c r="Y108" s="18" t="s">
        <v>146</v>
      </c>
      <c r="Z108" s="18" t="s">
        <v>10</v>
      </c>
      <c r="AA108" s="23"/>
      <c r="AB108" s="23"/>
      <c r="AC108" s="23"/>
      <c r="AD108" s="23"/>
      <c r="AE108" s="29">
        <f>Tabla1[[#This Row],[Cierre]]+Tabla1[[#This Row],[Vigencia Oferta (días)]]</f>
        <v>44587.416666666664</v>
      </c>
      <c r="AF108" s="87"/>
      <c r="AG108" s="28"/>
      <c r="AH108" s="164">
        <f>Tabla1[[#This Row],[Unidades2]]*Tabla1[[#This Row],[Precio Unitario]]</f>
        <v>0</v>
      </c>
      <c r="AI108" s="23" t="s">
        <v>44</v>
      </c>
      <c r="AJ108" s="26">
        <v>44607</v>
      </c>
      <c r="AK108" s="172">
        <f>Tabla1[[#This Row],[Fecha Vigencia]]-AJ108</f>
        <v>-19.583333333335759</v>
      </c>
      <c r="AL108" s="23" t="s">
        <v>46</v>
      </c>
      <c r="AM108" s="87">
        <v>11990</v>
      </c>
      <c r="AN108" s="23"/>
      <c r="AO108" s="29"/>
      <c r="AP108" s="23"/>
      <c r="AQ108" s="23" t="s">
        <v>771</v>
      </c>
      <c r="AR108" s="23" t="s">
        <v>10</v>
      </c>
      <c r="AS108" s="23"/>
      <c r="AT108" s="23"/>
      <c r="AU108" s="23"/>
      <c r="AV108" s="23"/>
      <c r="AW108" s="23" t="s">
        <v>772</v>
      </c>
      <c r="AX108" t="s">
        <v>773</v>
      </c>
      <c r="AY108" s="23"/>
      <c r="AZ108" s="23"/>
      <c r="BA108" s="23"/>
      <c r="BB108" s="32"/>
      <c r="BC108" s="73"/>
    </row>
    <row r="109" spans="1:55" x14ac:dyDescent="0.25">
      <c r="A109" s="22" t="s">
        <v>774</v>
      </c>
      <c r="B109" s="23" t="s">
        <v>775</v>
      </c>
      <c r="C109" s="23" t="s">
        <v>776</v>
      </c>
      <c r="D109" s="23" t="s">
        <v>777</v>
      </c>
      <c r="E109" s="24"/>
      <c r="F109" s="25"/>
      <c r="G109" s="23" t="s">
        <v>16</v>
      </c>
      <c r="H109" s="23" t="s">
        <v>778</v>
      </c>
      <c r="I109" s="2">
        <v>44565.731087962966</v>
      </c>
      <c r="J109" s="24">
        <f>MONTH(Tabla1[[#This Row],[Publicación]])</f>
        <v>1</v>
      </c>
      <c r="K109" s="24">
        <f>YEAR(Tabla1[[#This Row],[Publicación]])</f>
        <v>2022</v>
      </c>
      <c r="L109" s="2">
        <v>44587.708333333336</v>
      </c>
      <c r="M109" s="26">
        <v>44581</v>
      </c>
      <c r="N109" s="25" t="s">
        <v>11</v>
      </c>
      <c r="O109" s="24"/>
      <c r="P109" s="24" t="s">
        <v>11</v>
      </c>
      <c r="Q109" s="2">
        <v>44571.75</v>
      </c>
      <c r="R109" s="2">
        <v>44573.75</v>
      </c>
      <c r="S109" s="26">
        <v>44629.708333333336</v>
      </c>
      <c r="T109" s="27">
        <v>93000000</v>
      </c>
      <c r="U109" s="28">
        <f>Tabla1[[#This Row],[PPTO]]/(1+'Lista Datos'!$B$1)</f>
        <v>78151260.50420168</v>
      </c>
      <c r="V109" s="23"/>
      <c r="W109" s="18" t="s">
        <v>10</v>
      </c>
      <c r="X109" s="102"/>
      <c r="Y109" s="18" t="s">
        <v>146</v>
      </c>
      <c r="Z109" s="18" t="s">
        <v>11</v>
      </c>
      <c r="AA109" s="23" t="s">
        <v>177</v>
      </c>
      <c r="AB109" s="23">
        <v>36</v>
      </c>
      <c r="AC109" s="23" t="s">
        <v>10</v>
      </c>
      <c r="AD109" s="23"/>
      <c r="AE109" s="29">
        <f>Tabla1[[#This Row],[Cierre]]+Tabla1[[#This Row],[Vigencia Oferta (días)]]</f>
        <v>44587.708333333336</v>
      </c>
      <c r="AF109" s="87"/>
      <c r="AG109" s="28"/>
      <c r="AH109" s="164">
        <f>Tabla1[[#This Row],[Unidades2]]*Tabla1[[#This Row],[Precio Unitario]]</f>
        <v>0</v>
      </c>
      <c r="AI109" s="23" t="s">
        <v>44</v>
      </c>
      <c r="AJ109" s="26">
        <v>44621</v>
      </c>
      <c r="AK109" s="172">
        <f>Tabla1[[#This Row],[Fecha Vigencia]]-AJ109</f>
        <v>-33.291666666664241</v>
      </c>
      <c r="AL109" s="23" t="s">
        <v>115</v>
      </c>
      <c r="AM109" s="87">
        <v>134059029</v>
      </c>
      <c r="AN109" s="29">
        <v>44621</v>
      </c>
      <c r="AO109" s="29">
        <v>45717</v>
      </c>
      <c r="AP109" s="23" t="s">
        <v>177</v>
      </c>
      <c r="AQ109" s="23" t="s">
        <v>779</v>
      </c>
      <c r="AR109" s="23" t="s">
        <v>11</v>
      </c>
      <c r="AS109" s="33">
        <v>0.05</v>
      </c>
      <c r="AT109" s="29">
        <v>45855</v>
      </c>
      <c r="AU109" s="23" t="s">
        <v>780</v>
      </c>
      <c r="AV109" s="23" t="s">
        <v>781</v>
      </c>
      <c r="AW109" s="23" t="s">
        <v>782</v>
      </c>
      <c r="AX109" t="s">
        <v>783</v>
      </c>
      <c r="AY109" s="23"/>
      <c r="AZ109" s="23"/>
      <c r="BA109" s="23"/>
      <c r="BB109" s="32"/>
      <c r="BC109" s="73"/>
    </row>
    <row r="110" spans="1:55" x14ac:dyDescent="0.25">
      <c r="A110" s="22" t="s">
        <v>784</v>
      </c>
      <c r="B110" s="23" t="s">
        <v>785</v>
      </c>
      <c r="C110" s="23" t="s">
        <v>786</v>
      </c>
      <c r="D110" s="23" t="s">
        <v>787</v>
      </c>
      <c r="E110" s="24"/>
      <c r="F110" s="25"/>
      <c r="G110" s="23" t="s">
        <v>16</v>
      </c>
      <c r="H110" s="23" t="s">
        <v>168</v>
      </c>
      <c r="I110" s="2">
        <v>44578.686284722222</v>
      </c>
      <c r="J110" s="24">
        <f>MONTH(Tabla1[[#This Row],[Publicación]])</f>
        <v>1</v>
      </c>
      <c r="K110" s="24">
        <f>YEAR(Tabla1[[#This Row],[Publicación]])</f>
        <v>2022</v>
      </c>
      <c r="L110" s="2">
        <v>44588.416666666664</v>
      </c>
      <c r="M110" s="26">
        <v>44581</v>
      </c>
      <c r="N110" s="25" t="s">
        <v>10</v>
      </c>
      <c r="O110" s="24" t="s">
        <v>25</v>
      </c>
      <c r="P110" s="24" t="s">
        <v>10</v>
      </c>
      <c r="Q110" s="2">
        <v>44585.416666666664</v>
      </c>
      <c r="R110" s="2">
        <v>44586.708333333336</v>
      </c>
      <c r="S110" s="26">
        <v>44616.786111111112</v>
      </c>
      <c r="T110" s="27">
        <v>0</v>
      </c>
      <c r="U110" s="28">
        <f>Tabla1[[#This Row],[PPTO]]/(1+'Lista Datos'!$B$1)</f>
        <v>0</v>
      </c>
      <c r="V110" s="23"/>
      <c r="W110" s="18" t="s">
        <v>10</v>
      </c>
      <c r="X110" s="102"/>
      <c r="Y110" s="18" t="s">
        <v>146</v>
      </c>
      <c r="Z110" s="18" t="s">
        <v>10</v>
      </c>
      <c r="AA110" s="23"/>
      <c r="AB110" s="23"/>
      <c r="AC110" s="23"/>
      <c r="AD110" s="23"/>
      <c r="AE110" s="29">
        <f>Tabla1[[#This Row],[Cierre]]+Tabla1[[#This Row],[Vigencia Oferta (días)]]</f>
        <v>44588.416666666664</v>
      </c>
      <c r="AF110" s="87"/>
      <c r="AG110" s="28"/>
      <c r="AH110" s="164">
        <f>Tabla1[[#This Row],[Unidades2]]*Tabla1[[#This Row],[Precio Unitario]]</f>
        <v>0</v>
      </c>
      <c r="AI110" s="23" t="s">
        <v>44</v>
      </c>
      <c r="AJ110" s="26">
        <v>44592</v>
      </c>
      <c r="AK110" s="172">
        <f>Tabla1[[#This Row],[Fecha Vigencia]]-AJ110</f>
        <v>-3.5833333333357587</v>
      </c>
      <c r="AL110" s="23" t="s">
        <v>46</v>
      </c>
      <c r="AM110" s="87">
        <v>153800</v>
      </c>
      <c r="AN110" s="23"/>
      <c r="AO110" s="29"/>
      <c r="AP110" s="23"/>
      <c r="AQ110" s="23" t="s">
        <v>788</v>
      </c>
      <c r="AR110" s="23" t="s">
        <v>10</v>
      </c>
      <c r="AS110" s="23"/>
      <c r="AT110" s="23"/>
      <c r="AU110" s="23"/>
      <c r="AV110" s="23"/>
      <c r="AW110" s="23" t="s">
        <v>789</v>
      </c>
      <c r="AX110" t="s">
        <v>790</v>
      </c>
      <c r="AY110" s="23"/>
      <c r="AZ110" s="23"/>
      <c r="BA110" s="23"/>
      <c r="BB110" s="32"/>
      <c r="BC110" s="73"/>
    </row>
    <row r="111" spans="1:55" ht="11.25" x14ac:dyDescent="0.2">
      <c r="A111" s="22" t="s">
        <v>791</v>
      </c>
      <c r="B111" s="23" t="s">
        <v>792</v>
      </c>
      <c r="C111" s="23"/>
      <c r="D111" s="23" t="s">
        <v>606</v>
      </c>
      <c r="E111" s="24"/>
      <c r="F111" s="25"/>
      <c r="G111" s="23" t="s">
        <v>16</v>
      </c>
      <c r="H111" s="23" t="s">
        <v>168</v>
      </c>
      <c r="I111" s="2">
        <v>44585.526388888888</v>
      </c>
      <c r="J111" s="24">
        <f>MONTH(Tabla1[[#This Row],[Publicación]])</f>
        <v>1</v>
      </c>
      <c r="K111" s="24">
        <f>YEAR(Tabla1[[#This Row],[Publicación]])</f>
        <v>2022</v>
      </c>
      <c r="L111" s="2">
        <v>44592.634722222225</v>
      </c>
      <c r="M111" s="26">
        <v>44586</v>
      </c>
      <c r="N111" s="25" t="s">
        <v>10</v>
      </c>
      <c r="O111" s="24" t="s">
        <v>25</v>
      </c>
      <c r="P111" s="24" t="s">
        <v>10</v>
      </c>
      <c r="Q111" s="2">
        <v>44586.718055555553</v>
      </c>
      <c r="R111" s="2">
        <v>44587.551388888889</v>
      </c>
      <c r="S111" s="26">
        <v>44594.468055555553</v>
      </c>
      <c r="T111" s="27">
        <v>0</v>
      </c>
      <c r="U111" s="28">
        <f>Tabla1[[#This Row],[PPTO]]/(1+'Lista Datos'!$B$1)</f>
        <v>0</v>
      </c>
      <c r="V111" s="23"/>
      <c r="W111" s="18" t="s">
        <v>10</v>
      </c>
      <c r="X111" s="102"/>
      <c r="Y111" s="18" t="s">
        <v>146</v>
      </c>
      <c r="Z111" s="18" t="s">
        <v>10</v>
      </c>
      <c r="AA111" s="23"/>
      <c r="AB111" s="23"/>
      <c r="AC111" s="23"/>
      <c r="AD111" s="23"/>
      <c r="AE111" s="29">
        <f>Tabla1[[#This Row],[Cierre]]+Tabla1[[#This Row],[Vigencia Oferta (días)]]</f>
        <v>44592.634722222225</v>
      </c>
      <c r="AF111" s="87"/>
      <c r="AG111" s="28"/>
      <c r="AH111" s="164">
        <f>Tabla1[[#This Row],[Unidades2]]*Tabla1[[#This Row],[Precio Unitario]]</f>
        <v>0</v>
      </c>
      <c r="AI111" s="23" t="s">
        <v>320</v>
      </c>
      <c r="AJ111" s="26"/>
      <c r="AK111" s="172">
        <f>Tabla1[[#This Row],[Fecha Vigencia]]-AJ111</f>
        <v>44592.634722222225</v>
      </c>
      <c r="AL111" s="23"/>
      <c r="AM111" s="87"/>
      <c r="AN111" s="23"/>
      <c r="AO111" s="29"/>
      <c r="AP111" s="23"/>
      <c r="AQ111" s="23" t="s">
        <v>607</v>
      </c>
      <c r="AR111" s="23" t="s">
        <v>10</v>
      </c>
      <c r="AS111" s="23"/>
      <c r="AT111" s="23"/>
      <c r="AU111" s="23"/>
      <c r="AV111" s="23"/>
      <c r="AW111" s="23"/>
      <c r="AX111" s="23"/>
      <c r="AY111" s="23"/>
      <c r="AZ111" s="23"/>
      <c r="BA111" s="23"/>
      <c r="BB111" s="32"/>
      <c r="BC111" s="73"/>
    </row>
    <row r="112" spans="1:55" x14ac:dyDescent="0.25">
      <c r="A112" s="22" t="s">
        <v>793</v>
      </c>
      <c r="B112" s="23" t="s">
        <v>794</v>
      </c>
      <c r="C112" s="23" t="s">
        <v>795</v>
      </c>
      <c r="D112" s="23" t="s">
        <v>796</v>
      </c>
      <c r="E112" s="24"/>
      <c r="F112" s="25"/>
      <c r="G112" s="23" t="s">
        <v>16</v>
      </c>
      <c r="H112" s="23" t="s">
        <v>168</v>
      </c>
      <c r="I112" s="2">
        <v>44573.715196759258</v>
      </c>
      <c r="J112" s="24">
        <f>MONTH(Tabla1[[#This Row],[Publicación]])</f>
        <v>1</v>
      </c>
      <c r="K112" s="24">
        <f>YEAR(Tabla1[[#This Row],[Publicación]])</f>
        <v>2022</v>
      </c>
      <c r="L112" s="2">
        <v>44593.625</v>
      </c>
      <c r="M112" s="26">
        <v>44579.501388888886</v>
      </c>
      <c r="N112" s="25" t="s">
        <v>10</v>
      </c>
      <c r="O112" s="24" t="s">
        <v>25</v>
      </c>
      <c r="P112" s="24" t="s">
        <v>10</v>
      </c>
      <c r="Q112" s="2">
        <v>44573.756944444445</v>
      </c>
      <c r="R112" s="2">
        <v>44585.75</v>
      </c>
      <c r="S112" s="26">
        <v>44622.625</v>
      </c>
      <c r="T112" s="27">
        <v>0</v>
      </c>
      <c r="U112" s="28">
        <f>Tabla1[[#This Row],[PPTO]]/(1+'Lista Datos'!$B$1)</f>
        <v>0</v>
      </c>
      <c r="V112" s="23"/>
      <c r="W112" s="18" t="s">
        <v>11</v>
      </c>
      <c r="X112" s="102">
        <v>200000</v>
      </c>
      <c r="Y112" s="26">
        <v>43617</v>
      </c>
      <c r="Z112" s="18" t="s">
        <v>10</v>
      </c>
      <c r="AA112" s="23"/>
      <c r="AB112" s="23"/>
      <c r="AC112" s="23"/>
      <c r="AD112" s="23"/>
      <c r="AE112" s="29">
        <f>Tabla1[[#This Row],[Cierre]]+Tabla1[[#This Row],[Vigencia Oferta (días)]]</f>
        <v>44593.625</v>
      </c>
      <c r="AF112" s="87"/>
      <c r="AG112" s="28"/>
      <c r="AH112" s="164">
        <f>Tabla1[[#This Row],[Unidades2]]*Tabla1[[#This Row],[Precio Unitario]]</f>
        <v>0</v>
      </c>
      <c r="AI112" s="23" t="s">
        <v>44</v>
      </c>
      <c r="AJ112" s="26">
        <v>44637</v>
      </c>
      <c r="AK112" s="172">
        <f>Tabla1[[#This Row],[Fecha Vigencia]]-AJ112</f>
        <v>-43.375</v>
      </c>
      <c r="AL112" s="23" t="s">
        <v>45</v>
      </c>
      <c r="AM112" s="87">
        <v>477481</v>
      </c>
      <c r="AN112" s="23"/>
      <c r="AO112" s="29"/>
      <c r="AP112" s="23"/>
      <c r="AQ112" s="23" t="s">
        <v>797</v>
      </c>
      <c r="AR112" s="23" t="s">
        <v>11</v>
      </c>
      <c r="AS112" s="33">
        <v>0.05</v>
      </c>
      <c r="AT112" s="29">
        <v>45880</v>
      </c>
      <c r="AU112" s="23"/>
      <c r="AV112" s="23"/>
      <c r="AW112" s="23" t="s">
        <v>798</v>
      </c>
      <c r="AX112" t="s">
        <v>799</v>
      </c>
      <c r="AY112" s="23"/>
      <c r="AZ112" s="23"/>
      <c r="BA112" s="23"/>
      <c r="BB112" s="32"/>
      <c r="BC112" s="73"/>
    </row>
    <row r="113" spans="1:55" x14ac:dyDescent="0.25">
      <c r="A113" s="22" t="s">
        <v>800</v>
      </c>
      <c r="B113" s="23" t="s">
        <v>801</v>
      </c>
      <c r="C113" s="23" t="s">
        <v>802</v>
      </c>
      <c r="D113" s="23" t="s">
        <v>204</v>
      </c>
      <c r="E113" s="24"/>
      <c r="F113" s="25"/>
      <c r="G113" s="23" t="s">
        <v>19</v>
      </c>
      <c r="H113" s="23" t="s">
        <v>114</v>
      </c>
      <c r="I113" s="2">
        <v>44579.473391203705</v>
      </c>
      <c r="J113" s="24">
        <f>MONTH(Tabla1[[#This Row],[Publicación]])</f>
        <v>1</v>
      </c>
      <c r="K113" s="24">
        <f>YEAR(Tabla1[[#This Row],[Publicación]])</f>
        <v>2022</v>
      </c>
      <c r="L113" s="2">
        <v>44599.625</v>
      </c>
      <c r="M113" s="26">
        <v>44579.552083333336</v>
      </c>
      <c r="N113" s="25" t="s">
        <v>11</v>
      </c>
      <c r="O113" s="24"/>
      <c r="P113" s="24" t="s">
        <v>11</v>
      </c>
      <c r="Q113" s="2">
        <v>44589.625</v>
      </c>
      <c r="R113" s="2">
        <v>44594.625</v>
      </c>
      <c r="S113" s="26">
        <v>44659.625694444447</v>
      </c>
      <c r="T113" s="27">
        <v>0</v>
      </c>
      <c r="U113" s="28">
        <f>Tabla1[[#This Row],[PPTO]]/(1+'Lista Datos'!$B$1)</f>
        <v>0</v>
      </c>
      <c r="V113" s="23"/>
      <c r="W113" s="18" t="s">
        <v>11</v>
      </c>
      <c r="X113" s="102">
        <v>300000</v>
      </c>
      <c r="Y113" s="26">
        <v>44729</v>
      </c>
      <c r="Z113" s="18" t="s">
        <v>10</v>
      </c>
      <c r="AA113" s="23" t="s">
        <v>177</v>
      </c>
      <c r="AB113" s="23">
        <v>24</v>
      </c>
      <c r="AC113" s="23" t="s">
        <v>10</v>
      </c>
      <c r="AD113" s="23"/>
      <c r="AE113" s="29">
        <f>Tabla1[[#This Row],[Cierre]]+Tabla1[[#This Row],[Vigencia Oferta (días)]]</f>
        <v>44599.625</v>
      </c>
      <c r="AF113" s="87"/>
      <c r="AG113" s="28"/>
      <c r="AH113" s="164">
        <f>Tabla1[[#This Row],[Unidades2]]*Tabla1[[#This Row],[Precio Unitario]]</f>
        <v>0</v>
      </c>
      <c r="AI113" s="23" t="s">
        <v>44</v>
      </c>
      <c r="AJ113" s="26">
        <v>44609</v>
      </c>
      <c r="AK113" s="172">
        <f>Tabla1[[#This Row],[Fecha Vigencia]]-AJ113</f>
        <v>-9.375</v>
      </c>
      <c r="AL113" s="23" t="s">
        <v>115</v>
      </c>
      <c r="AM113" s="87">
        <v>76700</v>
      </c>
      <c r="AN113" s="26">
        <v>44609</v>
      </c>
      <c r="AO113" s="26">
        <v>45339</v>
      </c>
      <c r="AP113" s="23" t="s">
        <v>177</v>
      </c>
      <c r="AQ113" s="23" t="s">
        <v>206</v>
      </c>
      <c r="AR113" s="23" t="s">
        <v>11</v>
      </c>
      <c r="AS113" s="33">
        <v>0.05</v>
      </c>
      <c r="AT113" s="29">
        <v>45434</v>
      </c>
      <c r="AU113" s="23" t="s">
        <v>803</v>
      </c>
      <c r="AV113" s="23" t="s">
        <v>804</v>
      </c>
      <c r="AW113" s="23" t="s">
        <v>805</v>
      </c>
      <c r="AX113" t="s">
        <v>208</v>
      </c>
      <c r="AY113" s="23"/>
      <c r="AZ113" s="23"/>
      <c r="BA113" s="23"/>
      <c r="BB113" s="32"/>
      <c r="BC113" s="73"/>
    </row>
    <row r="114" spans="1:55" x14ac:dyDescent="0.25">
      <c r="A114" s="22" t="s">
        <v>806</v>
      </c>
      <c r="B114" s="23" t="s">
        <v>807</v>
      </c>
      <c r="C114" s="23" t="s">
        <v>808</v>
      </c>
      <c r="D114" s="23" t="s">
        <v>809</v>
      </c>
      <c r="E114" s="24"/>
      <c r="F114" s="25"/>
      <c r="G114" s="23" t="s">
        <v>16</v>
      </c>
      <c r="H114" s="23" t="s">
        <v>168</v>
      </c>
      <c r="I114" s="2">
        <v>44588.701793981483</v>
      </c>
      <c r="J114" s="24">
        <f>MONTH(Tabla1[[#This Row],[Publicación]])</f>
        <v>1</v>
      </c>
      <c r="K114" s="24">
        <f>YEAR(Tabla1[[#This Row],[Publicación]])</f>
        <v>2022</v>
      </c>
      <c r="L114" s="2">
        <v>44599.626388888886</v>
      </c>
      <c r="M114" s="26">
        <v>44594</v>
      </c>
      <c r="N114" s="25" t="s">
        <v>10</v>
      </c>
      <c r="O114" s="24" t="s">
        <v>25</v>
      </c>
      <c r="P114" s="24" t="s">
        <v>10</v>
      </c>
      <c r="Q114" s="2">
        <v>44591.716666666667</v>
      </c>
      <c r="R114" s="2">
        <v>44592.716666666667</v>
      </c>
      <c r="S114" s="26">
        <v>44601.661805555559</v>
      </c>
      <c r="T114" s="27">
        <v>0</v>
      </c>
      <c r="U114" s="28">
        <f>Tabla1[[#This Row],[PPTO]]/(1+'Lista Datos'!$B$1)</f>
        <v>0</v>
      </c>
      <c r="V114" s="23"/>
      <c r="W114" s="18" t="s">
        <v>11</v>
      </c>
      <c r="X114" s="102">
        <v>500000</v>
      </c>
      <c r="Y114" s="26">
        <v>44655</v>
      </c>
      <c r="Z114" s="18" t="s">
        <v>10</v>
      </c>
      <c r="AA114" s="23"/>
      <c r="AB114" s="23"/>
      <c r="AC114" s="23"/>
      <c r="AD114" s="23"/>
      <c r="AE114" s="29">
        <f>Tabla1[[#This Row],[Cierre]]+Tabla1[[#This Row],[Vigencia Oferta (días)]]</f>
        <v>44599.626388888886</v>
      </c>
      <c r="AF114" s="87"/>
      <c r="AG114" s="28"/>
      <c r="AH114" s="164">
        <f>Tabla1[[#This Row],[Unidades2]]*Tabla1[[#This Row],[Precio Unitario]]</f>
        <v>0</v>
      </c>
      <c r="AI114" s="23" t="s">
        <v>320</v>
      </c>
      <c r="AJ114" s="26"/>
      <c r="AK114" s="172">
        <f>Tabla1[[#This Row],[Fecha Vigencia]]-AJ114</f>
        <v>44599.626388888886</v>
      </c>
      <c r="AL114" s="23"/>
      <c r="AM114" s="87"/>
      <c r="AN114" s="23"/>
      <c r="AO114" s="29"/>
      <c r="AP114" s="23"/>
      <c r="AQ114" s="23" t="s">
        <v>810</v>
      </c>
      <c r="AR114" s="23" t="s">
        <v>11</v>
      </c>
      <c r="AS114" s="33">
        <v>0.05</v>
      </c>
      <c r="AT114" s="29">
        <v>44986</v>
      </c>
      <c r="AU114" s="23"/>
      <c r="AV114" s="23"/>
      <c r="AW114" s="23" t="s">
        <v>811</v>
      </c>
      <c r="AX114" t="s">
        <v>812</v>
      </c>
      <c r="AY114" s="23"/>
      <c r="AZ114" s="23"/>
      <c r="BA114" s="23"/>
      <c r="BB114" s="32"/>
      <c r="BC114" s="73"/>
    </row>
    <row r="115" spans="1:55" x14ac:dyDescent="0.25">
      <c r="A115" s="22" t="s">
        <v>813</v>
      </c>
      <c r="B115" s="45" t="s">
        <v>814</v>
      </c>
      <c r="C115" s="23" t="s">
        <v>815</v>
      </c>
      <c r="D115" s="23" t="s">
        <v>816</v>
      </c>
      <c r="E115" s="24"/>
      <c r="F115" s="25"/>
      <c r="G115" s="23" t="s">
        <v>16</v>
      </c>
      <c r="H115" s="23" t="s">
        <v>123</v>
      </c>
      <c r="I115" s="2">
        <v>44588.556469907409</v>
      </c>
      <c r="J115" s="24">
        <f>MONTH(Tabla1[[#This Row],[Publicación]])</f>
        <v>1</v>
      </c>
      <c r="K115" s="24">
        <f>YEAR(Tabla1[[#This Row],[Publicación]])</f>
        <v>2022</v>
      </c>
      <c r="L115" s="2">
        <v>44599.731944444444</v>
      </c>
      <c r="M115" s="26">
        <v>44594</v>
      </c>
      <c r="N115" s="25" t="s">
        <v>10</v>
      </c>
      <c r="O115" s="24" t="s">
        <v>25</v>
      </c>
      <c r="P115" s="24" t="s">
        <v>10</v>
      </c>
      <c r="Q115" s="2">
        <v>44591.713888888888</v>
      </c>
      <c r="R115" s="2">
        <v>44592.713888888888</v>
      </c>
      <c r="S115" s="26">
        <v>44606.732638888891</v>
      </c>
      <c r="T115" s="27">
        <v>0</v>
      </c>
      <c r="U115" s="28">
        <f>Tabla1[[#This Row],[PPTO]]/(1+'Lista Datos'!$B$1)</f>
        <v>0</v>
      </c>
      <c r="V115" s="23"/>
      <c r="W115" s="18" t="s">
        <v>10</v>
      </c>
      <c r="X115" s="102"/>
      <c r="Y115" s="18" t="s">
        <v>146</v>
      </c>
      <c r="Z115" s="18" t="s">
        <v>10</v>
      </c>
      <c r="AA115" s="23"/>
      <c r="AB115" s="23"/>
      <c r="AC115" s="23"/>
      <c r="AD115" s="23"/>
      <c r="AE115" s="29">
        <f>Tabla1[[#This Row],[Cierre]]+Tabla1[[#This Row],[Vigencia Oferta (días)]]</f>
        <v>44599.731944444444</v>
      </c>
      <c r="AF115" s="87"/>
      <c r="AG115" s="28"/>
      <c r="AH115" s="164">
        <f>Tabla1[[#This Row],[Unidades2]]*Tabla1[[#This Row],[Precio Unitario]]</f>
        <v>0</v>
      </c>
      <c r="AI115" s="23" t="s">
        <v>137</v>
      </c>
      <c r="AJ115" s="26"/>
      <c r="AK115" s="172">
        <f>Tabla1[[#This Row],[Fecha Vigencia]]-AJ115</f>
        <v>44599.731944444444</v>
      </c>
      <c r="AL115" s="23"/>
      <c r="AM115" s="87"/>
      <c r="AN115" s="23"/>
      <c r="AO115" s="29"/>
      <c r="AP115" s="23"/>
      <c r="AQ115" s="23" t="s">
        <v>817</v>
      </c>
      <c r="AR115" s="23" t="s">
        <v>10</v>
      </c>
      <c r="AS115" s="23"/>
      <c r="AT115" s="23"/>
      <c r="AU115" s="23"/>
      <c r="AV115" s="23"/>
      <c r="AW115" s="23" t="s">
        <v>818</v>
      </c>
      <c r="AX115" t="s">
        <v>819</v>
      </c>
      <c r="AY115" s="23"/>
      <c r="AZ115" s="23"/>
      <c r="BA115" s="23"/>
      <c r="BB115" s="32"/>
      <c r="BC115" s="73"/>
    </row>
    <row r="116" spans="1:55" x14ac:dyDescent="0.25">
      <c r="A116" s="22" t="s">
        <v>820</v>
      </c>
      <c r="B116" s="23" t="s">
        <v>821</v>
      </c>
      <c r="C116" s="23" t="s">
        <v>822</v>
      </c>
      <c r="D116" s="23" t="s">
        <v>823</v>
      </c>
      <c r="E116" s="24"/>
      <c r="F116" s="25"/>
      <c r="G116" s="23" t="s">
        <v>20</v>
      </c>
      <c r="H116" s="23" t="s">
        <v>176</v>
      </c>
      <c r="I116" s="2">
        <v>44592.49732638889</v>
      </c>
      <c r="J116" s="24">
        <f>MONTH(Tabla1[[#This Row],[Publicación]])</f>
        <v>1</v>
      </c>
      <c r="K116" s="24">
        <f>YEAR(Tabla1[[#This Row],[Publicación]])</f>
        <v>2022</v>
      </c>
      <c r="L116" s="2">
        <v>44602.693055555559</v>
      </c>
      <c r="M116" s="26">
        <v>44593</v>
      </c>
      <c r="N116" s="25" t="s">
        <v>10</v>
      </c>
      <c r="O116" s="24" t="s">
        <v>27</v>
      </c>
      <c r="P116" s="24" t="s">
        <v>10</v>
      </c>
      <c r="Q116" s="2">
        <v>44595.643750000003</v>
      </c>
      <c r="R116" s="2">
        <v>44596.643750000003</v>
      </c>
      <c r="S116" s="26">
        <v>44603.693749999999</v>
      </c>
      <c r="T116" s="27">
        <v>0</v>
      </c>
      <c r="U116" s="28">
        <f>Tabla1[[#This Row],[PPTO]]/(1+'Lista Datos'!$B$1)</f>
        <v>0</v>
      </c>
      <c r="V116" s="23"/>
      <c r="W116" s="18" t="s">
        <v>11</v>
      </c>
      <c r="X116" s="102">
        <v>200000</v>
      </c>
      <c r="Y116" s="26">
        <v>44576</v>
      </c>
      <c r="Z116" s="18" t="s">
        <v>10</v>
      </c>
      <c r="AA116" s="23" t="s">
        <v>177</v>
      </c>
      <c r="AB116" s="23"/>
      <c r="AC116" s="23" t="s">
        <v>10</v>
      </c>
      <c r="AD116" s="23"/>
      <c r="AE116" s="29">
        <f>Tabla1[[#This Row],[Cierre]]+Tabla1[[#This Row],[Vigencia Oferta (días)]]</f>
        <v>44602.693055555559</v>
      </c>
      <c r="AF116" s="87"/>
      <c r="AG116" s="28"/>
      <c r="AH116" s="164">
        <f>Tabla1[[#This Row],[Unidades2]]*Tabla1[[#This Row],[Precio Unitario]]</f>
        <v>0</v>
      </c>
      <c r="AI116" s="23" t="s">
        <v>44</v>
      </c>
      <c r="AJ116" s="26">
        <v>44610</v>
      </c>
      <c r="AK116" s="172">
        <f>Tabla1[[#This Row],[Fecha Vigencia]]-AJ116</f>
        <v>-7.3069444444408873</v>
      </c>
      <c r="AL116" s="23" t="s">
        <v>46</v>
      </c>
      <c r="AM116" s="87">
        <v>82550</v>
      </c>
      <c r="AN116" s="23"/>
      <c r="AO116" s="29"/>
      <c r="AP116" s="23"/>
      <c r="AQ116" s="23" t="s">
        <v>824</v>
      </c>
      <c r="AR116" s="23" t="s">
        <v>11</v>
      </c>
      <c r="AS116" s="33">
        <v>0.05</v>
      </c>
      <c r="AT116" s="29">
        <v>44985</v>
      </c>
      <c r="AU116" s="23"/>
      <c r="AV116" s="23"/>
      <c r="AW116" s="23" t="s">
        <v>825</v>
      </c>
      <c r="AX116" t="s">
        <v>826</v>
      </c>
      <c r="AY116" s="23"/>
      <c r="AZ116" s="23"/>
      <c r="BA116" s="23"/>
      <c r="BB116" s="32"/>
      <c r="BC116" s="73"/>
    </row>
    <row r="117" spans="1:55" ht="11.25" x14ac:dyDescent="0.2">
      <c r="A117" s="22" t="s">
        <v>827</v>
      </c>
      <c r="B117" s="23" t="s">
        <v>828</v>
      </c>
      <c r="C117" s="23" t="s">
        <v>146</v>
      </c>
      <c r="D117" s="23" t="s">
        <v>829</v>
      </c>
      <c r="E117" s="24"/>
      <c r="F117" s="25"/>
      <c r="G117" s="23" t="s">
        <v>16</v>
      </c>
      <c r="H117" s="23" t="s">
        <v>533</v>
      </c>
      <c r="I117" s="2">
        <v>44599.390150462961</v>
      </c>
      <c r="J117" s="24">
        <f>MONTH(Tabla1[[#This Row],[Publicación]])</f>
        <v>2</v>
      </c>
      <c r="K117" s="24">
        <f>YEAR(Tabla1[[#This Row],[Publicación]])</f>
        <v>2022</v>
      </c>
      <c r="L117" s="2">
        <v>44603.595833333333</v>
      </c>
      <c r="M117" s="26">
        <v>44599</v>
      </c>
      <c r="N117" s="25" t="s">
        <v>10</v>
      </c>
      <c r="O117" s="24" t="s">
        <v>25</v>
      </c>
      <c r="P117" s="24" t="s">
        <v>10</v>
      </c>
      <c r="Q117" s="2">
        <v>44602.595833333333</v>
      </c>
      <c r="R117" s="2">
        <v>44603.595833333333</v>
      </c>
      <c r="S117" s="26">
        <v>44608.595833333333</v>
      </c>
      <c r="T117" s="27">
        <v>0</v>
      </c>
      <c r="U117" s="28">
        <f>Tabla1[[#This Row],[PPTO]]/(1+'Lista Datos'!$B$1)</f>
        <v>0</v>
      </c>
      <c r="V117" s="23"/>
      <c r="W117" s="18" t="s">
        <v>10</v>
      </c>
      <c r="X117" s="102"/>
      <c r="Y117" s="18" t="s">
        <v>146</v>
      </c>
      <c r="Z117" s="18" t="s">
        <v>10</v>
      </c>
      <c r="AA117" s="23"/>
      <c r="AB117" s="23"/>
      <c r="AC117" s="23"/>
      <c r="AD117" s="23"/>
      <c r="AE117" s="29">
        <f>Tabla1[[#This Row],[Cierre]]+Tabla1[[#This Row],[Vigencia Oferta (días)]]</f>
        <v>44603.595833333333</v>
      </c>
      <c r="AF117" s="87"/>
      <c r="AG117" s="28"/>
      <c r="AH117" s="164">
        <f>Tabla1[[#This Row],[Unidades2]]*Tabla1[[#This Row],[Precio Unitario]]</f>
        <v>0</v>
      </c>
      <c r="AI117" s="23" t="s">
        <v>44</v>
      </c>
      <c r="AJ117" s="26">
        <v>44609</v>
      </c>
      <c r="AK117" s="172">
        <f>Tabla1[[#This Row],[Fecha Vigencia]]-AJ117</f>
        <v>-5.4041666666671517</v>
      </c>
      <c r="AL117" s="23" t="s">
        <v>45</v>
      </c>
      <c r="AM117" s="87">
        <v>81930</v>
      </c>
      <c r="AN117" s="23"/>
      <c r="AO117" s="29"/>
      <c r="AP117" s="23"/>
      <c r="AQ117" s="23" t="s">
        <v>830</v>
      </c>
      <c r="AR117" s="23" t="s">
        <v>10</v>
      </c>
      <c r="AS117" s="23"/>
      <c r="AT117" s="23"/>
      <c r="AU117" s="23"/>
      <c r="AV117" s="23"/>
      <c r="AW117" s="23"/>
      <c r="AX117" s="23"/>
      <c r="AY117" s="23"/>
      <c r="AZ117" s="23"/>
      <c r="BA117" s="23"/>
      <c r="BB117" s="32"/>
      <c r="BC117" s="73"/>
    </row>
    <row r="118" spans="1:55" x14ac:dyDescent="0.25">
      <c r="A118" s="22" t="s">
        <v>831</v>
      </c>
      <c r="B118" s="23" t="s">
        <v>832</v>
      </c>
      <c r="C118" s="23" t="s">
        <v>833</v>
      </c>
      <c r="D118" s="23" t="s">
        <v>834</v>
      </c>
      <c r="E118" s="24"/>
      <c r="F118" s="25"/>
      <c r="G118" s="23" t="s">
        <v>16</v>
      </c>
      <c r="H118" s="23" t="s">
        <v>168</v>
      </c>
      <c r="I118" s="2">
        <v>44596.42796296296</v>
      </c>
      <c r="J118" s="24">
        <f>MONTH(Tabla1[[#This Row],[Publicación]])</f>
        <v>2</v>
      </c>
      <c r="K118" s="24">
        <f>YEAR(Tabla1[[#This Row],[Publicación]])</f>
        <v>2022</v>
      </c>
      <c r="L118" s="2">
        <v>44603.681250000001</v>
      </c>
      <c r="M118" s="26">
        <v>44596</v>
      </c>
      <c r="N118" s="25" t="s">
        <v>10</v>
      </c>
      <c r="O118" s="24" t="s">
        <v>25</v>
      </c>
      <c r="P118" s="24" t="s">
        <v>10</v>
      </c>
      <c r="Q118" s="2">
        <v>44599.586111111108</v>
      </c>
      <c r="R118" s="2">
        <v>44600.586111111108</v>
      </c>
      <c r="S118" s="26">
        <v>44610.598611111112</v>
      </c>
      <c r="T118" s="27">
        <v>0</v>
      </c>
      <c r="U118" s="28">
        <f>Tabla1[[#This Row],[PPTO]]/(1+'Lista Datos'!$B$1)</f>
        <v>0</v>
      </c>
      <c r="V118" s="23"/>
      <c r="W118" s="18" t="s">
        <v>10</v>
      </c>
      <c r="X118" s="102"/>
      <c r="Y118" s="18" t="s">
        <v>146</v>
      </c>
      <c r="Z118" s="18" t="s">
        <v>10</v>
      </c>
      <c r="AA118" s="23"/>
      <c r="AB118" s="23"/>
      <c r="AC118" s="23"/>
      <c r="AD118" s="23"/>
      <c r="AE118" s="29">
        <f>Tabla1[[#This Row],[Cierre]]+Tabla1[[#This Row],[Vigencia Oferta (días)]]</f>
        <v>44603.681250000001</v>
      </c>
      <c r="AF118" s="87"/>
      <c r="AG118" s="28"/>
      <c r="AH118" s="164">
        <f>Tabla1[[#This Row],[Unidades2]]*Tabla1[[#This Row],[Precio Unitario]]</f>
        <v>0</v>
      </c>
      <c r="AI118" s="23" t="s">
        <v>320</v>
      </c>
      <c r="AJ118" s="26"/>
      <c r="AK118" s="172">
        <f>Tabla1[[#This Row],[Fecha Vigencia]]-AJ118</f>
        <v>44603.681250000001</v>
      </c>
      <c r="AL118" s="23"/>
      <c r="AM118" s="87"/>
      <c r="AN118" s="23"/>
      <c r="AO118" s="29"/>
      <c r="AP118" s="23"/>
      <c r="AQ118" s="23" t="s">
        <v>835</v>
      </c>
      <c r="AR118" s="23" t="s">
        <v>10</v>
      </c>
      <c r="AS118" s="23"/>
      <c r="AT118" s="23"/>
      <c r="AU118" s="23"/>
      <c r="AV118" s="23"/>
      <c r="AW118" s="23" t="s">
        <v>836</v>
      </c>
      <c r="AX118" t="s">
        <v>837</v>
      </c>
      <c r="AY118" s="23"/>
      <c r="AZ118" s="23"/>
      <c r="BA118" s="23"/>
      <c r="BB118" s="32"/>
      <c r="BC118" s="73"/>
    </row>
    <row r="119" spans="1:55" x14ac:dyDescent="0.25">
      <c r="A119" s="22" t="s">
        <v>838</v>
      </c>
      <c r="B119" s="23" t="s">
        <v>839</v>
      </c>
      <c r="C119" s="23" t="s">
        <v>840</v>
      </c>
      <c r="D119" s="23" t="s">
        <v>130</v>
      </c>
      <c r="E119" s="24"/>
      <c r="F119" s="25"/>
      <c r="G119" s="23" t="s">
        <v>16</v>
      </c>
      <c r="H119" s="23" t="s">
        <v>168</v>
      </c>
      <c r="I119" s="2">
        <v>44593.428541666668</v>
      </c>
      <c r="J119" s="24">
        <f>MONTH(Tabla1[[#This Row],[Publicación]])</f>
        <v>2</v>
      </c>
      <c r="K119" s="24">
        <f>YEAR(Tabla1[[#This Row],[Publicación]])</f>
        <v>2022</v>
      </c>
      <c r="L119" s="2">
        <v>44606.625694444447</v>
      </c>
      <c r="M119" s="26">
        <v>44593</v>
      </c>
      <c r="N119" s="25" t="s">
        <v>10</v>
      </c>
      <c r="O119" s="24" t="s">
        <v>25</v>
      </c>
      <c r="P119" s="24" t="s">
        <v>10</v>
      </c>
      <c r="Q119" s="2">
        <v>44595.587500000001</v>
      </c>
      <c r="R119" s="2">
        <v>44596.587500000001</v>
      </c>
      <c r="S119" s="26">
        <v>44614.524270833332</v>
      </c>
      <c r="T119" s="27">
        <v>0</v>
      </c>
      <c r="U119" s="28">
        <f>Tabla1[[#This Row],[PPTO]]/(1+'Lista Datos'!$B$1)</f>
        <v>0</v>
      </c>
      <c r="V119" s="23"/>
      <c r="W119" s="18" t="s">
        <v>10</v>
      </c>
      <c r="X119" s="102"/>
      <c r="Y119" s="18" t="s">
        <v>146</v>
      </c>
      <c r="Z119" s="18" t="s">
        <v>10</v>
      </c>
      <c r="AA119" s="23"/>
      <c r="AB119" s="23"/>
      <c r="AC119" s="23"/>
      <c r="AD119" s="23"/>
      <c r="AE119" s="29">
        <f>Tabla1[[#This Row],[Cierre]]+Tabla1[[#This Row],[Vigencia Oferta (días)]]</f>
        <v>44606.625694444447</v>
      </c>
      <c r="AF119" s="87"/>
      <c r="AG119" s="28"/>
      <c r="AH119" s="164">
        <f>Tabla1[[#This Row],[Unidades2]]*Tabla1[[#This Row],[Precio Unitario]]</f>
        <v>0</v>
      </c>
      <c r="AI119" s="23" t="s">
        <v>44</v>
      </c>
      <c r="AJ119" s="26">
        <v>44614.526770833334</v>
      </c>
      <c r="AK119" s="172">
        <f>Tabla1[[#This Row],[Fecha Vigencia]]-AJ119</f>
        <v>-7.9010763888873043</v>
      </c>
      <c r="AL119" s="23" t="s">
        <v>46</v>
      </c>
      <c r="AM119" s="87">
        <v>7400000</v>
      </c>
      <c r="AN119" s="23" t="s">
        <v>841</v>
      </c>
      <c r="AO119" s="29" t="s">
        <v>842</v>
      </c>
      <c r="AP119" s="23"/>
      <c r="AQ119" s="23" t="s">
        <v>131</v>
      </c>
      <c r="AR119" s="23" t="s">
        <v>10</v>
      </c>
      <c r="AS119" s="23"/>
      <c r="AT119" s="23"/>
      <c r="AU119" s="23"/>
      <c r="AV119" s="23"/>
      <c r="AW119" s="23" t="s">
        <v>843</v>
      </c>
      <c r="AX119" t="s">
        <v>844</v>
      </c>
      <c r="AY119" s="23"/>
      <c r="AZ119" s="23"/>
      <c r="BA119" s="23"/>
      <c r="BB119" s="32"/>
      <c r="BC119" s="73"/>
    </row>
    <row r="120" spans="1:55" ht="11.25" x14ac:dyDescent="0.2">
      <c r="A120" s="22" t="s">
        <v>845</v>
      </c>
      <c r="B120" s="23" t="s">
        <v>846</v>
      </c>
      <c r="C120" s="23"/>
      <c r="D120" s="23" t="s">
        <v>847</v>
      </c>
      <c r="E120" s="24"/>
      <c r="F120" s="25"/>
      <c r="G120" s="23" t="s">
        <v>18</v>
      </c>
      <c r="H120" s="23" t="s">
        <v>213</v>
      </c>
      <c r="I120" s="2">
        <v>44596.674849537034</v>
      </c>
      <c r="J120" s="24">
        <f>MONTH(Tabla1[[#This Row],[Publicación]])</f>
        <v>2</v>
      </c>
      <c r="K120" s="24">
        <f>YEAR(Tabla1[[#This Row],[Publicación]])</f>
        <v>2022</v>
      </c>
      <c r="L120" s="2">
        <v>44606.627083333333</v>
      </c>
      <c r="M120" s="26">
        <v>44600</v>
      </c>
      <c r="N120" s="25" t="s">
        <v>10</v>
      </c>
      <c r="O120" s="24" t="s">
        <v>25</v>
      </c>
      <c r="P120" s="24" t="s">
        <v>10</v>
      </c>
      <c r="Q120" s="2">
        <v>44601.835416666669</v>
      </c>
      <c r="R120" s="2">
        <v>44602.835416666669</v>
      </c>
      <c r="S120" s="26">
        <v>44627.835416666669</v>
      </c>
      <c r="T120" s="27">
        <v>0</v>
      </c>
      <c r="U120" s="28">
        <f>Tabla1[[#This Row],[PPTO]]/(1+'Lista Datos'!$B$1)</f>
        <v>0</v>
      </c>
      <c r="V120" s="23"/>
      <c r="W120" s="18" t="s">
        <v>10</v>
      </c>
      <c r="X120" s="102"/>
      <c r="Y120" s="18" t="s">
        <v>146</v>
      </c>
      <c r="Z120" s="18" t="s">
        <v>11</v>
      </c>
      <c r="AA120" s="23"/>
      <c r="AB120" s="23"/>
      <c r="AC120" s="23"/>
      <c r="AD120" s="23"/>
      <c r="AE120" s="29">
        <f>Tabla1[[#This Row],[Cierre]]+Tabla1[[#This Row],[Vigencia Oferta (días)]]</f>
        <v>44606.627083333333</v>
      </c>
      <c r="AF120" s="87"/>
      <c r="AG120" s="28"/>
      <c r="AH120" s="164">
        <f>Tabla1[[#This Row],[Unidades2]]*Tabla1[[#This Row],[Precio Unitario]]</f>
        <v>0</v>
      </c>
      <c r="AI120" s="23" t="s">
        <v>44</v>
      </c>
      <c r="AJ120" s="26">
        <v>44617</v>
      </c>
      <c r="AK120" s="172">
        <f>Tabla1[[#This Row],[Fecha Vigencia]]-AJ120</f>
        <v>-10.372916666667152</v>
      </c>
      <c r="AL120" s="23" t="s">
        <v>46</v>
      </c>
      <c r="AM120" s="87">
        <v>4356000</v>
      </c>
      <c r="AN120" s="23"/>
      <c r="AO120" s="29"/>
      <c r="AP120" s="23"/>
      <c r="AQ120" s="23" t="s">
        <v>848</v>
      </c>
      <c r="AR120" s="23" t="s">
        <v>10</v>
      </c>
      <c r="AS120" s="23"/>
      <c r="AT120" s="23"/>
      <c r="AU120" s="23"/>
      <c r="AV120" s="23"/>
      <c r="AW120" s="23"/>
      <c r="AX120" s="23"/>
      <c r="AY120" s="23"/>
      <c r="AZ120" s="23"/>
      <c r="BA120" s="23"/>
      <c r="BB120" s="32"/>
      <c r="BC120" s="73"/>
    </row>
    <row r="121" spans="1:55" x14ac:dyDescent="0.25">
      <c r="A121" s="22" t="s">
        <v>849</v>
      </c>
      <c r="B121" s="23" t="s">
        <v>850</v>
      </c>
      <c r="C121" s="23" t="s">
        <v>851</v>
      </c>
      <c r="D121" s="23" t="s">
        <v>852</v>
      </c>
      <c r="E121" s="24"/>
      <c r="F121" s="25"/>
      <c r="G121" s="23" t="s">
        <v>16</v>
      </c>
      <c r="H121" s="23" t="s">
        <v>168</v>
      </c>
      <c r="I121" s="2">
        <v>44575.527754629627</v>
      </c>
      <c r="J121" s="24">
        <f>MONTH(Tabla1[[#This Row],[Publicación]])</f>
        <v>1</v>
      </c>
      <c r="K121" s="24">
        <f>YEAR(Tabla1[[#This Row],[Publicación]])</f>
        <v>2022</v>
      </c>
      <c r="L121" s="2">
        <v>44606.62777777778</v>
      </c>
      <c r="M121" s="26">
        <v>44575.784722222219</v>
      </c>
      <c r="N121" s="25" t="s">
        <v>10</v>
      </c>
      <c r="O121" s="24" t="s">
        <v>25</v>
      </c>
      <c r="P121" s="24" t="s">
        <v>10</v>
      </c>
      <c r="Q121" s="2">
        <v>44581.543055555558</v>
      </c>
      <c r="R121" s="2">
        <v>44586.543749999997</v>
      </c>
      <c r="S121" s="26">
        <v>44634.629166666666</v>
      </c>
      <c r="T121" s="27">
        <v>0</v>
      </c>
      <c r="U121" s="28">
        <f>Tabla1[[#This Row],[PPTO]]/(1+'Lista Datos'!$B$1)</f>
        <v>0</v>
      </c>
      <c r="V121" s="23"/>
      <c r="W121" s="18" t="s">
        <v>11</v>
      </c>
      <c r="X121" s="102"/>
      <c r="Y121" s="18" t="s">
        <v>146</v>
      </c>
      <c r="Z121" s="18" t="s">
        <v>11</v>
      </c>
      <c r="AA121" s="23"/>
      <c r="AB121" s="23"/>
      <c r="AC121" s="23"/>
      <c r="AD121" s="23"/>
      <c r="AE121" s="29">
        <f>Tabla1[[#This Row],[Cierre]]+Tabla1[[#This Row],[Vigencia Oferta (días)]]</f>
        <v>44606.62777777778</v>
      </c>
      <c r="AF121" s="87"/>
      <c r="AG121" s="28"/>
      <c r="AH121" s="164">
        <f>Tabla1[[#This Row],[Unidades2]]*Tabla1[[#This Row],[Precio Unitario]]</f>
        <v>0</v>
      </c>
      <c r="AI121" s="23" t="s">
        <v>44</v>
      </c>
      <c r="AJ121" s="26">
        <v>44627</v>
      </c>
      <c r="AK121" s="172">
        <f>Tabla1[[#This Row],[Fecha Vigencia]]-AJ121</f>
        <v>-20.372222222220444</v>
      </c>
      <c r="AL121" s="23" t="s">
        <v>472</v>
      </c>
      <c r="AM121" s="87">
        <v>192510000</v>
      </c>
      <c r="AN121" s="23"/>
      <c r="AO121" s="29"/>
      <c r="AP121" s="23"/>
      <c r="AQ121" s="23" t="s">
        <v>853</v>
      </c>
      <c r="AR121" s="23" t="s">
        <v>11</v>
      </c>
      <c r="AS121" s="23"/>
      <c r="AT121" s="29">
        <v>45454</v>
      </c>
      <c r="AU121" s="23"/>
      <c r="AV121" s="23"/>
      <c r="AW121" s="23" t="s">
        <v>854</v>
      </c>
      <c r="AX121" t="s">
        <v>855</v>
      </c>
      <c r="AY121" s="23"/>
      <c r="AZ121" s="23"/>
      <c r="BA121" s="23"/>
      <c r="BB121" s="32"/>
      <c r="BC121" s="73"/>
    </row>
    <row r="122" spans="1:55" x14ac:dyDescent="0.25">
      <c r="A122" s="22" t="s">
        <v>856</v>
      </c>
      <c r="B122" s="23" t="s">
        <v>857</v>
      </c>
      <c r="C122" s="23" t="s">
        <v>858</v>
      </c>
      <c r="D122" s="23" t="s">
        <v>731</v>
      </c>
      <c r="E122" s="24"/>
      <c r="F122" s="25"/>
      <c r="G122" s="23" t="s">
        <v>16</v>
      </c>
      <c r="H122" s="23" t="s">
        <v>145</v>
      </c>
      <c r="I122" s="2">
        <v>44599.566770833335</v>
      </c>
      <c r="J122" s="24">
        <f>MONTH(Tabla1[[#This Row],[Publicación]])</f>
        <v>2</v>
      </c>
      <c r="K122" s="24">
        <f>YEAR(Tabla1[[#This Row],[Publicación]])</f>
        <v>2022</v>
      </c>
      <c r="L122" s="2">
        <v>44606.666666666664</v>
      </c>
      <c r="M122" s="26">
        <v>44599</v>
      </c>
      <c r="N122" s="25" t="s">
        <v>10</v>
      </c>
      <c r="O122" s="24" t="s">
        <v>25</v>
      </c>
      <c r="P122" s="24" t="s">
        <v>10</v>
      </c>
      <c r="Q122" s="2">
        <v>44601.666666666664</v>
      </c>
      <c r="R122" s="2">
        <v>44603.731249999997</v>
      </c>
      <c r="S122" s="26">
        <v>44610.648611111108</v>
      </c>
      <c r="T122" s="27">
        <v>0</v>
      </c>
      <c r="U122" s="28">
        <f>Tabla1[[#This Row],[PPTO]]/(1+'Lista Datos'!$B$1)</f>
        <v>0</v>
      </c>
      <c r="V122" s="23"/>
      <c r="W122" s="18" t="s">
        <v>10</v>
      </c>
      <c r="X122" s="102"/>
      <c r="Y122" s="18" t="s">
        <v>146</v>
      </c>
      <c r="Z122" s="18" t="s">
        <v>10</v>
      </c>
      <c r="AA122" s="23"/>
      <c r="AB122" s="23"/>
      <c r="AC122" s="23"/>
      <c r="AD122" s="23"/>
      <c r="AE122" s="29">
        <f>Tabla1[[#This Row],[Cierre]]+Tabla1[[#This Row],[Vigencia Oferta (días)]]</f>
        <v>44606.666666666664</v>
      </c>
      <c r="AF122" s="87"/>
      <c r="AG122" s="28"/>
      <c r="AH122" s="164">
        <f>Tabla1[[#This Row],[Unidades2]]*Tabla1[[#This Row],[Precio Unitario]]</f>
        <v>0</v>
      </c>
      <c r="AI122" s="23" t="s">
        <v>44</v>
      </c>
      <c r="AJ122" s="26">
        <v>44624</v>
      </c>
      <c r="AK122" s="172">
        <f>Tabla1[[#This Row],[Fecha Vigencia]]-AJ122</f>
        <v>-17.333333333335759</v>
      </c>
      <c r="AL122" s="23" t="s">
        <v>45</v>
      </c>
      <c r="AM122" s="87">
        <v>535930</v>
      </c>
      <c r="AN122" s="23"/>
      <c r="AO122" s="29"/>
      <c r="AP122" s="23"/>
      <c r="AQ122" s="23" t="s">
        <v>732</v>
      </c>
      <c r="AR122" s="23" t="s">
        <v>10</v>
      </c>
      <c r="AS122" s="23"/>
      <c r="AT122" s="23"/>
      <c r="AU122" s="23"/>
      <c r="AV122" s="23"/>
      <c r="AW122" s="23" t="s">
        <v>733</v>
      </c>
      <c r="AX122" t="s">
        <v>734</v>
      </c>
      <c r="AY122" s="23"/>
      <c r="AZ122" s="23"/>
      <c r="BA122" s="23"/>
      <c r="BB122" s="32"/>
      <c r="BC122" s="73"/>
    </row>
    <row r="123" spans="1:55" x14ac:dyDescent="0.25">
      <c r="A123" s="22" t="s">
        <v>859</v>
      </c>
      <c r="B123" s="23" t="s">
        <v>860</v>
      </c>
      <c r="C123" s="23" t="s">
        <v>861</v>
      </c>
      <c r="D123" s="23" t="s">
        <v>862</v>
      </c>
      <c r="E123" s="24"/>
      <c r="F123" s="25"/>
      <c r="G123" s="23" t="s">
        <v>21</v>
      </c>
      <c r="H123" s="23" t="s">
        <v>106</v>
      </c>
      <c r="I123" s="2">
        <v>44575.639722222222</v>
      </c>
      <c r="J123" s="24">
        <f>MONTH(Tabla1[[#This Row],[Publicación]])</f>
        <v>1</v>
      </c>
      <c r="K123" s="24">
        <f>YEAR(Tabla1[[#This Row],[Publicación]])</f>
        <v>2022</v>
      </c>
      <c r="L123" s="2">
        <v>44606.666666666664</v>
      </c>
      <c r="M123" s="26">
        <v>44582</v>
      </c>
      <c r="N123" s="25" t="s">
        <v>10</v>
      </c>
      <c r="O123" s="24" t="s">
        <v>26</v>
      </c>
      <c r="P123" s="24" t="s">
        <v>10</v>
      </c>
      <c r="Q123" s="2">
        <v>44585.729166666664</v>
      </c>
      <c r="R123" s="2">
        <v>44588.729166666664</v>
      </c>
      <c r="S123" s="26">
        <v>44669.729166666664</v>
      </c>
      <c r="T123" s="28">
        <v>458388000</v>
      </c>
      <c r="U123" s="28">
        <f>Tabla1[[#This Row],[PPTO]]/(1+'Lista Datos'!$B$1)</f>
        <v>385200000</v>
      </c>
      <c r="V123" s="23"/>
      <c r="W123" s="18" t="s">
        <v>11</v>
      </c>
      <c r="X123" s="102">
        <v>10000000</v>
      </c>
      <c r="Y123" s="26">
        <v>44725</v>
      </c>
      <c r="Z123" s="18" t="s">
        <v>10</v>
      </c>
      <c r="AA123" s="23" t="s">
        <v>177</v>
      </c>
      <c r="AB123" s="23">
        <v>18</v>
      </c>
      <c r="AC123" s="23" t="s">
        <v>11</v>
      </c>
      <c r="AD123" s="23"/>
      <c r="AE123" s="29">
        <f>Tabla1[[#This Row],[Cierre]]+Tabla1[[#This Row],[Vigencia Oferta (días)]]</f>
        <v>44606.666666666664</v>
      </c>
      <c r="AF123" s="87"/>
      <c r="AG123" s="28"/>
      <c r="AH123" s="164">
        <f>Tabla1[[#This Row],[Unidades2]]*Tabla1[[#This Row],[Precio Unitario]]</f>
        <v>0</v>
      </c>
      <c r="AI123" s="23" t="s">
        <v>320</v>
      </c>
      <c r="AJ123" s="26"/>
      <c r="AK123" s="172">
        <f>Tabla1[[#This Row],[Fecha Vigencia]]-AJ123</f>
        <v>44606.666666666664</v>
      </c>
      <c r="AL123" s="23"/>
      <c r="AM123" s="87"/>
      <c r="AN123" s="23"/>
      <c r="AO123" s="29"/>
      <c r="AP123" s="23"/>
      <c r="AQ123" s="23" t="s">
        <v>863</v>
      </c>
      <c r="AR123" s="23" t="s">
        <v>11</v>
      </c>
      <c r="AS123" s="33">
        <v>0.1</v>
      </c>
      <c r="AT123" s="29">
        <v>45440</v>
      </c>
      <c r="AU123" s="23"/>
      <c r="AV123" s="23"/>
      <c r="AW123" s="23" t="s">
        <v>864</v>
      </c>
      <c r="AX123" t="s">
        <v>865</v>
      </c>
      <c r="AY123" s="23"/>
      <c r="AZ123" s="23"/>
      <c r="BA123" s="23"/>
      <c r="BB123" s="32"/>
      <c r="BC123" s="73"/>
    </row>
    <row r="124" spans="1:55" x14ac:dyDescent="0.25">
      <c r="A124" s="22" t="s">
        <v>866</v>
      </c>
      <c r="B124" s="23" t="s">
        <v>867</v>
      </c>
      <c r="C124" s="23" t="s">
        <v>868</v>
      </c>
      <c r="D124" s="23" t="s">
        <v>869</v>
      </c>
      <c r="E124" s="24"/>
      <c r="F124" s="25"/>
      <c r="G124" s="23" t="s">
        <v>16</v>
      </c>
      <c r="H124" s="23" t="s">
        <v>123</v>
      </c>
      <c r="I124" s="2">
        <v>44594.693611111114</v>
      </c>
      <c r="J124" s="24">
        <f>MONTH(Tabla1[[#This Row],[Publicación]])</f>
        <v>2</v>
      </c>
      <c r="K124" s="24">
        <f>YEAR(Tabla1[[#This Row],[Publicación]])</f>
        <v>2022</v>
      </c>
      <c r="L124" s="2">
        <v>44606.675000000003</v>
      </c>
      <c r="M124" s="26">
        <v>44596</v>
      </c>
      <c r="N124" s="25" t="s">
        <v>10</v>
      </c>
      <c r="O124" s="24" t="s">
        <v>25</v>
      </c>
      <c r="P124" s="24" t="s">
        <v>10</v>
      </c>
      <c r="Q124" s="2">
        <v>44599.84652777778</v>
      </c>
      <c r="R124" s="2">
        <v>44602.84652777778</v>
      </c>
      <c r="S124" s="26">
        <v>44635.675694444442</v>
      </c>
      <c r="T124" s="27">
        <v>0</v>
      </c>
      <c r="U124" s="28">
        <f>Tabla1[[#This Row],[PPTO]]/(1+'Lista Datos'!$B$1)</f>
        <v>0</v>
      </c>
      <c r="V124" s="23"/>
      <c r="W124" s="18" t="s">
        <v>10</v>
      </c>
      <c r="X124" s="102"/>
      <c r="Y124" s="18" t="s">
        <v>146</v>
      </c>
      <c r="Z124" s="18" t="s">
        <v>10</v>
      </c>
      <c r="AA124" s="23"/>
      <c r="AB124" s="23"/>
      <c r="AC124" s="23"/>
      <c r="AD124" s="23"/>
      <c r="AE124" s="29">
        <f>Tabla1[[#This Row],[Cierre]]+Tabla1[[#This Row],[Vigencia Oferta (días)]]</f>
        <v>44606.675000000003</v>
      </c>
      <c r="AF124" s="87"/>
      <c r="AG124" s="28"/>
      <c r="AH124" s="164">
        <f>Tabla1[[#This Row],[Unidades2]]*Tabla1[[#This Row],[Precio Unitario]]</f>
        <v>0</v>
      </c>
      <c r="AI124" s="23" t="s">
        <v>320</v>
      </c>
      <c r="AJ124" s="26"/>
      <c r="AK124" s="172">
        <f>Tabla1[[#This Row],[Fecha Vigencia]]-AJ124</f>
        <v>44606.675000000003</v>
      </c>
      <c r="AL124" s="23"/>
      <c r="AM124" s="87"/>
      <c r="AN124" s="23"/>
      <c r="AO124" s="29"/>
      <c r="AP124" s="23"/>
      <c r="AQ124" s="23" t="s">
        <v>870</v>
      </c>
      <c r="AR124" s="23" t="s">
        <v>11</v>
      </c>
      <c r="AS124" s="33">
        <v>0.1</v>
      </c>
      <c r="AT124" s="29">
        <v>45260</v>
      </c>
      <c r="AU124" s="23"/>
      <c r="AV124" s="23"/>
      <c r="AW124" s="23" t="s">
        <v>871</v>
      </c>
      <c r="AX124" t="s">
        <v>872</v>
      </c>
      <c r="AY124" s="23"/>
      <c r="AZ124" s="23"/>
      <c r="BA124" s="23"/>
      <c r="BB124" s="32"/>
      <c r="BC124" s="73"/>
    </row>
    <row r="125" spans="1:55" x14ac:dyDescent="0.25">
      <c r="A125" s="22" t="s">
        <v>873</v>
      </c>
      <c r="B125" s="23" t="s">
        <v>874</v>
      </c>
      <c r="C125" s="23" t="s">
        <v>875</v>
      </c>
      <c r="D125" s="23" t="s">
        <v>234</v>
      </c>
      <c r="E125" s="24"/>
      <c r="F125" s="25"/>
      <c r="G125" s="23" t="s">
        <v>16</v>
      </c>
      <c r="H125" s="23" t="s">
        <v>145</v>
      </c>
      <c r="I125" s="2">
        <v>44594.525613425925</v>
      </c>
      <c r="J125" s="24">
        <f>MONTH(Tabla1[[#This Row],[Publicación]])</f>
        <v>2</v>
      </c>
      <c r="K125" s="24">
        <f>YEAR(Tabla1[[#This Row],[Publicación]])</f>
        <v>2022</v>
      </c>
      <c r="L125" s="2">
        <v>44607.479166666664</v>
      </c>
      <c r="M125" s="26">
        <v>44594</v>
      </c>
      <c r="N125" s="25" t="s">
        <v>11</v>
      </c>
      <c r="O125" s="24"/>
      <c r="P125" s="24" t="s">
        <v>11</v>
      </c>
      <c r="Q125" s="2">
        <v>44599.708333333336</v>
      </c>
      <c r="R125" s="2">
        <v>44604.708333333336</v>
      </c>
      <c r="S125" s="26">
        <v>44635.791666666664</v>
      </c>
      <c r="T125" s="27">
        <v>26000000</v>
      </c>
      <c r="U125" s="28">
        <f>Tabla1[[#This Row],[PPTO]]/(1+'Lista Datos'!$B$1)</f>
        <v>21848739.49579832</v>
      </c>
      <c r="V125" s="23"/>
      <c r="W125" s="18" t="s">
        <v>10</v>
      </c>
      <c r="X125" s="102"/>
      <c r="Y125" s="18" t="s">
        <v>146</v>
      </c>
      <c r="Z125" s="18" t="s">
        <v>10</v>
      </c>
      <c r="AA125" s="23" t="s">
        <v>177</v>
      </c>
      <c r="AB125" s="23">
        <v>24</v>
      </c>
      <c r="AC125" s="23" t="s">
        <v>10</v>
      </c>
      <c r="AD125" s="23"/>
      <c r="AE125" s="29">
        <f>Tabla1[[#This Row],[Cierre]]+Tabla1[[#This Row],[Vigencia Oferta (días)]]</f>
        <v>44607.479166666664</v>
      </c>
      <c r="AF125" s="87"/>
      <c r="AG125" s="28"/>
      <c r="AH125" s="164">
        <f>Tabla1[[#This Row],[Unidades2]]*Tabla1[[#This Row],[Precio Unitario]]</f>
        <v>0</v>
      </c>
      <c r="AI125" s="23" t="s">
        <v>44</v>
      </c>
      <c r="AJ125" s="26">
        <v>44645</v>
      </c>
      <c r="AK125" s="172">
        <f>Tabla1[[#This Row],[Fecha Vigencia]]-AJ125</f>
        <v>-37.520833333335759</v>
      </c>
      <c r="AL125" s="23" t="s">
        <v>115</v>
      </c>
      <c r="AM125" s="87">
        <v>19834</v>
      </c>
      <c r="AN125" s="29">
        <v>44645</v>
      </c>
      <c r="AO125" s="29">
        <v>45376</v>
      </c>
      <c r="AP125" s="23" t="s">
        <v>177</v>
      </c>
      <c r="AQ125" s="23" t="s">
        <v>235</v>
      </c>
      <c r="AR125" s="23" t="s">
        <v>11</v>
      </c>
      <c r="AS125" s="33">
        <v>0.05</v>
      </c>
      <c r="AT125" s="29">
        <v>45472</v>
      </c>
      <c r="AU125" s="23" t="s">
        <v>876</v>
      </c>
      <c r="AV125" s="23" t="s">
        <v>877</v>
      </c>
      <c r="AW125" s="23" t="s">
        <v>878</v>
      </c>
      <c r="AX125" t="s">
        <v>879</v>
      </c>
      <c r="AY125" s="23"/>
      <c r="AZ125" s="23"/>
      <c r="BA125" s="23"/>
      <c r="BB125" s="32"/>
      <c r="BC125" s="73"/>
    </row>
    <row r="126" spans="1:55" x14ac:dyDescent="0.25">
      <c r="A126" s="22" t="s">
        <v>880</v>
      </c>
      <c r="B126" s="23" t="s">
        <v>881</v>
      </c>
      <c r="C126" s="23" t="s">
        <v>882</v>
      </c>
      <c r="D126" s="23" t="s">
        <v>883</v>
      </c>
      <c r="E126" s="24"/>
      <c r="F126" s="25"/>
      <c r="G126" s="23" t="s">
        <v>16</v>
      </c>
      <c r="H126" s="23" t="s">
        <v>123</v>
      </c>
      <c r="I126" s="2">
        <v>44599.727523148147</v>
      </c>
      <c r="J126" s="24">
        <f>MONTH(Tabla1[[#This Row],[Publicación]])</f>
        <v>2</v>
      </c>
      <c r="K126" s="24">
        <f>YEAR(Tabla1[[#This Row],[Publicación]])</f>
        <v>2022</v>
      </c>
      <c r="L126" s="2">
        <v>44607.625</v>
      </c>
      <c r="M126" s="26">
        <v>44600</v>
      </c>
      <c r="N126" s="25" t="s">
        <v>10</v>
      </c>
      <c r="O126" s="24" t="s">
        <v>25</v>
      </c>
      <c r="P126" s="24" t="s">
        <v>10</v>
      </c>
      <c r="Q126" s="2">
        <v>44602.625</v>
      </c>
      <c r="R126" s="2">
        <v>44603.625</v>
      </c>
      <c r="S126" s="26">
        <v>44610.704062500001</v>
      </c>
      <c r="T126" s="27">
        <v>0</v>
      </c>
      <c r="U126" s="28">
        <f>Tabla1[[#This Row],[PPTO]]/(1+'Lista Datos'!$B$1)</f>
        <v>0</v>
      </c>
      <c r="V126" s="23"/>
      <c r="W126" s="18" t="s">
        <v>10</v>
      </c>
      <c r="X126" s="102"/>
      <c r="Y126" s="18" t="s">
        <v>146</v>
      </c>
      <c r="Z126" s="18" t="s">
        <v>10</v>
      </c>
      <c r="AA126" s="23"/>
      <c r="AB126" s="23"/>
      <c r="AC126" s="23"/>
      <c r="AD126" s="23"/>
      <c r="AE126" s="29">
        <f>Tabla1[[#This Row],[Cierre]]+Tabla1[[#This Row],[Vigencia Oferta (días)]]</f>
        <v>44607.625</v>
      </c>
      <c r="AF126" s="87"/>
      <c r="AG126" s="28"/>
      <c r="AH126" s="164">
        <f>Tabla1[[#This Row],[Unidades2]]*Tabla1[[#This Row],[Precio Unitario]]</f>
        <v>0</v>
      </c>
      <c r="AI126" s="23" t="s">
        <v>44</v>
      </c>
      <c r="AJ126" s="26">
        <v>44610</v>
      </c>
      <c r="AK126" s="172">
        <f>Tabla1[[#This Row],[Fecha Vigencia]]-AJ126</f>
        <v>-2.375</v>
      </c>
      <c r="AL126" s="23" t="s">
        <v>46</v>
      </c>
      <c r="AM126" s="87">
        <v>44500</v>
      </c>
      <c r="AN126" s="23"/>
      <c r="AO126" s="29"/>
      <c r="AP126" s="23"/>
      <c r="AQ126" s="23" t="s">
        <v>884</v>
      </c>
      <c r="AR126" s="23" t="s">
        <v>10</v>
      </c>
      <c r="AS126" s="23"/>
      <c r="AT126" s="23"/>
      <c r="AU126" s="23"/>
      <c r="AV126" s="23"/>
      <c r="AW126" s="23" t="s">
        <v>885</v>
      </c>
      <c r="AX126" t="s">
        <v>886</v>
      </c>
      <c r="AY126" s="23"/>
      <c r="AZ126" s="23"/>
      <c r="BA126" s="23"/>
      <c r="BB126" s="32"/>
      <c r="BC126" s="73"/>
    </row>
    <row r="127" spans="1:55" x14ac:dyDescent="0.25">
      <c r="A127" s="22" t="s">
        <v>880</v>
      </c>
      <c r="B127" s="23" t="s">
        <v>881</v>
      </c>
      <c r="C127" s="23" t="s">
        <v>882</v>
      </c>
      <c r="D127" s="23" t="s">
        <v>883</v>
      </c>
      <c r="E127" s="24"/>
      <c r="F127" s="25"/>
      <c r="G127" s="23" t="s">
        <v>21</v>
      </c>
      <c r="H127" s="23" t="s">
        <v>106</v>
      </c>
      <c r="I127" s="2">
        <v>44599.727523148147</v>
      </c>
      <c r="J127" s="24">
        <f>MONTH(Tabla1[[#This Row],[Publicación]])</f>
        <v>2</v>
      </c>
      <c r="K127" s="24">
        <f>YEAR(Tabla1[[#This Row],[Publicación]])</f>
        <v>2022</v>
      </c>
      <c r="L127" s="2">
        <v>44607.625</v>
      </c>
      <c r="M127" s="26">
        <v>44600</v>
      </c>
      <c r="N127" s="25" t="s">
        <v>10</v>
      </c>
      <c r="O127" s="24" t="s">
        <v>33</v>
      </c>
      <c r="P127" s="24" t="s">
        <v>10</v>
      </c>
      <c r="Q127" s="2">
        <v>44602.625</v>
      </c>
      <c r="R127" s="2">
        <v>44603.625</v>
      </c>
      <c r="S127" s="26">
        <v>44608.626388888886</v>
      </c>
      <c r="T127" s="27">
        <v>0</v>
      </c>
      <c r="U127" s="28">
        <f>Tabla1[[#This Row],[PPTO]]/(1+'Lista Datos'!$B$1)</f>
        <v>0</v>
      </c>
      <c r="V127" s="23"/>
      <c r="W127" s="18" t="s">
        <v>10</v>
      </c>
      <c r="X127" s="102"/>
      <c r="Y127" s="18" t="s">
        <v>146</v>
      </c>
      <c r="Z127" s="18" t="s">
        <v>10</v>
      </c>
      <c r="AA127" s="23"/>
      <c r="AB127" s="23"/>
      <c r="AC127" s="23"/>
      <c r="AD127" s="23"/>
      <c r="AE127" s="29">
        <f>Tabla1[[#This Row],[Cierre]]+Tabla1[[#This Row],[Vigencia Oferta (días)]]</f>
        <v>44607.625</v>
      </c>
      <c r="AF127" s="87"/>
      <c r="AG127" s="28"/>
      <c r="AH127" s="164">
        <f>Tabla1[[#This Row],[Unidades2]]*Tabla1[[#This Row],[Precio Unitario]]</f>
        <v>0</v>
      </c>
      <c r="AI127" s="23" t="s">
        <v>320</v>
      </c>
      <c r="AJ127" s="26">
        <v>44610</v>
      </c>
      <c r="AK127" s="172">
        <f>Tabla1[[#This Row],[Fecha Vigencia]]-AJ127</f>
        <v>-2.375</v>
      </c>
      <c r="AL127" s="23"/>
      <c r="AM127" s="87"/>
      <c r="AN127" s="23"/>
      <c r="AO127" s="29"/>
      <c r="AP127" s="23"/>
      <c r="AQ127" s="23" t="s">
        <v>884</v>
      </c>
      <c r="AR127" s="23" t="s">
        <v>10</v>
      </c>
      <c r="AS127" s="23"/>
      <c r="AT127" s="23"/>
      <c r="AU127" s="23"/>
      <c r="AV127" s="23"/>
      <c r="AW127" s="23" t="s">
        <v>885</v>
      </c>
      <c r="AX127" t="s">
        <v>886</v>
      </c>
      <c r="AY127" s="23"/>
      <c r="AZ127" s="23"/>
      <c r="BA127" s="23"/>
      <c r="BB127" s="32"/>
      <c r="BC127" s="73"/>
    </row>
    <row r="128" spans="1:55" x14ac:dyDescent="0.25">
      <c r="A128" s="22" t="s">
        <v>887</v>
      </c>
      <c r="B128" s="23" t="s">
        <v>888</v>
      </c>
      <c r="C128" s="23" t="s">
        <v>889</v>
      </c>
      <c r="D128" s="23" t="s">
        <v>890</v>
      </c>
      <c r="E128" s="24"/>
      <c r="F128" s="25"/>
      <c r="G128" s="23" t="s">
        <v>20</v>
      </c>
      <c r="H128" s="23" t="s">
        <v>176</v>
      </c>
      <c r="I128" s="2">
        <v>44596.729155092595</v>
      </c>
      <c r="J128" s="24">
        <f>MONTH(Tabla1[[#This Row],[Publicación]])</f>
        <v>2</v>
      </c>
      <c r="K128" s="24">
        <f>YEAR(Tabla1[[#This Row],[Publicación]])</f>
        <v>2022</v>
      </c>
      <c r="L128" s="2">
        <v>44607.625</v>
      </c>
      <c r="M128" s="26">
        <v>44599</v>
      </c>
      <c r="N128" s="25" t="s">
        <v>10</v>
      </c>
      <c r="O128" s="24" t="s">
        <v>30</v>
      </c>
      <c r="P128" s="24" t="s">
        <v>10</v>
      </c>
      <c r="Q128" s="2">
        <v>44601.708333333336</v>
      </c>
      <c r="R128" s="2">
        <v>44603.708333333336</v>
      </c>
      <c r="S128" s="26">
        <v>44635.625</v>
      </c>
      <c r="T128" s="27">
        <v>0</v>
      </c>
      <c r="U128" s="28">
        <f>Tabla1[[#This Row],[PPTO]]/(1+'Lista Datos'!$B$1)</f>
        <v>0</v>
      </c>
      <c r="V128" s="23"/>
      <c r="W128" s="18" t="s">
        <v>11</v>
      </c>
      <c r="X128" s="102">
        <v>350000</v>
      </c>
      <c r="Y128" s="26">
        <v>44735</v>
      </c>
      <c r="Z128" s="18" t="s">
        <v>10</v>
      </c>
      <c r="AA128" s="23" t="s">
        <v>177</v>
      </c>
      <c r="AB128" s="23"/>
      <c r="AC128" s="23" t="s">
        <v>10</v>
      </c>
      <c r="AD128" s="23"/>
      <c r="AE128" s="29">
        <f>Tabla1[[#This Row],[Cierre]]+Tabla1[[#This Row],[Vigencia Oferta (días)]]</f>
        <v>44607.625</v>
      </c>
      <c r="AF128" s="87"/>
      <c r="AG128" s="28"/>
      <c r="AH128" s="164">
        <f>Tabla1[[#This Row],[Unidades2]]*Tabla1[[#This Row],[Precio Unitario]]</f>
        <v>0</v>
      </c>
      <c r="AI128" s="23" t="s">
        <v>44</v>
      </c>
      <c r="AJ128" s="26">
        <v>44621</v>
      </c>
      <c r="AK128" s="172">
        <f>Tabla1[[#This Row],[Fecha Vigencia]]-AJ128</f>
        <v>-13.375</v>
      </c>
      <c r="AL128" s="23" t="s">
        <v>46</v>
      </c>
      <c r="AM128" s="87">
        <v>19950</v>
      </c>
      <c r="AN128" s="23"/>
      <c r="AO128" s="29"/>
      <c r="AP128" s="23" t="s">
        <v>177</v>
      </c>
      <c r="AQ128" s="23" t="s">
        <v>891</v>
      </c>
      <c r="AR128" s="23" t="s">
        <v>11</v>
      </c>
      <c r="AS128" s="33">
        <v>0.05</v>
      </c>
      <c r="AT128" s="29">
        <v>45118</v>
      </c>
      <c r="AU128" s="23"/>
      <c r="AV128" s="23"/>
      <c r="AW128" s="23" t="s">
        <v>892</v>
      </c>
      <c r="AX128" t="s">
        <v>893</v>
      </c>
      <c r="AY128" s="23"/>
      <c r="AZ128" s="23"/>
      <c r="BA128" s="23"/>
      <c r="BB128" s="32"/>
      <c r="BC128" s="73"/>
    </row>
    <row r="129" spans="1:55" x14ac:dyDescent="0.25">
      <c r="A129" s="22" t="s">
        <v>894</v>
      </c>
      <c r="B129" s="23" t="s">
        <v>895</v>
      </c>
      <c r="C129" s="23" t="s">
        <v>896</v>
      </c>
      <c r="D129" s="23" t="s">
        <v>897</v>
      </c>
      <c r="E129" s="24"/>
      <c r="F129" s="25"/>
      <c r="G129" s="23" t="s">
        <v>16</v>
      </c>
      <c r="H129" s="23" t="s">
        <v>533</v>
      </c>
      <c r="I129" s="2">
        <v>44599.483564814815</v>
      </c>
      <c r="J129" s="24">
        <f>MONTH(Tabla1[[#This Row],[Publicación]])</f>
        <v>2</v>
      </c>
      <c r="K129" s="24">
        <f>YEAR(Tabla1[[#This Row],[Publicación]])</f>
        <v>2022</v>
      </c>
      <c r="L129" s="2">
        <v>44609.556944444441</v>
      </c>
      <c r="M129" s="26">
        <v>44600</v>
      </c>
      <c r="N129" s="25" t="s">
        <v>11</v>
      </c>
      <c r="O129" s="24"/>
      <c r="P129" s="24" t="s">
        <v>11</v>
      </c>
      <c r="Q129" s="2">
        <v>44602.627083333333</v>
      </c>
      <c r="R129" s="2">
        <v>44603.627083333333</v>
      </c>
      <c r="S129" s="26">
        <v>44610.557638888888</v>
      </c>
      <c r="T129" s="27">
        <v>0</v>
      </c>
      <c r="U129" s="28">
        <f>Tabla1[[#This Row],[PPTO]]/(1+'Lista Datos'!$B$1)</f>
        <v>0</v>
      </c>
      <c r="V129" s="23"/>
      <c r="W129" s="18" t="s">
        <v>10</v>
      </c>
      <c r="X129" s="102"/>
      <c r="Y129" s="18" t="s">
        <v>146</v>
      </c>
      <c r="Z129" s="18" t="s">
        <v>10</v>
      </c>
      <c r="AA129" s="23" t="s">
        <v>177</v>
      </c>
      <c r="AB129" s="23">
        <v>12</v>
      </c>
      <c r="AC129" s="23" t="s">
        <v>10</v>
      </c>
      <c r="AD129" s="23"/>
      <c r="AE129" s="29">
        <f>Tabla1[[#This Row],[Cierre]]+Tabla1[[#This Row],[Vigencia Oferta (días)]]</f>
        <v>44609.556944444441</v>
      </c>
      <c r="AF129" s="87"/>
      <c r="AG129" s="28"/>
      <c r="AH129" s="164">
        <f>Tabla1[[#This Row],[Unidades2]]*Tabla1[[#This Row],[Precio Unitario]]</f>
        <v>0</v>
      </c>
      <c r="AI129" s="23" t="s">
        <v>44</v>
      </c>
      <c r="AJ129" s="26">
        <v>44628</v>
      </c>
      <c r="AK129" s="172">
        <f>Tabla1[[#This Row],[Fecha Vigencia]]-AJ129</f>
        <v>-18.443055555559113</v>
      </c>
      <c r="AL129" s="23" t="s">
        <v>115</v>
      </c>
      <c r="AM129" s="87">
        <v>74990</v>
      </c>
      <c r="AN129" s="29">
        <v>44628</v>
      </c>
      <c r="AO129" s="29">
        <v>44993</v>
      </c>
      <c r="AP129" s="23" t="s">
        <v>177</v>
      </c>
      <c r="AQ129" s="23" t="s">
        <v>898</v>
      </c>
      <c r="AR129" s="23" t="s">
        <v>10</v>
      </c>
      <c r="AS129" s="23"/>
      <c r="AT129" s="23"/>
      <c r="AU129" s="23" t="s">
        <v>899</v>
      </c>
      <c r="AV129" s="23" t="s">
        <v>900</v>
      </c>
      <c r="AW129" s="23" t="s">
        <v>901</v>
      </c>
      <c r="AX129" t="s">
        <v>902</v>
      </c>
      <c r="AY129" s="23"/>
      <c r="AZ129" s="23"/>
      <c r="BA129" s="23"/>
      <c r="BB129" s="32"/>
      <c r="BC129" s="73"/>
    </row>
    <row r="130" spans="1:55" ht="11.25" x14ac:dyDescent="0.2">
      <c r="A130" s="22" t="s">
        <v>903</v>
      </c>
      <c r="B130" s="23" t="s">
        <v>904</v>
      </c>
      <c r="C130" s="23"/>
      <c r="D130" s="23" t="s">
        <v>905</v>
      </c>
      <c r="E130" s="24"/>
      <c r="F130" s="25"/>
      <c r="G130" s="23" t="s">
        <v>41</v>
      </c>
      <c r="H130" s="23" t="s">
        <v>298</v>
      </c>
      <c r="I130" s="2">
        <v>44603.424409722225</v>
      </c>
      <c r="J130" s="24">
        <f>MONTH(Tabla1[[#This Row],[Publicación]])</f>
        <v>2</v>
      </c>
      <c r="K130" s="24">
        <f>YEAR(Tabla1[[#This Row],[Publicación]])</f>
        <v>2022</v>
      </c>
      <c r="L130" s="2">
        <v>44610.041666666664</v>
      </c>
      <c r="M130" s="26">
        <v>44603.956944444442</v>
      </c>
      <c r="N130" s="25" t="s">
        <v>10</v>
      </c>
      <c r="O130" s="24" t="s">
        <v>25</v>
      </c>
      <c r="P130" s="24" t="s">
        <v>10</v>
      </c>
      <c r="Q130" s="2">
        <v>44607.5</v>
      </c>
      <c r="R130" s="2">
        <v>44608.625</v>
      </c>
      <c r="S130" s="26">
        <v>44603.956944444442</v>
      </c>
      <c r="T130" s="27">
        <v>0</v>
      </c>
      <c r="U130" s="28">
        <f>Tabla1[[#This Row],[PPTO]]/(1+'Lista Datos'!$B$1)</f>
        <v>0</v>
      </c>
      <c r="V130" s="23"/>
      <c r="W130" s="18" t="s">
        <v>10</v>
      </c>
      <c r="X130" s="102"/>
      <c r="Y130" s="18" t="s">
        <v>146</v>
      </c>
      <c r="Z130" s="18" t="s">
        <v>10</v>
      </c>
      <c r="AA130" s="23"/>
      <c r="AB130" s="23"/>
      <c r="AC130" s="23"/>
      <c r="AD130" s="23"/>
      <c r="AE130" s="29">
        <f>Tabla1[[#This Row],[Cierre]]+Tabla1[[#This Row],[Vigencia Oferta (días)]]</f>
        <v>44610.041666666664</v>
      </c>
      <c r="AF130" s="87"/>
      <c r="AG130" s="28"/>
      <c r="AH130" s="164">
        <f>Tabla1[[#This Row],[Unidades2]]*Tabla1[[#This Row],[Precio Unitario]]</f>
        <v>0</v>
      </c>
      <c r="AI130" s="23" t="s">
        <v>320</v>
      </c>
      <c r="AJ130" s="26"/>
      <c r="AK130" s="172">
        <f>Tabla1[[#This Row],[Fecha Vigencia]]-AJ130</f>
        <v>44610.041666666664</v>
      </c>
      <c r="AL130" s="23"/>
      <c r="AM130" s="87"/>
      <c r="AN130" s="23"/>
      <c r="AO130" s="29"/>
      <c r="AP130" s="23"/>
      <c r="AQ130" s="23" t="s">
        <v>906</v>
      </c>
      <c r="AR130" s="23"/>
      <c r="AS130" s="23"/>
      <c r="AT130" s="23"/>
      <c r="AU130" s="23"/>
      <c r="AV130" s="23"/>
      <c r="AW130" s="23"/>
      <c r="AX130" s="23"/>
      <c r="AY130" s="23"/>
      <c r="AZ130" s="23"/>
      <c r="BA130" s="23"/>
      <c r="BB130" s="32"/>
      <c r="BC130" s="73"/>
    </row>
    <row r="131" spans="1:55" x14ac:dyDescent="0.25">
      <c r="A131" s="22" t="s">
        <v>907</v>
      </c>
      <c r="B131" s="23" t="s">
        <v>908</v>
      </c>
      <c r="C131" s="45" t="s">
        <v>908</v>
      </c>
      <c r="D131" s="23" t="s">
        <v>909</v>
      </c>
      <c r="E131" s="24"/>
      <c r="F131" s="25"/>
      <c r="G131" s="23" t="s">
        <v>16</v>
      </c>
      <c r="H131" s="23" t="s">
        <v>910</v>
      </c>
      <c r="I131" s="5">
        <v>44592.510763888888</v>
      </c>
      <c r="J131" s="24">
        <f>MONTH(Tabla1[[#This Row],[Publicación]])</f>
        <v>1</v>
      </c>
      <c r="K131" s="24">
        <f>YEAR(Tabla1[[#This Row],[Publicación]])</f>
        <v>2022</v>
      </c>
      <c r="L131" s="2">
        <v>44610.583333333336</v>
      </c>
      <c r="M131" s="26">
        <v>44594</v>
      </c>
      <c r="N131" s="25" t="s">
        <v>11</v>
      </c>
      <c r="O131" s="24"/>
      <c r="P131" s="24" t="s">
        <v>11</v>
      </c>
      <c r="Q131" s="2">
        <v>44595.640972222223</v>
      </c>
      <c r="R131" s="2">
        <v>44596.640972222223</v>
      </c>
      <c r="S131" s="26">
        <v>44603.783333333333</v>
      </c>
      <c r="T131" s="27">
        <v>0</v>
      </c>
      <c r="U131" s="28">
        <f>Tabla1[[#This Row],[PPTO]]/(1+'Lista Datos'!$B$1)</f>
        <v>0</v>
      </c>
      <c r="V131" s="23"/>
      <c r="W131" s="18" t="s">
        <v>10</v>
      </c>
      <c r="X131" s="102"/>
      <c r="Y131" s="18" t="s">
        <v>146</v>
      </c>
      <c r="Z131" s="18" t="s">
        <v>10</v>
      </c>
      <c r="AA131" s="23" t="s">
        <v>177</v>
      </c>
      <c r="AB131" s="23">
        <v>12</v>
      </c>
      <c r="AC131" s="23" t="s">
        <v>10</v>
      </c>
      <c r="AD131" s="23"/>
      <c r="AE131" s="29">
        <f>Tabla1[[#This Row],[Cierre]]+Tabla1[[#This Row],[Vigencia Oferta (días)]]</f>
        <v>44610.583333333336</v>
      </c>
      <c r="AF131" s="87"/>
      <c r="AG131" s="28"/>
      <c r="AH131" s="164">
        <f>Tabla1[[#This Row],[Unidades2]]*Tabla1[[#This Row],[Precio Unitario]]</f>
        <v>0</v>
      </c>
      <c r="AI131" s="23" t="s">
        <v>44</v>
      </c>
      <c r="AJ131" s="26">
        <v>44623</v>
      </c>
      <c r="AK131" s="172">
        <f>Tabla1[[#This Row],[Fecha Vigencia]]-AJ131</f>
        <v>-12.416666666664241</v>
      </c>
      <c r="AL131" s="23" t="s">
        <v>115</v>
      </c>
      <c r="AM131" s="87">
        <v>28492830</v>
      </c>
      <c r="AN131" s="29">
        <v>44623</v>
      </c>
      <c r="AO131" s="29">
        <v>44988</v>
      </c>
      <c r="AP131" s="23" t="s">
        <v>292</v>
      </c>
      <c r="AQ131" s="23" t="s">
        <v>911</v>
      </c>
      <c r="AR131" s="23" t="s">
        <v>10</v>
      </c>
      <c r="AS131" s="23"/>
      <c r="AT131" s="23"/>
      <c r="AU131" s="23" t="s">
        <v>912</v>
      </c>
      <c r="AV131" s="23" t="s">
        <v>913</v>
      </c>
      <c r="AW131" s="23" t="s">
        <v>912</v>
      </c>
      <c r="AX131" t="s">
        <v>913</v>
      </c>
      <c r="AY131" s="23"/>
      <c r="AZ131" s="23"/>
      <c r="BA131" s="23"/>
      <c r="BB131" s="32"/>
      <c r="BC131" s="73"/>
    </row>
    <row r="132" spans="1:55" x14ac:dyDescent="0.25">
      <c r="A132" s="22" t="s">
        <v>914</v>
      </c>
      <c r="B132" s="23" t="s">
        <v>915</v>
      </c>
      <c r="C132" s="23" t="s">
        <v>916</v>
      </c>
      <c r="D132" s="23" t="s">
        <v>917</v>
      </c>
      <c r="E132" s="24"/>
      <c r="F132" s="25"/>
      <c r="G132" s="23" t="s">
        <v>21</v>
      </c>
      <c r="H132" s="23" t="s">
        <v>106</v>
      </c>
      <c r="I132" s="2">
        <v>44600.547395833331</v>
      </c>
      <c r="J132" s="24">
        <f>MONTH(Tabla1[[#This Row],[Publicación]])</f>
        <v>2</v>
      </c>
      <c r="K132" s="24">
        <f>YEAR(Tabla1[[#This Row],[Publicación]])</f>
        <v>2022</v>
      </c>
      <c r="L132" s="2">
        <v>44610.666666666664</v>
      </c>
      <c r="M132" s="26"/>
      <c r="N132" s="25" t="s">
        <v>11</v>
      </c>
      <c r="O132" s="24"/>
      <c r="P132" s="24" t="s">
        <v>11</v>
      </c>
      <c r="Q132" s="2">
        <v>44607.416666666664</v>
      </c>
      <c r="R132" s="2">
        <v>44608.625</v>
      </c>
      <c r="S132" s="26">
        <v>44622.700289351851</v>
      </c>
      <c r="T132" s="27">
        <v>0</v>
      </c>
      <c r="U132" s="28">
        <f>Tabla1[[#This Row],[PPTO]]/(1+'Lista Datos'!$B$1)</f>
        <v>0</v>
      </c>
      <c r="V132" s="23">
        <v>30</v>
      </c>
      <c r="W132" s="18" t="s">
        <v>10</v>
      </c>
      <c r="X132" s="102"/>
      <c r="Y132" s="18" t="s">
        <v>146</v>
      </c>
      <c r="Z132" s="18" t="s">
        <v>10</v>
      </c>
      <c r="AA132" s="23" t="s">
        <v>512</v>
      </c>
      <c r="AB132" s="23"/>
      <c r="AC132" s="23" t="s">
        <v>10</v>
      </c>
      <c r="AD132" s="23">
        <v>90</v>
      </c>
      <c r="AE132" s="29">
        <f>Tabla1[[#This Row],[Cierre]]+Tabla1[[#This Row],[Vigencia Oferta (días)]]</f>
        <v>44700.666666666664</v>
      </c>
      <c r="AF132" s="87">
        <v>5</v>
      </c>
      <c r="AG132" s="28">
        <v>25116</v>
      </c>
      <c r="AH132" s="164">
        <f>Tabla1[[#This Row],[Unidades2]]*Tabla1[[#This Row],[Precio Unitario]]</f>
        <v>125580</v>
      </c>
      <c r="AI132" s="23" t="s">
        <v>44</v>
      </c>
      <c r="AJ132" s="26">
        <v>44622</v>
      </c>
      <c r="AK132" s="172">
        <f>Tabla1[[#This Row],[Fecha Vigencia]]-AJ132</f>
        <v>78.666666666664241</v>
      </c>
      <c r="AL132" s="23" t="s">
        <v>115</v>
      </c>
      <c r="AM132" s="87">
        <v>25116</v>
      </c>
      <c r="AN132" s="23"/>
      <c r="AO132" s="29"/>
      <c r="AP132" s="23" t="s">
        <v>292</v>
      </c>
      <c r="AQ132" s="23" t="s">
        <v>918</v>
      </c>
      <c r="AR132" s="23" t="s">
        <v>10</v>
      </c>
      <c r="AS132" s="23"/>
      <c r="AT132" s="23"/>
      <c r="AU132" t="s">
        <v>919</v>
      </c>
      <c r="AV132" s="74"/>
      <c r="AW132" s="23" t="s">
        <v>920</v>
      </c>
      <c r="AX132" t="s">
        <v>921</v>
      </c>
      <c r="AY132" s="23"/>
      <c r="AZ132" s="23"/>
      <c r="BA132" s="23"/>
      <c r="BB132" s="32"/>
      <c r="BC132" s="73"/>
    </row>
    <row r="133" spans="1:55" ht="11.25" x14ac:dyDescent="0.2">
      <c r="A133" s="22" t="s">
        <v>922</v>
      </c>
      <c r="B133" s="23" t="s">
        <v>923</v>
      </c>
      <c r="C133" s="23" t="s">
        <v>924</v>
      </c>
      <c r="D133" s="23" t="s">
        <v>925</v>
      </c>
      <c r="E133" s="24"/>
      <c r="F133" s="25"/>
      <c r="G133" s="23" t="s">
        <v>41</v>
      </c>
      <c r="H133" s="23" t="s">
        <v>298</v>
      </c>
      <c r="I133" s="2">
        <v>44601.596620370372</v>
      </c>
      <c r="J133" s="24">
        <f>MONTH(Tabla1[[#This Row],[Publicación]])</f>
        <v>2</v>
      </c>
      <c r="K133" s="24">
        <f>YEAR(Tabla1[[#This Row],[Publicación]])</f>
        <v>2022</v>
      </c>
      <c r="L133" s="2">
        <v>44610.666666666664</v>
      </c>
      <c r="M133" s="26">
        <v>44603.951388888891</v>
      </c>
      <c r="N133" s="25" t="s">
        <v>10</v>
      </c>
      <c r="O133" s="24" t="s">
        <v>25</v>
      </c>
      <c r="P133" s="24" t="s">
        <v>10</v>
      </c>
      <c r="Q133" s="2">
        <v>44606.375</v>
      </c>
      <c r="R133" s="2">
        <v>44608.666666666664</v>
      </c>
      <c r="S133" s="26">
        <v>44631.677094907405</v>
      </c>
      <c r="T133" s="27">
        <v>0</v>
      </c>
      <c r="U133" s="28">
        <f>Tabla1[[#This Row],[PPTO]]/(1+'Lista Datos'!$B$1)</f>
        <v>0</v>
      </c>
      <c r="V133" s="23"/>
      <c r="W133" s="18" t="s">
        <v>10</v>
      </c>
      <c r="X133" s="102"/>
      <c r="Y133" s="18" t="s">
        <v>146</v>
      </c>
      <c r="Z133" s="18" t="s">
        <v>10</v>
      </c>
      <c r="AA133" s="23"/>
      <c r="AB133" s="23"/>
      <c r="AC133" s="23"/>
      <c r="AD133" s="23"/>
      <c r="AE133" s="29">
        <f>Tabla1[[#This Row],[Cierre]]+Tabla1[[#This Row],[Vigencia Oferta (días)]]</f>
        <v>44610.666666666664</v>
      </c>
      <c r="AF133" s="87"/>
      <c r="AG133" s="28"/>
      <c r="AH133" s="164">
        <f>Tabla1[[#This Row],[Unidades2]]*Tabla1[[#This Row],[Precio Unitario]]</f>
        <v>0</v>
      </c>
      <c r="AI133" s="23" t="s">
        <v>44</v>
      </c>
      <c r="AJ133" s="26">
        <v>44631</v>
      </c>
      <c r="AK133" s="172">
        <f>Tabla1[[#This Row],[Fecha Vigencia]]-AJ133</f>
        <v>-20.333333333335759</v>
      </c>
      <c r="AL133" s="23" t="s">
        <v>46</v>
      </c>
      <c r="AM133" s="87">
        <v>891226</v>
      </c>
      <c r="AN133" s="23"/>
      <c r="AO133" s="29"/>
      <c r="AP133" s="23"/>
      <c r="AQ133" s="23" t="s">
        <v>299</v>
      </c>
      <c r="AR133" s="23" t="s">
        <v>10</v>
      </c>
      <c r="AS133" s="23"/>
      <c r="AT133" s="23"/>
      <c r="AU133" s="23"/>
      <c r="AV133" s="23"/>
      <c r="AW133" s="23"/>
      <c r="AX133" s="23"/>
      <c r="AY133" s="23"/>
      <c r="AZ133" s="23"/>
      <c r="BA133" s="23"/>
      <c r="BB133" s="32"/>
      <c r="BC133" s="73"/>
    </row>
    <row r="134" spans="1:55" x14ac:dyDescent="0.25">
      <c r="A134" s="22" t="s">
        <v>926</v>
      </c>
      <c r="B134" s="23" t="s">
        <v>927</v>
      </c>
      <c r="C134" s="23" t="s">
        <v>928</v>
      </c>
      <c r="D134" s="23" t="s">
        <v>929</v>
      </c>
      <c r="E134" s="24"/>
      <c r="F134" s="25"/>
      <c r="G134" s="23" t="s">
        <v>16</v>
      </c>
      <c r="H134" s="23" t="s">
        <v>123</v>
      </c>
      <c r="I134" s="2">
        <v>44602.710138888891</v>
      </c>
      <c r="J134" s="24">
        <f>MONTH(Tabla1[[#This Row],[Publicación]])</f>
        <v>2</v>
      </c>
      <c r="K134" s="24">
        <f>YEAR(Tabla1[[#This Row],[Publicación]])</f>
        <v>2022</v>
      </c>
      <c r="L134" s="2">
        <v>44610.726388888892</v>
      </c>
      <c r="M134" s="26">
        <v>44603.93472222222</v>
      </c>
      <c r="N134" s="25" t="s">
        <v>10</v>
      </c>
      <c r="O134" s="24" t="s">
        <v>25</v>
      </c>
      <c r="P134" s="24" t="s">
        <v>10</v>
      </c>
      <c r="Q134" s="2">
        <v>44605.80972222222</v>
      </c>
      <c r="R134" s="2">
        <v>44606.80972222222</v>
      </c>
      <c r="S134" s="26">
        <v>44631.727083333331</v>
      </c>
      <c r="T134" s="27">
        <v>0</v>
      </c>
      <c r="U134" s="28">
        <f>Tabla1[[#This Row],[PPTO]]/(1+'Lista Datos'!$B$1)</f>
        <v>0</v>
      </c>
      <c r="V134" s="23"/>
      <c r="W134" s="18" t="s">
        <v>10</v>
      </c>
      <c r="X134" s="102"/>
      <c r="Y134" s="18" t="s">
        <v>146</v>
      </c>
      <c r="Z134" s="18" t="s">
        <v>10</v>
      </c>
      <c r="AA134" s="23"/>
      <c r="AB134" s="23"/>
      <c r="AC134" s="23"/>
      <c r="AD134" s="23"/>
      <c r="AE134" s="29">
        <f>Tabla1[[#This Row],[Cierre]]+Tabla1[[#This Row],[Vigencia Oferta (días)]]</f>
        <v>44610.726388888892</v>
      </c>
      <c r="AF134" s="87"/>
      <c r="AG134" s="28"/>
      <c r="AH134" s="164">
        <f>Tabla1[[#This Row],[Unidades2]]*Tabla1[[#This Row],[Precio Unitario]]</f>
        <v>0</v>
      </c>
      <c r="AI134" s="23" t="s">
        <v>137</v>
      </c>
      <c r="AJ134" s="26"/>
      <c r="AK134" s="172">
        <f>Tabla1[[#This Row],[Fecha Vigencia]]-AJ134</f>
        <v>44610.726388888892</v>
      </c>
      <c r="AL134" s="23"/>
      <c r="AM134" s="87"/>
      <c r="AN134" s="23"/>
      <c r="AO134" s="29"/>
      <c r="AP134" s="23"/>
      <c r="AQ134" s="23" t="s">
        <v>930</v>
      </c>
      <c r="AR134" s="23" t="s">
        <v>10</v>
      </c>
      <c r="AS134" s="23"/>
      <c r="AT134" s="23"/>
      <c r="AU134" s="23"/>
      <c r="AV134" s="23"/>
      <c r="AW134" s="23" t="s">
        <v>931</v>
      </c>
      <c r="AX134" t="s">
        <v>932</v>
      </c>
      <c r="AY134" s="23"/>
      <c r="AZ134" s="23"/>
      <c r="BA134" s="23"/>
      <c r="BB134" s="32"/>
      <c r="BC134" s="73"/>
    </row>
    <row r="135" spans="1:55" x14ac:dyDescent="0.25">
      <c r="A135" s="22" t="s">
        <v>933</v>
      </c>
      <c r="B135" s="23" t="s">
        <v>934</v>
      </c>
      <c r="C135" s="23" t="s">
        <v>935</v>
      </c>
      <c r="D135" s="23" t="s">
        <v>936</v>
      </c>
      <c r="E135" s="24"/>
      <c r="F135" s="25"/>
      <c r="G135" s="23" t="s">
        <v>16</v>
      </c>
      <c r="H135" s="23" t="s">
        <v>168</v>
      </c>
      <c r="I135" s="2">
        <v>44593.39949074074</v>
      </c>
      <c r="J135" s="24">
        <f>MONTH(Tabla1[[#This Row],[Publicación]])</f>
        <v>2</v>
      </c>
      <c r="K135" s="24">
        <f>YEAR(Tabla1[[#This Row],[Publicación]])</f>
        <v>2022</v>
      </c>
      <c r="L135" s="2">
        <v>44613.625</v>
      </c>
      <c r="M135" s="26">
        <v>44596</v>
      </c>
      <c r="N135" s="25" t="s">
        <v>10</v>
      </c>
      <c r="O135" s="24" t="s">
        <v>25</v>
      </c>
      <c r="P135" s="24" t="s">
        <v>10</v>
      </c>
      <c r="Q135" s="2">
        <v>44595.666666666664</v>
      </c>
      <c r="R135" s="2">
        <v>44596.666666666664</v>
      </c>
      <c r="S135" s="26">
        <v>44712.728472222225</v>
      </c>
      <c r="T135" s="27">
        <v>0</v>
      </c>
      <c r="U135" s="28">
        <f>Tabla1[[#This Row],[PPTO]]/(1+'Lista Datos'!$B$1)</f>
        <v>0</v>
      </c>
      <c r="V135" s="23"/>
      <c r="W135" s="18" t="s">
        <v>11</v>
      </c>
      <c r="X135" s="102">
        <v>2500000</v>
      </c>
      <c r="Y135" s="26">
        <v>44704</v>
      </c>
      <c r="Z135" s="18" t="s">
        <v>10</v>
      </c>
      <c r="AA135" s="23"/>
      <c r="AB135" s="23"/>
      <c r="AC135" s="23"/>
      <c r="AD135" s="23"/>
      <c r="AE135" s="29">
        <f>Tabla1[[#This Row],[Cierre]]+Tabla1[[#This Row],[Vigencia Oferta (días)]]</f>
        <v>44613.625</v>
      </c>
      <c r="AF135" s="87"/>
      <c r="AG135" s="28"/>
      <c r="AH135" s="164">
        <f>Tabla1[[#This Row],[Unidades2]]*Tabla1[[#This Row],[Precio Unitario]]</f>
        <v>0</v>
      </c>
      <c r="AI135" s="23" t="s">
        <v>320</v>
      </c>
      <c r="AJ135" s="26"/>
      <c r="AK135" s="172">
        <f>Tabla1[[#This Row],[Fecha Vigencia]]-AJ135</f>
        <v>44613.625</v>
      </c>
      <c r="AL135" s="23"/>
      <c r="AM135" s="87"/>
      <c r="AN135" s="23"/>
      <c r="AO135" s="29"/>
      <c r="AP135" s="23"/>
      <c r="AQ135" s="23" t="s">
        <v>937</v>
      </c>
      <c r="AR135" s="23" t="s">
        <v>11</v>
      </c>
      <c r="AS135" s="33">
        <v>0.1</v>
      </c>
      <c r="AT135" s="29">
        <v>45433</v>
      </c>
      <c r="AU135" s="23"/>
      <c r="AV135" s="23"/>
      <c r="AW135" s="23" t="s">
        <v>938</v>
      </c>
      <c r="AX135" t="s">
        <v>939</v>
      </c>
      <c r="AY135" s="23"/>
      <c r="AZ135" s="23"/>
      <c r="BA135" s="23"/>
      <c r="BB135" s="32"/>
      <c r="BC135" s="73"/>
    </row>
    <row r="136" spans="1:55" x14ac:dyDescent="0.25">
      <c r="A136" s="22" t="s">
        <v>940</v>
      </c>
      <c r="B136" s="23" t="s">
        <v>941</v>
      </c>
      <c r="C136" s="23" t="s">
        <v>942</v>
      </c>
      <c r="D136" s="23" t="s">
        <v>943</v>
      </c>
      <c r="E136" s="24"/>
      <c r="F136" s="25"/>
      <c r="G136" s="23" t="s">
        <v>21</v>
      </c>
      <c r="H136" s="23" t="s">
        <v>106</v>
      </c>
      <c r="I136" s="2">
        <v>44597.686111111114</v>
      </c>
      <c r="J136" s="24">
        <f>MONTH(Tabla1[[#This Row],[Publicación]])</f>
        <v>2</v>
      </c>
      <c r="K136" s="24">
        <f>YEAR(Tabla1[[#This Row],[Publicación]])</f>
        <v>2022</v>
      </c>
      <c r="L136" s="2">
        <v>44613.625694444447</v>
      </c>
      <c r="M136" s="26"/>
      <c r="N136" s="25" t="s">
        <v>10</v>
      </c>
      <c r="O136" s="24" t="s">
        <v>29</v>
      </c>
      <c r="P136" s="24" t="s">
        <v>10</v>
      </c>
      <c r="Q136" s="2">
        <v>44609.625</v>
      </c>
      <c r="R136" s="2">
        <v>44610.625694444447</v>
      </c>
      <c r="S136" s="26">
        <v>44631.60728009259</v>
      </c>
      <c r="T136" s="27">
        <v>0</v>
      </c>
      <c r="U136" s="28">
        <f>Tabla1[[#This Row],[PPTO]]/(1+'Lista Datos'!$B$1)</f>
        <v>0</v>
      </c>
      <c r="V136" s="23"/>
      <c r="W136" s="18"/>
      <c r="X136" s="102"/>
      <c r="Y136" s="18" t="s">
        <v>146</v>
      </c>
      <c r="Z136" s="18"/>
      <c r="AA136" s="23"/>
      <c r="AB136" s="23"/>
      <c r="AC136" s="23"/>
      <c r="AD136" s="23"/>
      <c r="AE136" s="29">
        <f>Tabla1[[#This Row],[Cierre]]+Tabla1[[#This Row],[Vigencia Oferta (días)]]</f>
        <v>44613.625694444447</v>
      </c>
      <c r="AF136" s="87"/>
      <c r="AG136" s="28"/>
      <c r="AH136" s="164">
        <f>Tabla1[[#This Row],[Unidades2]]*Tabla1[[#This Row],[Precio Unitario]]</f>
        <v>0</v>
      </c>
      <c r="AI136" s="23" t="s">
        <v>44</v>
      </c>
      <c r="AJ136" s="26">
        <v>44631</v>
      </c>
      <c r="AK136" s="172">
        <f>Tabla1[[#This Row],[Fecha Vigencia]]-AJ136</f>
        <v>-17.374305555553292</v>
      </c>
      <c r="AL136" s="23" t="s">
        <v>46</v>
      </c>
      <c r="AM136" s="87">
        <v>24700</v>
      </c>
      <c r="AN136" s="23"/>
      <c r="AO136" s="29"/>
      <c r="AP136" s="23"/>
      <c r="AQ136" s="23" t="s">
        <v>944</v>
      </c>
      <c r="AR136" s="23" t="s">
        <v>10</v>
      </c>
      <c r="AS136" s="23"/>
      <c r="AT136" s="23"/>
      <c r="AU136" s="23"/>
      <c r="AV136" s="23"/>
      <c r="AW136" s="23" t="s">
        <v>945</v>
      </c>
      <c r="AX136" t="s">
        <v>946</v>
      </c>
      <c r="AY136" s="23"/>
      <c r="AZ136" s="23"/>
      <c r="BA136" s="23"/>
      <c r="BB136" s="32"/>
      <c r="BC136" s="73"/>
    </row>
    <row r="137" spans="1:55" ht="11.25" x14ac:dyDescent="0.2">
      <c r="A137" s="22" t="s">
        <v>947</v>
      </c>
      <c r="B137" s="23" t="s">
        <v>948</v>
      </c>
      <c r="C137" s="23" t="s">
        <v>949</v>
      </c>
      <c r="D137" s="23" t="s">
        <v>809</v>
      </c>
      <c r="E137" s="24"/>
      <c r="F137" s="25"/>
      <c r="G137" s="23" t="s">
        <v>16</v>
      </c>
      <c r="H137" s="23" t="s">
        <v>168</v>
      </c>
      <c r="I137" s="2">
        <v>44601.490972222222</v>
      </c>
      <c r="J137" s="24">
        <f>MONTH(Tabla1[[#This Row],[Publicación]])</f>
        <v>2</v>
      </c>
      <c r="K137" s="24">
        <f>YEAR(Tabla1[[#This Row],[Publicación]])</f>
        <v>2022</v>
      </c>
      <c r="L137" s="2">
        <v>44613.636111111111</v>
      </c>
      <c r="M137" s="26">
        <v>44603.925000000003</v>
      </c>
      <c r="N137" s="25" t="s">
        <v>10</v>
      </c>
      <c r="O137" s="24" t="s">
        <v>25</v>
      </c>
      <c r="P137" s="24" t="s">
        <v>10</v>
      </c>
      <c r="Q137" s="2">
        <v>44603.43472222222</v>
      </c>
      <c r="R137" s="2">
        <v>44603.643055555556</v>
      </c>
      <c r="S137" s="26">
        <v>44615.678472222222</v>
      </c>
      <c r="T137" s="27">
        <v>0</v>
      </c>
      <c r="U137" s="28">
        <f>Tabla1[[#This Row],[PPTO]]/(1+'Lista Datos'!$B$1)</f>
        <v>0</v>
      </c>
      <c r="V137" s="23"/>
      <c r="W137" s="18" t="s">
        <v>11</v>
      </c>
      <c r="X137" s="102">
        <v>500000</v>
      </c>
      <c r="Y137" s="26">
        <v>44662</v>
      </c>
      <c r="Z137" s="18" t="s">
        <v>10</v>
      </c>
      <c r="AA137" s="23"/>
      <c r="AB137" s="23"/>
      <c r="AC137" s="23"/>
      <c r="AD137" s="23"/>
      <c r="AE137" s="29">
        <f>Tabla1[[#This Row],[Cierre]]+Tabla1[[#This Row],[Vigencia Oferta (días)]]</f>
        <v>44613.636111111111</v>
      </c>
      <c r="AF137" s="87"/>
      <c r="AG137" s="28"/>
      <c r="AH137" s="164">
        <f>Tabla1[[#This Row],[Unidades2]]*Tabla1[[#This Row],[Precio Unitario]]</f>
        <v>0</v>
      </c>
      <c r="AI137" s="23" t="s">
        <v>137</v>
      </c>
      <c r="AJ137" s="26"/>
      <c r="AK137" s="172">
        <f>Tabla1[[#This Row],[Fecha Vigencia]]-AJ137</f>
        <v>44613.636111111111</v>
      </c>
      <c r="AL137" s="23"/>
      <c r="AM137" s="87"/>
      <c r="AN137" s="23"/>
      <c r="AO137" s="29"/>
      <c r="AP137" s="23"/>
      <c r="AQ137" s="23" t="s">
        <v>810</v>
      </c>
      <c r="AR137" s="23"/>
      <c r="AS137" s="23"/>
      <c r="AT137" s="23"/>
      <c r="AU137" s="23"/>
      <c r="AV137" s="23"/>
      <c r="AW137" s="23"/>
      <c r="AX137" s="23"/>
      <c r="AY137" s="23"/>
      <c r="AZ137" s="23"/>
      <c r="BA137" s="23"/>
      <c r="BB137" s="32"/>
      <c r="BC137" s="73"/>
    </row>
    <row r="138" spans="1:55" x14ac:dyDescent="0.25">
      <c r="A138" s="22" t="s">
        <v>950</v>
      </c>
      <c r="B138" s="23" t="s">
        <v>951</v>
      </c>
      <c r="C138" s="23" t="s">
        <v>861</v>
      </c>
      <c r="D138" s="23" t="s">
        <v>862</v>
      </c>
      <c r="E138" s="24"/>
      <c r="F138" s="25"/>
      <c r="G138" s="23" t="s">
        <v>21</v>
      </c>
      <c r="H138" s="23" t="s">
        <v>106</v>
      </c>
      <c r="I138" s="2">
        <v>44581.597615740742</v>
      </c>
      <c r="J138" s="24">
        <f>MONTH(Tabla1[[#This Row],[Publicación]])</f>
        <v>1</v>
      </c>
      <c r="K138" s="24">
        <f>YEAR(Tabla1[[#This Row],[Publicación]])</f>
        <v>2022</v>
      </c>
      <c r="L138" s="2">
        <v>44613.666666666664</v>
      </c>
      <c r="M138" s="26">
        <v>44587</v>
      </c>
      <c r="N138" s="25" t="s">
        <v>10</v>
      </c>
      <c r="O138" s="24" t="s">
        <v>34</v>
      </c>
      <c r="P138" s="24" t="s">
        <v>10</v>
      </c>
      <c r="Q138" s="2">
        <v>44592.729166666664</v>
      </c>
      <c r="R138" s="2">
        <v>44595.729166666664</v>
      </c>
      <c r="S138" s="26">
        <v>44676.729166666664</v>
      </c>
      <c r="T138" s="27">
        <v>0</v>
      </c>
      <c r="U138" s="28">
        <f>Tabla1[[#This Row],[PPTO]]/(1+'Lista Datos'!$B$1)</f>
        <v>0</v>
      </c>
      <c r="V138" s="23"/>
      <c r="W138" s="18" t="s">
        <v>11</v>
      </c>
      <c r="X138" s="102">
        <v>10000000</v>
      </c>
      <c r="Y138" s="26">
        <v>44731</v>
      </c>
      <c r="Z138" s="18" t="s">
        <v>10</v>
      </c>
      <c r="AA138" s="23"/>
      <c r="AB138" s="23"/>
      <c r="AC138" s="23"/>
      <c r="AD138" s="23"/>
      <c r="AE138" s="29">
        <f>Tabla1[[#This Row],[Cierre]]+Tabla1[[#This Row],[Vigencia Oferta (días)]]</f>
        <v>44613.666666666664</v>
      </c>
      <c r="AF138" s="87"/>
      <c r="AG138" s="28"/>
      <c r="AH138" s="164">
        <f>Tabla1[[#This Row],[Unidades2]]*Tabla1[[#This Row],[Precio Unitario]]</f>
        <v>0</v>
      </c>
      <c r="AI138" s="23" t="s">
        <v>44</v>
      </c>
      <c r="AJ138" s="26">
        <v>44714</v>
      </c>
      <c r="AK138" s="172">
        <f>Tabla1[[#This Row],[Fecha Vigencia]]-AJ138</f>
        <v>-100.33333333333576</v>
      </c>
      <c r="AL138" s="23" t="s">
        <v>46</v>
      </c>
      <c r="AM138" s="87">
        <v>3223807600</v>
      </c>
      <c r="AN138" s="23"/>
      <c r="AO138" s="29"/>
      <c r="AP138" s="23"/>
      <c r="AQ138" s="23" t="s">
        <v>863</v>
      </c>
      <c r="AR138" s="23" t="s">
        <v>11</v>
      </c>
      <c r="AS138" s="33">
        <v>0.1</v>
      </c>
      <c r="AT138" s="29">
        <v>45531</v>
      </c>
      <c r="AU138" s="23"/>
      <c r="AV138" s="23"/>
      <c r="AW138" s="23" t="s">
        <v>952</v>
      </c>
      <c r="AX138" t="s">
        <v>865</v>
      </c>
      <c r="AY138" s="23"/>
      <c r="AZ138" s="23"/>
      <c r="BA138" s="23"/>
      <c r="BB138" s="32"/>
      <c r="BC138" s="73"/>
    </row>
    <row r="139" spans="1:55" x14ac:dyDescent="0.25">
      <c r="A139" s="22" t="s">
        <v>953</v>
      </c>
      <c r="B139" s="23" t="s">
        <v>954</v>
      </c>
      <c r="C139" s="23" t="s">
        <v>954</v>
      </c>
      <c r="D139" s="23" t="s">
        <v>955</v>
      </c>
      <c r="E139" s="24"/>
      <c r="F139" s="25"/>
      <c r="G139" s="23" t="s">
        <v>20</v>
      </c>
      <c r="H139" s="23" t="s">
        <v>176</v>
      </c>
      <c r="I139" s="2">
        <v>44593.491759259261</v>
      </c>
      <c r="J139" s="24">
        <f>MONTH(Tabla1[[#This Row],[Publicación]])</f>
        <v>2</v>
      </c>
      <c r="K139" s="24">
        <f>YEAR(Tabla1[[#This Row],[Publicación]])</f>
        <v>2022</v>
      </c>
      <c r="L139" s="2">
        <v>44613.6875</v>
      </c>
      <c r="M139" s="26">
        <v>44593</v>
      </c>
      <c r="N139" s="25" t="s">
        <v>10</v>
      </c>
      <c r="O139" s="24" t="s">
        <v>27</v>
      </c>
      <c r="P139" s="24" t="s">
        <v>10</v>
      </c>
      <c r="Q139" s="2">
        <v>44601.708333333336</v>
      </c>
      <c r="R139" s="2">
        <v>44603.999305555553</v>
      </c>
      <c r="S139" s="26">
        <v>44658.828472222223</v>
      </c>
      <c r="T139" s="27">
        <v>0</v>
      </c>
      <c r="U139" s="28">
        <f>Tabla1[[#This Row],[PPTO]]/(1+'Lista Datos'!$B$1)</f>
        <v>0</v>
      </c>
      <c r="V139" s="23"/>
      <c r="W139" s="18" t="s">
        <v>11</v>
      </c>
      <c r="X139" s="102">
        <v>500000</v>
      </c>
      <c r="Y139" s="26">
        <v>44704</v>
      </c>
      <c r="Z139" s="18" t="s">
        <v>10</v>
      </c>
      <c r="AA139" s="23" t="s">
        <v>177</v>
      </c>
      <c r="AB139" s="23"/>
      <c r="AC139" s="23" t="s">
        <v>10</v>
      </c>
      <c r="AD139" s="23"/>
      <c r="AE139" s="29">
        <f>Tabla1[[#This Row],[Cierre]]+Tabla1[[#This Row],[Vigencia Oferta (días)]]</f>
        <v>44613.6875</v>
      </c>
      <c r="AF139" s="87"/>
      <c r="AG139" s="28"/>
      <c r="AH139" s="164">
        <f>Tabla1[[#This Row],[Unidades2]]*Tabla1[[#This Row],[Precio Unitario]]</f>
        <v>0</v>
      </c>
      <c r="AI139" s="23" t="s">
        <v>385</v>
      </c>
      <c r="AJ139" s="26"/>
      <c r="AK139" s="172">
        <f>Tabla1[[#This Row],[Fecha Vigencia]]-AJ139</f>
        <v>44613.6875</v>
      </c>
      <c r="AL139" s="23"/>
      <c r="AM139" s="87"/>
      <c r="AN139" s="23"/>
      <c r="AO139" s="29"/>
      <c r="AP139" s="23"/>
      <c r="AQ139" s="23" t="s">
        <v>235</v>
      </c>
      <c r="AR139" s="23" t="s">
        <v>11</v>
      </c>
      <c r="AS139" s="33">
        <v>0.05</v>
      </c>
      <c r="AT139" s="29">
        <v>45814</v>
      </c>
      <c r="AU139" s="23"/>
      <c r="AV139" s="23"/>
      <c r="AW139" s="23" t="s">
        <v>400</v>
      </c>
      <c r="AX139" t="s">
        <v>401</v>
      </c>
      <c r="AY139" s="23"/>
      <c r="AZ139" s="23"/>
      <c r="BA139" s="23"/>
      <c r="BB139" s="32"/>
      <c r="BC139" s="73"/>
    </row>
    <row r="140" spans="1:55" x14ac:dyDescent="0.25">
      <c r="A140" s="22" t="s">
        <v>956</v>
      </c>
      <c r="B140" s="23" t="s">
        <v>957</v>
      </c>
      <c r="C140" s="23" t="s">
        <v>958</v>
      </c>
      <c r="D140" s="23" t="s">
        <v>122</v>
      </c>
      <c r="E140" s="24"/>
      <c r="F140" s="25"/>
      <c r="G140" s="23" t="s">
        <v>16</v>
      </c>
      <c r="H140" s="23" t="s">
        <v>123</v>
      </c>
      <c r="I140" s="2">
        <v>44592.448564814818</v>
      </c>
      <c r="J140" s="24">
        <f>MONTH(Tabla1[[#This Row],[Publicación]])</f>
        <v>1</v>
      </c>
      <c r="K140" s="24">
        <f>YEAR(Tabla1[[#This Row],[Publicación]])</f>
        <v>2022</v>
      </c>
      <c r="L140" s="2">
        <v>44613.697916666664</v>
      </c>
      <c r="M140" s="26">
        <v>44593</v>
      </c>
      <c r="N140" s="25" t="s">
        <v>11</v>
      </c>
      <c r="O140" s="24"/>
      <c r="P140" s="24" t="s">
        <v>11</v>
      </c>
      <c r="Q140" s="2">
        <v>44602.666666666664</v>
      </c>
      <c r="R140" s="2">
        <v>44607.708333333336</v>
      </c>
      <c r="S140" s="26">
        <v>44658.708333333336</v>
      </c>
      <c r="T140" s="27">
        <v>190000000</v>
      </c>
      <c r="U140" s="28">
        <f>Tabla1[[#This Row],[PPTO]]/(1+'Lista Datos'!$B$1)</f>
        <v>159663865.54621848</v>
      </c>
      <c r="V140" s="23"/>
      <c r="W140" s="18" t="s">
        <v>11</v>
      </c>
      <c r="X140" s="102">
        <v>1</v>
      </c>
      <c r="Y140" s="18" t="s">
        <v>146</v>
      </c>
      <c r="Z140" s="18" t="s">
        <v>10</v>
      </c>
      <c r="AA140" s="23" t="s">
        <v>177</v>
      </c>
      <c r="AB140" s="23">
        <v>24</v>
      </c>
      <c r="AC140" s="23" t="s">
        <v>10</v>
      </c>
      <c r="AD140" s="23"/>
      <c r="AE140" s="29">
        <f>Tabla1[[#This Row],[Cierre]]+Tabla1[[#This Row],[Vigencia Oferta (días)]]</f>
        <v>44613.697916666664</v>
      </c>
      <c r="AF140" s="87"/>
      <c r="AG140" s="28"/>
      <c r="AH140" s="164">
        <f>Tabla1[[#This Row],[Unidades2]]*Tabla1[[#This Row],[Precio Unitario]]</f>
        <v>0</v>
      </c>
      <c r="AI140" s="23" t="s">
        <v>320</v>
      </c>
      <c r="AJ140" s="26">
        <v>44651</v>
      </c>
      <c r="AK140" s="172">
        <f>Tabla1[[#This Row],[Fecha Vigencia]]-AJ140</f>
        <v>-37.302083333335759</v>
      </c>
      <c r="AL140" s="23"/>
      <c r="AM140" s="87"/>
      <c r="AN140" s="23"/>
      <c r="AO140" s="29"/>
      <c r="AP140" s="23"/>
      <c r="AQ140" s="23" t="s">
        <v>959</v>
      </c>
      <c r="AR140" s="23" t="s">
        <v>11</v>
      </c>
      <c r="AS140" s="33">
        <v>0.05</v>
      </c>
      <c r="AT140" s="29">
        <v>45889</v>
      </c>
      <c r="AU140" s="23"/>
      <c r="AV140" s="23"/>
      <c r="AW140" s="23" t="s">
        <v>960</v>
      </c>
      <c r="AX140" t="s">
        <v>961</v>
      </c>
      <c r="AY140" s="23"/>
      <c r="AZ140" s="23"/>
      <c r="BA140" s="23"/>
      <c r="BB140" s="32"/>
      <c r="BC140" s="73"/>
    </row>
    <row r="141" spans="1:55" x14ac:dyDescent="0.25">
      <c r="A141" s="36" t="s">
        <v>962</v>
      </c>
      <c r="B141" s="37" t="s">
        <v>963</v>
      </c>
      <c r="C141" s="37" t="s">
        <v>964</v>
      </c>
      <c r="D141" s="37" t="s">
        <v>965</v>
      </c>
      <c r="E141" s="38"/>
      <c r="F141" s="39"/>
      <c r="G141" s="37" t="s">
        <v>21</v>
      </c>
      <c r="H141" s="37" t="s">
        <v>106</v>
      </c>
      <c r="I141" s="2">
        <v>44603.690312500003</v>
      </c>
      <c r="J141" s="24">
        <f>MONTH(Tabla1[[#This Row],[Publicación]])</f>
        <v>2</v>
      </c>
      <c r="K141" s="24">
        <f>YEAR(Tabla1[[#This Row],[Publicación]])</f>
        <v>2022</v>
      </c>
      <c r="L141" s="40">
        <v>44614</v>
      </c>
      <c r="M141" s="41"/>
      <c r="N141" s="39" t="s">
        <v>10</v>
      </c>
      <c r="O141" s="38" t="s">
        <v>34</v>
      </c>
      <c r="P141" s="24" t="s">
        <v>10</v>
      </c>
      <c r="Q141" s="40">
        <v>44606.666666666664</v>
      </c>
      <c r="R141" s="40">
        <v>44608.6875</v>
      </c>
      <c r="S141" s="41">
        <v>44651.522673611114</v>
      </c>
      <c r="T141" s="27">
        <v>0</v>
      </c>
      <c r="U141" s="28">
        <f>Tabla1[[#This Row],[PPTO]]/(1+'Lista Datos'!$B$1)</f>
        <v>0</v>
      </c>
      <c r="V141" s="37">
        <v>45</v>
      </c>
      <c r="W141" s="19" t="s">
        <v>10</v>
      </c>
      <c r="X141" s="112"/>
      <c r="Y141" s="19" t="s">
        <v>146</v>
      </c>
      <c r="Z141" s="19" t="s">
        <v>10</v>
      </c>
      <c r="AA141" s="37" t="s">
        <v>177</v>
      </c>
      <c r="AB141" s="37">
        <v>12</v>
      </c>
      <c r="AC141" s="37" t="s">
        <v>10</v>
      </c>
      <c r="AD141" s="37">
        <v>90</v>
      </c>
      <c r="AE141" s="29">
        <f>Tabla1[[#This Row],[Cierre]]+Tabla1[[#This Row],[Vigencia Oferta (días)]]</f>
        <v>44704</v>
      </c>
      <c r="AF141" s="88">
        <v>40</v>
      </c>
      <c r="AG141" s="43"/>
      <c r="AH141" s="164">
        <f>Tabla1[[#This Row],[Unidades2]]*Tabla1[[#This Row],[Precio Unitario]]</f>
        <v>0</v>
      </c>
      <c r="AI141" s="37" t="s">
        <v>44</v>
      </c>
      <c r="AJ141" s="41">
        <v>44651</v>
      </c>
      <c r="AK141" s="172">
        <f>Tabla1[[#This Row],[Fecha Vigencia]]-AJ141</f>
        <v>53</v>
      </c>
      <c r="AL141" s="37" t="s">
        <v>46</v>
      </c>
      <c r="AM141" s="88">
        <v>157040</v>
      </c>
      <c r="AN141" s="37"/>
      <c r="AO141" s="50"/>
      <c r="AP141" s="37"/>
      <c r="AQ141" s="37" t="s">
        <v>937</v>
      </c>
      <c r="AR141" s="37" t="s">
        <v>10</v>
      </c>
      <c r="AS141" s="37"/>
      <c r="AT141" s="37"/>
      <c r="AU141" s="37" t="s">
        <v>459</v>
      </c>
      <c r="AV141" s="37"/>
      <c r="AW141" s="37" t="s">
        <v>966</v>
      </c>
      <c r="AX141" t="s">
        <v>939</v>
      </c>
      <c r="AY141" s="37"/>
      <c r="AZ141" s="37"/>
      <c r="BA141" s="37"/>
      <c r="BB141" s="44"/>
      <c r="BC141" s="73"/>
    </row>
    <row r="142" spans="1:55" x14ac:dyDescent="0.25">
      <c r="A142" s="22" t="s">
        <v>967</v>
      </c>
      <c r="B142" s="23" t="s">
        <v>968</v>
      </c>
      <c r="C142" s="23" t="s">
        <v>969</v>
      </c>
      <c r="D142" s="23" t="s">
        <v>970</v>
      </c>
      <c r="E142" s="24"/>
      <c r="F142" s="25"/>
      <c r="G142" s="23" t="s">
        <v>16</v>
      </c>
      <c r="H142" s="23" t="s">
        <v>168</v>
      </c>
      <c r="I142" s="2">
        <v>44602.716157407405</v>
      </c>
      <c r="J142" s="24">
        <f>MONTH(Tabla1[[#This Row],[Publicación]])</f>
        <v>2</v>
      </c>
      <c r="K142" s="24">
        <f>YEAR(Tabla1[[#This Row],[Publicación]])</f>
        <v>2022</v>
      </c>
      <c r="L142" s="2">
        <v>44614.416666666664</v>
      </c>
      <c r="M142" s="26">
        <v>44603</v>
      </c>
      <c r="N142" s="25" t="s">
        <v>10</v>
      </c>
      <c r="O142" s="24" t="s">
        <v>25</v>
      </c>
      <c r="P142" s="24" t="s">
        <v>10</v>
      </c>
      <c r="Q142" s="2">
        <v>44608.719444444447</v>
      </c>
      <c r="R142" s="2">
        <v>44610.719444444447</v>
      </c>
      <c r="S142" s="26">
        <v>44651.411203703705</v>
      </c>
      <c r="T142" s="27">
        <v>0</v>
      </c>
      <c r="U142" s="28">
        <f>Tabla1[[#This Row],[PPTO]]/(1+'Lista Datos'!$B$1)</f>
        <v>0</v>
      </c>
      <c r="V142" s="23"/>
      <c r="W142" s="18" t="s">
        <v>11</v>
      </c>
      <c r="X142" s="102">
        <v>200000</v>
      </c>
      <c r="Y142" s="26">
        <v>44703</v>
      </c>
      <c r="Z142" s="18" t="s">
        <v>11</v>
      </c>
      <c r="AA142" s="23"/>
      <c r="AB142" s="23"/>
      <c r="AC142" s="23"/>
      <c r="AD142" s="23"/>
      <c r="AE142" s="29">
        <f>Tabla1[[#This Row],[Cierre]]+Tabla1[[#This Row],[Vigencia Oferta (días)]]</f>
        <v>44614.416666666664</v>
      </c>
      <c r="AF142" s="87"/>
      <c r="AG142" s="28"/>
      <c r="AH142" s="164">
        <f>Tabla1[[#This Row],[Unidades2]]*Tabla1[[#This Row],[Precio Unitario]]</f>
        <v>0</v>
      </c>
      <c r="AI142" s="23" t="s">
        <v>44</v>
      </c>
      <c r="AJ142" s="26">
        <v>44650</v>
      </c>
      <c r="AK142" s="172">
        <f>Tabla1[[#This Row],[Fecha Vigencia]]-AJ142</f>
        <v>-35.583333333335759</v>
      </c>
      <c r="AL142" s="23" t="s">
        <v>45</v>
      </c>
      <c r="AM142" s="87">
        <v>811324</v>
      </c>
      <c r="AN142" s="23"/>
      <c r="AO142" s="29"/>
      <c r="AP142" s="23"/>
      <c r="AQ142" s="23" t="s">
        <v>971</v>
      </c>
      <c r="AR142" s="23" t="s">
        <v>11</v>
      </c>
      <c r="AS142" s="33">
        <v>0.05</v>
      </c>
      <c r="AT142" s="29">
        <v>45849</v>
      </c>
      <c r="AU142" s="23"/>
      <c r="AV142" s="23"/>
      <c r="AW142" s="23" t="s">
        <v>972</v>
      </c>
      <c r="AX142" t="s">
        <v>973</v>
      </c>
      <c r="AY142" s="23"/>
      <c r="AZ142" s="23"/>
      <c r="BA142" s="23"/>
      <c r="BB142" s="32"/>
      <c r="BC142" s="73"/>
    </row>
    <row r="143" spans="1:55" x14ac:dyDescent="0.25">
      <c r="A143" s="22" t="s">
        <v>974</v>
      </c>
      <c r="B143" s="23" t="s">
        <v>975</v>
      </c>
      <c r="C143" s="45" t="s">
        <v>976</v>
      </c>
      <c r="D143" s="23" t="s">
        <v>977</v>
      </c>
      <c r="E143" s="46"/>
      <c r="F143" s="47"/>
      <c r="G143" s="23" t="s">
        <v>16</v>
      </c>
      <c r="H143" s="23" t="s">
        <v>145</v>
      </c>
      <c r="I143" s="2">
        <v>44601.610115740739</v>
      </c>
      <c r="J143" s="24">
        <f>MONTH(Tabla1[[#This Row],[Publicación]])</f>
        <v>2</v>
      </c>
      <c r="K143" s="24">
        <f>YEAR(Tabla1[[#This Row],[Publicación]])</f>
        <v>2022</v>
      </c>
      <c r="L143" s="5">
        <v>44614.416666666664</v>
      </c>
      <c r="M143" s="26">
        <v>44603.929861111108</v>
      </c>
      <c r="N143" s="25" t="s">
        <v>10</v>
      </c>
      <c r="O143" s="24" t="s">
        <v>25</v>
      </c>
      <c r="P143" s="24" t="s">
        <v>10</v>
      </c>
      <c r="Q143" s="2">
        <v>44606.708333333336</v>
      </c>
      <c r="R143" s="2">
        <v>44607.666666666664</v>
      </c>
      <c r="S143" s="26">
        <v>44664.45894675926</v>
      </c>
      <c r="T143" s="27">
        <v>0</v>
      </c>
      <c r="U143" s="28">
        <f>Tabla1[[#This Row],[PPTO]]/(1+'Lista Datos'!$B$1)</f>
        <v>0</v>
      </c>
      <c r="V143" s="23"/>
      <c r="W143" s="18" t="s">
        <v>11</v>
      </c>
      <c r="X143" s="102">
        <v>100000</v>
      </c>
      <c r="Y143" s="26">
        <v>44651</v>
      </c>
      <c r="Z143" s="18" t="s">
        <v>10</v>
      </c>
      <c r="AA143" s="23"/>
      <c r="AB143" s="23"/>
      <c r="AC143" s="23"/>
      <c r="AD143" s="23"/>
      <c r="AE143" s="29">
        <f>Tabla1[[#This Row],[Cierre]]+Tabla1[[#This Row],[Vigencia Oferta (días)]]</f>
        <v>44614.416666666664</v>
      </c>
      <c r="AF143" s="87"/>
      <c r="AG143" s="28"/>
      <c r="AH143" s="164">
        <f>Tabla1[[#This Row],[Unidades2]]*Tabla1[[#This Row],[Precio Unitario]]</f>
        <v>0</v>
      </c>
      <c r="AI143" s="23" t="s">
        <v>44</v>
      </c>
      <c r="AJ143" s="26">
        <v>44664</v>
      </c>
      <c r="AK143" s="172">
        <f>Tabla1[[#This Row],[Fecha Vigencia]]-AJ143</f>
        <v>-49.583333333335759</v>
      </c>
      <c r="AL143" s="23" t="s">
        <v>45</v>
      </c>
      <c r="AM143" s="87">
        <v>467340</v>
      </c>
      <c r="AN143" s="23"/>
      <c r="AO143" s="29"/>
      <c r="AP143" s="23"/>
      <c r="AQ143" s="23" t="s">
        <v>978</v>
      </c>
      <c r="AR143" s="23" t="s">
        <v>11</v>
      </c>
      <c r="AS143" s="33">
        <v>0.05</v>
      </c>
      <c r="AT143" s="29">
        <v>45716</v>
      </c>
      <c r="AU143" s="23"/>
      <c r="AV143" s="23"/>
      <c r="AW143" s="23" t="s">
        <v>979</v>
      </c>
      <c r="AX143" t="s">
        <v>980</v>
      </c>
      <c r="AY143" s="23"/>
      <c r="AZ143" s="23"/>
      <c r="BA143" s="23"/>
      <c r="BB143" s="32"/>
      <c r="BC143" s="73"/>
    </row>
    <row r="144" spans="1:55" x14ac:dyDescent="0.25">
      <c r="A144" s="22" t="s">
        <v>981</v>
      </c>
      <c r="B144" s="23" t="s">
        <v>982</v>
      </c>
      <c r="C144" s="23" t="s">
        <v>983</v>
      </c>
      <c r="D144" s="23" t="s">
        <v>984</v>
      </c>
      <c r="E144" s="24"/>
      <c r="F144" s="25"/>
      <c r="G144" s="23" t="s">
        <v>21</v>
      </c>
      <c r="H144" s="23" t="s">
        <v>106</v>
      </c>
      <c r="I144" s="2">
        <v>44606.684710648151</v>
      </c>
      <c r="J144" s="24">
        <f>MONTH(Tabla1[[#This Row],[Publicación]])</f>
        <v>2</v>
      </c>
      <c r="K144" s="24">
        <f>YEAR(Tabla1[[#This Row],[Publicación]])</f>
        <v>2022</v>
      </c>
      <c r="L144" s="2">
        <v>44615.677777777775</v>
      </c>
      <c r="M144" s="26"/>
      <c r="N144" s="25" t="s">
        <v>11</v>
      </c>
      <c r="O144" s="24"/>
      <c r="P144" s="24" t="s">
        <v>11</v>
      </c>
      <c r="Q144" s="2">
        <v>44610.626388888886</v>
      </c>
      <c r="R144" s="2">
        <v>44611.626388888886</v>
      </c>
      <c r="S144" s="26">
        <v>44623.623692129629</v>
      </c>
      <c r="T144" s="27">
        <v>0</v>
      </c>
      <c r="U144" s="28">
        <f>Tabla1[[#This Row],[PPTO]]/(1+'Lista Datos'!$B$1)</f>
        <v>0</v>
      </c>
      <c r="V144" s="23">
        <v>30</v>
      </c>
      <c r="W144" s="18" t="s">
        <v>10</v>
      </c>
      <c r="X144" s="102"/>
      <c r="Y144" s="18"/>
      <c r="Z144" s="18" t="s">
        <v>10</v>
      </c>
      <c r="AA144" s="23" t="s">
        <v>512</v>
      </c>
      <c r="AB144" s="23"/>
      <c r="AC144" s="23" t="s">
        <v>10</v>
      </c>
      <c r="AD144" s="23"/>
      <c r="AE144" s="29">
        <f>Tabla1[[#This Row],[Cierre]]+Tabla1[[#This Row],[Vigencia Oferta (días)]]</f>
        <v>44615.677777777775</v>
      </c>
      <c r="AF144" s="87">
        <v>5</v>
      </c>
      <c r="AG144" s="28">
        <v>25420</v>
      </c>
      <c r="AH144" s="164">
        <f>Tabla1[[#This Row],[Unidades2]]*Tabla1[[#This Row],[Precio Unitario]]</f>
        <v>127100</v>
      </c>
      <c r="AI144" s="23" t="s">
        <v>44</v>
      </c>
      <c r="AJ144" s="26">
        <v>44623</v>
      </c>
      <c r="AK144" s="172">
        <f>Tabla1[[#This Row],[Fecha Vigencia]]-AJ144</f>
        <v>-7.3222222222248092</v>
      </c>
      <c r="AL144" s="23" t="s">
        <v>46</v>
      </c>
      <c r="AM144" s="87">
        <v>11900</v>
      </c>
      <c r="AN144" s="23"/>
      <c r="AO144" s="29"/>
      <c r="AP144" s="23" t="s">
        <v>292</v>
      </c>
      <c r="AQ144" s="23" t="s">
        <v>985</v>
      </c>
      <c r="AR144" s="23" t="s">
        <v>10</v>
      </c>
      <c r="AS144" s="23"/>
      <c r="AT144" s="23"/>
      <c r="AU144" s="48"/>
      <c r="AV144" s="48"/>
      <c r="AW144" s="23" t="s">
        <v>986</v>
      </c>
      <c r="AX144" t="s">
        <v>987</v>
      </c>
      <c r="AY144" s="23"/>
      <c r="AZ144" s="23"/>
      <c r="BA144" s="23"/>
      <c r="BB144" s="32"/>
      <c r="BC144" s="73"/>
    </row>
    <row r="145" spans="1:55" x14ac:dyDescent="0.25">
      <c r="A145" s="36" t="s">
        <v>988</v>
      </c>
      <c r="B145" s="37" t="s">
        <v>989</v>
      </c>
      <c r="C145" s="37" t="s">
        <v>990</v>
      </c>
      <c r="D145" s="37" t="s">
        <v>965</v>
      </c>
      <c r="E145" s="38"/>
      <c r="F145" s="39"/>
      <c r="G145" s="37" t="s">
        <v>21</v>
      </c>
      <c r="H145" s="37" t="s">
        <v>106</v>
      </c>
      <c r="I145" s="2">
        <v>44606.447418981479</v>
      </c>
      <c r="J145" s="24">
        <f>MONTH(Tabla1[[#This Row],[Publicación]])</f>
        <v>2</v>
      </c>
      <c r="K145" s="24">
        <f>YEAR(Tabla1[[#This Row],[Publicación]])</f>
        <v>2022</v>
      </c>
      <c r="L145" s="40">
        <v>44616.5</v>
      </c>
      <c r="M145" s="41"/>
      <c r="N145" s="39" t="s">
        <v>10</v>
      </c>
      <c r="O145" s="38" t="s">
        <v>29</v>
      </c>
      <c r="P145" s="24" t="s">
        <v>10</v>
      </c>
      <c r="Q145" s="40">
        <v>44608.666666666664</v>
      </c>
      <c r="R145" s="40">
        <v>44610.6875</v>
      </c>
      <c r="S145" s="41">
        <v>44651.487430555557</v>
      </c>
      <c r="T145" s="27">
        <v>0</v>
      </c>
      <c r="U145" s="28">
        <f>Tabla1[[#This Row],[PPTO]]/(1+'Lista Datos'!$B$1)</f>
        <v>0</v>
      </c>
      <c r="V145" s="37"/>
      <c r="W145" s="19" t="s">
        <v>10</v>
      </c>
      <c r="X145" s="112"/>
      <c r="Y145" s="19"/>
      <c r="Z145" s="19" t="s">
        <v>10</v>
      </c>
      <c r="AA145" s="37"/>
      <c r="AB145" s="37"/>
      <c r="AC145" s="37"/>
      <c r="AD145" s="37"/>
      <c r="AE145" s="29">
        <f>Tabla1[[#This Row],[Cierre]]+Tabla1[[#This Row],[Vigencia Oferta (días)]]</f>
        <v>44616.5</v>
      </c>
      <c r="AF145" s="88"/>
      <c r="AG145" s="43"/>
      <c r="AH145" s="164">
        <f>Tabla1[[#This Row],[Unidades2]]*Tabla1[[#This Row],[Precio Unitario]]</f>
        <v>0</v>
      </c>
      <c r="AI145" s="37" t="s">
        <v>44</v>
      </c>
      <c r="AJ145" s="41"/>
      <c r="AK145" s="172">
        <f>Tabla1[[#This Row],[Fecha Vigencia]]-AJ145</f>
        <v>44616.5</v>
      </c>
      <c r="AL145" s="37"/>
      <c r="AM145" s="88"/>
      <c r="AN145" s="37"/>
      <c r="AO145" s="50"/>
      <c r="AP145" s="37"/>
      <c r="AQ145" s="37" t="s">
        <v>937</v>
      </c>
      <c r="AR145" s="37" t="s">
        <v>10</v>
      </c>
      <c r="AS145" s="37"/>
      <c r="AT145" s="37"/>
      <c r="AU145" s="49"/>
      <c r="AV145" s="49"/>
      <c r="AW145" s="37" t="s">
        <v>966</v>
      </c>
      <c r="AX145" t="s">
        <v>939</v>
      </c>
      <c r="AY145" s="37"/>
      <c r="AZ145" s="37"/>
      <c r="BA145" s="37"/>
      <c r="BB145" s="44"/>
      <c r="BC145" s="73"/>
    </row>
    <row r="146" spans="1:55" x14ac:dyDescent="0.25">
      <c r="A146" s="22" t="s">
        <v>991</v>
      </c>
      <c r="B146" s="23" t="s">
        <v>992</v>
      </c>
      <c r="C146" s="23" t="s">
        <v>993</v>
      </c>
      <c r="D146" s="23" t="s">
        <v>994</v>
      </c>
      <c r="E146" s="24"/>
      <c r="F146" s="25"/>
      <c r="G146" s="23" t="s">
        <v>21</v>
      </c>
      <c r="H146" s="23" t="s">
        <v>106</v>
      </c>
      <c r="I146" s="2">
        <v>44607.389131944445</v>
      </c>
      <c r="J146" s="24">
        <f>MONTH(Tabla1[[#This Row],[Publicación]])</f>
        <v>2</v>
      </c>
      <c r="K146" s="24">
        <f>YEAR(Tabla1[[#This Row],[Publicación]])</f>
        <v>2022</v>
      </c>
      <c r="L146" s="2">
        <v>44617.625</v>
      </c>
      <c r="M146" s="26"/>
      <c r="N146" s="25" t="s">
        <v>10</v>
      </c>
      <c r="O146" s="24" t="s">
        <v>29</v>
      </c>
      <c r="P146" s="24" t="s">
        <v>10</v>
      </c>
      <c r="Q146" s="2">
        <v>44611.625</v>
      </c>
      <c r="R146" s="2">
        <v>44614.708333333336</v>
      </c>
      <c r="S146" s="26">
        <v>44627.510081018518</v>
      </c>
      <c r="T146" s="27">
        <v>0</v>
      </c>
      <c r="U146" s="28">
        <f>Tabla1[[#This Row],[PPTO]]/(1+'Lista Datos'!$B$1)</f>
        <v>0</v>
      </c>
      <c r="V146" s="23"/>
      <c r="W146" s="18" t="s">
        <v>10</v>
      </c>
      <c r="X146" s="102"/>
      <c r="Y146" s="18" t="s">
        <v>146</v>
      </c>
      <c r="Z146" s="18" t="s">
        <v>10</v>
      </c>
      <c r="AA146" s="23"/>
      <c r="AB146" s="23"/>
      <c r="AC146" s="23"/>
      <c r="AD146" s="23"/>
      <c r="AE146" s="29">
        <f>Tabla1[[#This Row],[Cierre]]+Tabla1[[#This Row],[Vigencia Oferta (días)]]</f>
        <v>44617.625</v>
      </c>
      <c r="AF146" s="87"/>
      <c r="AG146" s="28"/>
      <c r="AH146" s="164">
        <f>Tabla1[[#This Row],[Unidades2]]*Tabla1[[#This Row],[Precio Unitario]]</f>
        <v>0</v>
      </c>
      <c r="AI146" s="23" t="s">
        <v>44</v>
      </c>
      <c r="AJ146" s="26">
        <v>44627</v>
      </c>
      <c r="AK146" s="172">
        <f>Tabla1[[#This Row],[Fecha Vigencia]]-AJ146</f>
        <v>-9.375</v>
      </c>
      <c r="AL146" s="23"/>
      <c r="AM146" s="87"/>
      <c r="AN146" s="23"/>
      <c r="AO146" s="29"/>
      <c r="AP146" s="23"/>
      <c r="AQ146" s="23" t="s">
        <v>995</v>
      </c>
      <c r="AR146" s="23" t="s">
        <v>10</v>
      </c>
      <c r="AS146" s="23"/>
      <c r="AT146" s="23"/>
      <c r="AU146" s="23"/>
      <c r="AV146" s="23"/>
      <c r="AW146" s="23" t="s">
        <v>996</v>
      </c>
      <c r="AX146" t="s">
        <v>997</v>
      </c>
      <c r="AY146" s="23"/>
      <c r="AZ146" s="23"/>
      <c r="BA146" s="23"/>
      <c r="BB146" s="32"/>
      <c r="BC146" s="73"/>
    </row>
    <row r="147" spans="1:55" x14ac:dyDescent="0.25">
      <c r="A147" s="22" t="s">
        <v>998</v>
      </c>
      <c r="B147" s="23" t="s">
        <v>999</v>
      </c>
      <c r="C147" s="23" t="s">
        <v>1000</v>
      </c>
      <c r="D147" s="23" t="s">
        <v>1001</v>
      </c>
      <c r="E147" s="24"/>
      <c r="F147" s="25"/>
      <c r="G147" s="23" t="s">
        <v>21</v>
      </c>
      <c r="H147" s="23" t="s">
        <v>106</v>
      </c>
      <c r="I147" s="2">
        <v>44589.58730324074</v>
      </c>
      <c r="J147" s="24">
        <f>MONTH(Tabla1[[#This Row],[Publicación]])</f>
        <v>1</v>
      </c>
      <c r="K147" s="24">
        <f>YEAR(Tabla1[[#This Row],[Publicación]])</f>
        <v>2022</v>
      </c>
      <c r="L147" s="2">
        <v>44620</v>
      </c>
      <c r="M147" s="26"/>
      <c r="N147" s="25" t="s">
        <v>11</v>
      </c>
      <c r="O147" s="24"/>
      <c r="P147" s="24" t="s">
        <v>11</v>
      </c>
      <c r="Q147" s="2">
        <v>44599.666666666664</v>
      </c>
      <c r="R147" s="2">
        <v>44867.75</v>
      </c>
      <c r="S147" s="26">
        <v>44711</v>
      </c>
      <c r="T147" s="27">
        <v>0</v>
      </c>
      <c r="U147" s="28">
        <f>Tabla1[[#This Row],[PPTO]]/(1+'Lista Datos'!$B$1)</f>
        <v>0</v>
      </c>
      <c r="V147" s="23">
        <v>30</v>
      </c>
      <c r="W147" s="18" t="s">
        <v>11</v>
      </c>
      <c r="X147" s="102">
        <v>120000</v>
      </c>
      <c r="Y147" s="26">
        <v>44740</v>
      </c>
      <c r="Z147" s="18" t="s">
        <v>10</v>
      </c>
      <c r="AA147" s="23" t="s">
        <v>177</v>
      </c>
      <c r="AB147" s="23">
        <v>12</v>
      </c>
      <c r="AC147" s="23" t="s">
        <v>10</v>
      </c>
      <c r="AD147" s="23">
        <v>120</v>
      </c>
      <c r="AE147" s="29">
        <f>Tabla1[[#This Row],[Cierre]]+Tabla1[[#This Row],[Vigencia Oferta (días)]]</f>
        <v>44740</v>
      </c>
      <c r="AF147" s="87">
        <v>300</v>
      </c>
      <c r="AG147" s="28">
        <v>12908</v>
      </c>
      <c r="AH147" s="164">
        <f>Tabla1[[#This Row],[Unidades2]]*Tabla1[[#This Row],[Precio Unitario]]</f>
        <v>3872400</v>
      </c>
      <c r="AI147" s="23" t="s">
        <v>44</v>
      </c>
      <c r="AJ147" s="26">
        <v>44694</v>
      </c>
      <c r="AK147" s="172">
        <f>Tabla1[[#This Row],[Fecha Vigencia]]-AJ147</f>
        <v>46</v>
      </c>
      <c r="AL147" s="23" t="s">
        <v>115</v>
      </c>
      <c r="AM147" s="87">
        <v>12908</v>
      </c>
      <c r="AN147" s="29">
        <v>44694</v>
      </c>
      <c r="AO147" s="29">
        <v>45059</v>
      </c>
      <c r="AP147" s="23" t="s">
        <v>177</v>
      </c>
      <c r="AQ147" s="23" t="s">
        <v>1002</v>
      </c>
      <c r="AR147" s="23" t="s">
        <v>11</v>
      </c>
      <c r="AS147" s="33">
        <v>0.05</v>
      </c>
      <c r="AT147" s="29">
        <v>45170</v>
      </c>
      <c r="AU147" s="23"/>
      <c r="AV147" s="23"/>
      <c r="AW147" s="23" t="s">
        <v>1003</v>
      </c>
      <c r="AX147" t="s">
        <v>1004</v>
      </c>
      <c r="AY147" s="23"/>
      <c r="AZ147" s="23"/>
      <c r="BA147" s="23"/>
      <c r="BB147" s="32"/>
      <c r="BC147" s="73"/>
    </row>
    <row r="148" spans="1:55" x14ac:dyDescent="0.25">
      <c r="A148" s="22" t="s">
        <v>1005</v>
      </c>
      <c r="B148" s="23" t="s">
        <v>1006</v>
      </c>
      <c r="C148" s="23" t="s">
        <v>1007</v>
      </c>
      <c r="D148" s="23" t="s">
        <v>1008</v>
      </c>
      <c r="E148" s="24"/>
      <c r="F148" s="25"/>
      <c r="G148" s="23" t="s">
        <v>19</v>
      </c>
      <c r="H148" s="23" t="s">
        <v>114</v>
      </c>
      <c r="I148" s="2">
        <v>44589.490231481483</v>
      </c>
      <c r="J148" s="24">
        <f>MONTH(Tabla1[[#This Row],[Publicación]])</f>
        <v>1</v>
      </c>
      <c r="K148" s="24">
        <f>YEAR(Tabla1[[#This Row],[Publicación]])</f>
        <v>2022</v>
      </c>
      <c r="L148" s="2">
        <v>44620.625</v>
      </c>
      <c r="M148" s="26">
        <v>44592</v>
      </c>
      <c r="N148" s="25" t="s">
        <v>11</v>
      </c>
      <c r="O148" s="24"/>
      <c r="P148" s="24" t="s">
        <v>11</v>
      </c>
      <c r="Q148" s="2">
        <v>44604.5</v>
      </c>
      <c r="R148" s="2">
        <v>44609.5</v>
      </c>
      <c r="S148" s="26">
        <v>44711.625694444447</v>
      </c>
      <c r="T148" s="27">
        <v>0</v>
      </c>
      <c r="U148" s="28">
        <f>Tabla1[[#This Row],[PPTO]]/(1+'Lista Datos'!$B$1)</f>
        <v>0</v>
      </c>
      <c r="V148" s="23"/>
      <c r="W148" s="18" t="s">
        <v>11</v>
      </c>
      <c r="X148" s="102">
        <v>1000000</v>
      </c>
      <c r="Y148" s="26">
        <v>44712</v>
      </c>
      <c r="Z148" s="18" t="s">
        <v>10</v>
      </c>
      <c r="AA148" s="23" t="s">
        <v>177</v>
      </c>
      <c r="AB148" s="23">
        <v>24</v>
      </c>
      <c r="AC148" s="23" t="s">
        <v>10</v>
      </c>
      <c r="AD148" s="23"/>
      <c r="AE148" s="29">
        <f>Tabla1[[#This Row],[Cierre]]+Tabla1[[#This Row],[Vigencia Oferta (días)]]</f>
        <v>44620.625</v>
      </c>
      <c r="AF148" s="87"/>
      <c r="AG148" s="28"/>
      <c r="AH148" s="164">
        <f>Tabla1[[#This Row],[Unidades2]]*Tabla1[[#This Row],[Precio Unitario]]</f>
        <v>0</v>
      </c>
      <c r="AI148" s="23" t="s">
        <v>44</v>
      </c>
      <c r="AJ148" s="26">
        <v>44650</v>
      </c>
      <c r="AK148" s="172">
        <f>Tabla1[[#This Row],[Fecha Vigencia]]-AJ148</f>
        <v>-29.375</v>
      </c>
      <c r="AL148" s="23" t="s">
        <v>115</v>
      </c>
      <c r="AM148" s="87">
        <v>426270000</v>
      </c>
      <c r="AN148" s="29">
        <v>44650</v>
      </c>
      <c r="AO148" s="29">
        <v>45381</v>
      </c>
      <c r="AP148" s="23" t="s">
        <v>177</v>
      </c>
      <c r="AQ148" s="23" t="s">
        <v>554</v>
      </c>
      <c r="AR148" s="23" t="s">
        <v>11</v>
      </c>
      <c r="AS148" s="33">
        <v>0.05</v>
      </c>
      <c r="AT148" s="29">
        <v>45579</v>
      </c>
      <c r="AU148" s="23"/>
      <c r="AV148" s="23"/>
      <c r="AW148" s="23" t="s">
        <v>1009</v>
      </c>
      <c r="AX148" t="s">
        <v>556</v>
      </c>
      <c r="AY148" s="23"/>
      <c r="AZ148" s="23"/>
      <c r="BA148" s="23"/>
      <c r="BB148" s="32"/>
      <c r="BC148" s="73"/>
    </row>
    <row r="149" spans="1:55" x14ac:dyDescent="0.25">
      <c r="A149" s="36" t="s">
        <v>1010</v>
      </c>
      <c r="B149" s="37" t="s">
        <v>1011</v>
      </c>
      <c r="C149" s="37" t="s">
        <v>1012</v>
      </c>
      <c r="D149" s="37" t="s">
        <v>1013</v>
      </c>
      <c r="E149" s="38"/>
      <c r="F149" s="39"/>
      <c r="G149" s="37" t="s">
        <v>21</v>
      </c>
      <c r="H149" s="37" t="s">
        <v>106</v>
      </c>
      <c r="I149" s="2">
        <v>44608.524270833332</v>
      </c>
      <c r="J149" s="24">
        <f>MONTH(Tabla1[[#This Row],[Publicación]])</f>
        <v>2</v>
      </c>
      <c r="K149" s="24">
        <f>YEAR(Tabla1[[#This Row],[Publicación]])</f>
        <v>2022</v>
      </c>
      <c r="L149" s="40">
        <v>44620.666666666664</v>
      </c>
      <c r="M149" s="41"/>
      <c r="N149" s="39" t="s">
        <v>10</v>
      </c>
      <c r="O149" s="38" t="s">
        <v>29</v>
      </c>
      <c r="P149" s="24" t="s">
        <v>10</v>
      </c>
      <c r="Q149" s="40">
        <v>44611.666666666664</v>
      </c>
      <c r="R149" s="40">
        <v>44615.75</v>
      </c>
      <c r="S149" s="41">
        <v>44643.512939814813</v>
      </c>
      <c r="T149" s="27">
        <v>0</v>
      </c>
      <c r="U149" s="28">
        <f>Tabla1[[#This Row],[PPTO]]/(1+'Lista Datos'!$B$1)</f>
        <v>0</v>
      </c>
      <c r="V149" s="37"/>
      <c r="W149" s="19" t="s">
        <v>10</v>
      </c>
      <c r="X149" s="112"/>
      <c r="Y149" s="19" t="s">
        <v>146</v>
      </c>
      <c r="Z149" s="19" t="s">
        <v>10</v>
      </c>
      <c r="AA149" s="37"/>
      <c r="AB149" s="37"/>
      <c r="AC149" s="37"/>
      <c r="AD149" s="37"/>
      <c r="AE149" s="29">
        <f>Tabla1[[#This Row],[Cierre]]+Tabla1[[#This Row],[Vigencia Oferta (días)]]</f>
        <v>44620.666666666664</v>
      </c>
      <c r="AF149" s="88"/>
      <c r="AG149" s="43"/>
      <c r="AH149" s="164">
        <f>Tabla1[[#This Row],[Unidades2]]*Tabla1[[#This Row],[Precio Unitario]]</f>
        <v>0</v>
      </c>
      <c r="AI149" s="37" t="s">
        <v>320</v>
      </c>
      <c r="AJ149" s="41"/>
      <c r="AK149" s="172">
        <f>Tabla1[[#This Row],[Fecha Vigencia]]-AJ149</f>
        <v>44620.666666666664</v>
      </c>
      <c r="AL149" s="37"/>
      <c r="AM149" s="88"/>
      <c r="AN149" s="37"/>
      <c r="AO149" s="50"/>
      <c r="AP149" s="37"/>
      <c r="AQ149" s="37" t="s">
        <v>1014</v>
      </c>
      <c r="AR149" s="37" t="s">
        <v>10</v>
      </c>
      <c r="AS149" s="37"/>
      <c r="AT149" s="37"/>
      <c r="AU149" s="37"/>
      <c r="AV149" s="37"/>
      <c r="AW149" s="37" t="s">
        <v>1015</v>
      </c>
      <c r="AX149" t="s">
        <v>1016</v>
      </c>
      <c r="AY149" s="37"/>
      <c r="AZ149" s="37"/>
      <c r="BA149" s="37"/>
      <c r="BB149" s="44"/>
      <c r="BC149" s="73"/>
    </row>
    <row r="150" spans="1:55" ht="11.25" x14ac:dyDescent="0.2">
      <c r="A150" s="22" t="s">
        <v>1017</v>
      </c>
      <c r="B150" s="23" t="s">
        <v>1018</v>
      </c>
      <c r="C150" s="23" t="s">
        <v>1019</v>
      </c>
      <c r="D150" s="23" t="s">
        <v>1020</v>
      </c>
      <c r="E150" s="24"/>
      <c r="F150" s="25"/>
      <c r="G150" s="23" t="s">
        <v>16</v>
      </c>
      <c r="H150" s="23" t="s">
        <v>168</v>
      </c>
      <c r="I150" s="2">
        <v>44603.575694444444</v>
      </c>
      <c r="J150" s="24">
        <f>MONTH(Tabla1[[#This Row],[Publicación]])</f>
        <v>2</v>
      </c>
      <c r="K150" s="24">
        <f>YEAR(Tabla1[[#This Row],[Publicación]])</f>
        <v>2022</v>
      </c>
      <c r="L150" s="2">
        <v>44623.625</v>
      </c>
      <c r="M150" s="26">
        <v>44603.943055555559</v>
      </c>
      <c r="N150" s="25" t="s">
        <v>10</v>
      </c>
      <c r="O150" s="24" t="s">
        <v>25</v>
      </c>
      <c r="P150" s="24" t="s">
        <v>10</v>
      </c>
      <c r="Q150" s="2">
        <v>44609.625</v>
      </c>
      <c r="R150" s="2">
        <v>44614.625</v>
      </c>
      <c r="S150" s="26">
        <v>44663.420254629629</v>
      </c>
      <c r="T150" s="27">
        <v>0</v>
      </c>
      <c r="U150" s="28">
        <f>Tabla1[[#This Row],[PPTO]]/(1+'Lista Datos'!$B$1)</f>
        <v>0</v>
      </c>
      <c r="V150" s="23"/>
      <c r="W150" s="18" t="s">
        <v>11</v>
      </c>
      <c r="X150" s="102">
        <v>1300000</v>
      </c>
      <c r="Y150" s="26">
        <v>44713</v>
      </c>
      <c r="Z150" s="18" t="s">
        <v>10</v>
      </c>
      <c r="AA150" s="23"/>
      <c r="AB150" s="23"/>
      <c r="AC150" s="23"/>
      <c r="AD150" s="23"/>
      <c r="AE150" s="29">
        <f>Tabla1[[#This Row],[Cierre]]+Tabla1[[#This Row],[Vigencia Oferta (días)]]</f>
        <v>44623.625</v>
      </c>
      <c r="AF150" s="87"/>
      <c r="AG150" s="28"/>
      <c r="AH150" s="164">
        <f>Tabla1[[#This Row],[Unidades2]]*Tabla1[[#This Row],[Precio Unitario]]</f>
        <v>0</v>
      </c>
      <c r="AI150" s="23" t="s">
        <v>44</v>
      </c>
      <c r="AJ150" s="26">
        <v>44663</v>
      </c>
      <c r="AK150" s="172">
        <f>Tabla1[[#This Row],[Fecha Vigencia]]-AJ150</f>
        <v>-39.375</v>
      </c>
      <c r="AL150" s="23" t="s">
        <v>45</v>
      </c>
      <c r="AM150" s="87">
        <v>66000000</v>
      </c>
      <c r="AN150" s="23"/>
      <c r="AO150" s="29"/>
      <c r="AP150" s="23"/>
      <c r="AQ150" s="23" t="s">
        <v>1021</v>
      </c>
      <c r="AR150" s="23" t="s">
        <v>11</v>
      </c>
      <c r="AS150" s="33">
        <v>0.1</v>
      </c>
      <c r="AT150" s="29">
        <v>45742</v>
      </c>
      <c r="AU150" s="23"/>
      <c r="AV150" s="23"/>
      <c r="AW150" s="23"/>
      <c r="AX150" s="23"/>
      <c r="AY150" s="23"/>
      <c r="AZ150" s="23"/>
      <c r="BA150" s="23"/>
      <c r="BB150" s="32"/>
      <c r="BC150" s="73"/>
    </row>
    <row r="151" spans="1:55" x14ac:dyDescent="0.25">
      <c r="A151" s="22" t="s">
        <v>1022</v>
      </c>
      <c r="B151" s="23" t="s">
        <v>1023</v>
      </c>
      <c r="C151" s="23" t="s">
        <v>1023</v>
      </c>
      <c r="D151" s="23" t="s">
        <v>955</v>
      </c>
      <c r="E151" s="24"/>
      <c r="F151" s="25"/>
      <c r="G151" s="23" t="s">
        <v>20</v>
      </c>
      <c r="H151" s="23" t="s">
        <v>176</v>
      </c>
      <c r="I151" s="2">
        <v>44606.694444444445</v>
      </c>
      <c r="J151" s="24">
        <f>MONTH(Tabla1[[#This Row],[Publicación]])</f>
        <v>2</v>
      </c>
      <c r="K151" s="24">
        <f>YEAR(Tabla1[[#This Row],[Publicación]])</f>
        <v>2022</v>
      </c>
      <c r="L151" s="2">
        <v>44623.6875</v>
      </c>
      <c r="M151" s="26"/>
      <c r="N151" s="25" t="s">
        <v>10</v>
      </c>
      <c r="O151" s="24" t="s">
        <v>27</v>
      </c>
      <c r="P151" s="24" t="s">
        <v>10</v>
      </c>
      <c r="Q151" s="2">
        <v>44614.6875</v>
      </c>
      <c r="R151" s="2">
        <v>44616.9375</v>
      </c>
      <c r="S151" s="26">
        <v>44687.791666666664</v>
      </c>
      <c r="T151" s="27">
        <v>0</v>
      </c>
      <c r="U151" s="28">
        <f>Tabla1[[#This Row],[PPTO]]/(1+'Lista Datos'!$B$1)</f>
        <v>0</v>
      </c>
      <c r="V151" s="23"/>
      <c r="W151" s="18" t="s">
        <v>11</v>
      </c>
      <c r="X151" s="102">
        <v>500000</v>
      </c>
      <c r="Y151" s="26">
        <v>44713</v>
      </c>
      <c r="Z151" s="18" t="s">
        <v>10</v>
      </c>
      <c r="AA151" s="23" t="s">
        <v>177</v>
      </c>
      <c r="AB151" s="23"/>
      <c r="AC151" s="23" t="s">
        <v>10</v>
      </c>
      <c r="AD151" s="23"/>
      <c r="AE151" s="29">
        <f>Tabla1[[#This Row],[Cierre]]+Tabla1[[#This Row],[Vigencia Oferta (días)]]</f>
        <v>44623.6875</v>
      </c>
      <c r="AF151" s="87"/>
      <c r="AG151" s="28"/>
      <c r="AH151" s="164">
        <f>Tabla1[[#This Row],[Unidades2]]*Tabla1[[#This Row],[Precio Unitario]]</f>
        <v>0</v>
      </c>
      <c r="AI151" s="23" t="s">
        <v>320</v>
      </c>
      <c r="AJ151" s="26"/>
      <c r="AK151" s="172">
        <f>Tabla1[[#This Row],[Fecha Vigencia]]-AJ151</f>
        <v>44623.6875</v>
      </c>
      <c r="AL151" s="23"/>
      <c r="AM151" s="87"/>
      <c r="AN151" s="23"/>
      <c r="AO151" s="29"/>
      <c r="AP151" s="23"/>
      <c r="AQ151" s="23" t="s">
        <v>399</v>
      </c>
      <c r="AR151" s="23" t="s">
        <v>11</v>
      </c>
      <c r="AS151" s="33">
        <v>0.05</v>
      </c>
      <c r="AT151" s="29">
        <v>45843</v>
      </c>
      <c r="AU151" s="23"/>
      <c r="AV151" s="23"/>
      <c r="AW151" s="23" t="s">
        <v>400</v>
      </c>
      <c r="AX151" t="s">
        <v>401</v>
      </c>
      <c r="AY151" s="23"/>
      <c r="AZ151" s="23"/>
      <c r="BA151" s="23"/>
      <c r="BB151" s="32"/>
      <c r="BC151" s="73"/>
    </row>
    <row r="152" spans="1:55" x14ac:dyDescent="0.25">
      <c r="A152" s="22" t="s">
        <v>1024</v>
      </c>
      <c r="B152" s="23" t="s">
        <v>1025</v>
      </c>
      <c r="C152" s="23" t="s">
        <v>1026</v>
      </c>
      <c r="D152" s="23" t="s">
        <v>702</v>
      </c>
      <c r="E152" s="24"/>
      <c r="F152" s="25"/>
      <c r="G152" s="23" t="s">
        <v>21</v>
      </c>
      <c r="H152" s="23" t="s">
        <v>106</v>
      </c>
      <c r="I152" s="2">
        <v>44614.433125000003</v>
      </c>
      <c r="J152" s="24">
        <f>MONTH(Tabla1[[#This Row],[Publicación]])</f>
        <v>2</v>
      </c>
      <c r="K152" s="24">
        <f>YEAR(Tabla1[[#This Row],[Publicación]])</f>
        <v>2022</v>
      </c>
      <c r="L152" s="2">
        <v>44624.5</v>
      </c>
      <c r="M152" s="26"/>
      <c r="N152" s="25" t="s">
        <v>11</v>
      </c>
      <c r="O152" s="24"/>
      <c r="P152" s="24" t="s">
        <v>11</v>
      </c>
      <c r="Q152" s="2">
        <v>44615.584027777775</v>
      </c>
      <c r="R152" s="2">
        <v>44616.791666666664</v>
      </c>
      <c r="S152" s="26">
        <v>44635.443657407406</v>
      </c>
      <c r="T152" s="27">
        <v>0</v>
      </c>
      <c r="U152" s="28">
        <f>Tabla1[[#This Row],[PPTO]]/(1+'Lista Datos'!$B$1)</f>
        <v>0</v>
      </c>
      <c r="V152" s="23">
        <v>30</v>
      </c>
      <c r="W152" s="18" t="s">
        <v>10</v>
      </c>
      <c r="X152" s="102"/>
      <c r="Y152" s="18" t="s">
        <v>146</v>
      </c>
      <c r="Z152" s="18" t="s">
        <v>10</v>
      </c>
      <c r="AA152" s="23" t="s">
        <v>512</v>
      </c>
      <c r="AB152" s="23"/>
      <c r="AC152" s="23" t="s">
        <v>10</v>
      </c>
      <c r="AD152" s="23">
        <v>90</v>
      </c>
      <c r="AE152" s="29">
        <f>Tabla1[[#This Row],[Cierre]]+Tabla1[[#This Row],[Vigencia Oferta (días)]]</f>
        <v>44714.5</v>
      </c>
      <c r="AF152" s="87">
        <v>6</v>
      </c>
      <c r="AG152" s="28">
        <v>28257</v>
      </c>
      <c r="AH152" s="164">
        <f>Tabla1[[#This Row],[Unidades2]]*Tabla1[[#This Row],[Precio Unitario]]</f>
        <v>169542</v>
      </c>
      <c r="AI152" s="23" t="s">
        <v>44</v>
      </c>
      <c r="AJ152" s="26">
        <v>44635</v>
      </c>
      <c r="AK152" s="172">
        <f>Tabla1[[#This Row],[Fecha Vigencia]]-AJ152</f>
        <v>79.5</v>
      </c>
      <c r="AL152" s="23" t="s">
        <v>46</v>
      </c>
      <c r="AM152" s="87">
        <v>18000</v>
      </c>
      <c r="AN152" s="23"/>
      <c r="AO152" s="29"/>
      <c r="AP152" s="23" t="s">
        <v>292</v>
      </c>
      <c r="AQ152" s="23" t="s">
        <v>705</v>
      </c>
      <c r="AR152" s="23" t="s">
        <v>10</v>
      </c>
      <c r="AS152" s="23"/>
      <c r="AT152" s="23"/>
      <c r="AU152" s="23"/>
      <c r="AV152" s="23"/>
      <c r="AW152" s="23" t="s">
        <v>1027</v>
      </c>
      <c r="AX152" t="s">
        <v>1028</v>
      </c>
      <c r="AY152" s="23"/>
      <c r="AZ152" s="23"/>
      <c r="BA152" s="23"/>
      <c r="BB152" s="32"/>
      <c r="BC152" s="73"/>
    </row>
    <row r="153" spans="1:55" x14ac:dyDescent="0.25">
      <c r="A153" s="22" t="s">
        <v>1029</v>
      </c>
      <c r="B153" s="23" t="s">
        <v>1030</v>
      </c>
      <c r="C153" s="23" t="s">
        <v>1031</v>
      </c>
      <c r="D153" s="23" t="s">
        <v>1032</v>
      </c>
      <c r="E153" s="24"/>
      <c r="F153" s="25"/>
      <c r="G153" s="23" t="s">
        <v>41</v>
      </c>
      <c r="H153" s="23" t="s">
        <v>298</v>
      </c>
      <c r="I153" s="2">
        <v>44616.411562499998</v>
      </c>
      <c r="J153" s="24">
        <f>MONTH(Tabla1[[#This Row],[Publicación]])</f>
        <v>2</v>
      </c>
      <c r="K153" s="24">
        <f>YEAR(Tabla1[[#This Row],[Publicación]])</f>
        <v>2022</v>
      </c>
      <c r="L153" s="2">
        <v>44627.666666666664</v>
      </c>
      <c r="M153" s="26">
        <v>44621.445833333331</v>
      </c>
      <c r="N153" s="25" t="s">
        <v>10</v>
      </c>
      <c r="O153" s="24" t="s">
        <v>25</v>
      </c>
      <c r="P153" s="24" t="s">
        <v>10</v>
      </c>
      <c r="Q153" s="2">
        <v>44620.666666666664</v>
      </c>
      <c r="R153" s="2">
        <v>44622.666666666664</v>
      </c>
      <c r="S153" s="26">
        <v>44649.495497685188</v>
      </c>
      <c r="T153" s="27">
        <v>0</v>
      </c>
      <c r="U153" s="28">
        <f>Tabla1[[#This Row],[PPTO]]/(1+'Lista Datos'!$B$1)</f>
        <v>0</v>
      </c>
      <c r="V153" s="23"/>
      <c r="W153" s="18" t="s">
        <v>10</v>
      </c>
      <c r="X153" s="102"/>
      <c r="Y153" s="18" t="s">
        <v>146</v>
      </c>
      <c r="Z153" s="18" t="s">
        <v>10</v>
      </c>
      <c r="AA153" s="23"/>
      <c r="AB153" s="23"/>
      <c r="AC153" s="23"/>
      <c r="AD153" s="23"/>
      <c r="AE153" s="29">
        <f>Tabla1[[#This Row],[Cierre]]+Tabla1[[#This Row],[Vigencia Oferta (días)]]</f>
        <v>44627.666666666664</v>
      </c>
      <c r="AF153" s="87"/>
      <c r="AG153" s="28"/>
      <c r="AH153" s="164">
        <f>Tabla1[[#This Row],[Unidades2]]*Tabla1[[#This Row],[Precio Unitario]]</f>
        <v>0</v>
      </c>
      <c r="AI153" s="23" t="s">
        <v>44</v>
      </c>
      <c r="AJ153" s="26">
        <v>44649</v>
      </c>
      <c r="AK153" s="172">
        <f>Tabla1[[#This Row],[Fecha Vigencia]]-AJ153</f>
        <v>-21.333333333335759</v>
      </c>
      <c r="AL153" s="23" t="s">
        <v>46</v>
      </c>
      <c r="AM153" s="87">
        <v>13860500</v>
      </c>
      <c r="AN153" s="23"/>
      <c r="AO153" s="29"/>
      <c r="AP153" s="23"/>
      <c r="AQ153" s="23" t="s">
        <v>1033</v>
      </c>
      <c r="AR153" s="23" t="s">
        <v>10</v>
      </c>
      <c r="AS153" s="23"/>
      <c r="AT153" s="23"/>
      <c r="AU153" s="23"/>
      <c r="AV153" s="23"/>
      <c r="AW153" s="23" t="s">
        <v>1034</v>
      </c>
      <c r="AX153" t="s">
        <v>1035</v>
      </c>
      <c r="AY153" s="23"/>
      <c r="AZ153" s="23"/>
      <c r="BA153" s="23"/>
      <c r="BB153" s="32"/>
      <c r="BC153" s="73"/>
    </row>
    <row r="154" spans="1:55" x14ac:dyDescent="0.25">
      <c r="A154" s="22" t="s">
        <v>1036</v>
      </c>
      <c r="B154" s="23" t="s">
        <v>1037</v>
      </c>
      <c r="C154" s="23" t="s">
        <v>1038</v>
      </c>
      <c r="D154" s="23" t="s">
        <v>1039</v>
      </c>
      <c r="E154" s="24"/>
      <c r="F154" s="25"/>
      <c r="G154" s="23" t="s">
        <v>16</v>
      </c>
      <c r="H154" s="23" t="s">
        <v>145</v>
      </c>
      <c r="I154" s="2">
        <v>44617.65</v>
      </c>
      <c r="J154" s="24">
        <f>MONTH(Tabla1[[#This Row],[Publicación]])</f>
        <v>2</v>
      </c>
      <c r="K154" s="24">
        <f>YEAR(Tabla1[[#This Row],[Publicación]])</f>
        <v>2022</v>
      </c>
      <c r="L154" s="2">
        <v>44627.674305555556</v>
      </c>
      <c r="M154" s="26">
        <v>44622</v>
      </c>
      <c r="N154" s="25" t="s">
        <v>10</v>
      </c>
      <c r="O154" s="24" t="s">
        <v>25</v>
      </c>
      <c r="P154" s="24" t="s">
        <v>10</v>
      </c>
      <c r="Q154" s="2">
        <v>44624.506944444445</v>
      </c>
      <c r="R154" s="2">
        <v>44624.631944444445</v>
      </c>
      <c r="S154" s="26">
        <v>44645.651956018519</v>
      </c>
      <c r="T154" s="27">
        <v>0</v>
      </c>
      <c r="U154" s="28">
        <f>Tabla1[[#This Row],[PPTO]]/(1+'Lista Datos'!$B$1)</f>
        <v>0</v>
      </c>
      <c r="V154" s="23"/>
      <c r="W154" s="18" t="s">
        <v>10</v>
      </c>
      <c r="X154" s="102"/>
      <c r="Y154" s="18" t="s">
        <v>146</v>
      </c>
      <c r="Z154" s="18" t="s">
        <v>10</v>
      </c>
      <c r="AA154" s="23"/>
      <c r="AB154" s="23"/>
      <c r="AC154" s="23"/>
      <c r="AD154" s="23"/>
      <c r="AE154" s="29">
        <f>Tabla1[[#This Row],[Cierre]]+Tabla1[[#This Row],[Vigencia Oferta (días)]]</f>
        <v>44627.674305555556</v>
      </c>
      <c r="AF154" s="87"/>
      <c r="AG154" s="28"/>
      <c r="AH154" s="164">
        <f>Tabla1[[#This Row],[Unidades2]]*Tabla1[[#This Row],[Precio Unitario]]</f>
        <v>0</v>
      </c>
      <c r="AI154" s="23" t="s">
        <v>44</v>
      </c>
      <c r="AJ154" s="26">
        <v>44645</v>
      </c>
      <c r="AK154" s="172">
        <f>Tabla1[[#This Row],[Fecha Vigencia]]-AJ154</f>
        <v>-17.325694444443798</v>
      </c>
      <c r="AL154" s="23" t="s">
        <v>45</v>
      </c>
      <c r="AM154" s="87">
        <v>53571429</v>
      </c>
      <c r="AN154" s="23"/>
      <c r="AO154" s="29"/>
      <c r="AP154" s="23"/>
      <c r="AQ154" s="23" t="s">
        <v>1040</v>
      </c>
      <c r="AR154" s="23" t="s">
        <v>11</v>
      </c>
      <c r="AS154" s="33">
        <v>0.05</v>
      </c>
      <c r="AT154" s="29">
        <v>45778</v>
      </c>
      <c r="AU154" s="23"/>
      <c r="AV154" s="23"/>
      <c r="AW154" s="23" t="s">
        <v>1041</v>
      </c>
      <c r="AX154" t="s">
        <v>1042</v>
      </c>
      <c r="AY154" s="23"/>
      <c r="AZ154" s="23"/>
      <c r="BA154" s="23"/>
      <c r="BB154" s="32"/>
      <c r="BC154" s="73"/>
    </row>
    <row r="155" spans="1:55" x14ac:dyDescent="0.25">
      <c r="A155" s="22" t="s">
        <v>1043</v>
      </c>
      <c r="B155" s="23" t="s">
        <v>1044</v>
      </c>
      <c r="C155" s="23" t="s">
        <v>1045</v>
      </c>
      <c r="D155" s="23" t="s">
        <v>1046</v>
      </c>
      <c r="E155" s="24"/>
      <c r="F155" s="25"/>
      <c r="G155" s="23" t="s">
        <v>21</v>
      </c>
      <c r="H155" s="23" t="s">
        <v>106</v>
      </c>
      <c r="I155" s="2">
        <v>44595.713206018518</v>
      </c>
      <c r="J155" s="24">
        <f>MONTH(Tabla1[[#This Row],[Publicación]])</f>
        <v>2</v>
      </c>
      <c r="K155" s="24">
        <f>YEAR(Tabla1[[#This Row],[Publicación]])</f>
        <v>2022</v>
      </c>
      <c r="L155" s="2">
        <v>44627.785416666666</v>
      </c>
      <c r="M155" s="26"/>
      <c r="N155" s="25" t="s">
        <v>11</v>
      </c>
      <c r="O155" s="24"/>
      <c r="P155" s="24" t="s">
        <v>11</v>
      </c>
      <c r="Q155" s="2">
        <v>44613.644444444442</v>
      </c>
      <c r="R155" s="2">
        <v>44614.644444444442</v>
      </c>
      <c r="S155" s="26">
        <v>44656</v>
      </c>
      <c r="T155" s="27">
        <v>0</v>
      </c>
      <c r="U155" s="28">
        <f>Tabla1[[#This Row],[PPTO]]/(1+'Lista Datos'!$B$1)</f>
        <v>0</v>
      </c>
      <c r="V155" s="23">
        <v>30</v>
      </c>
      <c r="W155" s="18" t="s">
        <v>11</v>
      </c>
      <c r="X155" s="102">
        <v>200000</v>
      </c>
      <c r="Y155" s="26">
        <v>44740</v>
      </c>
      <c r="Z155" s="18" t="s">
        <v>10</v>
      </c>
      <c r="AA155" s="23" t="s">
        <v>177</v>
      </c>
      <c r="AB155" s="23">
        <v>24</v>
      </c>
      <c r="AC155" s="23" t="s">
        <v>10</v>
      </c>
      <c r="AD155" s="23">
        <v>90</v>
      </c>
      <c r="AE155" s="29">
        <f>Tabla1[[#This Row],[Cierre]]+Tabla1[[#This Row],[Vigencia Oferta (días)]]</f>
        <v>44717.785416666666</v>
      </c>
      <c r="AF155" s="87">
        <v>240</v>
      </c>
      <c r="AG155" s="28">
        <v>16682</v>
      </c>
      <c r="AH155" s="164">
        <f>Tabla1[[#This Row],[Unidades2]]*Tabla1[[#This Row],[Precio Unitario]]</f>
        <v>4003680</v>
      </c>
      <c r="AI155" s="23" t="s">
        <v>385</v>
      </c>
      <c r="AJ155" s="26"/>
      <c r="AK155" s="172">
        <f>Tabla1[[#This Row],[Fecha Vigencia]]-AJ155</f>
        <v>44717.785416666666</v>
      </c>
      <c r="AL155" s="23"/>
      <c r="AM155" s="87"/>
      <c r="AN155" s="23"/>
      <c r="AO155" s="29"/>
      <c r="AP155" s="23"/>
      <c r="AQ155" s="23" t="s">
        <v>1047</v>
      </c>
      <c r="AR155" s="23" t="s">
        <v>11</v>
      </c>
      <c r="AS155" s="31">
        <v>100000</v>
      </c>
      <c r="AT155" s="29">
        <v>45449</v>
      </c>
      <c r="AU155" s="48"/>
      <c r="AV155" s="48"/>
      <c r="AW155" s="23" t="s">
        <v>1048</v>
      </c>
      <c r="AX155" t="s">
        <v>1049</v>
      </c>
      <c r="AY155" s="23"/>
      <c r="AZ155" s="23"/>
      <c r="BA155" s="23"/>
      <c r="BB155" s="32"/>
      <c r="BC155" s="73"/>
    </row>
    <row r="156" spans="1:55" x14ac:dyDescent="0.25">
      <c r="A156" s="22" t="s">
        <v>1050</v>
      </c>
      <c r="B156" s="23" t="s">
        <v>1051</v>
      </c>
      <c r="C156" s="23" t="s">
        <v>1051</v>
      </c>
      <c r="D156" s="23" t="s">
        <v>1052</v>
      </c>
      <c r="E156" s="24"/>
      <c r="F156" s="25"/>
      <c r="G156" s="23" t="s">
        <v>16</v>
      </c>
      <c r="H156" s="23" t="s">
        <v>345</v>
      </c>
      <c r="I156" s="2">
        <v>44608.458310185182</v>
      </c>
      <c r="J156" s="24">
        <f>MONTH(Tabla1[[#This Row],[Publicación]])</f>
        <v>2</v>
      </c>
      <c r="K156" s="24">
        <f>YEAR(Tabla1[[#This Row],[Publicación]])</f>
        <v>2022</v>
      </c>
      <c r="L156" s="2">
        <v>44628.375</v>
      </c>
      <c r="M156" s="26">
        <v>44622.540277777778</v>
      </c>
      <c r="N156" s="25" t="s">
        <v>10</v>
      </c>
      <c r="O156" s="24" t="s">
        <v>26</v>
      </c>
      <c r="P156" s="24" t="s">
        <v>10</v>
      </c>
      <c r="Q156" s="2">
        <v>44615.833333333336</v>
      </c>
      <c r="R156" s="2">
        <v>44617.666666666664</v>
      </c>
      <c r="S156" s="26">
        <v>44644.401655092595</v>
      </c>
      <c r="T156" s="27">
        <v>0</v>
      </c>
      <c r="U156" s="28">
        <f>Tabla1[[#This Row],[PPTO]]/(1+'Lista Datos'!$B$1)</f>
        <v>0</v>
      </c>
      <c r="V156" s="23"/>
      <c r="W156" s="18" t="s">
        <v>11</v>
      </c>
      <c r="X156" s="102">
        <v>500000</v>
      </c>
      <c r="Y156" s="26">
        <v>44689</v>
      </c>
      <c r="Z156" s="18" t="s">
        <v>10</v>
      </c>
      <c r="AA156" s="23"/>
      <c r="AB156" s="23"/>
      <c r="AC156" s="23"/>
      <c r="AD156" s="23"/>
      <c r="AE156" s="29">
        <f>Tabla1[[#This Row],[Cierre]]+Tabla1[[#This Row],[Vigencia Oferta (días)]]</f>
        <v>44628.375</v>
      </c>
      <c r="AF156" s="87"/>
      <c r="AG156" s="28"/>
      <c r="AH156" s="164">
        <f>Tabla1[[#This Row],[Unidades2]]*Tabla1[[#This Row],[Precio Unitario]]</f>
        <v>0</v>
      </c>
      <c r="AI156" s="23" t="s">
        <v>44</v>
      </c>
      <c r="AJ156" s="26">
        <v>44644</v>
      </c>
      <c r="AK156" s="172">
        <f>Tabla1[[#This Row],[Fecha Vigencia]]-AJ156</f>
        <v>-15.625</v>
      </c>
      <c r="AL156" s="23" t="s">
        <v>472</v>
      </c>
      <c r="AM156" s="87">
        <v>283</v>
      </c>
      <c r="AN156" s="23"/>
      <c r="AO156" s="29"/>
      <c r="AP156" s="23"/>
      <c r="AQ156" s="23" t="s">
        <v>1053</v>
      </c>
      <c r="AR156" s="23" t="s">
        <v>11</v>
      </c>
      <c r="AS156" s="33">
        <v>0.05</v>
      </c>
      <c r="AT156" s="29">
        <v>45874</v>
      </c>
      <c r="AU156" s="23"/>
      <c r="AV156" s="23"/>
      <c r="AW156" s="23" t="s">
        <v>1054</v>
      </c>
      <c r="AX156" t="s">
        <v>1055</v>
      </c>
      <c r="AY156" s="23" t="s">
        <v>309</v>
      </c>
      <c r="AZ156" s="23"/>
      <c r="BA156" s="23"/>
      <c r="BB156" s="32"/>
      <c r="BC156" s="73"/>
    </row>
    <row r="157" spans="1:55" ht="11.25" x14ac:dyDescent="0.2">
      <c r="A157" s="22" t="s">
        <v>1056</v>
      </c>
      <c r="B157" s="23" t="s">
        <v>1057</v>
      </c>
      <c r="C157" s="23"/>
      <c r="D157" s="23" t="s">
        <v>1058</v>
      </c>
      <c r="E157" s="24"/>
      <c r="F157" s="25"/>
      <c r="G157" s="23" t="s">
        <v>16</v>
      </c>
      <c r="H157" s="23" t="s">
        <v>520</v>
      </c>
      <c r="I157" s="2">
        <v>44608.543055555558</v>
      </c>
      <c r="J157" s="24">
        <f>MONTH(Tabla1[[#This Row],[Publicación]])</f>
        <v>2</v>
      </c>
      <c r="K157" s="24">
        <f>YEAR(Tabla1[[#This Row],[Publicación]])</f>
        <v>2022</v>
      </c>
      <c r="L157" s="2">
        <v>44628.604166666664</v>
      </c>
      <c r="M157" s="26">
        <v>44623</v>
      </c>
      <c r="N157" s="25" t="s">
        <v>10</v>
      </c>
      <c r="O157" s="24" t="s">
        <v>33</v>
      </c>
      <c r="P157" s="24" t="s">
        <v>10</v>
      </c>
      <c r="Q157" s="2">
        <v>44609.833333333336</v>
      </c>
      <c r="R157" s="2">
        <v>44610.666666666664</v>
      </c>
      <c r="S157" s="26">
        <v>44630.428020833337</v>
      </c>
      <c r="T157" s="27">
        <v>0</v>
      </c>
      <c r="U157" s="28">
        <f>Tabla1[[#This Row],[PPTO]]/(1+'Lista Datos'!$B$1)</f>
        <v>0</v>
      </c>
      <c r="V157" s="23"/>
      <c r="W157" s="18" t="s">
        <v>10</v>
      </c>
      <c r="X157" s="102"/>
      <c r="Y157" s="18" t="s">
        <v>146</v>
      </c>
      <c r="Z157" s="18" t="s">
        <v>10</v>
      </c>
      <c r="AA157" s="23"/>
      <c r="AB157" s="23"/>
      <c r="AC157" s="23"/>
      <c r="AD157" s="23"/>
      <c r="AE157" s="29">
        <f>Tabla1[[#This Row],[Cierre]]+Tabla1[[#This Row],[Vigencia Oferta (días)]]</f>
        <v>44628.604166666664</v>
      </c>
      <c r="AF157" s="87"/>
      <c r="AG157" s="28"/>
      <c r="AH157" s="164">
        <f>Tabla1[[#This Row],[Unidades2]]*Tabla1[[#This Row],[Precio Unitario]]</f>
        <v>0</v>
      </c>
      <c r="AI157" s="23" t="s">
        <v>44</v>
      </c>
      <c r="AJ157" s="26">
        <v>44630</v>
      </c>
      <c r="AK157" s="172">
        <f>Tabla1[[#This Row],[Fecha Vigencia]]-AJ157</f>
        <v>-1.3958333333357587</v>
      </c>
      <c r="AL157" s="23" t="s">
        <v>45</v>
      </c>
      <c r="AM157" s="87">
        <v>1811300</v>
      </c>
      <c r="AN157" s="23"/>
      <c r="AO157" s="29"/>
      <c r="AP157" s="23"/>
      <c r="AQ157" s="23" t="s">
        <v>1059</v>
      </c>
      <c r="AR157" s="23" t="s">
        <v>10</v>
      </c>
      <c r="AS157" s="23"/>
      <c r="AT157" s="23"/>
      <c r="AU157" s="23"/>
      <c r="AV157" s="23"/>
      <c r="AW157" s="23"/>
      <c r="AX157" s="23"/>
      <c r="AY157" s="23"/>
      <c r="AZ157" s="23"/>
      <c r="BA157" s="23"/>
      <c r="BB157" s="32"/>
      <c r="BC157" s="73"/>
    </row>
    <row r="158" spans="1:55" ht="11.25" x14ac:dyDescent="0.2">
      <c r="A158" s="22" t="s">
        <v>1060</v>
      </c>
      <c r="B158" s="23" t="s">
        <v>1061</v>
      </c>
      <c r="C158" s="23" t="s">
        <v>1062</v>
      </c>
      <c r="D158" s="23" t="s">
        <v>652</v>
      </c>
      <c r="E158" s="24"/>
      <c r="F158" s="25"/>
      <c r="G158" s="23" t="s">
        <v>21</v>
      </c>
      <c r="H158" s="23" t="s">
        <v>106</v>
      </c>
      <c r="I158" s="2">
        <v>44621.770937499998</v>
      </c>
      <c r="J158" s="24">
        <f>MONTH(Tabla1[[#This Row],[Publicación]])</f>
        <v>3</v>
      </c>
      <c r="K158" s="24">
        <f>YEAR(Tabla1[[#This Row],[Publicación]])</f>
        <v>2022</v>
      </c>
      <c r="L158" s="2">
        <v>44628.625</v>
      </c>
      <c r="M158" s="26"/>
      <c r="N158" s="25" t="s">
        <v>11</v>
      </c>
      <c r="O158" s="24"/>
      <c r="P158" s="24" t="s">
        <v>11</v>
      </c>
      <c r="Q158" s="2">
        <v>44622.583333333336</v>
      </c>
      <c r="R158" s="2">
        <v>44623.583333333336</v>
      </c>
      <c r="S158" s="26">
        <v>44635.62164351852</v>
      </c>
      <c r="T158" s="28">
        <v>5500000</v>
      </c>
      <c r="U158" s="28">
        <f>Tabla1[[#This Row],[PPTO]]/(1+'Lista Datos'!$B$1)</f>
        <v>4621848.7394957989</v>
      </c>
      <c r="V158" s="23">
        <v>30</v>
      </c>
      <c r="W158" s="18" t="s">
        <v>10</v>
      </c>
      <c r="X158" s="102"/>
      <c r="Y158" s="18" t="s">
        <v>146</v>
      </c>
      <c r="Z158" s="18" t="s">
        <v>10</v>
      </c>
      <c r="AA158" s="23" t="s">
        <v>512</v>
      </c>
      <c r="AB158" s="23"/>
      <c r="AC158" s="23" t="s">
        <v>10</v>
      </c>
      <c r="AD158" s="23">
        <v>60</v>
      </c>
      <c r="AE158" s="29">
        <f>Tabla1[[#This Row],[Cierre]]+Tabla1[[#This Row],[Vigencia Oferta (días)]]</f>
        <v>44688.625</v>
      </c>
      <c r="AF158" s="87">
        <v>10</v>
      </c>
      <c r="AG158" s="28">
        <v>24319</v>
      </c>
      <c r="AH158" s="164">
        <f>Tabla1[[#This Row],[Unidades2]]*Tabla1[[#This Row],[Precio Unitario]]</f>
        <v>243190</v>
      </c>
      <c r="AI158" s="23" t="s">
        <v>137</v>
      </c>
      <c r="AJ158" s="26"/>
      <c r="AK158" s="172">
        <f>Tabla1[[#This Row],[Fecha Vigencia]]-AJ158</f>
        <v>44688.625</v>
      </c>
      <c r="AL158" s="23"/>
      <c r="AM158" s="87"/>
      <c r="AN158" s="23"/>
      <c r="AO158" s="29"/>
      <c r="AP158" s="23" t="s">
        <v>292</v>
      </c>
      <c r="AQ158" s="23" t="s">
        <v>653</v>
      </c>
      <c r="AR158" s="23" t="s">
        <v>10</v>
      </c>
      <c r="AS158" s="23"/>
      <c r="AT158" s="23"/>
      <c r="AU158" s="23"/>
      <c r="AV158" s="23"/>
      <c r="AW158" s="23"/>
      <c r="AX158" s="23"/>
      <c r="AY158" s="23"/>
      <c r="AZ158" s="23"/>
      <c r="BA158" s="23"/>
      <c r="BB158" s="32"/>
      <c r="BC158" s="73"/>
    </row>
    <row r="159" spans="1:55" x14ac:dyDescent="0.25">
      <c r="A159" s="22" t="s">
        <v>1063</v>
      </c>
      <c r="B159" s="23" t="s">
        <v>1064</v>
      </c>
      <c r="C159" s="23" t="s">
        <v>1065</v>
      </c>
      <c r="D159" s="23" t="s">
        <v>1066</v>
      </c>
      <c r="E159" s="24"/>
      <c r="F159" s="25"/>
      <c r="G159" s="23" t="s">
        <v>21</v>
      </c>
      <c r="H159" s="23" t="s">
        <v>106</v>
      </c>
      <c r="I159" s="2">
        <v>44616.416574074072</v>
      </c>
      <c r="J159" s="24">
        <f>MONTH(Tabla1[[#This Row],[Publicación]])</f>
        <v>2</v>
      </c>
      <c r="K159" s="24">
        <f>YEAR(Tabla1[[#This Row],[Publicación]])</f>
        <v>2022</v>
      </c>
      <c r="L159" s="2">
        <v>44630.5</v>
      </c>
      <c r="M159" s="26"/>
      <c r="N159" s="25" t="s">
        <v>10</v>
      </c>
      <c r="O159" s="24" t="s">
        <v>33</v>
      </c>
      <c r="P159" s="24" t="s">
        <v>10</v>
      </c>
      <c r="Q159" s="2">
        <v>44622.416666666664</v>
      </c>
      <c r="R159" s="2">
        <v>44624.708333333336</v>
      </c>
      <c r="S159" s="26">
        <v>44678.701354166667</v>
      </c>
      <c r="T159" s="28">
        <v>180000000</v>
      </c>
      <c r="U159" s="28">
        <f>Tabla1[[#This Row],[PPTO]]/(1+'Lista Datos'!$B$1)</f>
        <v>151260504.20168069</v>
      </c>
      <c r="V159" s="23">
        <v>30</v>
      </c>
      <c r="W159" s="18" t="s">
        <v>11</v>
      </c>
      <c r="X159" s="102">
        <v>200000</v>
      </c>
      <c r="Y159" s="26">
        <v>44742</v>
      </c>
      <c r="Z159" s="18" t="s">
        <v>10</v>
      </c>
      <c r="AA159" s="23" t="s">
        <v>177</v>
      </c>
      <c r="AB159" s="23">
        <v>24</v>
      </c>
      <c r="AC159" s="23"/>
      <c r="AD159" s="23"/>
      <c r="AE159" s="29">
        <f>Tabla1[[#This Row],[Cierre]]+Tabla1[[#This Row],[Vigencia Oferta (días)]]</f>
        <v>44630.5</v>
      </c>
      <c r="AF159" s="87">
        <v>60</v>
      </c>
      <c r="AG159" s="28">
        <v>20728</v>
      </c>
      <c r="AH159" s="164">
        <f>Tabla1[[#This Row],[Unidades2]]*Tabla1[[#This Row],[Precio Unitario]]</f>
        <v>1243680</v>
      </c>
      <c r="AI159" s="23" t="s">
        <v>44</v>
      </c>
      <c r="AJ159" s="26">
        <v>44678</v>
      </c>
      <c r="AK159" s="172">
        <f>Tabla1[[#This Row],[Fecha Vigencia]]-AJ159</f>
        <v>-47.5</v>
      </c>
      <c r="AL159" s="23" t="s">
        <v>45</v>
      </c>
      <c r="AM159" s="87">
        <v>21800</v>
      </c>
      <c r="AN159" s="23"/>
      <c r="AO159" s="29"/>
      <c r="AP159" s="23"/>
      <c r="AQ159" s="23" t="s">
        <v>1067</v>
      </c>
      <c r="AR159" s="23" t="s">
        <v>11</v>
      </c>
      <c r="AS159" s="33">
        <v>0.05</v>
      </c>
      <c r="AT159" s="29">
        <v>45471</v>
      </c>
      <c r="AU159" s="23" t="s">
        <v>459</v>
      </c>
      <c r="AV159" s="23"/>
      <c r="AW159" s="23" t="s">
        <v>1068</v>
      </c>
      <c r="AX159" t="s">
        <v>1069</v>
      </c>
      <c r="AY159" s="23"/>
      <c r="AZ159" s="23"/>
      <c r="BA159" s="23"/>
      <c r="BB159" s="32"/>
      <c r="BC159" s="73"/>
    </row>
    <row r="160" spans="1:55" ht="11.25" x14ac:dyDescent="0.2">
      <c r="A160" s="36" t="s">
        <v>1070</v>
      </c>
      <c r="B160" s="37" t="s">
        <v>1071</v>
      </c>
      <c r="C160" s="37" t="s">
        <v>1072</v>
      </c>
      <c r="D160" s="37" t="s">
        <v>1073</v>
      </c>
      <c r="E160" s="38"/>
      <c r="F160" s="39"/>
      <c r="G160" s="37" t="s">
        <v>21</v>
      </c>
      <c r="H160" s="37" t="s">
        <v>106</v>
      </c>
      <c r="I160" s="2">
        <v>44622.641261574077</v>
      </c>
      <c r="J160" s="24">
        <f>MONTH(Tabla1[[#This Row],[Publicación]])</f>
        <v>3</v>
      </c>
      <c r="K160" s="24">
        <f>YEAR(Tabla1[[#This Row],[Publicación]])</f>
        <v>2022</v>
      </c>
      <c r="L160" s="40">
        <v>44630.625</v>
      </c>
      <c r="M160" s="41">
        <v>44624.67291666667</v>
      </c>
      <c r="N160" s="39" t="s">
        <v>10</v>
      </c>
      <c r="O160" s="38" t="s">
        <v>35</v>
      </c>
      <c r="P160" s="24" t="s">
        <v>10</v>
      </c>
      <c r="Q160" s="40">
        <v>44629.416666666664</v>
      </c>
      <c r="R160" s="40">
        <v>44630.4375</v>
      </c>
      <c r="S160" s="41">
        <v>44636.459120370368</v>
      </c>
      <c r="T160" s="27">
        <v>0</v>
      </c>
      <c r="U160" s="28">
        <f>Tabla1[[#This Row],[PPTO]]/(1+'Lista Datos'!$B$1)</f>
        <v>0</v>
      </c>
      <c r="V160" s="37">
        <v>30</v>
      </c>
      <c r="W160" s="19" t="s">
        <v>10</v>
      </c>
      <c r="X160" s="112"/>
      <c r="Y160" s="19" t="s">
        <v>146</v>
      </c>
      <c r="Z160" s="19" t="s">
        <v>10</v>
      </c>
      <c r="AA160" s="37" t="s">
        <v>512</v>
      </c>
      <c r="AB160" s="37"/>
      <c r="AC160" s="37" t="s">
        <v>10</v>
      </c>
      <c r="AD160" s="37"/>
      <c r="AE160" s="29">
        <f>Tabla1[[#This Row],[Cierre]]+Tabla1[[#This Row],[Vigencia Oferta (días)]]</f>
        <v>44630.625</v>
      </c>
      <c r="AF160" s="88">
        <v>199</v>
      </c>
      <c r="AG160" s="43">
        <v>5919</v>
      </c>
      <c r="AH160" s="164">
        <f>Tabla1[[#This Row],[Unidades2]]*Tabla1[[#This Row],[Precio Unitario]]</f>
        <v>1177881</v>
      </c>
      <c r="AI160" s="37" t="s">
        <v>44</v>
      </c>
      <c r="AJ160" s="41">
        <v>44636.451296296298</v>
      </c>
      <c r="AK160" s="172">
        <f>Tabla1[[#This Row],[Fecha Vigencia]]-AJ160</f>
        <v>-5.8262962962980964</v>
      </c>
      <c r="AL160" s="37" t="s">
        <v>46</v>
      </c>
      <c r="AM160" s="88">
        <v>2300</v>
      </c>
      <c r="AN160" s="37"/>
      <c r="AO160" s="50"/>
      <c r="AP160" s="37"/>
      <c r="AQ160" s="37" t="s">
        <v>1074</v>
      </c>
      <c r="AR160" s="37" t="s">
        <v>10</v>
      </c>
      <c r="AS160" s="37"/>
      <c r="AT160" s="37"/>
      <c r="AU160" s="37"/>
      <c r="AV160" s="37"/>
      <c r="AW160" s="37"/>
      <c r="AX160" s="37"/>
      <c r="AY160" s="37"/>
      <c r="AZ160" s="37"/>
      <c r="BA160" s="37"/>
      <c r="BB160" s="44"/>
      <c r="BC160" s="73"/>
    </row>
    <row r="161" spans="1:55" x14ac:dyDescent="0.25">
      <c r="A161" s="36" t="s">
        <v>1075</v>
      </c>
      <c r="B161" s="37" t="s">
        <v>1076</v>
      </c>
      <c r="C161" s="37" t="s">
        <v>1077</v>
      </c>
      <c r="D161" s="37" t="s">
        <v>1078</v>
      </c>
      <c r="E161" s="38"/>
      <c r="F161" s="39"/>
      <c r="G161" s="37" t="s">
        <v>21</v>
      </c>
      <c r="H161" s="37" t="s">
        <v>106</v>
      </c>
      <c r="I161" s="2">
        <v>44620.63009259259</v>
      </c>
      <c r="J161" s="24">
        <f>MONTH(Tabla1[[#This Row],[Publicación]])</f>
        <v>2</v>
      </c>
      <c r="K161" s="24">
        <f>YEAR(Tabla1[[#This Row],[Publicación]])</f>
        <v>2022</v>
      </c>
      <c r="L161" s="40">
        <v>44630.625</v>
      </c>
      <c r="M161" s="41"/>
      <c r="N161" s="39" t="s">
        <v>11</v>
      </c>
      <c r="O161" s="38"/>
      <c r="P161" s="24" t="s">
        <v>11</v>
      </c>
      <c r="Q161" s="40">
        <v>44627.625</v>
      </c>
      <c r="R161" s="40">
        <v>44628.666666666664</v>
      </c>
      <c r="S161" s="41">
        <v>44677.69017361111</v>
      </c>
      <c r="T161" s="43">
        <v>50000000</v>
      </c>
      <c r="U161" s="28">
        <f>Tabla1[[#This Row],[PPTO]]/(1+'Lista Datos'!$B$1)</f>
        <v>42016806.722689077</v>
      </c>
      <c r="V161" s="37">
        <v>45</v>
      </c>
      <c r="W161" s="19" t="s">
        <v>10</v>
      </c>
      <c r="X161" s="112"/>
      <c r="Y161" s="19" t="s">
        <v>146</v>
      </c>
      <c r="Z161" s="19" t="s">
        <v>10</v>
      </c>
      <c r="AA161" s="37" t="s">
        <v>177</v>
      </c>
      <c r="AB161" s="37">
        <v>12</v>
      </c>
      <c r="AC161" s="37" t="s">
        <v>10</v>
      </c>
      <c r="AD161" s="37">
        <v>60</v>
      </c>
      <c r="AE161" s="29">
        <f>Tabla1[[#This Row],[Cierre]]+Tabla1[[#This Row],[Vigencia Oferta (días)]]</f>
        <v>44690.625</v>
      </c>
      <c r="AF161" s="88"/>
      <c r="AG161" s="43"/>
      <c r="AH161" s="164">
        <f>Tabla1[[#This Row],[Unidades2]]*Tabla1[[#This Row],[Precio Unitario]]</f>
        <v>0</v>
      </c>
      <c r="AI161" s="37" t="s">
        <v>44</v>
      </c>
      <c r="AJ161" s="41">
        <v>44677</v>
      </c>
      <c r="AK161" s="172">
        <f>Tabla1[[#This Row],[Fecha Vigencia]]-AJ161</f>
        <v>13.625</v>
      </c>
      <c r="AL161" s="37" t="s">
        <v>582</v>
      </c>
      <c r="AM161" s="88">
        <v>5979000</v>
      </c>
      <c r="AN161" s="37"/>
      <c r="AO161" s="50"/>
      <c r="AP161" s="37"/>
      <c r="AQ161" s="37" t="s">
        <v>1079</v>
      </c>
      <c r="AR161" s="37" t="s">
        <v>11</v>
      </c>
      <c r="AS161" s="51">
        <v>0.05</v>
      </c>
      <c r="AT161" s="50">
        <v>45103</v>
      </c>
      <c r="AU161" s="37" t="s">
        <v>459</v>
      </c>
      <c r="AV161" s="37"/>
      <c r="AW161" s="37" t="s">
        <v>1080</v>
      </c>
      <c r="AX161" t="s">
        <v>1081</v>
      </c>
      <c r="AY161" s="37"/>
      <c r="AZ161" s="37"/>
      <c r="BA161" s="37"/>
      <c r="BB161" s="44"/>
      <c r="BC161" s="73"/>
    </row>
    <row r="162" spans="1:55" x14ac:dyDescent="0.25">
      <c r="A162" s="22" t="s">
        <v>1082</v>
      </c>
      <c r="B162" s="23" t="s">
        <v>1083</v>
      </c>
      <c r="C162" s="23" t="s">
        <v>1084</v>
      </c>
      <c r="D162" s="23" t="s">
        <v>1085</v>
      </c>
      <c r="E162" s="24"/>
      <c r="F162" s="25"/>
      <c r="G162" s="23" t="s">
        <v>16</v>
      </c>
      <c r="H162" s="23" t="s">
        <v>520</v>
      </c>
      <c r="I162" s="2">
        <v>44624.720497685186</v>
      </c>
      <c r="J162" s="24">
        <f>MONTH(Tabla1[[#This Row],[Publicación]])</f>
        <v>3</v>
      </c>
      <c r="K162" s="24">
        <f>YEAR(Tabla1[[#This Row],[Publicación]])</f>
        <v>2022</v>
      </c>
      <c r="L162" s="2">
        <v>44630.780555555553</v>
      </c>
      <c r="M162" s="26"/>
      <c r="N162" s="25" t="s">
        <v>10</v>
      </c>
      <c r="O162" s="24" t="s">
        <v>25</v>
      </c>
      <c r="P162" s="24" t="s">
        <v>10</v>
      </c>
      <c r="Q162" s="2">
        <v>44628.416666666664</v>
      </c>
      <c r="R162" s="2">
        <v>44629.666666666664</v>
      </c>
      <c r="S162" s="26">
        <v>44673.464745370373</v>
      </c>
      <c r="T162" s="27">
        <v>0</v>
      </c>
      <c r="U162" s="28">
        <f>Tabla1[[#This Row],[PPTO]]/(1+'Lista Datos'!$B$1)</f>
        <v>0</v>
      </c>
      <c r="V162" s="23"/>
      <c r="W162" s="18" t="s">
        <v>10</v>
      </c>
      <c r="X162" s="102"/>
      <c r="Y162" s="18" t="s">
        <v>146</v>
      </c>
      <c r="Z162" s="18" t="s">
        <v>10</v>
      </c>
      <c r="AA162" s="23"/>
      <c r="AB162" s="23"/>
      <c r="AC162" s="23"/>
      <c r="AD162" s="23"/>
      <c r="AE162" s="29">
        <f>Tabla1[[#This Row],[Cierre]]+Tabla1[[#This Row],[Vigencia Oferta (días)]]</f>
        <v>44630.780555555553</v>
      </c>
      <c r="AF162" s="87"/>
      <c r="AG162" s="28"/>
      <c r="AH162" s="164">
        <f>Tabla1[[#This Row],[Unidades2]]*Tabla1[[#This Row],[Precio Unitario]]</f>
        <v>0</v>
      </c>
      <c r="AI162" s="23" t="s">
        <v>44</v>
      </c>
      <c r="AJ162" s="26">
        <v>44673</v>
      </c>
      <c r="AK162" s="172">
        <f>Tabla1[[#This Row],[Fecha Vigencia]]-AJ162</f>
        <v>-42.219444444446708</v>
      </c>
      <c r="AL162" s="23" t="s">
        <v>46</v>
      </c>
      <c r="AM162" s="87">
        <v>1386300</v>
      </c>
      <c r="AN162" s="23"/>
      <c r="AO162" s="29"/>
      <c r="AP162" s="23"/>
      <c r="AQ162" s="23" t="s">
        <v>1086</v>
      </c>
      <c r="AR162" s="23" t="s">
        <v>10</v>
      </c>
      <c r="AS162" s="23"/>
      <c r="AT162" s="23"/>
      <c r="AU162" s="23"/>
      <c r="AV162" s="23"/>
      <c r="AW162" s="23" t="s">
        <v>1087</v>
      </c>
      <c r="AX162" t="s">
        <v>1088</v>
      </c>
      <c r="AY162" s="23"/>
      <c r="AZ162" s="23"/>
      <c r="BA162" s="23"/>
      <c r="BB162" s="32"/>
      <c r="BC162" s="73"/>
    </row>
    <row r="163" spans="1:55" x14ac:dyDescent="0.25">
      <c r="A163" s="22" t="s">
        <v>1089</v>
      </c>
      <c r="B163" s="23" t="s">
        <v>1090</v>
      </c>
      <c r="C163" s="23" t="s">
        <v>1091</v>
      </c>
      <c r="D163" s="23" t="s">
        <v>1092</v>
      </c>
      <c r="E163" s="24"/>
      <c r="F163" s="25"/>
      <c r="G163" s="23" t="s">
        <v>21</v>
      </c>
      <c r="H163" s="23" t="s">
        <v>106</v>
      </c>
      <c r="I163" s="2">
        <v>44624.966932870368</v>
      </c>
      <c r="J163" s="24">
        <f>MONTH(Tabla1[[#This Row],[Publicación]])</f>
        <v>3</v>
      </c>
      <c r="K163" s="24">
        <f>YEAR(Tabla1[[#This Row],[Publicación]])</f>
        <v>2022</v>
      </c>
      <c r="L163" s="2">
        <v>44631.583333333336</v>
      </c>
      <c r="M163" s="26"/>
      <c r="N163" s="25" t="s">
        <v>10</v>
      </c>
      <c r="O163" s="24" t="s">
        <v>35</v>
      </c>
      <c r="P163" s="24" t="s">
        <v>10</v>
      </c>
      <c r="Q163" s="2">
        <v>44629.5</v>
      </c>
      <c r="R163" s="2">
        <v>44630.541666666664</v>
      </c>
      <c r="S163" s="26">
        <v>44635.711273148147</v>
      </c>
      <c r="T163" s="27">
        <v>0</v>
      </c>
      <c r="U163" s="28">
        <f>Tabla1[[#This Row],[PPTO]]/(1+'Lista Datos'!$B$1)</f>
        <v>0</v>
      </c>
      <c r="V163" s="23"/>
      <c r="W163" s="18" t="s">
        <v>10</v>
      </c>
      <c r="X163" s="102"/>
      <c r="Y163" s="18" t="s">
        <v>146</v>
      </c>
      <c r="Z163" s="18" t="s">
        <v>10</v>
      </c>
      <c r="AA163" s="23"/>
      <c r="AB163" s="23"/>
      <c r="AC163" s="23"/>
      <c r="AD163" s="23"/>
      <c r="AE163" s="29">
        <f>Tabla1[[#This Row],[Cierre]]+Tabla1[[#This Row],[Vigencia Oferta (días)]]</f>
        <v>44631.583333333336</v>
      </c>
      <c r="AF163" s="87"/>
      <c r="AG163" s="28"/>
      <c r="AH163" s="164">
        <f>Tabla1[[#This Row],[Unidades2]]*Tabla1[[#This Row],[Precio Unitario]]</f>
        <v>0</v>
      </c>
      <c r="AI163" s="23" t="s">
        <v>44</v>
      </c>
      <c r="AJ163" s="26">
        <v>44642.541666666664</v>
      </c>
      <c r="AK163" s="172">
        <f>Tabla1[[#This Row],[Fecha Vigencia]]-AJ163</f>
        <v>-10.958333333328483</v>
      </c>
      <c r="AL163" s="23" t="s">
        <v>46</v>
      </c>
      <c r="AM163" s="87">
        <v>455000</v>
      </c>
      <c r="AN163" s="23"/>
      <c r="AO163" s="29"/>
      <c r="AP163" s="23"/>
      <c r="AQ163" s="23" t="s">
        <v>1093</v>
      </c>
      <c r="AR163" s="23" t="s">
        <v>10</v>
      </c>
      <c r="AS163" s="23"/>
      <c r="AT163" s="23"/>
      <c r="AU163" s="23"/>
      <c r="AV163" s="23"/>
      <c r="AW163" s="23" t="s">
        <v>1094</v>
      </c>
      <c r="AX163" t="s">
        <v>1095</v>
      </c>
      <c r="AY163" s="23"/>
      <c r="AZ163" s="23"/>
      <c r="BA163" s="23"/>
      <c r="BB163" s="32"/>
      <c r="BC163" s="73"/>
    </row>
    <row r="164" spans="1:55" x14ac:dyDescent="0.25">
      <c r="A164" s="22" t="s">
        <v>1096</v>
      </c>
      <c r="B164" s="23" t="s">
        <v>1097</v>
      </c>
      <c r="C164" s="23" t="s">
        <v>1098</v>
      </c>
      <c r="D164" s="23" t="s">
        <v>113</v>
      </c>
      <c r="E164" s="24"/>
      <c r="F164" s="25"/>
      <c r="G164" s="23" t="s">
        <v>41</v>
      </c>
      <c r="H164" s="23" t="s">
        <v>298</v>
      </c>
      <c r="I164" s="2">
        <v>44620.577430555553</v>
      </c>
      <c r="J164" s="24">
        <f>MONTH(Tabla1[[#This Row],[Publicación]])</f>
        <v>2</v>
      </c>
      <c r="K164" s="24">
        <f>YEAR(Tabla1[[#This Row],[Publicación]])</f>
        <v>2022</v>
      </c>
      <c r="L164" s="2">
        <v>44631.645833333336</v>
      </c>
      <c r="M164" s="26">
        <v>44627</v>
      </c>
      <c r="N164" s="25" t="s">
        <v>10</v>
      </c>
      <c r="O164" s="24" t="s">
        <v>25</v>
      </c>
      <c r="P164" s="24" t="s">
        <v>10</v>
      </c>
      <c r="Q164" s="2">
        <v>44624.625</v>
      </c>
      <c r="R164" s="2">
        <v>44627.75</v>
      </c>
      <c r="S164" s="26">
        <v>44764.659270833334</v>
      </c>
      <c r="T164" s="27">
        <v>0</v>
      </c>
      <c r="U164" s="28">
        <f>Tabla1[[#This Row],[PPTO]]/(1+'Lista Datos'!$B$1)</f>
        <v>0</v>
      </c>
      <c r="V164" s="23"/>
      <c r="W164" s="18" t="s">
        <v>10</v>
      </c>
      <c r="X164" s="102"/>
      <c r="Y164" s="18" t="s">
        <v>146</v>
      </c>
      <c r="Z164" s="18" t="s">
        <v>10</v>
      </c>
      <c r="AA164" s="23"/>
      <c r="AB164" s="23"/>
      <c r="AC164" s="23"/>
      <c r="AD164" s="23"/>
      <c r="AE164" s="29">
        <f>Tabla1[[#This Row],[Cierre]]+Tabla1[[#This Row],[Vigencia Oferta (días)]]</f>
        <v>44631.645833333336</v>
      </c>
      <c r="AF164" s="87"/>
      <c r="AG164" s="28"/>
      <c r="AH164" s="164">
        <f>Tabla1[[#This Row],[Unidades2]]*Tabla1[[#This Row],[Precio Unitario]]</f>
        <v>0</v>
      </c>
      <c r="AI164" s="23" t="s">
        <v>320</v>
      </c>
      <c r="AJ164" s="26"/>
      <c r="AK164" s="172">
        <f>Tabla1[[#This Row],[Fecha Vigencia]]-AJ164</f>
        <v>44631.645833333336</v>
      </c>
      <c r="AL164" s="23"/>
      <c r="AM164" s="87"/>
      <c r="AN164" s="23"/>
      <c r="AO164" s="29"/>
      <c r="AP164" s="23"/>
      <c r="AQ164" s="23" t="s">
        <v>116</v>
      </c>
      <c r="AR164" s="23" t="s">
        <v>10</v>
      </c>
      <c r="AS164" s="23"/>
      <c r="AT164" s="23"/>
      <c r="AU164" s="23"/>
      <c r="AV164" s="23"/>
      <c r="AW164" s="23" t="s">
        <v>1099</v>
      </c>
      <c r="AX164" t="s">
        <v>1100</v>
      </c>
      <c r="AY164" s="23"/>
      <c r="AZ164" s="23"/>
      <c r="BA164" s="23"/>
      <c r="BB164" s="32"/>
      <c r="BC164" s="73"/>
    </row>
    <row r="165" spans="1:55" x14ac:dyDescent="0.25">
      <c r="A165" s="22" t="s">
        <v>1101</v>
      </c>
      <c r="B165" s="23" t="s">
        <v>1102</v>
      </c>
      <c r="C165" s="23" t="s">
        <v>1102</v>
      </c>
      <c r="D165" s="23" t="s">
        <v>1103</v>
      </c>
      <c r="E165" s="24"/>
      <c r="F165" s="25"/>
      <c r="G165" s="23" t="s">
        <v>21</v>
      </c>
      <c r="H165" s="23" t="s">
        <v>106</v>
      </c>
      <c r="I165" s="2">
        <v>44631.431944444441</v>
      </c>
      <c r="J165" s="24">
        <f>MONTH(Tabla1[[#This Row],[Publicación]])</f>
        <v>3</v>
      </c>
      <c r="K165" s="24">
        <f>YEAR(Tabla1[[#This Row],[Publicación]])</f>
        <v>2022</v>
      </c>
      <c r="L165" s="2">
        <v>44631.65625</v>
      </c>
      <c r="M165" s="26">
        <v>44641</v>
      </c>
      <c r="N165" s="25" t="s">
        <v>10</v>
      </c>
      <c r="O165" s="24" t="s">
        <v>29</v>
      </c>
      <c r="P165" s="24" t="s">
        <v>10</v>
      </c>
      <c r="Q165" s="2">
        <v>44635.558333333334</v>
      </c>
      <c r="R165" s="2">
        <v>44638.560416666667</v>
      </c>
      <c r="S165" s="26">
        <v>44657.485891203702</v>
      </c>
      <c r="T165" s="27">
        <v>0</v>
      </c>
      <c r="U165" s="28">
        <f>Tabla1[[#This Row],[PPTO]]/(1+'Lista Datos'!$B$1)</f>
        <v>0</v>
      </c>
      <c r="V165" s="23"/>
      <c r="W165" s="18" t="s">
        <v>10</v>
      </c>
      <c r="X165" s="102"/>
      <c r="Y165" s="18" t="s">
        <v>146</v>
      </c>
      <c r="Z165" s="18" t="s">
        <v>10</v>
      </c>
      <c r="AA165" s="23" t="s">
        <v>177</v>
      </c>
      <c r="AB165" s="23">
        <v>12</v>
      </c>
      <c r="AC165" s="23"/>
      <c r="AD165" s="23"/>
      <c r="AE165" s="29">
        <f>Tabla1[[#This Row],[Cierre]]+Tabla1[[#This Row],[Vigencia Oferta (días)]]</f>
        <v>44631.65625</v>
      </c>
      <c r="AF165" s="87">
        <v>2800</v>
      </c>
      <c r="AG165" s="28"/>
      <c r="AH165" s="164">
        <f>Tabla1[[#This Row],[Unidades2]]*Tabla1[[#This Row],[Precio Unitario]]</f>
        <v>0</v>
      </c>
      <c r="AI165" s="23" t="s">
        <v>44</v>
      </c>
      <c r="AJ165" s="26">
        <v>44657.434884259259</v>
      </c>
      <c r="AK165" s="172">
        <f>Tabla1[[#This Row],[Fecha Vigencia]]-AJ165</f>
        <v>-25.778634259258979</v>
      </c>
      <c r="AL165" s="23" t="s">
        <v>46</v>
      </c>
      <c r="AM165" s="87">
        <v>2000</v>
      </c>
      <c r="AN165" s="23"/>
      <c r="AO165" s="29"/>
      <c r="AP165" s="23"/>
      <c r="AQ165" s="23" t="s">
        <v>1104</v>
      </c>
      <c r="AR165" s="23" t="s">
        <v>11</v>
      </c>
      <c r="AS165" s="33">
        <v>0.05</v>
      </c>
      <c r="AT165" s="29">
        <v>45159</v>
      </c>
      <c r="AU165" s="23"/>
      <c r="AV165" s="23"/>
      <c r="AW165" s="23" t="s">
        <v>1105</v>
      </c>
      <c r="AX165" t="s">
        <v>1106</v>
      </c>
      <c r="AY165" s="23"/>
      <c r="AZ165" s="23"/>
      <c r="BA165" s="23"/>
      <c r="BB165" s="32"/>
      <c r="BC165" s="73"/>
    </row>
    <row r="166" spans="1:55" x14ac:dyDescent="0.25">
      <c r="A166" s="22" t="s">
        <v>1107</v>
      </c>
      <c r="B166" s="23" t="s">
        <v>1108</v>
      </c>
      <c r="C166" s="23" t="s">
        <v>1109</v>
      </c>
      <c r="D166" s="23" t="s">
        <v>1110</v>
      </c>
      <c r="E166" s="24"/>
      <c r="F166" s="25"/>
      <c r="G166" s="23" t="s">
        <v>16</v>
      </c>
      <c r="H166" s="23" t="s">
        <v>123</v>
      </c>
      <c r="I166" s="2">
        <v>44614.643738425926</v>
      </c>
      <c r="J166" s="24">
        <f>MONTH(Tabla1[[#This Row],[Publicación]])</f>
        <v>2</v>
      </c>
      <c r="K166" s="24">
        <f>YEAR(Tabla1[[#This Row],[Publicación]])</f>
        <v>2022</v>
      </c>
      <c r="L166" s="2">
        <v>44634.625</v>
      </c>
      <c r="M166" s="26">
        <v>44627</v>
      </c>
      <c r="N166" s="25" t="s">
        <v>10</v>
      </c>
      <c r="O166" s="24" t="s">
        <v>25</v>
      </c>
      <c r="P166" s="24" t="s">
        <v>10</v>
      </c>
      <c r="Q166" s="2">
        <v>44622.786805555559</v>
      </c>
      <c r="R166" s="2">
        <v>44627.786805555559</v>
      </c>
      <c r="S166" s="26">
        <v>44649.662118055552</v>
      </c>
      <c r="T166" s="27">
        <v>0</v>
      </c>
      <c r="U166" s="28">
        <f>Tabla1[[#This Row],[PPTO]]/(1+'Lista Datos'!$B$1)</f>
        <v>0</v>
      </c>
      <c r="V166" s="23"/>
      <c r="W166" s="18" t="s">
        <v>11</v>
      </c>
      <c r="X166" s="102">
        <v>1000000</v>
      </c>
      <c r="Y166" s="26">
        <v>44734</v>
      </c>
      <c r="Z166" s="18" t="s">
        <v>10</v>
      </c>
      <c r="AA166" s="23"/>
      <c r="AB166" s="23"/>
      <c r="AC166" s="23"/>
      <c r="AD166" s="23"/>
      <c r="AE166" s="29">
        <f>Tabla1[[#This Row],[Cierre]]+Tabla1[[#This Row],[Vigencia Oferta (días)]]</f>
        <v>44634.625</v>
      </c>
      <c r="AF166" s="87"/>
      <c r="AG166" s="28"/>
      <c r="AH166" s="164">
        <f>Tabla1[[#This Row],[Unidades2]]*Tabla1[[#This Row],[Precio Unitario]]</f>
        <v>0</v>
      </c>
      <c r="AI166" s="23" t="s">
        <v>44</v>
      </c>
      <c r="AJ166" s="26">
        <v>44673.625</v>
      </c>
      <c r="AK166" s="172">
        <f>Tabla1[[#This Row],[Fecha Vigencia]]-AJ166</f>
        <v>-39</v>
      </c>
      <c r="AL166" s="23" t="s">
        <v>45</v>
      </c>
      <c r="AM166" s="87">
        <v>210000000</v>
      </c>
      <c r="AN166" s="23"/>
      <c r="AO166" s="29"/>
      <c r="AP166" s="23"/>
      <c r="AQ166" s="23" t="s">
        <v>995</v>
      </c>
      <c r="AR166" s="23" t="s">
        <v>11</v>
      </c>
      <c r="AS166" s="33">
        <v>0.1</v>
      </c>
      <c r="AT166" s="23">
        <v>45555</v>
      </c>
      <c r="AU166" s="23"/>
      <c r="AV166" s="23"/>
      <c r="AW166" s="23" t="s">
        <v>996</v>
      </c>
      <c r="AX166" t="s">
        <v>997</v>
      </c>
      <c r="AY166" s="23"/>
      <c r="AZ166" s="23"/>
      <c r="BA166" s="23"/>
      <c r="BB166" s="32"/>
      <c r="BC166" s="73"/>
    </row>
    <row r="167" spans="1:55" x14ac:dyDescent="0.25">
      <c r="A167" s="22" t="s">
        <v>1111</v>
      </c>
      <c r="B167" s="23" t="s">
        <v>1112</v>
      </c>
      <c r="C167" s="23" t="s">
        <v>1113</v>
      </c>
      <c r="D167" s="23" t="s">
        <v>1114</v>
      </c>
      <c r="E167" s="24"/>
      <c r="F167" s="25"/>
      <c r="G167" s="23" t="s">
        <v>21</v>
      </c>
      <c r="H167" s="23" t="s">
        <v>106</v>
      </c>
      <c r="I167" s="2">
        <v>44622.522777777776</v>
      </c>
      <c r="J167" s="24">
        <f>MONTH(Tabla1[[#This Row],[Publicación]])</f>
        <v>3</v>
      </c>
      <c r="K167" s="24">
        <f>YEAR(Tabla1[[#This Row],[Publicación]])</f>
        <v>2022</v>
      </c>
      <c r="L167" s="2">
        <v>44634.625</v>
      </c>
      <c r="M167" s="26">
        <v>44624.681250000001</v>
      </c>
      <c r="N167" s="25" t="s">
        <v>10</v>
      </c>
      <c r="O167" s="24" t="s">
        <v>35</v>
      </c>
      <c r="P167" s="24" t="s">
        <v>10</v>
      </c>
      <c r="Q167" s="2">
        <v>44628.625</v>
      </c>
      <c r="R167" s="2">
        <v>44630.625</v>
      </c>
      <c r="S167" s="26">
        <v>44651.708333333336</v>
      </c>
      <c r="T167" s="27">
        <v>0</v>
      </c>
      <c r="U167" s="28">
        <f>Tabla1[[#This Row],[PPTO]]/(1+'Lista Datos'!$B$1)</f>
        <v>0</v>
      </c>
      <c r="V167" s="23"/>
      <c r="W167" s="18" t="s">
        <v>10</v>
      </c>
      <c r="X167" s="102"/>
      <c r="Y167" s="18" t="s">
        <v>146</v>
      </c>
      <c r="Z167" s="18" t="s">
        <v>10</v>
      </c>
      <c r="AA167" s="23"/>
      <c r="AB167" s="23"/>
      <c r="AC167" s="23"/>
      <c r="AD167" s="23"/>
      <c r="AE167" s="29">
        <f>Tabla1[[#This Row],[Cierre]]+Tabla1[[#This Row],[Vigencia Oferta (días)]]</f>
        <v>44634.625</v>
      </c>
      <c r="AF167" s="87"/>
      <c r="AG167" s="28"/>
      <c r="AH167" s="164">
        <f>Tabla1[[#This Row],[Unidades2]]*Tabla1[[#This Row],[Precio Unitario]]</f>
        <v>0</v>
      </c>
      <c r="AI167" s="23" t="s">
        <v>385</v>
      </c>
      <c r="AJ167" s="26"/>
      <c r="AK167" s="172">
        <f>Tabla1[[#This Row],[Fecha Vigencia]]-AJ167</f>
        <v>44634.625</v>
      </c>
      <c r="AL167" s="23"/>
      <c r="AM167" s="87"/>
      <c r="AN167" s="23"/>
      <c r="AO167" s="29"/>
      <c r="AP167" s="23"/>
      <c r="AQ167" s="23" t="s">
        <v>1079</v>
      </c>
      <c r="AR167" s="23" t="s">
        <v>11</v>
      </c>
      <c r="AS167" s="33">
        <v>0.05</v>
      </c>
      <c r="AT167" s="29">
        <v>45096</v>
      </c>
      <c r="AU167" s="23"/>
      <c r="AV167" s="23"/>
      <c r="AW167" s="23" t="s">
        <v>1080</v>
      </c>
      <c r="AX167" t="s">
        <v>1081</v>
      </c>
      <c r="AY167" s="23"/>
      <c r="AZ167" s="23"/>
      <c r="BA167" s="23"/>
      <c r="BB167" s="32"/>
      <c r="BC167" s="73"/>
    </row>
    <row r="168" spans="1:55" x14ac:dyDescent="0.25">
      <c r="A168" s="22" t="s">
        <v>1115</v>
      </c>
      <c r="B168" s="23" t="s">
        <v>1116</v>
      </c>
      <c r="C168" s="23" t="s">
        <v>1117</v>
      </c>
      <c r="D168" s="23" t="s">
        <v>1118</v>
      </c>
      <c r="E168" s="24"/>
      <c r="F168" s="25"/>
      <c r="G168" s="23" t="s">
        <v>21</v>
      </c>
      <c r="H168" s="23" t="s">
        <v>106</v>
      </c>
      <c r="I168" s="2">
        <v>44623.499328703707</v>
      </c>
      <c r="J168" s="24">
        <f>MONTH(Tabla1[[#This Row],[Publicación]])</f>
        <v>3</v>
      </c>
      <c r="K168" s="24">
        <f>YEAR(Tabla1[[#This Row],[Publicación]])</f>
        <v>2022</v>
      </c>
      <c r="L168" s="2">
        <v>44634.631944444445</v>
      </c>
      <c r="M168" s="26">
        <v>44624</v>
      </c>
      <c r="N168" s="25" t="s">
        <v>11</v>
      </c>
      <c r="O168" s="24"/>
      <c r="P168" s="24" t="s">
        <v>11</v>
      </c>
      <c r="Q168" s="2">
        <v>44625.625</v>
      </c>
      <c r="R168" s="2">
        <v>44627.729166666664</v>
      </c>
      <c r="S168" s="26">
        <v>44679.49417824074</v>
      </c>
      <c r="T168" s="28">
        <v>12000000</v>
      </c>
      <c r="U168" s="28">
        <f>Tabla1[[#This Row],[PPTO]]/(1+'Lista Datos'!$B$1)</f>
        <v>10084033.613445379</v>
      </c>
      <c r="V168" s="23">
        <v>30</v>
      </c>
      <c r="W168" s="18" t="s">
        <v>10</v>
      </c>
      <c r="X168" s="102"/>
      <c r="Y168" s="18" t="s">
        <v>146</v>
      </c>
      <c r="Z168" s="18" t="s">
        <v>10</v>
      </c>
      <c r="AA168" s="23" t="s">
        <v>512</v>
      </c>
      <c r="AB168" s="23"/>
      <c r="AC168" s="23" t="s">
        <v>10</v>
      </c>
      <c r="AD168" s="23"/>
      <c r="AE168" s="29">
        <f>Tabla1[[#This Row],[Cierre]]+Tabla1[[#This Row],[Vigencia Oferta (días)]]</f>
        <v>44634.631944444445</v>
      </c>
      <c r="AF168" s="87">
        <v>16</v>
      </c>
      <c r="AG168" s="28">
        <v>26170</v>
      </c>
      <c r="AH168" s="164">
        <f>Tabla1[[#This Row],[Unidades2]]*Tabla1[[#This Row],[Precio Unitario]]</f>
        <v>418720</v>
      </c>
      <c r="AI168" s="23" t="s">
        <v>44</v>
      </c>
      <c r="AJ168" s="26">
        <v>44673.757557870369</v>
      </c>
      <c r="AK168" s="172">
        <f>Tabla1[[#This Row],[Fecha Vigencia]]-AJ168</f>
        <v>-39.125613425923802</v>
      </c>
      <c r="AL168" s="23" t="s">
        <v>46</v>
      </c>
      <c r="AM168" s="87">
        <v>10900</v>
      </c>
      <c r="AN168" s="23"/>
      <c r="AO168" s="29"/>
      <c r="AP168" s="23"/>
      <c r="AQ168" s="23" t="s">
        <v>1119</v>
      </c>
      <c r="AR168" s="23" t="s">
        <v>11</v>
      </c>
      <c r="AS168" s="33">
        <v>0.05</v>
      </c>
      <c r="AT168" s="29">
        <v>44742</v>
      </c>
      <c r="AU168" s="23"/>
      <c r="AV168" s="23"/>
      <c r="AW168" s="23" t="s">
        <v>1120</v>
      </c>
      <c r="AX168" t="s">
        <v>1121</v>
      </c>
      <c r="AY168" s="23"/>
      <c r="AZ168" s="23"/>
      <c r="BA168" s="23"/>
      <c r="BB168" s="32"/>
      <c r="BC168" s="73"/>
    </row>
    <row r="169" spans="1:55" ht="11.25" x14ac:dyDescent="0.2">
      <c r="A169" s="22" t="s">
        <v>1115</v>
      </c>
      <c r="B169" s="23" t="s">
        <v>1116</v>
      </c>
      <c r="C169" s="23" t="s">
        <v>1117</v>
      </c>
      <c r="D169" s="23" t="s">
        <v>1118</v>
      </c>
      <c r="E169" s="24"/>
      <c r="F169" s="25"/>
      <c r="G169" s="23" t="s">
        <v>21</v>
      </c>
      <c r="H169" s="23" t="s">
        <v>106</v>
      </c>
      <c r="I169" s="2">
        <v>44623.499328703707</v>
      </c>
      <c r="J169" s="24">
        <f>MONTH(Tabla1[[#This Row],[Publicación]])</f>
        <v>3</v>
      </c>
      <c r="K169" s="24">
        <f>YEAR(Tabla1[[#This Row],[Publicación]])</f>
        <v>2022</v>
      </c>
      <c r="L169" s="2">
        <v>44634.631944444445</v>
      </c>
      <c r="M169" s="26">
        <v>44624</v>
      </c>
      <c r="N169" s="25" t="s">
        <v>11</v>
      </c>
      <c r="O169" s="24"/>
      <c r="P169" s="24" t="s">
        <v>11</v>
      </c>
      <c r="Q169" s="2">
        <v>44625.625</v>
      </c>
      <c r="R169" s="2">
        <v>44627.729166666664</v>
      </c>
      <c r="S169" s="26">
        <v>44679.49417824074</v>
      </c>
      <c r="T169" s="28">
        <v>12000000</v>
      </c>
      <c r="U169" s="28">
        <f>Tabla1[[#This Row],[PPTO]]/(1+'Lista Datos'!$B$1)</f>
        <v>10084033.613445379</v>
      </c>
      <c r="V169" s="23">
        <v>30</v>
      </c>
      <c r="W169" s="18" t="s">
        <v>10</v>
      </c>
      <c r="X169" s="102"/>
      <c r="Y169" s="18" t="s">
        <v>146</v>
      </c>
      <c r="Z169" s="18" t="s">
        <v>10</v>
      </c>
      <c r="AA169" s="23" t="s">
        <v>512</v>
      </c>
      <c r="AB169" s="23"/>
      <c r="AC169" s="23" t="s">
        <v>10</v>
      </c>
      <c r="AD169" s="23"/>
      <c r="AE169" s="29">
        <f>Tabla1[[#This Row],[Cierre]]+Tabla1[[#This Row],[Vigencia Oferta (días)]]</f>
        <v>44634.631944444445</v>
      </c>
      <c r="AF169" s="87">
        <v>16</v>
      </c>
      <c r="AG169" s="28">
        <v>5190</v>
      </c>
      <c r="AH169" s="164">
        <f>Tabla1[[#This Row],[Unidades2]]*Tabla1[[#This Row],[Precio Unitario]]</f>
        <v>83040</v>
      </c>
      <c r="AI169" s="23" t="s">
        <v>44</v>
      </c>
      <c r="AJ169" s="26">
        <v>44673.757557870369</v>
      </c>
      <c r="AK169" s="172">
        <f>Tabla1[[#This Row],[Fecha Vigencia]]-AJ169</f>
        <v>-39.125613425923802</v>
      </c>
      <c r="AL169" s="23" t="s">
        <v>46</v>
      </c>
      <c r="AM169" s="87">
        <v>2800</v>
      </c>
      <c r="AN169" s="23"/>
      <c r="AO169" s="29"/>
      <c r="AP169" s="23"/>
      <c r="AQ169" s="23" t="s">
        <v>1119</v>
      </c>
      <c r="AR169" s="23" t="s">
        <v>11</v>
      </c>
      <c r="AS169" s="33">
        <v>0.05</v>
      </c>
      <c r="AT169" s="29">
        <v>44742</v>
      </c>
      <c r="AU169" s="23"/>
      <c r="AV169" s="23"/>
      <c r="AW169" s="23" t="s">
        <v>1120</v>
      </c>
      <c r="AX169" s="76" t="s">
        <v>1121</v>
      </c>
      <c r="AY169" s="23"/>
      <c r="AZ169" s="23"/>
      <c r="BA169" s="23"/>
      <c r="BB169" s="32"/>
      <c r="BC169" s="73"/>
    </row>
    <row r="170" spans="1:55" x14ac:dyDescent="0.25">
      <c r="A170" s="22" t="s">
        <v>1122</v>
      </c>
      <c r="B170" s="23" t="s">
        <v>814</v>
      </c>
      <c r="C170" s="23" t="s">
        <v>1123</v>
      </c>
      <c r="D170" s="23" t="s">
        <v>1124</v>
      </c>
      <c r="E170" s="24"/>
      <c r="F170" s="25"/>
      <c r="G170" s="23" t="s">
        <v>16</v>
      </c>
      <c r="H170" s="23" t="s">
        <v>123</v>
      </c>
      <c r="I170" s="2">
        <v>44624.603032407409</v>
      </c>
      <c r="J170" s="24">
        <f>MONTH(Tabla1[[#This Row],[Publicación]])</f>
        <v>3</v>
      </c>
      <c r="K170" s="24">
        <f>YEAR(Tabla1[[#This Row],[Publicación]])</f>
        <v>2022</v>
      </c>
      <c r="L170" s="2">
        <v>44634.632638888892</v>
      </c>
      <c r="M170" s="26">
        <v>44624.704861111109</v>
      </c>
      <c r="N170" s="25" t="s">
        <v>11</v>
      </c>
      <c r="O170" s="24"/>
      <c r="P170" s="24" t="s">
        <v>11</v>
      </c>
      <c r="Q170" s="2">
        <v>44627.753472222219</v>
      </c>
      <c r="R170" s="2">
        <v>44628.753472222219</v>
      </c>
      <c r="S170" s="26">
        <v>44641.658356481479</v>
      </c>
      <c r="T170" s="27">
        <v>0</v>
      </c>
      <c r="U170" s="28">
        <f>Tabla1[[#This Row],[PPTO]]/(1+'Lista Datos'!$B$1)</f>
        <v>0</v>
      </c>
      <c r="V170" s="23"/>
      <c r="W170" s="18" t="s">
        <v>10</v>
      </c>
      <c r="X170" s="102"/>
      <c r="Y170" s="18" t="s">
        <v>146</v>
      </c>
      <c r="Z170" s="18" t="s">
        <v>10</v>
      </c>
      <c r="AA170" s="23" t="s">
        <v>177</v>
      </c>
      <c r="AB170" s="23">
        <v>24</v>
      </c>
      <c r="AC170" s="23" t="s">
        <v>10</v>
      </c>
      <c r="AD170" s="23"/>
      <c r="AE170" s="29">
        <f>Tabla1[[#This Row],[Cierre]]+Tabla1[[#This Row],[Vigencia Oferta (días)]]</f>
        <v>44634.632638888892</v>
      </c>
      <c r="AF170" s="87"/>
      <c r="AG170" s="28"/>
      <c r="AH170" s="164">
        <f>Tabla1[[#This Row],[Unidades2]]*Tabla1[[#This Row],[Precio Unitario]]</f>
        <v>0</v>
      </c>
      <c r="AI170" s="23" t="s">
        <v>44</v>
      </c>
      <c r="AJ170" s="26">
        <v>44641.641168981485</v>
      </c>
      <c r="AK170" s="172">
        <f>Tabla1[[#This Row],[Fecha Vigencia]]-AJ170</f>
        <v>-7.0085300925929914</v>
      </c>
      <c r="AL170" s="23" t="s">
        <v>115</v>
      </c>
      <c r="AM170" s="87">
        <v>9200000</v>
      </c>
      <c r="AN170" s="29">
        <v>44641</v>
      </c>
      <c r="AO170" s="29">
        <v>45372</v>
      </c>
      <c r="AP170" s="23" t="s">
        <v>177</v>
      </c>
      <c r="AQ170" s="23" t="s">
        <v>817</v>
      </c>
      <c r="AR170" s="23" t="s">
        <v>10</v>
      </c>
      <c r="AS170" s="23"/>
      <c r="AT170" s="23"/>
      <c r="AU170" s="23"/>
      <c r="AV170" s="23"/>
      <c r="AW170" s="23" t="s">
        <v>818</v>
      </c>
      <c r="AX170" t="s">
        <v>819</v>
      </c>
      <c r="AY170" s="23"/>
      <c r="AZ170" s="23"/>
      <c r="BA170" s="23"/>
      <c r="BB170" s="32"/>
      <c r="BC170" s="73"/>
    </row>
    <row r="171" spans="1:55" x14ac:dyDescent="0.25">
      <c r="A171" s="22" t="s">
        <v>1125</v>
      </c>
      <c r="B171" s="23" t="s">
        <v>1126</v>
      </c>
      <c r="C171" s="23" t="s">
        <v>1127</v>
      </c>
      <c r="D171" s="23" t="s">
        <v>1128</v>
      </c>
      <c r="E171" s="24"/>
      <c r="F171" s="25"/>
      <c r="G171" s="23" t="s">
        <v>21</v>
      </c>
      <c r="H171" s="23" t="s">
        <v>106</v>
      </c>
      <c r="I171" s="2">
        <v>44627.555092592593</v>
      </c>
      <c r="J171" s="24">
        <f>MONTH(Tabla1[[#This Row],[Publicación]])</f>
        <v>3</v>
      </c>
      <c r="K171" s="24">
        <f>YEAR(Tabla1[[#This Row],[Publicación]])</f>
        <v>2022</v>
      </c>
      <c r="L171" s="2">
        <v>44634.645833333336</v>
      </c>
      <c r="M171" s="26">
        <v>44641</v>
      </c>
      <c r="N171" s="25" t="s">
        <v>10</v>
      </c>
      <c r="O171" s="24" t="s">
        <v>35</v>
      </c>
      <c r="P171" s="24" t="s">
        <v>10</v>
      </c>
      <c r="Q171" s="2">
        <v>44629.645833333336</v>
      </c>
      <c r="R171" s="2">
        <v>44630.645833333336</v>
      </c>
      <c r="S171" s="26">
        <v>44649.594733796293</v>
      </c>
      <c r="T171" s="27">
        <v>0</v>
      </c>
      <c r="U171" s="28">
        <f>Tabla1[[#This Row],[PPTO]]/(1+'Lista Datos'!$B$1)</f>
        <v>0</v>
      </c>
      <c r="V171" s="23"/>
      <c r="W171" s="18" t="s">
        <v>10</v>
      </c>
      <c r="X171" s="102"/>
      <c r="Y171" s="18" t="s">
        <v>146</v>
      </c>
      <c r="Z171" s="18" t="s">
        <v>10</v>
      </c>
      <c r="AA171" s="23" t="s">
        <v>512</v>
      </c>
      <c r="AB171" s="23"/>
      <c r="AC171" s="23"/>
      <c r="AD171" s="23"/>
      <c r="AE171" s="29">
        <f>Tabla1[[#This Row],[Cierre]]+Tabla1[[#This Row],[Vigencia Oferta (días)]]</f>
        <v>44634.645833333336</v>
      </c>
      <c r="AF171" s="87">
        <v>40</v>
      </c>
      <c r="AG171" s="28"/>
      <c r="AH171" s="164">
        <f>Tabla1[[#This Row],[Unidades2]]*Tabla1[[#This Row],[Precio Unitario]]</f>
        <v>0</v>
      </c>
      <c r="AI171" s="23" t="s">
        <v>44</v>
      </c>
      <c r="AJ171" s="26">
        <v>44649.547094907408</v>
      </c>
      <c r="AK171" s="172">
        <f>Tabla1[[#This Row],[Fecha Vigencia]]-AJ171</f>
        <v>-14.901261574072123</v>
      </c>
      <c r="AL171" s="23" t="s">
        <v>46</v>
      </c>
      <c r="AM171" s="87">
        <v>2500</v>
      </c>
      <c r="AN171" s="23"/>
      <c r="AO171" s="29"/>
      <c r="AP171" s="23"/>
      <c r="AQ171" s="23" t="s">
        <v>1129</v>
      </c>
      <c r="AR171" s="23" t="s">
        <v>10</v>
      </c>
      <c r="AS171" s="23"/>
      <c r="AT171" s="23"/>
      <c r="AU171" s="23"/>
      <c r="AV171" s="23"/>
      <c r="AW171" s="23" t="s">
        <v>1130</v>
      </c>
      <c r="AX171" t="s">
        <v>1131</v>
      </c>
      <c r="AY171" s="23"/>
      <c r="AZ171" s="23"/>
      <c r="BA171" s="23"/>
      <c r="BB171" s="32"/>
      <c r="BC171" s="73"/>
    </row>
    <row r="172" spans="1:55" x14ac:dyDescent="0.25">
      <c r="A172" s="22" t="s">
        <v>1132</v>
      </c>
      <c r="B172" s="23" t="s">
        <v>1133</v>
      </c>
      <c r="C172" s="23" t="s">
        <v>1134</v>
      </c>
      <c r="D172" s="23" t="s">
        <v>581</v>
      </c>
      <c r="E172" s="24"/>
      <c r="F172" s="25"/>
      <c r="G172" s="23" t="s">
        <v>16</v>
      </c>
      <c r="H172" s="23" t="s">
        <v>123</v>
      </c>
      <c r="I172" s="2">
        <v>44613.751585648148</v>
      </c>
      <c r="J172" s="24">
        <f>MONTH(Tabla1[[#This Row],[Publicación]])</f>
        <v>2</v>
      </c>
      <c r="K172" s="24">
        <f>YEAR(Tabla1[[#This Row],[Publicación]])</f>
        <v>2022</v>
      </c>
      <c r="L172" s="2">
        <v>44634.645833333336</v>
      </c>
      <c r="M172" s="26">
        <v>44621.535416666666</v>
      </c>
      <c r="N172" s="25" t="s">
        <v>10</v>
      </c>
      <c r="O172" s="24" t="s">
        <v>25</v>
      </c>
      <c r="P172" s="24" t="s">
        <v>10</v>
      </c>
      <c r="Q172" s="2">
        <v>44622.625</v>
      </c>
      <c r="R172" s="2">
        <v>44628.708333333336</v>
      </c>
      <c r="S172" s="26">
        <v>44652.523877314816</v>
      </c>
      <c r="T172" s="27">
        <v>0</v>
      </c>
      <c r="U172" s="28">
        <f>Tabla1[[#This Row],[PPTO]]/(1+'Lista Datos'!$B$1)</f>
        <v>0</v>
      </c>
      <c r="V172" s="23"/>
      <c r="W172" s="18" t="s">
        <v>10</v>
      </c>
      <c r="X172" s="102"/>
      <c r="Y172" s="18" t="s">
        <v>146</v>
      </c>
      <c r="Z172" s="18" t="s">
        <v>10</v>
      </c>
      <c r="AA172" s="23"/>
      <c r="AB172" s="23"/>
      <c r="AC172" s="23"/>
      <c r="AD172" s="23"/>
      <c r="AE172" s="29">
        <f>Tabla1[[#This Row],[Cierre]]+Tabla1[[#This Row],[Vigencia Oferta (días)]]</f>
        <v>44634.645833333336</v>
      </c>
      <c r="AF172" s="87"/>
      <c r="AG172" s="28"/>
      <c r="AH172" s="164">
        <f>Tabla1[[#This Row],[Unidades2]]*Tabla1[[#This Row],[Precio Unitario]]</f>
        <v>0</v>
      </c>
      <c r="AI172" s="23" t="s">
        <v>44</v>
      </c>
      <c r="AJ172" s="26">
        <v>44652</v>
      </c>
      <c r="AK172" s="172">
        <f>Tabla1[[#This Row],[Fecha Vigencia]]-AJ172</f>
        <v>-17.354166666664241</v>
      </c>
      <c r="AL172" s="23" t="s">
        <v>45</v>
      </c>
      <c r="AM172" s="87">
        <v>607036</v>
      </c>
      <c r="AN172" s="23"/>
      <c r="AO172" s="29"/>
      <c r="AP172" s="23"/>
      <c r="AQ172" s="23" t="s">
        <v>583</v>
      </c>
      <c r="AR172" s="23" t="s">
        <v>11</v>
      </c>
      <c r="AS172" s="33">
        <v>0.05</v>
      </c>
      <c r="AT172" s="29">
        <v>45412</v>
      </c>
      <c r="AU172" s="23"/>
      <c r="AV172" s="23"/>
      <c r="AW172" s="23" t="s">
        <v>1135</v>
      </c>
      <c r="AX172" t="s">
        <v>746</v>
      </c>
      <c r="AY172" s="23"/>
      <c r="AZ172" s="23"/>
      <c r="BA172" s="23"/>
      <c r="BB172" s="32"/>
      <c r="BC172" s="73"/>
    </row>
    <row r="173" spans="1:55" ht="11.25" x14ac:dyDescent="0.2">
      <c r="A173" s="22" t="s">
        <v>1136</v>
      </c>
      <c r="B173" s="23" t="s">
        <v>1137</v>
      </c>
      <c r="C173" s="23" t="s">
        <v>1138</v>
      </c>
      <c r="D173" s="23" t="s">
        <v>486</v>
      </c>
      <c r="E173" s="24"/>
      <c r="F173" s="25"/>
      <c r="G173" s="23" t="s">
        <v>17</v>
      </c>
      <c r="H173" s="23" t="s">
        <v>213</v>
      </c>
      <c r="I173" s="2">
        <v>44601.52847222222</v>
      </c>
      <c r="J173" s="24">
        <f>MONTH(Tabla1[[#This Row],[Publicación]])</f>
        <v>2</v>
      </c>
      <c r="K173" s="24">
        <f>YEAR(Tabla1[[#This Row],[Publicación]])</f>
        <v>2022</v>
      </c>
      <c r="L173" s="2">
        <v>44634.645833333336</v>
      </c>
      <c r="M173" s="26">
        <v>44603.904861111114</v>
      </c>
      <c r="N173" s="25" t="s">
        <v>10</v>
      </c>
      <c r="O173" s="24" t="s">
        <v>25</v>
      </c>
      <c r="P173" s="24" t="s">
        <v>10</v>
      </c>
      <c r="Q173" s="2">
        <v>44616.625</v>
      </c>
      <c r="R173" s="2">
        <v>44621.75</v>
      </c>
      <c r="S173" s="26">
        <v>44670.760682870372</v>
      </c>
      <c r="T173" s="27">
        <v>0</v>
      </c>
      <c r="U173" s="28">
        <f>Tabla1[[#This Row],[PPTO]]/(1+'Lista Datos'!$B$1)</f>
        <v>0</v>
      </c>
      <c r="V173" s="23"/>
      <c r="W173" s="18" t="s">
        <v>11</v>
      </c>
      <c r="X173" s="102">
        <v>3000000</v>
      </c>
      <c r="Y173" s="26">
        <v>44751</v>
      </c>
      <c r="Z173" s="18" t="s">
        <v>11</v>
      </c>
      <c r="AA173" s="23"/>
      <c r="AB173" s="23"/>
      <c r="AC173" s="23"/>
      <c r="AD173" s="23"/>
      <c r="AE173" s="29">
        <f>Tabla1[[#This Row],[Cierre]]+Tabla1[[#This Row],[Vigencia Oferta (días)]]</f>
        <v>44634.645833333336</v>
      </c>
      <c r="AF173" s="87"/>
      <c r="AG173" s="28"/>
      <c r="AH173" s="164">
        <f>Tabla1[[#This Row],[Unidades2]]*Tabla1[[#This Row],[Precio Unitario]]</f>
        <v>0</v>
      </c>
      <c r="AI173" s="23" t="s">
        <v>44</v>
      </c>
      <c r="AJ173" s="26">
        <v>44670</v>
      </c>
      <c r="AK173" s="172">
        <f>Tabla1[[#This Row],[Fecha Vigencia]]-AJ173</f>
        <v>-35.354166666664241</v>
      </c>
      <c r="AL173" s="23" t="s">
        <v>46</v>
      </c>
      <c r="AM173" s="87">
        <v>851955425</v>
      </c>
      <c r="AN173" s="23"/>
      <c r="AO173" s="29"/>
      <c r="AP173" s="23"/>
      <c r="AQ173" s="23" t="s">
        <v>487</v>
      </c>
      <c r="AR173" s="23" t="s">
        <v>11</v>
      </c>
      <c r="AS173" s="33">
        <v>0.1</v>
      </c>
      <c r="AT173" s="29">
        <v>45022</v>
      </c>
      <c r="AU173" s="23"/>
      <c r="AV173" s="23"/>
      <c r="AW173" s="23"/>
      <c r="AX173" s="23"/>
      <c r="AY173" s="23"/>
      <c r="AZ173" s="23"/>
      <c r="BA173" s="23"/>
      <c r="BB173" s="32"/>
      <c r="BC173" s="73"/>
    </row>
    <row r="174" spans="1:55" x14ac:dyDescent="0.25">
      <c r="A174" s="22" t="s">
        <v>1139</v>
      </c>
      <c r="B174" s="23" t="s">
        <v>1140</v>
      </c>
      <c r="C174" s="23" t="s">
        <v>1141</v>
      </c>
      <c r="D174" s="23" t="s">
        <v>1066</v>
      </c>
      <c r="E174" s="24"/>
      <c r="F174" s="25"/>
      <c r="G174" s="23" t="s">
        <v>21</v>
      </c>
      <c r="H174" s="23" t="s">
        <v>106</v>
      </c>
      <c r="I174" s="2">
        <v>44620.715081018519</v>
      </c>
      <c r="J174" s="24">
        <f>MONTH(Tabla1[[#This Row],[Publicación]])</f>
        <v>2</v>
      </c>
      <c r="K174" s="24">
        <f>YEAR(Tabla1[[#This Row],[Publicación]])</f>
        <v>2022</v>
      </c>
      <c r="L174" s="2">
        <v>44635.5</v>
      </c>
      <c r="M174" s="26"/>
      <c r="N174" s="25" t="s">
        <v>10</v>
      </c>
      <c r="O174" s="24" t="s">
        <v>28</v>
      </c>
      <c r="P174" s="24" t="s">
        <v>10</v>
      </c>
      <c r="Q174" s="5">
        <v>44627.416666666664</v>
      </c>
      <c r="R174" s="2">
        <v>44629.708333333336</v>
      </c>
      <c r="S174" s="26">
        <v>44691.684525462966</v>
      </c>
      <c r="T174" s="28">
        <v>180000000</v>
      </c>
      <c r="U174" s="28">
        <f>Tabla1[[#This Row],[PPTO]]/(1+'Lista Datos'!$B$1)</f>
        <v>151260504.20168069</v>
      </c>
      <c r="V174" s="23">
        <v>30</v>
      </c>
      <c r="W174" s="18" t="s">
        <v>11</v>
      </c>
      <c r="X174" s="102">
        <v>200000</v>
      </c>
      <c r="Y174" s="26">
        <v>44754</v>
      </c>
      <c r="Z174" s="18" t="s">
        <v>10</v>
      </c>
      <c r="AA174" s="23" t="s">
        <v>177</v>
      </c>
      <c r="AB174" s="23">
        <v>24</v>
      </c>
      <c r="AC174" s="23"/>
      <c r="AD174" s="23"/>
      <c r="AE174" s="29">
        <f>Tabla1[[#This Row],[Cierre]]+Tabla1[[#This Row],[Vigencia Oferta (días)]]</f>
        <v>44635.5</v>
      </c>
      <c r="AF174" s="87"/>
      <c r="AG174" s="28"/>
      <c r="AH174" s="164">
        <f>Tabla1[[#This Row],[Unidades2]]*Tabla1[[#This Row],[Precio Unitario]]</f>
        <v>0</v>
      </c>
      <c r="AI174" s="23" t="s">
        <v>44</v>
      </c>
      <c r="AJ174" s="26">
        <v>44691</v>
      </c>
      <c r="AK174" s="172">
        <f>Tabla1[[#This Row],[Fecha Vigencia]]-AJ174</f>
        <v>-55.5</v>
      </c>
      <c r="AL174" s="23"/>
      <c r="AM174" s="87"/>
      <c r="AN174" s="23"/>
      <c r="AO174" s="29"/>
      <c r="AP174" s="23"/>
      <c r="AQ174" s="23" t="s">
        <v>1067</v>
      </c>
      <c r="AR174" s="23" t="s">
        <v>11</v>
      </c>
      <c r="AS174" s="33">
        <v>0.05</v>
      </c>
      <c r="AT174" s="29">
        <v>45488</v>
      </c>
      <c r="AU174" s="23" t="s">
        <v>459</v>
      </c>
      <c r="AV174" s="23"/>
      <c r="AW174" s="23" t="s">
        <v>1068</v>
      </c>
      <c r="AX174" t="s">
        <v>1069</v>
      </c>
      <c r="AY174" s="23"/>
      <c r="AZ174" s="23"/>
      <c r="BA174" s="23"/>
      <c r="BB174" s="32"/>
      <c r="BC174" s="73"/>
    </row>
    <row r="175" spans="1:55" x14ac:dyDescent="0.25">
      <c r="A175" s="22" t="s">
        <v>1142</v>
      </c>
      <c r="B175" s="23" t="s">
        <v>1143</v>
      </c>
      <c r="C175" s="23" t="s">
        <v>1144</v>
      </c>
      <c r="D175" s="23" t="s">
        <v>1008</v>
      </c>
      <c r="E175" s="24"/>
      <c r="F175" s="25"/>
      <c r="G175" s="23" t="s">
        <v>21</v>
      </c>
      <c r="H175" s="23" t="s">
        <v>106</v>
      </c>
      <c r="I175" s="2">
        <v>44624.860243055555</v>
      </c>
      <c r="J175" s="24">
        <f>MONTH(Tabla1[[#This Row],[Publicación]])</f>
        <v>3</v>
      </c>
      <c r="K175" s="24">
        <f>YEAR(Tabla1[[#This Row],[Publicación]])</f>
        <v>2022</v>
      </c>
      <c r="L175" s="2">
        <v>44635.709722222222</v>
      </c>
      <c r="M175" s="26"/>
      <c r="N175" s="25" t="s">
        <v>10</v>
      </c>
      <c r="O175" s="24" t="s">
        <v>35</v>
      </c>
      <c r="P175" s="24" t="s">
        <v>10</v>
      </c>
      <c r="Q175" s="2">
        <v>44630.709027777775</v>
      </c>
      <c r="R175" s="2">
        <v>44634.709027777775</v>
      </c>
      <c r="S175" s="26">
        <v>44715.673437500001</v>
      </c>
      <c r="T175" s="27">
        <v>0</v>
      </c>
      <c r="U175" s="28">
        <f>Tabla1[[#This Row],[PPTO]]/(1+'Lista Datos'!$B$1)</f>
        <v>0</v>
      </c>
      <c r="V175" s="23"/>
      <c r="W175" s="18" t="s">
        <v>11</v>
      </c>
      <c r="X175" s="102">
        <v>1000000</v>
      </c>
      <c r="Y175" s="26">
        <v>44725</v>
      </c>
      <c r="Z175" s="18" t="s">
        <v>10</v>
      </c>
      <c r="AA175" s="23"/>
      <c r="AB175" s="23"/>
      <c r="AC175" s="23"/>
      <c r="AD175" s="23"/>
      <c r="AE175" s="29">
        <f>Tabla1[[#This Row],[Cierre]]+Tabla1[[#This Row],[Vigencia Oferta (días)]]</f>
        <v>44635.709722222222</v>
      </c>
      <c r="AF175" s="87"/>
      <c r="AG175" s="28"/>
      <c r="AH175" s="164">
        <f>Tabla1[[#This Row],[Unidades2]]*Tabla1[[#This Row],[Precio Unitario]]</f>
        <v>0</v>
      </c>
      <c r="AI175" s="23" t="s">
        <v>44</v>
      </c>
      <c r="AJ175" s="26">
        <v>44684.708333333336</v>
      </c>
      <c r="AK175" s="172">
        <f>Tabla1[[#This Row],[Fecha Vigencia]]-AJ175</f>
        <v>-48.99861111111386</v>
      </c>
      <c r="AL175" s="23" t="s">
        <v>46</v>
      </c>
      <c r="AM175" s="87">
        <v>123829200</v>
      </c>
      <c r="AN175" s="29">
        <v>44626</v>
      </c>
      <c r="AO175" s="29">
        <v>45357</v>
      </c>
      <c r="AP175" s="23" t="s">
        <v>177</v>
      </c>
      <c r="AQ175" s="23" t="s">
        <v>554</v>
      </c>
      <c r="AR175" s="23" t="s">
        <v>11</v>
      </c>
      <c r="AS175" s="33">
        <v>0.05</v>
      </c>
      <c r="AT175" s="29">
        <v>45565</v>
      </c>
      <c r="AU175" s="23"/>
      <c r="AV175" s="23"/>
      <c r="AW175" s="23" t="s">
        <v>555</v>
      </c>
      <c r="AX175" t="s">
        <v>556</v>
      </c>
      <c r="AY175" s="23"/>
      <c r="AZ175" s="23"/>
      <c r="BA175" s="23"/>
      <c r="BB175" s="32"/>
      <c r="BC175" s="73"/>
    </row>
    <row r="176" spans="1:55" x14ac:dyDescent="0.25">
      <c r="A176" s="22" t="s">
        <v>1142</v>
      </c>
      <c r="B176" s="23" t="s">
        <v>1143</v>
      </c>
      <c r="C176" s="23" t="s">
        <v>1144</v>
      </c>
      <c r="D176" s="23" t="s">
        <v>553</v>
      </c>
      <c r="E176" s="24"/>
      <c r="F176" s="25"/>
      <c r="G176" s="23" t="s">
        <v>21</v>
      </c>
      <c r="H176" s="23" t="s">
        <v>106</v>
      </c>
      <c r="I176" s="2">
        <v>44624.860243055555</v>
      </c>
      <c r="J176" s="24">
        <f>MONTH(Tabla1[[#This Row],[Publicación]])</f>
        <v>3</v>
      </c>
      <c r="K176" s="24">
        <f>YEAR(Tabla1[[#This Row],[Publicación]])</f>
        <v>2022</v>
      </c>
      <c r="L176" s="2">
        <v>44635.709722222222</v>
      </c>
      <c r="M176" s="26">
        <v>44641</v>
      </c>
      <c r="N176" s="25" t="s">
        <v>10</v>
      </c>
      <c r="O176" s="24" t="s">
        <v>30</v>
      </c>
      <c r="P176" s="24" t="s">
        <v>10</v>
      </c>
      <c r="Q176" s="2">
        <v>44630.709027777775</v>
      </c>
      <c r="R176" s="2">
        <v>44634.709027777775</v>
      </c>
      <c r="S176" s="26">
        <v>44720.368495370371</v>
      </c>
      <c r="T176" s="27">
        <v>0</v>
      </c>
      <c r="U176" s="28">
        <f>Tabla1[[#This Row],[PPTO]]/(1+'Lista Datos'!$B$1)</f>
        <v>0</v>
      </c>
      <c r="V176" s="23"/>
      <c r="W176" s="18" t="s">
        <v>11</v>
      </c>
      <c r="X176" s="102">
        <v>200000</v>
      </c>
      <c r="Y176" s="18" t="s">
        <v>146</v>
      </c>
      <c r="Z176" s="18" t="s">
        <v>10</v>
      </c>
      <c r="AA176" s="23" t="s">
        <v>177</v>
      </c>
      <c r="AB176" s="23">
        <v>24</v>
      </c>
      <c r="AC176" s="23"/>
      <c r="AD176" s="23"/>
      <c r="AE176" s="29">
        <f>Tabla1[[#This Row],[Cierre]]+Tabla1[[#This Row],[Vigencia Oferta (días)]]</f>
        <v>44635.709722222222</v>
      </c>
      <c r="AF176" s="87">
        <v>21240</v>
      </c>
      <c r="AG176" s="28"/>
      <c r="AH176" s="164">
        <f>Tabla1[[#This Row],[Unidades2]]*Tabla1[[#This Row],[Precio Unitario]]</f>
        <v>0</v>
      </c>
      <c r="AI176" s="23" t="s">
        <v>44</v>
      </c>
      <c r="AJ176" s="26">
        <v>44715.673437500001</v>
      </c>
      <c r="AK176" s="172">
        <f>Tabla1[[#This Row],[Fecha Vigencia]]-AJ176</f>
        <v>-79.963715277779556</v>
      </c>
      <c r="AL176" s="23" t="s">
        <v>46</v>
      </c>
      <c r="AM176" s="87">
        <v>3550</v>
      </c>
      <c r="AN176" s="23"/>
      <c r="AO176" s="29"/>
      <c r="AP176" s="23"/>
      <c r="AQ176" s="23" t="s">
        <v>554</v>
      </c>
      <c r="AR176" s="23" t="s">
        <v>11</v>
      </c>
      <c r="AS176" s="33">
        <v>0.05</v>
      </c>
      <c r="AT176" s="29">
        <v>45565</v>
      </c>
      <c r="AU176" s="23"/>
      <c r="AV176" s="23"/>
      <c r="AW176" s="23" t="s">
        <v>555</v>
      </c>
      <c r="AX176" t="s">
        <v>556</v>
      </c>
      <c r="AY176" s="23"/>
      <c r="AZ176" s="23"/>
      <c r="BA176" s="23"/>
      <c r="BB176" s="32"/>
      <c r="BC176" s="73"/>
    </row>
    <row r="177" spans="1:55" x14ac:dyDescent="0.25">
      <c r="A177" s="22" t="s">
        <v>1145</v>
      </c>
      <c r="B177" s="23" t="s">
        <v>1146</v>
      </c>
      <c r="C177" s="23" t="s">
        <v>1147</v>
      </c>
      <c r="D177" s="23" t="s">
        <v>1148</v>
      </c>
      <c r="E177" s="24"/>
      <c r="F177" s="25"/>
      <c r="G177" s="23" t="s">
        <v>16</v>
      </c>
      <c r="H177" s="23" t="s">
        <v>520</v>
      </c>
      <c r="I177" s="2">
        <v>44624.403240740743</v>
      </c>
      <c r="J177" s="24">
        <f>MONTH(Tabla1[[#This Row],[Publicación]])</f>
        <v>3</v>
      </c>
      <c r="K177" s="24">
        <f>YEAR(Tabla1[[#This Row],[Publicación]])</f>
        <v>2022</v>
      </c>
      <c r="L177" s="2">
        <v>44635.781944444447</v>
      </c>
      <c r="M177" s="26"/>
      <c r="N177" s="25" t="s">
        <v>10</v>
      </c>
      <c r="O177" s="24" t="s">
        <v>33</v>
      </c>
      <c r="P177" s="24" t="s">
        <v>10</v>
      </c>
      <c r="Q177" s="2">
        <v>44627.537499999999</v>
      </c>
      <c r="R177" s="2">
        <v>44628.537499999999</v>
      </c>
      <c r="S177" s="26">
        <v>44643.58148148148</v>
      </c>
      <c r="T177" s="27">
        <v>0</v>
      </c>
      <c r="U177" s="28">
        <f>Tabla1[[#This Row],[PPTO]]/(1+'Lista Datos'!$B$1)</f>
        <v>0</v>
      </c>
      <c r="V177" s="23"/>
      <c r="W177" s="18" t="s">
        <v>10</v>
      </c>
      <c r="X177" s="102"/>
      <c r="Y177" s="18" t="s">
        <v>146</v>
      </c>
      <c r="Z177" s="18" t="s">
        <v>10</v>
      </c>
      <c r="AA177" s="23"/>
      <c r="AB177" s="23"/>
      <c r="AC177" s="23"/>
      <c r="AD177" s="23"/>
      <c r="AE177" s="29">
        <f>Tabla1[[#This Row],[Cierre]]+Tabla1[[#This Row],[Vigencia Oferta (días)]]</f>
        <v>44635.781944444447</v>
      </c>
      <c r="AF177" s="87"/>
      <c r="AG177" s="28"/>
      <c r="AH177" s="164">
        <f>Tabla1[[#This Row],[Unidades2]]*Tabla1[[#This Row],[Precio Unitario]]</f>
        <v>0</v>
      </c>
      <c r="AI177" s="23" t="s">
        <v>320</v>
      </c>
      <c r="AJ177" s="26"/>
      <c r="AK177" s="172">
        <f>Tabla1[[#This Row],[Fecha Vigencia]]-AJ177</f>
        <v>44635.781944444447</v>
      </c>
      <c r="AL177" s="23"/>
      <c r="AM177" s="87"/>
      <c r="AN177" s="23"/>
      <c r="AO177" s="29"/>
      <c r="AP177" s="23"/>
      <c r="AQ177" s="23" t="s">
        <v>1149</v>
      </c>
      <c r="AR177" s="23" t="s">
        <v>10</v>
      </c>
      <c r="AS177" s="23"/>
      <c r="AT177" s="23"/>
      <c r="AU177" s="23"/>
      <c r="AV177" s="23"/>
      <c r="AW177" s="23" t="s">
        <v>1150</v>
      </c>
      <c r="AX177" t="s">
        <v>1151</v>
      </c>
      <c r="AY177" s="23"/>
      <c r="AZ177" s="23"/>
      <c r="BA177" s="23"/>
      <c r="BB177" s="32"/>
      <c r="BC177" s="73"/>
    </row>
    <row r="178" spans="1:55" x14ac:dyDescent="0.25">
      <c r="A178" s="22" t="s">
        <v>1152</v>
      </c>
      <c r="B178" s="23" t="s">
        <v>1153</v>
      </c>
      <c r="C178" s="23" t="s">
        <v>1154</v>
      </c>
      <c r="D178" s="23" t="s">
        <v>1155</v>
      </c>
      <c r="E178" s="24"/>
      <c r="F178" s="25"/>
      <c r="G178" s="23" t="s">
        <v>16</v>
      </c>
      <c r="H178" s="23" t="s">
        <v>145</v>
      </c>
      <c r="I178" s="2">
        <v>44622.458333333336</v>
      </c>
      <c r="J178" s="24">
        <f>MONTH(Tabla1[[#This Row],[Publicación]])</f>
        <v>3</v>
      </c>
      <c r="K178" s="24">
        <f>YEAR(Tabla1[[#This Row],[Publicación]])</f>
        <v>2022</v>
      </c>
      <c r="L178" s="2">
        <v>44636.625</v>
      </c>
      <c r="M178" s="26"/>
      <c r="N178" s="25" t="s">
        <v>10</v>
      </c>
      <c r="O178" s="24" t="s">
        <v>25</v>
      </c>
      <c r="P178" s="24" t="s">
        <v>10</v>
      </c>
      <c r="Q178" s="2">
        <v>44628.667361111111</v>
      </c>
      <c r="R178" s="2">
        <v>44629.667361111111</v>
      </c>
      <c r="S178" s="26">
        <v>44662.627696759257</v>
      </c>
      <c r="T178" s="27">
        <v>0</v>
      </c>
      <c r="U178" s="28">
        <f>Tabla1[[#This Row],[PPTO]]/(1+'Lista Datos'!$B$1)</f>
        <v>0</v>
      </c>
      <c r="V178" s="23"/>
      <c r="W178" s="18" t="s">
        <v>11</v>
      </c>
      <c r="X178" s="102">
        <v>300000</v>
      </c>
      <c r="Y178" s="26">
        <v>44683</v>
      </c>
      <c r="Z178" s="18" t="s">
        <v>11</v>
      </c>
      <c r="AA178" s="23"/>
      <c r="AB178" s="23"/>
      <c r="AC178" s="23"/>
      <c r="AD178" s="23"/>
      <c r="AE178" s="29">
        <f>Tabla1[[#This Row],[Cierre]]+Tabla1[[#This Row],[Vigencia Oferta (días)]]</f>
        <v>44636.625</v>
      </c>
      <c r="AF178" s="87"/>
      <c r="AG178" s="28"/>
      <c r="AH178" s="164">
        <f>Tabla1[[#This Row],[Unidades2]]*Tabla1[[#This Row],[Precio Unitario]]</f>
        <v>0</v>
      </c>
      <c r="AI178" s="23" t="s">
        <v>44</v>
      </c>
      <c r="AJ178" s="26">
        <v>44659.666203703702</v>
      </c>
      <c r="AK178" s="172">
        <f>Tabla1[[#This Row],[Fecha Vigencia]]-AJ178</f>
        <v>-23.041203703702195</v>
      </c>
      <c r="AL178" s="23" t="s">
        <v>45</v>
      </c>
      <c r="AM178" s="87">
        <v>801</v>
      </c>
      <c r="AN178" s="23"/>
      <c r="AO178" s="29"/>
      <c r="AP178" s="23"/>
      <c r="AQ178" s="23" t="s">
        <v>480</v>
      </c>
      <c r="AR178" s="23" t="s">
        <v>11</v>
      </c>
      <c r="AS178" s="33">
        <v>0.08</v>
      </c>
      <c r="AT178" s="29">
        <v>45390</v>
      </c>
      <c r="AU178" s="23"/>
      <c r="AV178" s="23"/>
      <c r="AW178" s="23" t="s">
        <v>481</v>
      </c>
      <c r="AX178" t="s">
        <v>482</v>
      </c>
      <c r="AY178" s="23"/>
      <c r="AZ178" s="23"/>
      <c r="BA178" s="23"/>
      <c r="BB178" s="32"/>
      <c r="BC178" s="73"/>
    </row>
    <row r="179" spans="1:55" x14ac:dyDescent="0.25">
      <c r="A179" s="22" t="s">
        <v>1156</v>
      </c>
      <c r="B179" s="23" t="s">
        <v>1157</v>
      </c>
      <c r="C179" s="23" t="s">
        <v>1158</v>
      </c>
      <c r="D179" s="23" t="s">
        <v>525</v>
      </c>
      <c r="E179" s="24"/>
      <c r="F179" s="25"/>
      <c r="G179" s="23" t="s">
        <v>21</v>
      </c>
      <c r="H179" s="23" t="s">
        <v>106</v>
      </c>
      <c r="I179" s="2">
        <v>44613.685787037037</v>
      </c>
      <c r="J179" s="24">
        <f>MONTH(Tabla1[[#This Row],[Publicación]])</f>
        <v>2</v>
      </c>
      <c r="K179" s="24">
        <f>YEAR(Tabla1[[#This Row],[Publicación]])</f>
        <v>2022</v>
      </c>
      <c r="L179" s="2">
        <v>44636.625</v>
      </c>
      <c r="M179" s="26"/>
      <c r="N179" s="25" t="s">
        <v>11</v>
      </c>
      <c r="O179" s="24"/>
      <c r="P179" s="24" t="s">
        <v>11</v>
      </c>
      <c r="Q179" s="2">
        <v>44615.625</v>
      </c>
      <c r="R179" s="2">
        <v>44616.708333333336</v>
      </c>
      <c r="S179" s="26">
        <v>44697.375</v>
      </c>
      <c r="T179" s="27">
        <v>0</v>
      </c>
      <c r="U179" s="28">
        <f>Tabla1[[#This Row],[PPTO]]/(1+'Lista Datos'!$B$1)</f>
        <v>0</v>
      </c>
      <c r="V179" s="23">
        <v>30</v>
      </c>
      <c r="W179" s="18" t="s">
        <v>11</v>
      </c>
      <c r="X179" s="102">
        <v>300000</v>
      </c>
      <c r="Y179" s="26">
        <v>44704</v>
      </c>
      <c r="Z179" s="18" t="s">
        <v>10</v>
      </c>
      <c r="AA179" s="23" t="s">
        <v>177</v>
      </c>
      <c r="AB179" s="23">
        <v>18</v>
      </c>
      <c r="AC179" s="23" t="s">
        <v>10</v>
      </c>
      <c r="AD179" s="23">
        <v>60</v>
      </c>
      <c r="AE179" s="29">
        <f>Tabla1[[#This Row],[Cierre]]+Tabla1[[#This Row],[Vigencia Oferta (días)]]</f>
        <v>44696.625</v>
      </c>
      <c r="AF179" s="87">
        <v>12</v>
      </c>
      <c r="AG179" s="28">
        <v>35171</v>
      </c>
      <c r="AH179" s="164">
        <f>Tabla1[[#This Row],[Unidades2]]*Tabla1[[#This Row],[Precio Unitario]]</f>
        <v>422052</v>
      </c>
      <c r="AI179" s="23" t="s">
        <v>385</v>
      </c>
      <c r="AJ179" s="26"/>
      <c r="AK179" s="172">
        <f>Tabla1[[#This Row],[Fecha Vigencia]]-AJ179</f>
        <v>44696.625</v>
      </c>
      <c r="AL179" s="23"/>
      <c r="AM179" s="87"/>
      <c r="AN179" s="23"/>
      <c r="AO179" s="29"/>
      <c r="AP179" s="23"/>
      <c r="AQ179" s="23" t="s">
        <v>526</v>
      </c>
      <c r="AR179" s="23" t="s">
        <v>11</v>
      </c>
      <c r="AS179" s="33">
        <v>0.05</v>
      </c>
      <c r="AT179" s="29">
        <v>45352</v>
      </c>
      <c r="AU179" s="23"/>
      <c r="AV179" s="23"/>
      <c r="AW179" s="23" t="s">
        <v>1159</v>
      </c>
      <c r="AX179" t="s">
        <v>1160</v>
      </c>
      <c r="AY179" s="23"/>
      <c r="AZ179" s="23"/>
      <c r="BA179" s="23"/>
      <c r="BB179" s="32"/>
      <c r="BC179" s="73"/>
    </row>
    <row r="180" spans="1:55" x14ac:dyDescent="0.25">
      <c r="A180" s="22" t="s">
        <v>1156</v>
      </c>
      <c r="B180" s="23" t="s">
        <v>1157</v>
      </c>
      <c r="C180" s="23" t="s">
        <v>1158</v>
      </c>
      <c r="D180" s="23" t="s">
        <v>525</v>
      </c>
      <c r="E180" s="24"/>
      <c r="F180" s="25"/>
      <c r="G180" s="23" t="s">
        <v>21</v>
      </c>
      <c r="H180" s="23" t="s">
        <v>106</v>
      </c>
      <c r="I180" s="2">
        <v>44613.685787037037</v>
      </c>
      <c r="J180" s="24">
        <f>MONTH(Tabla1[[#This Row],[Publicación]])</f>
        <v>2</v>
      </c>
      <c r="K180" s="24">
        <f>YEAR(Tabla1[[#This Row],[Publicación]])</f>
        <v>2022</v>
      </c>
      <c r="L180" s="2">
        <v>44636.625</v>
      </c>
      <c r="M180" s="26"/>
      <c r="N180" s="25" t="s">
        <v>11</v>
      </c>
      <c r="O180" s="24"/>
      <c r="P180" s="24" t="s">
        <v>11</v>
      </c>
      <c r="Q180" s="2">
        <v>44615.625</v>
      </c>
      <c r="R180" s="2">
        <v>44616.708333333336</v>
      </c>
      <c r="S180" s="26">
        <v>44697.375</v>
      </c>
      <c r="T180" s="27">
        <v>0</v>
      </c>
      <c r="U180" s="28">
        <f>Tabla1[[#This Row],[PPTO]]/(1+'Lista Datos'!$B$1)</f>
        <v>0</v>
      </c>
      <c r="V180" s="23">
        <v>30</v>
      </c>
      <c r="W180" s="18" t="s">
        <v>11</v>
      </c>
      <c r="X180" s="102">
        <v>300000</v>
      </c>
      <c r="Y180" s="26">
        <v>44704</v>
      </c>
      <c r="Z180" s="18" t="s">
        <v>10</v>
      </c>
      <c r="AA180" s="23" t="s">
        <v>177</v>
      </c>
      <c r="AB180" s="23">
        <v>18</v>
      </c>
      <c r="AC180" s="23" t="s">
        <v>10</v>
      </c>
      <c r="AD180" s="23">
        <v>60</v>
      </c>
      <c r="AE180" s="29">
        <f>Tabla1[[#This Row],[Cierre]]+Tabla1[[#This Row],[Vigencia Oferta (días)]]</f>
        <v>44696.625</v>
      </c>
      <c r="AF180" s="87">
        <v>15</v>
      </c>
      <c r="AG180" s="28">
        <v>35171</v>
      </c>
      <c r="AH180" s="164">
        <f>Tabla1[[#This Row],[Unidades2]]*Tabla1[[#This Row],[Precio Unitario]]</f>
        <v>527565</v>
      </c>
      <c r="AI180" s="23" t="s">
        <v>385</v>
      </c>
      <c r="AJ180" s="26"/>
      <c r="AK180" s="172">
        <f>Tabla1[[#This Row],[Fecha Vigencia]]-AJ180</f>
        <v>44696.625</v>
      </c>
      <c r="AL180" s="23"/>
      <c r="AM180" s="87"/>
      <c r="AN180" s="23"/>
      <c r="AO180" s="29"/>
      <c r="AP180" s="23"/>
      <c r="AQ180" s="23" t="s">
        <v>526</v>
      </c>
      <c r="AR180" s="23" t="s">
        <v>11</v>
      </c>
      <c r="AS180" s="33">
        <v>0.05</v>
      </c>
      <c r="AT180" s="29">
        <v>45352</v>
      </c>
      <c r="AU180" s="23"/>
      <c r="AV180" s="23"/>
      <c r="AW180" s="23" t="s">
        <v>1159</v>
      </c>
      <c r="AX180" t="s">
        <v>1160</v>
      </c>
      <c r="AY180" s="23"/>
      <c r="AZ180" s="23"/>
      <c r="BA180" s="23"/>
      <c r="BB180" s="32"/>
      <c r="BC180" s="73"/>
    </row>
    <row r="181" spans="1:55" x14ac:dyDescent="0.25">
      <c r="A181" s="22" t="s">
        <v>1161</v>
      </c>
      <c r="B181" s="23" t="s">
        <v>1162</v>
      </c>
      <c r="C181" s="23" t="s">
        <v>1163</v>
      </c>
      <c r="D181" s="23" t="s">
        <v>1164</v>
      </c>
      <c r="E181" s="46"/>
      <c r="F181" s="47"/>
      <c r="G181" s="23" t="s">
        <v>16</v>
      </c>
      <c r="H181" s="23" t="s">
        <v>520</v>
      </c>
      <c r="I181" s="2">
        <v>44613.467731481483</v>
      </c>
      <c r="J181" s="24">
        <f>MONTH(Tabla1[[#This Row],[Publicación]])</f>
        <v>2</v>
      </c>
      <c r="K181" s="24">
        <f>YEAR(Tabla1[[#This Row],[Publicación]])</f>
        <v>2022</v>
      </c>
      <c r="L181" s="5">
        <v>44636.645833333336</v>
      </c>
      <c r="M181" s="26">
        <v>44624</v>
      </c>
      <c r="N181" s="25" t="s">
        <v>10</v>
      </c>
      <c r="O181" s="24" t="s">
        <v>25</v>
      </c>
      <c r="P181" s="24" t="s">
        <v>10</v>
      </c>
      <c r="Q181" s="2">
        <v>44618.576388888891</v>
      </c>
      <c r="R181" s="2">
        <v>44620.576388888891</v>
      </c>
      <c r="S181" s="26">
        <v>44649.428032407406</v>
      </c>
      <c r="T181" s="27">
        <v>0</v>
      </c>
      <c r="U181" s="28">
        <f>Tabla1[[#This Row],[PPTO]]/(1+'Lista Datos'!$B$1)</f>
        <v>0</v>
      </c>
      <c r="V181" s="23"/>
      <c r="W181" s="18" t="s">
        <v>10</v>
      </c>
      <c r="X181" s="102"/>
      <c r="Y181" s="18" t="s">
        <v>146</v>
      </c>
      <c r="Z181" s="18" t="s">
        <v>10</v>
      </c>
      <c r="AA181" s="23"/>
      <c r="AB181" s="23"/>
      <c r="AC181" s="23"/>
      <c r="AD181" s="23"/>
      <c r="AE181" s="29">
        <f>Tabla1[[#This Row],[Cierre]]+Tabla1[[#This Row],[Vigencia Oferta (días)]]</f>
        <v>44636.645833333336</v>
      </c>
      <c r="AF181" s="87"/>
      <c r="AG181" s="28"/>
      <c r="AH181" s="164">
        <f>Tabla1[[#This Row],[Unidades2]]*Tabla1[[#This Row],[Precio Unitario]]</f>
        <v>0</v>
      </c>
      <c r="AI181" s="23" t="s">
        <v>44</v>
      </c>
      <c r="AJ181" s="26">
        <v>44644.646527777775</v>
      </c>
      <c r="AK181" s="172">
        <f>Tabla1[[#This Row],[Fecha Vigencia]]-AJ181</f>
        <v>-8.0006944444394321</v>
      </c>
      <c r="AL181" s="23" t="s">
        <v>46</v>
      </c>
      <c r="AM181" s="87">
        <v>7000000</v>
      </c>
      <c r="AN181" s="23" t="s">
        <v>1165</v>
      </c>
      <c r="AO181" s="29" t="s">
        <v>1166</v>
      </c>
      <c r="AP181" s="23"/>
      <c r="AQ181" s="23" t="s">
        <v>1167</v>
      </c>
      <c r="AR181" s="23" t="s">
        <v>10</v>
      </c>
      <c r="AS181" s="23"/>
      <c r="AT181" s="23"/>
      <c r="AU181" s="23"/>
      <c r="AV181" s="23"/>
      <c r="AW181" s="23" t="s">
        <v>1168</v>
      </c>
      <c r="AX181" t="s">
        <v>1169</v>
      </c>
      <c r="AY181" s="23"/>
      <c r="AZ181" s="23"/>
      <c r="BA181" s="23"/>
      <c r="BB181" s="32"/>
      <c r="BC181" s="73"/>
    </row>
    <row r="182" spans="1:55" x14ac:dyDescent="0.25">
      <c r="A182" s="22" t="s">
        <v>1170</v>
      </c>
      <c r="B182" s="45" t="s">
        <v>1171</v>
      </c>
      <c r="C182" s="23" t="s">
        <v>1172</v>
      </c>
      <c r="D182" s="23" t="s">
        <v>212</v>
      </c>
      <c r="E182" s="24"/>
      <c r="F182" s="25"/>
      <c r="G182" s="23" t="s">
        <v>21</v>
      </c>
      <c r="H182" s="23" t="s">
        <v>106</v>
      </c>
      <c r="I182" s="2">
        <v>44631.406354166669</v>
      </c>
      <c r="J182" s="24">
        <f>MONTH(Tabla1[[#This Row],[Publicación]])</f>
        <v>3</v>
      </c>
      <c r="K182" s="24">
        <f>YEAR(Tabla1[[#This Row],[Publicación]])</f>
        <v>2022</v>
      </c>
      <c r="L182" s="2">
        <v>44637.375</v>
      </c>
      <c r="M182" s="26">
        <v>44641</v>
      </c>
      <c r="N182" s="25" t="s">
        <v>11</v>
      </c>
      <c r="O182" s="24"/>
      <c r="P182" s="24" t="s">
        <v>11</v>
      </c>
      <c r="Q182" s="2">
        <v>44634.375</v>
      </c>
      <c r="R182" s="2">
        <v>44635.75</v>
      </c>
      <c r="S182" s="26">
        <v>44655</v>
      </c>
      <c r="T182" s="28">
        <v>3117000</v>
      </c>
      <c r="U182" s="28">
        <f>Tabla1[[#This Row],[PPTO]]/(1+'Lista Datos'!$B$1)</f>
        <v>2619327.7310924372</v>
      </c>
      <c r="V182" s="23">
        <v>30</v>
      </c>
      <c r="W182" s="18" t="s">
        <v>10</v>
      </c>
      <c r="X182" s="102"/>
      <c r="Y182" s="18" t="s">
        <v>146</v>
      </c>
      <c r="Z182" s="18" t="s">
        <v>10</v>
      </c>
      <c r="AA182" s="23" t="s">
        <v>512</v>
      </c>
      <c r="AB182" s="23"/>
      <c r="AC182" s="23" t="s">
        <v>10</v>
      </c>
      <c r="AD182" s="23">
        <v>30</v>
      </c>
      <c r="AE182" s="29">
        <f>Tabla1[[#This Row],[Cierre]]+Tabla1[[#This Row],[Vigencia Oferta (días)]]</f>
        <v>44667.375</v>
      </c>
      <c r="AF182" s="87">
        <v>3</v>
      </c>
      <c r="AG182" s="28">
        <v>26563</v>
      </c>
      <c r="AH182" s="164">
        <f>Tabla1[[#This Row],[Unidades2]]*Tabla1[[#This Row],[Precio Unitario]]</f>
        <v>79689</v>
      </c>
      <c r="AI182" s="23" t="s">
        <v>320</v>
      </c>
      <c r="AJ182" s="26">
        <v>44655</v>
      </c>
      <c r="AK182" s="172">
        <f>Tabla1[[#This Row],[Fecha Vigencia]]-AJ182</f>
        <v>12.375</v>
      </c>
      <c r="AL182" s="23"/>
      <c r="AM182" s="87"/>
      <c r="AN182" s="23"/>
      <c r="AO182" s="29"/>
      <c r="AP182" s="23"/>
      <c r="AQ182" s="23" t="s">
        <v>214</v>
      </c>
      <c r="AR182" s="23" t="s">
        <v>10</v>
      </c>
      <c r="AS182" s="23"/>
      <c r="AT182" s="23"/>
      <c r="AU182" s="23"/>
      <c r="AV182" s="23"/>
      <c r="AW182" s="23" t="s">
        <v>1173</v>
      </c>
      <c r="AX182" t="s">
        <v>1174</v>
      </c>
      <c r="AY182" s="23"/>
      <c r="AZ182" s="23"/>
      <c r="BA182" s="23"/>
      <c r="BB182" s="32"/>
      <c r="BC182" s="73"/>
    </row>
    <row r="183" spans="1:55" x14ac:dyDescent="0.25">
      <c r="A183" s="22" t="s">
        <v>1175</v>
      </c>
      <c r="B183" s="23" t="s">
        <v>1176</v>
      </c>
      <c r="C183" s="23" t="s">
        <v>1177</v>
      </c>
      <c r="D183" s="23" t="s">
        <v>1178</v>
      </c>
      <c r="E183" s="24"/>
      <c r="F183" s="25"/>
      <c r="G183" s="23" t="s">
        <v>16</v>
      </c>
      <c r="H183" s="23" t="s">
        <v>520</v>
      </c>
      <c r="I183" s="2">
        <v>44624.546990740739</v>
      </c>
      <c r="J183" s="24">
        <f>MONTH(Tabla1[[#This Row],[Publicación]])</f>
        <v>3</v>
      </c>
      <c r="K183" s="24">
        <f>YEAR(Tabla1[[#This Row],[Publicación]])</f>
        <v>2022</v>
      </c>
      <c r="L183" s="2">
        <v>44637.666666666664</v>
      </c>
      <c r="M183" s="26"/>
      <c r="N183" s="25" t="s">
        <v>10</v>
      </c>
      <c r="O183" s="24" t="s">
        <v>34</v>
      </c>
      <c r="P183" s="24" t="s">
        <v>10</v>
      </c>
      <c r="Q183" s="2">
        <v>44631.708333333336</v>
      </c>
      <c r="R183" s="2">
        <v>44635.708333333336</v>
      </c>
      <c r="S183" s="26">
        <v>44748.691006944442</v>
      </c>
      <c r="T183" s="27">
        <v>0</v>
      </c>
      <c r="U183" s="28">
        <f>Tabla1[[#This Row],[PPTO]]/(1+'Lista Datos'!$B$1)</f>
        <v>0</v>
      </c>
      <c r="V183" s="23"/>
      <c r="W183" s="18" t="s">
        <v>10</v>
      </c>
      <c r="X183" s="102"/>
      <c r="Y183" s="18" t="s">
        <v>146</v>
      </c>
      <c r="Z183" s="18" t="s">
        <v>10</v>
      </c>
      <c r="AA183" s="23"/>
      <c r="AB183" s="23"/>
      <c r="AC183" s="23"/>
      <c r="AD183" s="23"/>
      <c r="AE183" s="29">
        <f>Tabla1[[#This Row],[Cierre]]+Tabla1[[#This Row],[Vigencia Oferta (días)]]</f>
        <v>44637.666666666664</v>
      </c>
      <c r="AF183" s="87"/>
      <c r="AG183" s="28"/>
      <c r="AH183" s="164">
        <f>Tabla1[[#This Row],[Unidades2]]*Tabla1[[#This Row],[Precio Unitario]]</f>
        <v>0</v>
      </c>
      <c r="AI183" s="23" t="s">
        <v>44</v>
      </c>
      <c r="AJ183" s="26">
        <v>44748.64638888889</v>
      </c>
      <c r="AK183" s="172">
        <f>Tabla1[[#This Row],[Fecha Vigencia]]-AJ183</f>
        <v>-110.97972222222597</v>
      </c>
      <c r="AL183" s="23" t="s">
        <v>46</v>
      </c>
      <c r="AM183" s="87">
        <v>2500</v>
      </c>
      <c r="AN183" s="23"/>
      <c r="AO183" s="29"/>
      <c r="AP183" s="23"/>
      <c r="AQ183" s="23" t="s">
        <v>192</v>
      </c>
      <c r="AR183" s="23" t="s">
        <v>11</v>
      </c>
      <c r="AS183" s="33">
        <v>0.1</v>
      </c>
      <c r="AT183" s="29">
        <v>45583</v>
      </c>
      <c r="AU183" s="23"/>
      <c r="AV183" s="23"/>
      <c r="AW183" s="23" t="s">
        <v>1179</v>
      </c>
      <c r="AX183" t="s">
        <v>194</v>
      </c>
      <c r="AY183" s="23"/>
      <c r="AZ183" s="23"/>
      <c r="BA183" s="23"/>
      <c r="BB183" s="32"/>
      <c r="BC183" s="73"/>
    </row>
    <row r="184" spans="1:55" x14ac:dyDescent="0.25">
      <c r="A184" s="22" t="s">
        <v>1180</v>
      </c>
      <c r="B184" s="23" t="s">
        <v>1181</v>
      </c>
      <c r="C184" s="23" t="s">
        <v>1182</v>
      </c>
      <c r="D184" s="23" t="s">
        <v>1183</v>
      </c>
      <c r="E184" s="46"/>
      <c r="F184" s="47"/>
      <c r="G184" s="23" t="s">
        <v>21</v>
      </c>
      <c r="H184" s="23" t="s">
        <v>106</v>
      </c>
      <c r="I184" s="2">
        <v>44606.728460648148</v>
      </c>
      <c r="J184" s="24">
        <f>MONTH(Tabla1[[#This Row],[Publicación]])</f>
        <v>2</v>
      </c>
      <c r="K184" s="24">
        <f>YEAR(Tabla1[[#This Row],[Publicación]])</f>
        <v>2022</v>
      </c>
      <c r="L184" s="5">
        <v>44637.666666666664</v>
      </c>
      <c r="M184" s="26"/>
      <c r="N184" s="25" t="s">
        <v>10</v>
      </c>
      <c r="O184" s="24" t="s">
        <v>35</v>
      </c>
      <c r="P184" s="24" t="s">
        <v>10</v>
      </c>
      <c r="Q184" s="2">
        <v>44616.625</v>
      </c>
      <c r="R184" s="2">
        <v>44623.666666666664</v>
      </c>
      <c r="S184" s="26">
        <v>44816.708333333336</v>
      </c>
      <c r="T184" s="27">
        <v>0</v>
      </c>
      <c r="U184" s="28">
        <f>Tabla1[[#This Row],[PPTO]]/(1+'Lista Datos'!$B$1)</f>
        <v>0</v>
      </c>
      <c r="V184" s="23">
        <v>30</v>
      </c>
      <c r="W184" s="18" t="s">
        <v>11</v>
      </c>
      <c r="X184" s="102">
        <v>200000</v>
      </c>
      <c r="Y184" s="26">
        <v>44821</v>
      </c>
      <c r="Z184" s="18" t="s">
        <v>10</v>
      </c>
      <c r="AA184" s="23" t="s">
        <v>177</v>
      </c>
      <c r="AB184" s="23">
        <v>24</v>
      </c>
      <c r="AC184" s="23"/>
      <c r="AD184" s="23">
        <v>180</v>
      </c>
      <c r="AE184" s="29">
        <f>Tabla1[[#This Row],[Cierre]]+Tabla1[[#This Row],[Vigencia Oferta (días)]]</f>
        <v>44817.666666666664</v>
      </c>
      <c r="AF184" s="87"/>
      <c r="AG184" s="28"/>
      <c r="AH184" s="164">
        <f>Tabla1[[#This Row],[Unidades2]]*Tabla1[[#This Row],[Precio Unitario]]</f>
        <v>0</v>
      </c>
      <c r="AI184" s="23" t="s">
        <v>44</v>
      </c>
      <c r="AJ184" s="26">
        <v>44930</v>
      </c>
      <c r="AK184" s="172">
        <f>Tabla1[[#This Row],[Fecha Vigencia]]-AJ184</f>
        <v>-112.33333333333576</v>
      </c>
      <c r="AL184" s="23" t="s">
        <v>46</v>
      </c>
      <c r="AM184" s="87">
        <v>4268</v>
      </c>
      <c r="AN184" s="29">
        <v>44930</v>
      </c>
      <c r="AO184" s="29">
        <v>45661</v>
      </c>
      <c r="AP184" s="23" t="s">
        <v>177</v>
      </c>
      <c r="AQ184" s="23" t="s">
        <v>1184</v>
      </c>
      <c r="AR184" s="23" t="s">
        <v>11</v>
      </c>
      <c r="AS184" s="33">
        <v>0.05</v>
      </c>
      <c r="AT184" s="29">
        <v>45610</v>
      </c>
      <c r="AU184" s="48"/>
      <c r="AV184" s="48"/>
      <c r="AW184" s="23" t="s">
        <v>1185</v>
      </c>
      <c r="AX184" t="s">
        <v>1186</v>
      </c>
      <c r="AY184" s="23"/>
      <c r="AZ184" s="23"/>
      <c r="BA184" s="23"/>
      <c r="BB184" s="32"/>
      <c r="BC184" s="73"/>
    </row>
    <row r="185" spans="1:55" x14ac:dyDescent="0.25">
      <c r="A185" s="22" t="s">
        <v>1187</v>
      </c>
      <c r="B185" s="23" t="s">
        <v>1188</v>
      </c>
      <c r="C185" s="23" t="s">
        <v>1189</v>
      </c>
      <c r="D185" s="23" t="s">
        <v>1190</v>
      </c>
      <c r="E185" s="24"/>
      <c r="F185" s="25"/>
      <c r="G185" s="23" t="s">
        <v>21</v>
      </c>
      <c r="H185" s="23" t="s">
        <v>106</v>
      </c>
      <c r="I185" s="2">
        <v>44627.424537037034</v>
      </c>
      <c r="J185" s="24">
        <f>MONTH(Tabla1[[#This Row],[Publicación]])</f>
        <v>3</v>
      </c>
      <c r="K185" s="24">
        <f>YEAR(Tabla1[[#This Row],[Publicación]])</f>
        <v>2022</v>
      </c>
      <c r="L185" s="2">
        <v>44637.831250000003</v>
      </c>
      <c r="M185" s="26"/>
      <c r="N185" s="25" t="s">
        <v>11</v>
      </c>
      <c r="O185" s="24"/>
      <c r="P185" s="24" t="s">
        <v>11</v>
      </c>
      <c r="Q185" s="2">
        <v>44630.65902777778</v>
      </c>
      <c r="R185" s="2">
        <v>44631.65902777778</v>
      </c>
      <c r="S185" s="26">
        <v>44732.624768518515</v>
      </c>
      <c r="T185" s="27">
        <v>0</v>
      </c>
      <c r="U185" s="28">
        <f>Tabla1[[#This Row],[PPTO]]/(1+'Lista Datos'!$B$1)</f>
        <v>0</v>
      </c>
      <c r="V185" s="23"/>
      <c r="W185" s="18" t="s">
        <v>10</v>
      </c>
      <c r="X185" s="102"/>
      <c r="Y185" s="18" t="s">
        <v>146</v>
      </c>
      <c r="Z185" s="18" t="s">
        <v>10</v>
      </c>
      <c r="AA185" s="23"/>
      <c r="AB185" s="23"/>
      <c r="AC185" s="23" t="s">
        <v>10</v>
      </c>
      <c r="AD185" s="23"/>
      <c r="AE185" s="29">
        <f>Tabla1[[#This Row],[Cierre]]+Tabla1[[#This Row],[Vigencia Oferta (días)]]</f>
        <v>44637.831250000003</v>
      </c>
      <c r="AF185" s="87"/>
      <c r="AG185" s="28"/>
      <c r="AH185" s="164">
        <f>Tabla1[[#This Row],[Unidades2]]*Tabla1[[#This Row],[Precio Unitario]]</f>
        <v>0</v>
      </c>
      <c r="AI185" s="23" t="s">
        <v>44</v>
      </c>
      <c r="AJ185" s="26">
        <v>44732.622083333335</v>
      </c>
      <c r="AK185" s="172">
        <f>Tabla1[[#This Row],[Fecha Vigencia]]-AJ185</f>
        <v>-94.790833333332557</v>
      </c>
      <c r="AL185" s="23" t="s">
        <v>46</v>
      </c>
      <c r="AM185" s="87">
        <v>15500</v>
      </c>
      <c r="AN185" s="23"/>
      <c r="AO185" s="29"/>
      <c r="AP185" s="23"/>
      <c r="AQ185" s="23" t="s">
        <v>1191</v>
      </c>
      <c r="AR185" s="23" t="s">
        <v>10</v>
      </c>
      <c r="AS185" s="23"/>
      <c r="AT185" s="23"/>
      <c r="AU185" s="23"/>
      <c r="AV185" s="23"/>
      <c r="AW185" s="23" t="s">
        <v>1192</v>
      </c>
      <c r="AX185" t="s">
        <v>1193</v>
      </c>
      <c r="AY185" s="23"/>
      <c r="AZ185" s="23"/>
      <c r="BA185" s="23"/>
      <c r="BB185" s="32"/>
      <c r="BC185" s="73"/>
    </row>
    <row r="186" spans="1:55" x14ac:dyDescent="0.25">
      <c r="A186" s="22" t="s">
        <v>1187</v>
      </c>
      <c r="B186" s="23" t="s">
        <v>1188</v>
      </c>
      <c r="C186" s="23" t="s">
        <v>1189</v>
      </c>
      <c r="D186" s="23" t="s">
        <v>1190</v>
      </c>
      <c r="E186" s="24"/>
      <c r="F186" s="25"/>
      <c r="G186" s="23" t="s">
        <v>21</v>
      </c>
      <c r="H186" s="23" t="s">
        <v>106</v>
      </c>
      <c r="I186" s="2">
        <v>44627.424537037034</v>
      </c>
      <c r="J186" s="24">
        <f>MONTH(Tabla1[[#This Row],[Publicación]])</f>
        <v>3</v>
      </c>
      <c r="K186" s="24">
        <f>YEAR(Tabla1[[#This Row],[Publicación]])</f>
        <v>2022</v>
      </c>
      <c r="L186" s="2">
        <v>44637.831250000003</v>
      </c>
      <c r="M186" s="26"/>
      <c r="N186" s="25" t="s">
        <v>11</v>
      </c>
      <c r="O186" s="24"/>
      <c r="P186" s="24" t="s">
        <v>11</v>
      </c>
      <c r="Q186" s="2">
        <v>44630.65902777778</v>
      </c>
      <c r="R186" s="2">
        <v>44631.65902777778</v>
      </c>
      <c r="S186" s="26">
        <v>44732.624768518515</v>
      </c>
      <c r="T186" s="28">
        <v>20000000</v>
      </c>
      <c r="U186" s="28">
        <f>Tabla1[[#This Row],[PPTO]]/(1+'Lista Datos'!$B$1)</f>
        <v>16806722.68907563</v>
      </c>
      <c r="V186" s="23">
        <v>30</v>
      </c>
      <c r="W186" s="18" t="s">
        <v>10</v>
      </c>
      <c r="X186" s="102"/>
      <c r="Y186" s="18" t="s">
        <v>146</v>
      </c>
      <c r="Z186" s="18" t="s">
        <v>10</v>
      </c>
      <c r="AA186" s="23" t="s">
        <v>177</v>
      </c>
      <c r="AB186" s="23">
        <v>9</v>
      </c>
      <c r="AC186" s="23" t="s">
        <v>10</v>
      </c>
      <c r="AD186" s="23"/>
      <c r="AE186" s="29">
        <f>Tabla1[[#This Row],[Cierre]]+Tabla1[[#This Row],[Vigencia Oferta (días)]]</f>
        <v>44637.831250000003</v>
      </c>
      <c r="AF186" s="87"/>
      <c r="AG186" s="28"/>
      <c r="AH186" s="164">
        <f>Tabla1[[#This Row],[Unidades2]]*Tabla1[[#This Row],[Precio Unitario]]</f>
        <v>0</v>
      </c>
      <c r="AI186" s="23" t="s">
        <v>44</v>
      </c>
      <c r="AJ186" s="26">
        <v>44732.622083333335</v>
      </c>
      <c r="AK186" s="172">
        <f>Tabla1[[#This Row],[Fecha Vigencia]]-AJ186</f>
        <v>-94.790833333332557</v>
      </c>
      <c r="AL186" s="23" t="s">
        <v>46</v>
      </c>
      <c r="AM186" s="87">
        <v>15500</v>
      </c>
      <c r="AN186" s="23"/>
      <c r="AO186" s="29"/>
      <c r="AP186" s="23"/>
      <c r="AQ186" s="23" t="s">
        <v>1191</v>
      </c>
      <c r="AR186" s="23" t="s">
        <v>10</v>
      </c>
      <c r="AS186" s="23"/>
      <c r="AT186" s="23"/>
      <c r="AU186" s="23"/>
      <c r="AV186" s="23"/>
      <c r="AW186" s="23" t="s">
        <v>1192</v>
      </c>
      <c r="AX186" t="s">
        <v>1193</v>
      </c>
      <c r="AY186" s="23"/>
      <c r="AZ186" s="23"/>
      <c r="BA186" s="23"/>
      <c r="BB186" s="32"/>
      <c r="BC186" s="73"/>
    </row>
    <row r="187" spans="1:55" x14ac:dyDescent="0.25">
      <c r="A187" s="22" t="s">
        <v>1194</v>
      </c>
      <c r="B187" s="23" t="s">
        <v>1195</v>
      </c>
      <c r="C187" s="23" t="s">
        <v>1196</v>
      </c>
      <c r="D187" s="23" t="s">
        <v>1197</v>
      </c>
      <c r="E187" s="24"/>
      <c r="F187" s="25"/>
      <c r="G187" s="23" t="s">
        <v>21</v>
      </c>
      <c r="H187" s="23" t="s">
        <v>106</v>
      </c>
      <c r="I187" s="2">
        <v>44629.418055555558</v>
      </c>
      <c r="J187" s="24">
        <f>MONTH(Tabla1[[#This Row],[Publicación]])</f>
        <v>3</v>
      </c>
      <c r="K187" s="24">
        <f>YEAR(Tabla1[[#This Row],[Publicación]])</f>
        <v>2022</v>
      </c>
      <c r="L187" s="2">
        <v>44638.645833333336</v>
      </c>
      <c r="M187" s="26">
        <v>44641</v>
      </c>
      <c r="N187" s="25" t="s">
        <v>10</v>
      </c>
      <c r="O187" s="24" t="s">
        <v>35</v>
      </c>
      <c r="P187" s="24" t="s">
        <v>10</v>
      </c>
      <c r="Q187" s="2">
        <v>44631.788194444445</v>
      </c>
      <c r="R187" s="2">
        <v>44634.788194444445</v>
      </c>
      <c r="S187" s="26">
        <v>44677.666087962964</v>
      </c>
      <c r="T187" s="28">
        <v>20000000</v>
      </c>
      <c r="U187" s="28">
        <f>Tabla1[[#This Row],[PPTO]]/(1+'Lista Datos'!$B$1)</f>
        <v>16806722.68907563</v>
      </c>
      <c r="V187" s="23"/>
      <c r="W187" s="18" t="s">
        <v>10</v>
      </c>
      <c r="X187" s="102"/>
      <c r="Y187" s="18" t="s">
        <v>146</v>
      </c>
      <c r="Z187" s="18" t="s">
        <v>10</v>
      </c>
      <c r="AA187" s="23"/>
      <c r="AB187" s="23"/>
      <c r="AC187" s="23"/>
      <c r="AD187" s="23"/>
      <c r="AE187" s="29">
        <f>Tabla1[[#This Row],[Cierre]]+Tabla1[[#This Row],[Vigencia Oferta (días)]]</f>
        <v>44638.645833333336</v>
      </c>
      <c r="AF187" s="87">
        <v>800</v>
      </c>
      <c r="AG187" s="28"/>
      <c r="AH187" s="164">
        <f>Tabla1[[#This Row],[Unidades2]]*Tabla1[[#This Row],[Precio Unitario]]</f>
        <v>0</v>
      </c>
      <c r="AI187" s="23" t="s">
        <v>44</v>
      </c>
      <c r="AJ187" s="26">
        <v>44677.619247685187</v>
      </c>
      <c r="AK187" s="172">
        <f>Tabla1[[#This Row],[Fecha Vigencia]]-AJ187</f>
        <v>-38.973414351850806</v>
      </c>
      <c r="AL187" s="23" t="s">
        <v>46</v>
      </c>
      <c r="AM187" s="87">
        <v>2500</v>
      </c>
      <c r="AN187" s="23"/>
      <c r="AO187" s="29"/>
      <c r="AP187" s="23"/>
      <c r="AQ187" s="23" t="s">
        <v>1198</v>
      </c>
      <c r="AR187" s="23" t="s">
        <v>10</v>
      </c>
      <c r="AS187" s="23"/>
      <c r="AT187" s="23"/>
      <c r="AU187" s="23"/>
      <c r="AV187" s="23"/>
      <c r="AW187" s="23" t="s">
        <v>1199</v>
      </c>
      <c r="AX187" t="s">
        <v>1200</v>
      </c>
      <c r="AY187" s="23"/>
      <c r="AZ187" s="23"/>
      <c r="BA187" s="23"/>
      <c r="BB187" s="32"/>
      <c r="BC187" s="73"/>
    </row>
    <row r="188" spans="1:55" x14ac:dyDescent="0.25">
      <c r="A188" s="22" t="s">
        <v>1201</v>
      </c>
      <c r="B188" s="23" t="s">
        <v>1202</v>
      </c>
      <c r="C188" s="23" t="s">
        <v>1203</v>
      </c>
      <c r="D188" s="34" t="s">
        <v>1204</v>
      </c>
      <c r="E188" s="24"/>
      <c r="F188" s="25"/>
      <c r="G188" s="23" t="s">
        <v>16</v>
      </c>
      <c r="H188" s="23" t="s">
        <v>520</v>
      </c>
      <c r="I188" s="2">
        <v>44615.504166666666</v>
      </c>
      <c r="J188" s="24">
        <f>MONTH(Tabla1[[#This Row],[Publicación]])</f>
        <v>2</v>
      </c>
      <c r="K188" s="24">
        <f>YEAR(Tabla1[[#This Row],[Publicación]])</f>
        <v>2022</v>
      </c>
      <c r="L188" s="2">
        <v>44638.645833333336</v>
      </c>
      <c r="M188" s="26">
        <v>44627</v>
      </c>
      <c r="N188" s="25" t="s">
        <v>10</v>
      </c>
      <c r="O188" s="24" t="s">
        <v>33</v>
      </c>
      <c r="P188" s="24" t="s">
        <v>10</v>
      </c>
      <c r="Q188" s="2">
        <v>44618.520833333336</v>
      </c>
      <c r="R188" s="2">
        <v>44627.833333333336</v>
      </c>
      <c r="S188" s="26">
        <v>44760.754178240742</v>
      </c>
      <c r="T188" s="27">
        <v>0</v>
      </c>
      <c r="U188" s="28">
        <f>Tabla1[[#This Row],[PPTO]]/(1+'Lista Datos'!$B$1)</f>
        <v>0</v>
      </c>
      <c r="V188" s="23"/>
      <c r="W188" s="18" t="s">
        <v>11</v>
      </c>
      <c r="X188" s="102">
        <v>6000000</v>
      </c>
      <c r="Y188" s="26">
        <v>44756</v>
      </c>
      <c r="Z188" s="18" t="s">
        <v>10</v>
      </c>
      <c r="AA188" s="23"/>
      <c r="AB188" s="23"/>
      <c r="AC188" s="23"/>
      <c r="AD188" s="23"/>
      <c r="AE188" s="29">
        <f>Tabla1[[#This Row],[Cierre]]+Tabla1[[#This Row],[Vigencia Oferta (días)]]</f>
        <v>44638.645833333336</v>
      </c>
      <c r="AF188" s="87"/>
      <c r="AG188" s="28"/>
      <c r="AH188" s="164">
        <f>Tabla1[[#This Row],[Unidades2]]*Tabla1[[#This Row],[Precio Unitario]]</f>
        <v>0</v>
      </c>
      <c r="AI188" s="23" t="s">
        <v>44</v>
      </c>
      <c r="AJ188" s="26">
        <v>44760</v>
      </c>
      <c r="AK188" s="172">
        <f>Tabla1[[#This Row],[Fecha Vigencia]]-AJ188</f>
        <v>-121.35416666666424</v>
      </c>
      <c r="AL188" s="23" t="s">
        <v>45</v>
      </c>
      <c r="AM188" s="87">
        <v>53884800</v>
      </c>
      <c r="AN188" s="23"/>
      <c r="AO188" s="29"/>
      <c r="AP188" s="23"/>
      <c r="AQ188" s="34" t="s">
        <v>1205</v>
      </c>
      <c r="AR188" s="23" t="s">
        <v>11</v>
      </c>
      <c r="AS188" s="33">
        <v>0.1</v>
      </c>
      <c r="AT188" s="29">
        <v>45548</v>
      </c>
      <c r="AU188" s="23"/>
      <c r="AV188" s="23"/>
      <c r="AW188" s="23" t="s">
        <v>1206</v>
      </c>
      <c r="AX188" t="s">
        <v>1207</v>
      </c>
      <c r="AY188" s="23"/>
      <c r="AZ188" s="23"/>
      <c r="BA188" s="23"/>
      <c r="BB188" s="32"/>
      <c r="BC188" s="73"/>
    </row>
    <row r="189" spans="1:55" x14ac:dyDescent="0.25">
      <c r="A189" s="22" t="s">
        <v>1208</v>
      </c>
      <c r="B189" s="23" t="s">
        <v>1209</v>
      </c>
      <c r="C189" s="23" t="s">
        <v>1210</v>
      </c>
      <c r="D189" s="23" t="s">
        <v>471</v>
      </c>
      <c r="E189" s="24"/>
      <c r="F189" s="25"/>
      <c r="G189" s="23" t="s">
        <v>21</v>
      </c>
      <c r="H189" s="23" t="s">
        <v>106</v>
      </c>
      <c r="I189" s="2">
        <v>44634.654907407406</v>
      </c>
      <c r="J189" s="24">
        <f>MONTH(Tabla1[[#This Row],[Publicación]])</f>
        <v>3</v>
      </c>
      <c r="K189" s="24">
        <f>YEAR(Tabla1[[#This Row],[Publicación]])</f>
        <v>2022</v>
      </c>
      <c r="L189" s="2">
        <v>44641.666666666664</v>
      </c>
      <c r="M189" s="26"/>
      <c r="N189" s="25" t="s">
        <v>11</v>
      </c>
      <c r="O189" s="24"/>
      <c r="P189" s="24" t="s">
        <v>11</v>
      </c>
      <c r="Q189" s="2">
        <v>44635.677083333336</v>
      </c>
      <c r="R189" s="2">
        <v>44636.958333333336</v>
      </c>
      <c r="S189" s="26">
        <v>44671.958333333336</v>
      </c>
      <c r="T189" s="28">
        <v>20000000</v>
      </c>
      <c r="U189" s="28">
        <f>Tabla1[[#This Row],[PPTO]]/(1+'Lista Datos'!$B$1)</f>
        <v>16806722.68907563</v>
      </c>
      <c r="V189" s="23">
        <v>30</v>
      </c>
      <c r="W189" s="18" t="s">
        <v>10</v>
      </c>
      <c r="X189" s="102"/>
      <c r="Y189" s="18" t="s">
        <v>146</v>
      </c>
      <c r="Z189" s="18" t="s">
        <v>10</v>
      </c>
      <c r="AA189" s="23" t="s">
        <v>177</v>
      </c>
      <c r="AB189" s="23">
        <v>12</v>
      </c>
      <c r="AC189" s="23" t="s">
        <v>10</v>
      </c>
      <c r="AD189" s="23">
        <v>90</v>
      </c>
      <c r="AE189" s="29">
        <f>Tabla1[[#This Row],[Cierre]]+Tabla1[[#This Row],[Vigencia Oferta (días)]]</f>
        <v>44731.666666666664</v>
      </c>
      <c r="AF189" s="87">
        <v>87</v>
      </c>
      <c r="AG189" s="28">
        <v>114316</v>
      </c>
      <c r="AH189" s="164">
        <f>Tabla1[[#This Row],[Unidades2]]*Tabla1[[#This Row],[Precio Unitario]]</f>
        <v>9945492</v>
      </c>
      <c r="AI189" s="23" t="s">
        <v>44</v>
      </c>
      <c r="AJ189" s="26">
        <v>44663.486898148149</v>
      </c>
      <c r="AK189" s="172">
        <f>Tabla1[[#This Row],[Fecha Vigencia]]-AJ189</f>
        <v>68.17976851851563</v>
      </c>
      <c r="AL189" s="23" t="s">
        <v>115</v>
      </c>
      <c r="AM189" s="87">
        <v>114316</v>
      </c>
      <c r="AN189" s="23"/>
      <c r="AO189" s="29"/>
      <c r="AP189" s="23"/>
      <c r="AQ189" s="23" t="s">
        <v>473</v>
      </c>
      <c r="AR189" s="23" t="s">
        <v>10</v>
      </c>
      <c r="AS189" s="23"/>
      <c r="AT189" s="23"/>
      <c r="AU189" s="23" t="s">
        <v>459</v>
      </c>
      <c r="AV189" s="23"/>
      <c r="AW189" s="23" t="s">
        <v>474</v>
      </c>
      <c r="AX189" t="s">
        <v>475</v>
      </c>
      <c r="AY189" s="23"/>
      <c r="AZ189" s="23"/>
      <c r="BA189" s="23"/>
      <c r="BB189" s="32"/>
      <c r="BC189" s="73"/>
    </row>
    <row r="190" spans="1:55" x14ac:dyDescent="0.25">
      <c r="A190" s="22" t="s">
        <v>1211</v>
      </c>
      <c r="B190" s="23" t="s">
        <v>1212</v>
      </c>
      <c r="C190" s="23" t="s">
        <v>1213</v>
      </c>
      <c r="D190" s="23" t="s">
        <v>1214</v>
      </c>
      <c r="E190" s="52"/>
      <c r="F190" s="53"/>
      <c r="G190" s="23" t="s">
        <v>21</v>
      </c>
      <c r="H190" s="23" t="s">
        <v>106</v>
      </c>
      <c r="I190" s="2">
        <v>44635.631562499999</v>
      </c>
      <c r="J190" s="24">
        <f>MONTH(Tabla1[[#This Row],[Publicación]])</f>
        <v>3</v>
      </c>
      <c r="K190" s="24">
        <f>YEAR(Tabla1[[#This Row],[Publicación]])</f>
        <v>2022</v>
      </c>
      <c r="L190" s="54">
        <v>44641.708333333336</v>
      </c>
      <c r="M190" s="26"/>
      <c r="N190" s="25" t="s">
        <v>10</v>
      </c>
      <c r="O190" s="24" t="s">
        <v>29</v>
      </c>
      <c r="P190" s="24" t="s">
        <v>10</v>
      </c>
      <c r="Q190" s="2">
        <v>44637.666666666664</v>
      </c>
      <c r="R190" s="2">
        <v>44638.667361111111</v>
      </c>
      <c r="S190" s="26">
        <v>44645.775000000001</v>
      </c>
      <c r="T190" s="28">
        <v>6250000</v>
      </c>
      <c r="U190" s="28">
        <f>Tabla1[[#This Row],[PPTO]]/(1+'Lista Datos'!$B$1)</f>
        <v>5252100.8403361347</v>
      </c>
      <c r="V190" s="23">
        <v>30</v>
      </c>
      <c r="W190" s="18" t="s">
        <v>10</v>
      </c>
      <c r="X190" s="102"/>
      <c r="Y190" s="18" t="s">
        <v>146</v>
      </c>
      <c r="Z190" s="18" t="s">
        <v>10</v>
      </c>
      <c r="AA190" s="23" t="s">
        <v>512</v>
      </c>
      <c r="AB190" s="23"/>
      <c r="AC190" s="23" t="s">
        <v>10</v>
      </c>
      <c r="AD190" s="23">
        <v>60</v>
      </c>
      <c r="AE190" s="29">
        <f>Tabla1[[#This Row],[Cierre]]+Tabla1[[#This Row],[Vigencia Oferta (días)]]</f>
        <v>44701.708333333336</v>
      </c>
      <c r="AF190" s="87">
        <v>15</v>
      </c>
      <c r="AG190" s="28"/>
      <c r="AH190" s="164">
        <f>Tabla1[[#This Row],[Unidades2]]*Tabla1[[#This Row],[Precio Unitario]]</f>
        <v>0</v>
      </c>
      <c r="AI190" s="23" t="s">
        <v>44</v>
      </c>
      <c r="AJ190" s="26">
        <v>44649.627928240741</v>
      </c>
      <c r="AK190" s="172">
        <f>Tabla1[[#This Row],[Fecha Vigencia]]-AJ190</f>
        <v>52.080405092594447</v>
      </c>
      <c r="AL190" s="23" t="s">
        <v>46</v>
      </c>
      <c r="AM190" s="87">
        <v>222000</v>
      </c>
      <c r="AN190" s="23"/>
      <c r="AO190" s="29"/>
      <c r="AP190" s="23"/>
      <c r="AQ190" s="23" t="s">
        <v>1215</v>
      </c>
      <c r="AR190" s="23" t="s">
        <v>10</v>
      </c>
      <c r="AS190" s="23"/>
      <c r="AT190" s="23"/>
      <c r="AU190" t="s">
        <v>1216</v>
      </c>
      <c r="AV190" s="74"/>
      <c r="AW190" s="23" t="s">
        <v>1217</v>
      </c>
      <c r="AX190" t="s">
        <v>1218</v>
      </c>
      <c r="AY190" s="23"/>
      <c r="AZ190" s="23"/>
      <c r="BA190" s="23"/>
      <c r="BB190" s="32"/>
      <c r="BC190" s="73"/>
    </row>
    <row r="191" spans="1:55" x14ac:dyDescent="0.25">
      <c r="A191" s="22" t="s">
        <v>1219</v>
      </c>
      <c r="B191" s="23" t="s">
        <v>1220</v>
      </c>
      <c r="C191" s="23" t="s">
        <v>1221</v>
      </c>
      <c r="D191" s="23" t="s">
        <v>1222</v>
      </c>
      <c r="E191" s="52"/>
      <c r="F191" s="53"/>
      <c r="G191" s="23" t="s">
        <v>16</v>
      </c>
      <c r="H191" s="23" t="s">
        <v>520</v>
      </c>
      <c r="I191" s="2">
        <v>44635.746782407405</v>
      </c>
      <c r="J191" s="24">
        <f>MONTH(Tabla1[[#This Row],[Publicación]])</f>
        <v>3</v>
      </c>
      <c r="K191" s="24">
        <f>YEAR(Tabla1[[#This Row],[Publicación]])</f>
        <v>2022</v>
      </c>
      <c r="L191" s="54">
        <v>44641.75</v>
      </c>
      <c r="M191" s="26"/>
      <c r="N191" s="25" t="s">
        <v>10</v>
      </c>
      <c r="O191" s="24" t="s">
        <v>35</v>
      </c>
      <c r="P191" s="24" t="s">
        <v>10</v>
      </c>
      <c r="Q191" s="2">
        <v>44637.75</v>
      </c>
      <c r="R191" s="2">
        <v>44638.416666666664</v>
      </c>
      <c r="S191" s="26">
        <v>44999.75</v>
      </c>
      <c r="T191" s="27">
        <v>0</v>
      </c>
      <c r="U191" s="28">
        <f>Tabla1[[#This Row],[PPTO]]/(1+'Lista Datos'!$B$1)</f>
        <v>0</v>
      </c>
      <c r="V191" s="23"/>
      <c r="W191" s="18" t="s">
        <v>10</v>
      </c>
      <c r="X191" s="102"/>
      <c r="Y191" s="18" t="s">
        <v>146</v>
      </c>
      <c r="Z191" s="18" t="s">
        <v>10</v>
      </c>
      <c r="AA191" s="23"/>
      <c r="AB191" s="23"/>
      <c r="AC191" s="23"/>
      <c r="AD191" s="23"/>
      <c r="AE191" s="29">
        <f>Tabla1[[#This Row],[Cierre]]+Tabla1[[#This Row],[Vigencia Oferta (días)]]</f>
        <v>44641.75</v>
      </c>
      <c r="AF191" s="87"/>
      <c r="AG191" s="28"/>
      <c r="AH191" s="164">
        <f>Tabla1[[#This Row],[Unidades2]]*Tabla1[[#This Row],[Precio Unitario]]</f>
        <v>0</v>
      </c>
      <c r="AI191" s="23" t="s">
        <v>44</v>
      </c>
      <c r="AJ191" s="26">
        <v>44683.570532407408</v>
      </c>
      <c r="AK191" s="172">
        <f>Tabla1[[#This Row],[Fecha Vigencia]]-AJ191</f>
        <v>-41.820532407407882</v>
      </c>
      <c r="AL191" s="23" t="s">
        <v>46</v>
      </c>
      <c r="AM191" s="87">
        <v>1971</v>
      </c>
      <c r="AN191" s="23"/>
      <c r="AO191" s="29"/>
      <c r="AP191" s="23"/>
      <c r="AQ191" s="23" t="s">
        <v>1223</v>
      </c>
      <c r="AR191" s="23" t="s">
        <v>10</v>
      </c>
      <c r="AS191" s="23"/>
      <c r="AT191" s="23"/>
      <c r="AU191" s="23"/>
      <c r="AV191" s="23"/>
      <c r="AW191" s="23" t="s">
        <v>1224</v>
      </c>
      <c r="AX191" t="s">
        <v>1225</v>
      </c>
      <c r="AY191" s="23"/>
      <c r="AZ191" s="23"/>
      <c r="BA191" s="23"/>
      <c r="BB191" s="32"/>
      <c r="BC191" s="73"/>
    </row>
    <row r="192" spans="1:55" x14ac:dyDescent="0.25">
      <c r="A192" s="22" t="s">
        <v>1226</v>
      </c>
      <c r="B192" s="23" t="s">
        <v>1227</v>
      </c>
      <c r="C192" s="23" t="s">
        <v>1228</v>
      </c>
      <c r="D192" s="23" t="s">
        <v>1229</v>
      </c>
      <c r="E192" s="52"/>
      <c r="F192" s="53"/>
      <c r="G192" s="23" t="s">
        <v>16</v>
      </c>
      <c r="H192" s="23" t="s">
        <v>533</v>
      </c>
      <c r="I192" s="2">
        <v>44620.601759259262</v>
      </c>
      <c r="J192" s="24">
        <f>MONTH(Tabla1[[#This Row],[Publicación]])</f>
        <v>2</v>
      </c>
      <c r="K192" s="24">
        <f>YEAR(Tabla1[[#This Row],[Publicación]])</f>
        <v>2022</v>
      </c>
      <c r="L192" s="54">
        <v>44642.625</v>
      </c>
      <c r="M192" s="26">
        <v>44627</v>
      </c>
      <c r="N192" s="25" t="s">
        <v>10</v>
      </c>
      <c r="O192" s="24" t="s">
        <v>25</v>
      </c>
      <c r="P192" s="24" t="s">
        <v>10</v>
      </c>
      <c r="Q192" s="2">
        <v>44628.530555555553</v>
      </c>
      <c r="R192" s="2">
        <v>44636.738888888889</v>
      </c>
      <c r="S192" s="26">
        <v>44712.409062500003</v>
      </c>
      <c r="T192" s="27">
        <v>0</v>
      </c>
      <c r="U192" s="28">
        <f>Tabla1[[#This Row],[PPTO]]/(1+'Lista Datos'!$B$1)</f>
        <v>0</v>
      </c>
      <c r="V192" s="23"/>
      <c r="W192" s="18" t="s">
        <v>11</v>
      </c>
      <c r="X192" s="102">
        <v>150000</v>
      </c>
      <c r="Y192" s="26">
        <v>44795</v>
      </c>
      <c r="Z192" s="18" t="s">
        <v>10</v>
      </c>
      <c r="AA192" s="23"/>
      <c r="AB192" s="23"/>
      <c r="AC192" s="23"/>
      <c r="AD192" s="23"/>
      <c r="AE192" s="29">
        <f>Tabla1[[#This Row],[Cierre]]+Tabla1[[#This Row],[Vigencia Oferta (días)]]</f>
        <v>44642.625</v>
      </c>
      <c r="AF192" s="87"/>
      <c r="AG192" s="28"/>
      <c r="AH192" s="164">
        <f>Tabla1[[#This Row],[Unidades2]]*Tabla1[[#This Row],[Precio Unitario]]</f>
        <v>0</v>
      </c>
      <c r="AI192" s="23" t="s">
        <v>320</v>
      </c>
      <c r="AJ192" s="26"/>
      <c r="AK192" s="172">
        <f>Tabla1[[#This Row],[Fecha Vigencia]]-AJ192</f>
        <v>44642.625</v>
      </c>
      <c r="AL192" s="23"/>
      <c r="AM192" s="87"/>
      <c r="AN192" s="23"/>
      <c r="AO192" s="29"/>
      <c r="AP192" s="23"/>
      <c r="AQ192" s="23" t="s">
        <v>1230</v>
      </c>
      <c r="AR192" s="23" t="s">
        <v>11</v>
      </c>
      <c r="AS192" s="33">
        <v>0.05</v>
      </c>
      <c r="AT192" s="29">
        <v>45506</v>
      </c>
      <c r="AU192" s="23"/>
      <c r="AV192" s="23"/>
      <c r="AW192" s="23" t="s">
        <v>1231</v>
      </c>
      <c r="AX192" t="s">
        <v>1232</v>
      </c>
      <c r="AY192" s="23"/>
      <c r="AZ192" s="23"/>
      <c r="BA192" s="23"/>
      <c r="BB192" s="32"/>
      <c r="BC192" s="73"/>
    </row>
    <row r="193" spans="1:55" x14ac:dyDescent="0.25">
      <c r="A193" s="22" t="s">
        <v>1233</v>
      </c>
      <c r="B193" s="23" t="s">
        <v>1234</v>
      </c>
      <c r="C193" s="23" t="s">
        <v>1235</v>
      </c>
      <c r="D193" s="23" t="s">
        <v>1236</v>
      </c>
      <c r="E193" s="24"/>
      <c r="F193" s="25"/>
      <c r="G193" s="23" t="s">
        <v>19</v>
      </c>
      <c r="H193" s="23" t="s">
        <v>114</v>
      </c>
      <c r="I193" s="2">
        <v>44629.587129629632</v>
      </c>
      <c r="J193" s="24">
        <f>MONTH(Tabla1[[#This Row],[Publicación]])</f>
        <v>3</v>
      </c>
      <c r="K193" s="24">
        <f>YEAR(Tabla1[[#This Row],[Publicación]])</f>
        <v>2022</v>
      </c>
      <c r="L193" s="2">
        <v>44642.666666666664</v>
      </c>
      <c r="M193" s="26"/>
      <c r="N193" s="25" t="s">
        <v>11</v>
      </c>
      <c r="O193" s="24"/>
      <c r="P193" s="24" t="s">
        <v>11</v>
      </c>
      <c r="Q193" s="2">
        <v>44635.666666666664</v>
      </c>
      <c r="R193" s="2">
        <v>44636.666666666664</v>
      </c>
      <c r="S193" s="26">
        <v>44705.666666666664</v>
      </c>
      <c r="T193" s="27">
        <v>0</v>
      </c>
      <c r="U193" s="28">
        <f>Tabla1[[#This Row],[PPTO]]/(1+'Lista Datos'!$B$1)</f>
        <v>0</v>
      </c>
      <c r="V193" s="23"/>
      <c r="W193" s="18" t="s">
        <v>10</v>
      </c>
      <c r="X193" s="102"/>
      <c r="Y193" s="18" t="s">
        <v>146</v>
      </c>
      <c r="Z193" s="18" t="s">
        <v>10</v>
      </c>
      <c r="AA193" s="23"/>
      <c r="AB193" s="23"/>
      <c r="AC193" s="23" t="s">
        <v>10</v>
      </c>
      <c r="AD193" s="23"/>
      <c r="AE193" s="29">
        <f>Tabla1[[#This Row],[Cierre]]+Tabla1[[#This Row],[Vigencia Oferta (días)]]</f>
        <v>44642.666666666664</v>
      </c>
      <c r="AF193" s="87"/>
      <c r="AG193" s="28"/>
      <c r="AH193" s="164">
        <f>Tabla1[[#This Row],[Unidades2]]*Tabla1[[#This Row],[Precio Unitario]]</f>
        <v>0</v>
      </c>
      <c r="AI193" s="23" t="s">
        <v>44</v>
      </c>
      <c r="AJ193" s="26">
        <v>44663.485312500001</v>
      </c>
      <c r="AK193" s="172">
        <f>Tabla1[[#This Row],[Fecha Vigencia]]-AJ193</f>
        <v>-20.818645833336632</v>
      </c>
      <c r="AL193" s="23" t="s">
        <v>115</v>
      </c>
      <c r="AM193" s="87">
        <v>68480</v>
      </c>
      <c r="AN193" s="23"/>
      <c r="AO193" s="29"/>
      <c r="AP193" s="23"/>
      <c r="AQ193" s="23" t="s">
        <v>1237</v>
      </c>
      <c r="AR193" s="23" t="s">
        <v>11</v>
      </c>
      <c r="AS193" s="33">
        <v>0.05</v>
      </c>
      <c r="AT193" s="29">
        <v>45872</v>
      </c>
      <c r="AU193" s="23"/>
      <c r="AV193" s="23"/>
      <c r="AW193" s="23" t="s">
        <v>1238</v>
      </c>
      <c r="AX193" t="s">
        <v>1239</v>
      </c>
      <c r="AY193" s="23"/>
      <c r="AZ193" s="23"/>
      <c r="BA193" s="23"/>
      <c r="BB193" s="32"/>
      <c r="BC193" s="73"/>
    </row>
    <row r="194" spans="1:55" x14ac:dyDescent="0.25">
      <c r="A194" s="22" t="s">
        <v>1240</v>
      </c>
      <c r="B194" s="23" t="s">
        <v>1241</v>
      </c>
      <c r="C194" s="23" t="s">
        <v>1242</v>
      </c>
      <c r="D194" s="23" t="s">
        <v>1243</v>
      </c>
      <c r="E194" s="24"/>
      <c r="F194" s="25"/>
      <c r="G194" s="23" t="s">
        <v>21</v>
      </c>
      <c r="H194" s="23" t="s">
        <v>106</v>
      </c>
      <c r="I194" s="2">
        <v>44635.702488425923</v>
      </c>
      <c r="J194" s="24">
        <f>MONTH(Tabla1[[#This Row],[Publicación]])</f>
        <v>3</v>
      </c>
      <c r="K194" s="24">
        <f>YEAR(Tabla1[[#This Row],[Publicación]])</f>
        <v>2022</v>
      </c>
      <c r="L194" s="2">
        <v>44642.679166666669</v>
      </c>
      <c r="M194" s="26"/>
      <c r="N194" s="25" t="s">
        <v>10</v>
      </c>
      <c r="O194" s="24" t="s">
        <v>33</v>
      </c>
      <c r="P194" s="24" t="s">
        <v>10</v>
      </c>
      <c r="Q194" s="2">
        <v>44638.5</v>
      </c>
      <c r="R194" s="2">
        <v>44641.637499999997</v>
      </c>
      <c r="S194" s="26">
        <v>44659.525659722225</v>
      </c>
      <c r="T194" s="28">
        <v>1300000</v>
      </c>
      <c r="U194" s="28">
        <f>Tabla1[[#This Row],[PPTO]]/(1+'Lista Datos'!$B$1)</f>
        <v>1092436.9747899161</v>
      </c>
      <c r="V194" s="23"/>
      <c r="W194" s="18" t="s">
        <v>10</v>
      </c>
      <c r="X194" s="102"/>
      <c r="Y194" s="18" t="s">
        <v>146</v>
      </c>
      <c r="Z194" s="18" t="s">
        <v>10</v>
      </c>
      <c r="AA194" s="23" t="s">
        <v>512</v>
      </c>
      <c r="AB194" s="23"/>
      <c r="AC194" s="23" t="s">
        <v>10</v>
      </c>
      <c r="AD194" s="23"/>
      <c r="AE194" s="29">
        <f>Tabla1[[#This Row],[Cierre]]+Tabla1[[#This Row],[Vigencia Oferta (días)]]</f>
        <v>44642.679166666669</v>
      </c>
      <c r="AF194" s="87">
        <v>4</v>
      </c>
      <c r="AG194" s="28"/>
      <c r="AH194" s="164">
        <f>Tabla1[[#This Row],[Unidades2]]*Tabla1[[#This Row],[Precio Unitario]]</f>
        <v>0</v>
      </c>
      <c r="AI194" s="23" t="s">
        <v>320</v>
      </c>
      <c r="AJ194" s="26">
        <v>44659.521770833337</v>
      </c>
      <c r="AK194" s="172">
        <f>Tabla1[[#This Row],[Fecha Vigencia]]-AJ194</f>
        <v>-16.842604166668025</v>
      </c>
      <c r="AL194" s="23"/>
      <c r="AM194" s="87"/>
      <c r="AN194" s="23"/>
      <c r="AO194" s="29"/>
      <c r="AP194" s="23"/>
      <c r="AQ194" s="23" t="s">
        <v>1244</v>
      </c>
      <c r="AR194" s="23" t="s">
        <v>10</v>
      </c>
      <c r="AS194" s="23"/>
      <c r="AT194" s="23"/>
      <c r="AU194" s="23"/>
      <c r="AV194" s="23"/>
      <c r="AW194" s="23" t="s">
        <v>1245</v>
      </c>
      <c r="AX194" t="s">
        <v>1246</v>
      </c>
      <c r="AY194" s="23"/>
      <c r="AZ194" s="23"/>
      <c r="BA194" s="23"/>
      <c r="BB194" s="32"/>
      <c r="BC194" s="73"/>
    </row>
    <row r="195" spans="1:55" x14ac:dyDescent="0.25">
      <c r="A195" s="22" t="s">
        <v>1247</v>
      </c>
      <c r="B195" s="23" t="s">
        <v>1248</v>
      </c>
      <c r="C195" s="23" t="s">
        <v>1249</v>
      </c>
      <c r="D195" s="23" t="s">
        <v>752</v>
      </c>
      <c r="E195" s="24"/>
      <c r="F195" s="25"/>
      <c r="G195" s="23" t="s">
        <v>20</v>
      </c>
      <c r="H195" s="23" t="s">
        <v>176</v>
      </c>
      <c r="I195" s="2">
        <v>44634.527777777781</v>
      </c>
      <c r="J195" s="24">
        <f>MONTH(Tabla1[[#This Row],[Publicación]])</f>
        <v>3</v>
      </c>
      <c r="K195" s="24">
        <f>YEAR(Tabla1[[#This Row],[Publicación]])</f>
        <v>2022</v>
      </c>
      <c r="L195" s="2">
        <v>44643.416666666664</v>
      </c>
      <c r="M195" s="26">
        <v>44641</v>
      </c>
      <c r="N195" s="25" t="s">
        <v>10</v>
      </c>
      <c r="O195" s="24" t="s">
        <v>33</v>
      </c>
      <c r="P195" s="24" t="s">
        <v>10</v>
      </c>
      <c r="Q195" s="2">
        <v>44638.458333333336</v>
      </c>
      <c r="R195" s="2">
        <v>44641.416666666664</v>
      </c>
      <c r="S195" s="26">
        <v>44680.416666666664</v>
      </c>
      <c r="T195" s="27">
        <v>0</v>
      </c>
      <c r="U195" s="28">
        <f>Tabla1[[#This Row],[PPTO]]/(1+'Lista Datos'!$B$1)</f>
        <v>0</v>
      </c>
      <c r="V195" s="23"/>
      <c r="W195" s="18" t="s">
        <v>10</v>
      </c>
      <c r="X195" s="102"/>
      <c r="Y195" s="18" t="s">
        <v>146</v>
      </c>
      <c r="Z195" s="18" t="s">
        <v>10</v>
      </c>
      <c r="AA195" s="23" t="s">
        <v>177</v>
      </c>
      <c r="AB195" s="23"/>
      <c r="AC195" s="23" t="s">
        <v>10</v>
      </c>
      <c r="AD195" s="23"/>
      <c r="AE195" s="29">
        <f>Tabla1[[#This Row],[Cierre]]+Tabla1[[#This Row],[Vigencia Oferta (días)]]</f>
        <v>44643.416666666664</v>
      </c>
      <c r="AF195" s="87"/>
      <c r="AG195" s="28"/>
      <c r="AH195" s="164">
        <f>Tabla1[[#This Row],[Unidades2]]*Tabla1[[#This Row],[Precio Unitario]]</f>
        <v>0</v>
      </c>
      <c r="AI195" s="23" t="s">
        <v>320</v>
      </c>
      <c r="AJ195" s="26"/>
      <c r="AK195" s="172">
        <f>Tabla1[[#This Row],[Fecha Vigencia]]-AJ195</f>
        <v>44643.416666666664</v>
      </c>
      <c r="AL195" s="23"/>
      <c r="AM195" s="87"/>
      <c r="AN195" s="23"/>
      <c r="AO195" s="29"/>
      <c r="AP195" s="23"/>
      <c r="AQ195" s="23" t="s">
        <v>1250</v>
      </c>
      <c r="AR195" s="23" t="s">
        <v>10</v>
      </c>
      <c r="AS195" s="23"/>
      <c r="AT195" s="23"/>
      <c r="AU195" s="23"/>
      <c r="AV195" s="23"/>
      <c r="AW195" s="23" t="s">
        <v>1251</v>
      </c>
      <c r="AX195" t="s">
        <v>754</v>
      </c>
      <c r="AY195" s="23"/>
      <c r="AZ195" s="23"/>
      <c r="BA195" s="23"/>
      <c r="BB195" s="32"/>
      <c r="BC195" s="73"/>
    </row>
    <row r="196" spans="1:55" x14ac:dyDescent="0.25">
      <c r="A196" s="22" t="s">
        <v>1252</v>
      </c>
      <c r="B196" s="23" t="s">
        <v>1253</v>
      </c>
      <c r="C196" s="23" t="s">
        <v>1254</v>
      </c>
      <c r="D196" s="23" t="s">
        <v>1255</v>
      </c>
      <c r="E196" s="24"/>
      <c r="F196" s="25"/>
      <c r="G196" s="23" t="s">
        <v>21</v>
      </c>
      <c r="H196" s="23" t="s">
        <v>106</v>
      </c>
      <c r="I196" s="2">
        <v>44637.393807870372</v>
      </c>
      <c r="J196" s="24">
        <f>MONTH(Tabla1[[#This Row],[Publicación]])</f>
        <v>3</v>
      </c>
      <c r="K196" s="24">
        <f>YEAR(Tabla1[[#This Row],[Publicación]])</f>
        <v>2022</v>
      </c>
      <c r="L196" s="2">
        <v>44643.46597222222</v>
      </c>
      <c r="M196" s="26">
        <v>44641</v>
      </c>
      <c r="N196" s="25" t="s">
        <v>11</v>
      </c>
      <c r="O196" s="24"/>
      <c r="P196" s="24" t="s">
        <v>11</v>
      </c>
      <c r="Q196" s="2">
        <v>44639.549305555556</v>
      </c>
      <c r="R196" s="2">
        <v>44641.632638888892</v>
      </c>
      <c r="S196" s="26">
        <v>44685.633333333331</v>
      </c>
      <c r="T196" s="28">
        <v>2995600</v>
      </c>
      <c r="U196" s="28">
        <f>Tabla1[[#This Row],[PPTO]]/(1+'Lista Datos'!$B$1)</f>
        <v>2517310.9243697482</v>
      </c>
      <c r="V196" s="23"/>
      <c r="W196" s="18" t="s">
        <v>10</v>
      </c>
      <c r="X196" s="102"/>
      <c r="Y196" s="18" t="s">
        <v>146</v>
      </c>
      <c r="Z196" s="18" t="s">
        <v>10</v>
      </c>
      <c r="AA196" s="23" t="s">
        <v>512</v>
      </c>
      <c r="AB196" s="23"/>
      <c r="AC196" s="23" t="s">
        <v>10</v>
      </c>
      <c r="AD196" s="23"/>
      <c r="AE196" s="29">
        <f>Tabla1[[#This Row],[Cierre]]+Tabla1[[#This Row],[Vigencia Oferta (días)]]</f>
        <v>44643.46597222222</v>
      </c>
      <c r="AF196" s="87">
        <v>1</v>
      </c>
      <c r="AG196" s="28">
        <v>1909390</v>
      </c>
      <c r="AH196" s="164">
        <f>Tabla1[[#This Row],[Unidades2]]*Tabla1[[#This Row],[Precio Unitario]]</f>
        <v>1909390</v>
      </c>
      <c r="AI196" s="23" t="s">
        <v>44</v>
      </c>
      <c r="AJ196" s="26">
        <v>44652</v>
      </c>
      <c r="AK196" s="172">
        <f>Tabla1[[#This Row],[Fecha Vigencia]]-AJ196</f>
        <v>-8.5340277777795563</v>
      </c>
      <c r="AL196" s="23" t="s">
        <v>46</v>
      </c>
      <c r="AM196" s="87">
        <v>2517311</v>
      </c>
      <c r="AN196" s="23"/>
      <c r="AO196" s="29"/>
      <c r="AP196" s="23"/>
      <c r="AQ196" s="23" t="s">
        <v>1256</v>
      </c>
      <c r="AR196" s="23" t="s">
        <v>10</v>
      </c>
      <c r="AS196" s="23"/>
      <c r="AT196" s="23"/>
      <c r="AU196" s="23"/>
      <c r="AV196" s="23"/>
      <c r="AW196" s="23" t="s">
        <v>1257</v>
      </c>
      <c r="AX196" t="s">
        <v>1258</v>
      </c>
      <c r="AY196" s="23"/>
      <c r="AZ196" s="23"/>
      <c r="BA196" s="23"/>
      <c r="BB196" s="32"/>
      <c r="BC196" s="73"/>
    </row>
    <row r="197" spans="1:55" x14ac:dyDescent="0.25">
      <c r="A197" s="22" t="s">
        <v>1259</v>
      </c>
      <c r="B197" s="23" t="s">
        <v>1260</v>
      </c>
      <c r="C197" s="23" t="s">
        <v>1261</v>
      </c>
      <c r="D197" s="23" t="s">
        <v>1262</v>
      </c>
      <c r="E197" s="24"/>
      <c r="F197" s="25"/>
      <c r="G197" s="23" t="s">
        <v>21</v>
      </c>
      <c r="H197" s="23" t="s">
        <v>106</v>
      </c>
      <c r="I197" s="2">
        <v>44638.365706018521</v>
      </c>
      <c r="J197" s="24">
        <f>MONTH(Tabla1[[#This Row],[Publicación]])</f>
        <v>3</v>
      </c>
      <c r="K197" s="24">
        <f>YEAR(Tabla1[[#This Row],[Publicación]])</f>
        <v>2022</v>
      </c>
      <c r="L197" s="2">
        <v>44643.631944444445</v>
      </c>
      <c r="M197" s="26"/>
      <c r="N197" s="25" t="s">
        <v>10</v>
      </c>
      <c r="O197" s="24" t="s">
        <v>35</v>
      </c>
      <c r="P197" s="24" t="s">
        <v>10</v>
      </c>
      <c r="Q197" s="2">
        <v>44641.388888888891</v>
      </c>
      <c r="R197" s="2">
        <v>44641.722222222219</v>
      </c>
      <c r="S197" s="26">
        <v>44656.590578703705</v>
      </c>
      <c r="T197" s="27">
        <v>0</v>
      </c>
      <c r="U197" s="28">
        <f>Tabla1[[#This Row],[PPTO]]/(1+'Lista Datos'!$B$1)</f>
        <v>0</v>
      </c>
      <c r="V197" s="23"/>
      <c r="W197" s="18" t="s">
        <v>10</v>
      </c>
      <c r="X197" s="102"/>
      <c r="Y197" s="18" t="s">
        <v>146</v>
      </c>
      <c r="Z197" s="18" t="s">
        <v>10</v>
      </c>
      <c r="AA197" s="23"/>
      <c r="AB197" s="23"/>
      <c r="AC197" s="23"/>
      <c r="AD197" s="23"/>
      <c r="AE197" s="29">
        <f>Tabla1[[#This Row],[Cierre]]+Tabla1[[#This Row],[Vigencia Oferta (días)]]</f>
        <v>44643.631944444445</v>
      </c>
      <c r="AF197" s="87"/>
      <c r="AG197" s="28"/>
      <c r="AH197" s="164">
        <f>Tabla1[[#This Row],[Unidades2]]*Tabla1[[#This Row],[Precio Unitario]]</f>
        <v>0</v>
      </c>
      <c r="AI197" s="23" t="s">
        <v>44</v>
      </c>
      <c r="AJ197" s="26"/>
      <c r="AK197" s="172">
        <f>Tabla1[[#This Row],[Fecha Vigencia]]-AJ197</f>
        <v>44643.631944444445</v>
      </c>
      <c r="AL197" s="23" t="s">
        <v>205</v>
      </c>
      <c r="AM197" s="87">
        <v>5382936</v>
      </c>
      <c r="AN197" s="23"/>
      <c r="AO197" s="29"/>
      <c r="AP197" s="23"/>
      <c r="AQ197" s="23" t="s">
        <v>1263</v>
      </c>
      <c r="AR197" s="23" t="s">
        <v>10</v>
      </c>
      <c r="AS197" s="23"/>
      <c r="AT197" s="23"/>
      <c r="AU197" s="23"/>
      <c r="AV197" s="23"/>
      <c r="AW197" s="23" t="s">
        <v>1264</v>
      </c>
      <c r="AX197" t="s">
        <v>1265</v>
      </c>
      <c r="AY197" s="23"/>
      <c r="AZ197" s="23"/>
      <c r="BA197" s="23"/>
      <c r="BB197" s="32"/>
      <c r="BC197" s="73"/>
    </row>
    <row r="198" spans="1:55" x14ac:dyDescent="0.25">
      <c r="A198" s="22" t="s">
        <v>1266</v>
      </c>
      <c r="B198" s="23" t="s">
        <v>1267</v>
      </c>
      <c r="C198" s="23" t="s">
        <v>1268</v>
      </c>
      <c r="D198" s="23" t="s">
        <v>787</v>
      </c>
      <c r="E198" s="24"/>
      <c r="F198" s="25"/>
      <c r="G198" s="23" t="s">
        <v>21</v>
      </c>
      <c r="H198" s="23" t="s">
        <v>106</v>
      </c>
      <c r="I198" s="2">
        <v>44634.506053240744</v>
      </c>
      <c r="J198" s="24">
        <f>MONTH(Tabla1[[#This Row],[Publicación]])</f>
        <v>3</v>
      </c>
      <c r="K198" s="24">
        <f>YEAR(Tabla1[[#This Row],[Publicación]])</f>
        <v>2022</v>
      </c>
      <c r="L198" s="2">
        <v>44644.416666666664</v>
      </c>
      <c r="M198" s="26">
        <v>44641</v>
      </c>
      <c r="N198" s="25" t="s">
        <v>11</v>
      </c>
      <c r="O198" s="24"/>
      <c r="P198" s="24" t="s">
        <v>11</v>
      </c>
      <c r="Q198" s="2">
        <v>44641.416666666664</v>
      </c>
      <c r="R198" s="2">
        <v>44642.708333333336</v>
      </c>
      <c r="S198" s="26">
        <v>44652.53193287037</v>
      </c>
      <c r="T198" s="28">
        <v>24000000</v>
      </c>
      <c r="U198" s="28">
        <f>Tabla1[[#This Row],[PPTO]]/(1+'Lista Datos'!$B$1)</f>
        <v>20168067.226890758</v>
      </c>
      <c r="V198" s="23">
        <v>30</v>
      </c>
      <c r="W198" s="18" t="s">
        <v>10</v>
      </c>
      <c r="X198" s="102"/>
      <c r="Y198" s="18" t="s">
        <v>146</v>
      </c>
      <c r="Z198" s="18" t="s">
        <v>10</v>
      </c>
      <c r="AA198" s="23" t="s">
        <v>512</v>
      </c>
      <c r="AB198" s="23"/>
      <c r="AC198" s="23" t="s">
        <v>10</v>
      </c>
      <c r="AD198" s="23">
        <v>30</v>
      </c>
      <c r="AE198" s="29">
        <f>Tabla1[[#This Row],[Cierre]]+Tabla1[[#This Row],[Vigencia Oferta (días)]]</f>
        <v>44674.416666666664</v>
      </c>
      <c r="AF198" s="87">
        <v>40</v>
      </c>
      <c r="AG198" s="28">
        <v>11024</v>
      </c>
      <c r="AH198" s="164">
        <f>Tabla1[[#This Row],[Unidades2]]*Tabla1[[#This Row],[Precio Unitario]]</f>
        <v>440960</v>
      </c>
      <c r="AI198" s="23" t="s">
        <v>44</v>
      </c>
      <c r="AJ198" s="26">
        <v>44652.53019675926</v>
      </c>
      <c r="AK198" s="172">
        <f>Tabla1[[#This Row],[Fecha Vigencia]]-AJ198</f>
        <v>21.886469907403807</v>
      </c>
      <c r="AL198" s="24" t="s">
        <v>115</v>
      </c>
      <c r="AM198" s="87">
        <v>440960</v>
      </c>
      <c r="AN198" s="23"/>
      <c r="AO198" s="29"/>
      <c r="AP198" s="23"/>
      <c r="AQ198" s="23" t="s">
        <v>788</v>
      </c>
      <c r="AR198" s="23" t="s">
        <v>10</v>
      </c>
      <c r="AS198" s="23"/>
      <c r="AT198" s="23"/>
      <c r="AU198" s="23"/>
      <c r="AV198" s="23"/>
      <c r="AW198" s="23" t="s">
        <v>1269</v>
      </c>
      <c r="AX198" t="s">
        <v>1270</v>
      </c>
      <c r="AY198" s="23"/>
      <c r="AZ198" s="23"/>
      <c r="BA198" s="23"/>
      <c r="BB198" s="32"/>
      <c r="BC198" s="73"/>
    </row>
    <row r="199" spans="1:55" x14ac:dyDescent="0.25">
      <c r="A199" s="22" t="s">
        <v>1271</v>
      </c>
      <c r="B199" s="23" t="s">
        <v>1272</v>
      </c>
      <c r="C199" s="23" t="s">
        <v>1273</v>
      </c>
      <c r="D199" s="23" t="s">
        <v>1274</v>
      </c>
      <c r="E199" s="24"/>
      <c r="F199" s="25"/>
      <c r="G199" s="23" t="s">
        <v>21</v>
      </c>
      <c r="H199" s="23" t="s">
        <v>106</v>
      </c>
      <c r="I199" s="2">
        <v>44636.66233796296</v>
      </c>
      <c r="J199" s="24">
        <f>MONTH(Tabla1[[#This Row],[Publicación]])</f>
        <v>3</v>
      </c>
      <c r="K199" s="24">
        <f>YEAR(Tabla1[[#This Row],[Publicación]])</f>
        <v>2022</v>
      </c>
      <c r="L199" s="2">
        <v>44644.708333333336</v>
      </c>
      <c r="M199" s="26">
        <v>44643</v>
      </c>
      <c r="N199" s="25" t="s">
        <v>11</v>
      </c>
      <c r="O199" s="24"/>
      <c r="P199" s="24" t="s">
        <v>11</v>
      </c>
      <c r="Q199" s="2">
        <v>44638.666666666664</v>
      </c>
      <c r="R199" s="2">
        <v>44642.666666666664</v>
      </c>
      <c r="S199" s="26">
        <v>44680.375</v>
      </c>
      <c r="T199" s="27">
        <v>0</v>
      </c>
      <c r="U199" s="28">
        <f>Tabla1[[#This Row],[PPTO]]/(1+'Lista Datos'!$B$1)</f>
        <v>0</v>
      </c>
      <c r="V199" s="23">
        <v>45</v>
      </c>
      <c r="W199" s="18" t="s">
        <v>10</v>
      </c>
      <c r="X199" s="102"/>
      <c r="Y199" s="18" t="s">
        <v>146</v>
      </c>
      <c r="Z199" s="18" t="s">
        <v>10</v>
      </c>
      <c r="AA199" s="23" t="s">
        <v>177</v>
      </c>
      <c r="AB199" s="23">
        <v>12</v>
      </c>
      <c r="AC199" s="23" t="s">
        <v>10</v>
      </c>
      <c r="AD199" s="23">
        <v>90</v>
      </c>
      <c r="AE199" s="29">
        <f>Tabla1[[#This Row],[Cierre]]+Tabla1[[#This Row],[Vigencia Oferta (días)]]</f>
        <v>44734.708333333336</v>
      </c>
      <c r="AF199" s="87">
        <v>1044</v>
      </c>
      <c r="AG199" s="28">
        <v>13909</v>
      </c>
      <c r="AH199" s="164">
        <f>Tabla1[[#This Row],[Unidades2]]*Tabla1[[#This Row],[Precio Unitario]]</f>
        <v>14520996</v>
      </c>
      <c r="AI199" s="23" t="s">
        <v>320</v>
      </c>
      <c r="AJ199" s="26"/>
      <c r="AK199" s="172">
        <f>Tabla1[[#This Row],[Fecha Vigencia]]-AJ199</f>
        <v>44734.708333333336</v>
      </c>
      <c r="AL199" s="23"/>
      <c r="AM199" s="87"/>
      <c r="AN199" s="23"/>
      <c r="AO199" s="29"/>
      <c r="AP199" s="23"/>
      <c r="AQ199" s="23" t="s">
        <v>1275</v>
      </c>
      <c r="AR199" s="23" t="s">
        <v>11</v>
      </c>
      <c r="AS199" s="33">
        <v>0.05</v>
      </c>
      <c r="AT199" s="29">
        <v>45019</v>
      </c>
      <c r="AU199" s="23"/>
      <c r="AV199" s="23"/>
      <c r="AW199" s="23" t="s">
        <v>1276</v>
      </c>
      <c r="AX199" t="s">
        <v>1277</v>
      </c>
      <c r="AY199" s="23"/>
      <c r="AZ199" s="23"/>
      <c r="BA199" s="23"/>
      <c r="BB199" s="32"/>
      <c r="BC199" s="73"/>
    </row>
    <row r="200" spans="1:55" x14ac:dyDescent="0.25">
      <c r="A200" s="22" t="s">
        <v>1278</v>
      </c>
      <c r="B200" s="23" t="s">
        <v>1279</v>
      </c>
      <c r="C200" s="23" t="s">
        <v>1280</v>
      </c>
      <c r="D200" s="23" t="s">
        <v>1281</v>
      </c>
      <c r="E200" s="24"/>
      <c r="F200" s="25"/>
      <c r="G200" s="23" t="s">
        <v>16</v>
      </c>
      <c r="H200" s="23" t="s">
        <v>145</v>
      </c>
      <c r="I200" s="5">
        <v>44635.797812500001</v>
      </c>
      <c r="J200" s="24">
        <f>MONTH(Tabla1[[#This Row],[Publicación]])</f>
        <v>3</v>
      </c>
      <c r="K200" s="24">
        <f>YEAR(Tabla1[[#This Row],[Publicación]])</f>
        <v>2022</v>
      </c>
      <c r="L200" s="2">
        <v>44644.75</v>
      </c>
      <c r="M200" s="26">
        <v>44641</v>
      </c>
      <c r="N200" s="25" t="s">
        <v>10</v>
      </c>
      <c r="O200" s="24" t="s">
        <v>25</v>
      </c>
      <c r="P200" s="24" t="s">
        <v>10</v>
      </c>
      <c r="Q200" s="2">
        <v>44638.750694444447</v>
      </c>
      <c r="R200" s="2">
        <v>44641.604166666664</v>
      </c>
      <c r="S200" s="26">
        <v>44648.625694444447</v>
      </c>
      <c r="T200" s="27">
        <v>0</v>
      </c>
      <c r="U200" s="28">
        <f>Tabla1[[#This Row],[PPTO]]/(1+'Lista Datos'!$B$1)</f>
        <v>0</v>
      </c>
      <c r="V200" s="23"/>
      <c r="W200" s="18" t="s">
        <v>10</v>
      </c>
      <c r="X200" s="102"/>
      <c r="Y200" s="18" t="s">
        <v>146</v>
      </c>
      <c r="Z200" s="18" t="s">
        <v>10</v>
      </c>
      <c r="AA200" s="23"/>
      <c r="AB200" s="23"/>
      <c r="AC200" s="23"/>
      <c r="AD200" s="23"/>
      <c r="AE200" s="29">
        <f>Tabla1[[#This Row],[Cierre]]+Tabla1[[#This Row],[Vigencia Oferta (días)]]</f>
        <v>44644.75</v>
      </c>
      <c r="AF200" s="87"/>
      <c r="AG200" s="28"/>
      <c r="AH200" s="164">
        <f>Tabla1[[#This Row],[Unidades2]]*Tabla1[[#This Row],[Precio Unitario]]</f>
        <v>0</v>
      </c>
      <c r="AI200" s="23" t="s">
        <v>44</v>
      </c>
      <c r="AJ200" s="26">
        <v>44656.726805555554</v>
      </c>
      <c r="AK200" s="172">
        <f>Tabla1[[#This Row],[Fecha Vigencia]]-AJ200</f>
        <v>-11.976805555554165</v>
      </c>
      <c r="AL200" s="23" t="s">
        <v>45</v>
      </c>
      <c r="AM200" s="87">
        <v>651109</v>
      </c>
      <c r="AN200" s="23"/>
      <c r="AO200" s="29"/>
      <c r="AP200" s="23"/>
      <c r="AQ200" s="23" t="s">
        <v>1282</v>
      </c>
      <c r="AR200" s="23" t="s">
        <v>10</v>
      </c>
      <c r="AS200" s="23"/>
      <c r="AT200" s="23"/>
      <c r="AU200" s="23"/>
      <c r="AV200" s="23"/>
      <c r="AW200" s="23" t="s">
        <v>1283</v>
      </c>
      <c r="AX200" t="s">
        <v>1284</v>
      </c>
      <c r="AY200" s="23"/>
      <c r="AZ200" s="23"/>
      <c r="BA200" s="23"/>
      <c r="BB200" s="32"/>
      <c r="BC200" s="73"/>
    </row>
    <row r="201" spans="1:55" x14ac:dyDescent="0.25">
      <c r="A201" s="22" t="s">
        <v>1285</v>
      </c>
      <c r="B201" s="23" t="s">
        <v>915</v>
      </c>
      <c r="C201" s="23" t="s">
        <v>1286</v>
      </c>
      <c r="D201" s="23" t="s">
        <v>917</v>
      </c>
      <c r="E201" s="24"/>
      <c r="F201" s="25"/>
      <c r="G201" s="23" t="s">
        <v>21</v>
      </c>
      <c r="H201" s="23" t="s">
        <v>106</v>
      </c>
      <c r="I201" s="2">
        <v>44634.56517361111</v>
      </c>
      <c r="J201" s="24">
        <f>MONTH(Tabla1[[#This Row],[Publicación]])</f>
        <v>3</v>
      </c>
      <c r="K201" s="24">
        <f>YEAR(Tabla1[[#This Row],[Publicación]])</f>
        <v>2022</v>
      </c>
      <c r="L201" s="2">
        <v>44648.625</v>
      </c>
      <c r="M201" s="26">
        <v>44641</v>
      </c>
      <c r="N201" s="25" t="s">
        <v>10</v>
      </c>
      <c r="O201" s="24" t="s">
        <v>33</v>
      </c>
      <c r="P201" s="24" t="s">
        <v>10</v>
      </c>
      <c r="Q201" s="2">
        <v>44638.375</v>
      </c>
      <c r="R201" s="2">
        <v>44642.666666666664</v>
      </c>
      <c r="S201" s="26">
        <v>44657.59337962963</v>
      </c>
      <c r="T201" s="27">
        <v>0</v>
      </c>
      <c r="U201" s="28">
        <f>Tabla1[[#This Row],[PPTO]]/(1+'Lista Datos'!$B$1)</f>
        <v>0</v>
      </c>
      <c r="V201" s="23"/>
      <c r="W201" s="18" t="s">
        <v>10</v>
      </c>
      <c r="X201" s="102"/>
      <c r="Y201" s="18" t="s">
        <v>146</v>
      </c>
      <c r="Z201" s="18" t="s">
        <v>10</v>
      </c>
      <c r="AA201" s="23" t="s">
        <v>512</v>
      </c>
      <c r="AB201" s="23"/>
      <c r="AC201" s="23"/>
      <c r="AD201" s="23"/>
      <c r="AE201" s="29">
        <f>Tabla1[[#This Row],[Cierre]]+Tabla1[[#This Row],[Vigencia Oferta (días)]]</f>
        <v>44648.625</v>
      </c>
      <c r="AF201" s="87"/>
      <c r="AG201" s="28"/>
      <c r="AH201" s="164">
        <f>Tabla1[[#This Row],[Unidades2]]*Tabla1[[#This Row],[Precio Unitario]]</f>
        <v>0</v>
      </c>
      <c r="AI201" s="23" t="s">
        <v>44</v>
      </c>
      <c r="AJ201" s="26">
        <v>44657.547476851854</v>
      </c>
      <c r="AK201" s="172">
        <f>Tabla1[[#This Row],[Fecha Vigencia]]-AJ201</f>
        <v>-8.9224768518542987</v>
      </c>
      <c r="AL201" s="23" t="s">
        <v>46</v>
      </c>
      <c r="AM201" s="87">
        <v>64500</v>
      </c>
      <c r="AN201" s="23"/>
      <c r="AO201" s="29"/>
      <c r="AP201" s="23"/>
      <c r="AQ201" s="23" t="s">
        <v>918</v>
      </c>
      <c r="AR201" s="23" t="s">
        <v>10</v>
      </c>
      <c r="AS201" s="23"/>
      <c r="AT201" s="23"/>
      <c r="AU201" s="23"/>
      <c r="AV201" s="23"/>
      <c r="AW201" s="23" t="s">
        <v>1287</v>
      </c>
      <c r="AX201" t="s">
        <v>921</v>
      </c>
      <c r="AY201" s="23"/>
      <c r="AZ201" s="23"/>
      <c r="BA201" s="23"/>
      <c r="BB201" s="32"/>
      <c r="BC201" s="73"/>
    </row>
    <row r="202" spans="1:55" x14ac:dyDescent="0.25">
      <c r="A202" s="22" t="s">
        <v>1288</v>
      </c>
      <c r="B202" s="45" t="s">
        <v>1289</v>
      </c>
      <c r="C202" s="23" t="s">
        <v>1290</v>
      </c>
      <c r="D202" s="23" t="s">
        <v>936</v>
      </c>
      <c r="E202" s="24"/>
      <c r="F202" s="25"/>
      <c r="G202" s="23" t="s">
        <v>16</v>
      </c>
      <c r="H202" s="23" t="s">
        <v>168</v>
      </c>
      <c r="I202" s="2">
        <v>44616.565972222219</v>
      </c>
      <c r="J202" s="24">
        <f>MONTH(Tabla1[[#This Row],[Publicación]])</f>
        <v>2</v>
      </c>
      <c r="K202" s="24">
        <f>YEAR(Tabla1[[#This Row],[Publicación]])</f>
        <v>2022</v>
      </c>
      <c r="L202" s="2">
        <v>44648.625</v>
      </c>
      <c r="M202" s="26">
        <v>44621</v>
      </c>
      <c r="N202" s="25" t="s">
        <v>11</v>
      </c>
      <c r="O202" s="24"/>
      <c r="P202" s="24" t="s">
        <v>11</v>
      </c>
      <c r="Q202" s="2">
        <v>44620.708333333336</v>
      </c>
      <c r="R202" s="2">
        <v>44622.708333333336</v>
      </c>
      <c r="S202" s="26">
        <v>44671.658958333333</v>
      </c>
      <c r="T202" s="27">
        <v>0</v>
      </c>
      <c r="U202" s="28">
        <f>Tabla1[[#This Row],[PPTO]]/(1+'Lista Datos'!$B$1)</f>
        <v>0</v>
      </c>
      <c r="V202" s="23"/>
      <c r="W202" s="18" t="s">
        <v>11</v>
      </c>
      <c r="X202" s="102">
        <v>5000000</v>
      </c>
      <c r="Y202" s="26">
        <v>44740</v>
      </c>
      <c r="Z202" s="18" t="s">
        <v>11</v>
      </c>
      <c r="AA202" s="23" t="s">
        <v>177</v>
      </c>
      <c r="AB202" s="23">
        <v>18</v>
      </c>
      <c r="AC202" s="23" t="s">
        <v>10</v>
      </c>
      <c r="AD202" s="23"/>
      <c r="AE202" s="29">
        <f>Tabla1[[#This Row],[Cierre]]+Tabla1[[#This Row],[Vigencia Oferta (días)]]</f>
        <v>44648.625</v>
      </c>
      <c r="AF202" s="87"/>
      <c r="AG202" s="28"/>
      <c r="AH202" s="164">
        <f>Tabla1[[#This Row],[Unidades2]]*Tabla1[[#This Row],[Precio Unitario]]</f>
        <v>0</v>
      </c>
      <c r="AI202" s="23" t="s">
        <v>44</v>
      </c>
      <c r="AJ202" s="26">
        <v>44671</v>
      </c>
      <c r="AK202" s="172">
        <f>Tabla1[[#This Row],[Fecha Vigencia]]-AJ202</f>
        <v>-22.375</v>
      </c>
      <c r="AL202" s="23" t="s">
        <v>115</v>
      </c>
      <c r="AM202" s="87">
        <v>211187200</v>
      </c>
      <c r="AN202" s="29">
        <v>44671</v>
      </c>
      <c r="AO202" s="29">
        <v>45219</v>
      </c>
      <c r="AP202" s="23" t="s">
        <v>177</v>
      </c>
      <c r="AQ202" s="23" t="s">
        <v>937</v>
      </c>
      <c r="AR202" s="23" t="s">
        <v>11</v>
      </c>
      <c r="AS202" s="33">
        <v>0.1</v>
      </c>
      <c r="AT202" s="29">
        <v>45286</v>
      </c>
      <c r="AU202" s="23" t="s">
        <v>1291</v>
      </c>
      <c r="AV202" s="23" t="s">
        <v>1292</v>
      </c>
      <c r="AW202" s="23" t="s">
        <v>938</v>
      </c>
      <c r="AX202" t="s">
        <v>939</v>
      </c>
      <c r="AY202" s="23"/>
      <c r="AZ202" s="23"/>
      <c r="BA202" s="23"/>
      <c r="BB202" s="32"/>
      <c r="BC202" s="73"/>
    </row>
    <row r="203" spans="1:55" x14ac:dyDescent="0.25">
      <c r="A203" s="22" t="s">
        <v>1293</v>
      </c>
      <c r="B203" s="23" t="s">
        <v>867</v>
      </c>
      <c r="C203" s="23" t="s">
        <v>868</v>
      </c>
      <c r="D203" s="23" t="s">
        <v>869</v>
      </c>
      <c r="E203" s="24"/>
      <c r="F203" s="25"/>
      <c r="G203" s="23" t="s">
        <v>16</v>
      </c>
      <c r="H203" s="23" t="s">
        <v>123</v>
      </c>
      <c r="I203" s="2">
        <v>44641.632210648146</v>
      </c>
      <c r="J203" s="24">
        <f>MONTH(Tabla1[[#This Row],[Publicación]])</f>
        <v>3</v>
      </c>
      <c r="K203" s="24">
        <f>YEAR(Tabla1[[#This Row],[Publicación]])</f>
        <v>2022</v>
      </c>
      <c r="L203" s="2">
        <v>44651.827777777777</v>
      </c>
      <c r="M203" s="26">
        <v>44648</v>
      </c>
      <c r="N203" s="25" t="s">
        <v>11</v>
      </c>
      <c r="O203" s="24"/>
      <c r="P203" s="24" t="s">
        <v>11</v>
      </c>
      <c r="Q203" s="2">
        <v>44644.652083333334</v>
      </c>
      <c r="R203" s="2">
        <v>44645.652083333334</v>
      </c>
      <c r="S203" s="26">
        <v>44669.667175925926</v>
      </c>
      <c r="T203" s="27">
        <v>0</v>
      </c>
      <c r="U203" s="28">
        <f>Tabla1[[#This Row],[PPTO]]/(1+'Lista Datos'!$B$1)</f>
        <v>0</v>
      </c>
      <c r="V203" s="23"/>
      <c r="W203" s="18" t="s">
        <v>10</v>
      </c>
      <c r="X203" s="102"/>
      <c r="Y203" s="18" t="s">
        <v>146</v>
      </c>
      <c r="Z203" s="18" t="s">
        <v>10</v>
      </c>
      <c r="AA203" s="23" t="s">
        <v>177</v>
      </c>
      <c r="AB203" s="23">
        <v>18</v>
      </c>
      <c r="AC203" s="23" t="s">
        <v>10</v>
      </c>
      <c r="AD203" s="23"/>
      <c r="AE203" s="29">
        <f>Tabla1[[#This Row],[Cierre]]+Tabla1[[#This Row],[Vigencia Oferta (días)]]</f>
        <v>44651.827777777777</v>
      </c>
      <c r="AF203" s="87"/>
      <c r="AG203" s="28"/>
      <c r="AH203" s="164">
        <f>Tabla1[[#This Row],[Unidades2]]*Tabla1[[#This Row],[Precio Unitario]]</f>
        <v>0</v>
      </c>
      <c r="AI203" s="23" t="s">
        <v>44</v>
      </c>
      <c r="AJ203" s="26">
        <v>44680.828472222223</v>
      </c>
      <c r="AK203" s="172">
        <f>Tabla1[[#This Row],[Fecha Vigencia]]-AJ203</f>
        <v>-29.000694444446708</v>
      </c>
      <c r="AL203" s="23" t="s">
        <v>115</v>
      </c>
      <c r="AM203" s="87">
        <v>25000000</v>
      </c>
      <c r="AN203" s="29">
        <v>44680</v>
      </c>
      <c r="AO203" s="29">
        <v>45228</v>
      </c>
      <c r="AP203" s="23" t="s">
        <v>177</v>
      </c>
      <c r="AQ203" s="23" t="s">
        <v>870</v>
      </c>
      <c r="AR203" s="23" t="s">
        <v>11</v>
      </c>
      <c r="AS203" s="33">
        <v>0.1</v>
      </c>
      <c r="AT203" s="23">
        <v>45320</v>
      </c>
      <c r="AU203" s="23" t="s">
        <v>1294</v>
      </c>
      <c r="AV203" s="23" t="s">
        <v>1295</v>
      </c>
      <c r="AW203" s="23" t="s">
        <v>871</v>
      </c>
      <c r="AX203" t="s">
        <v>872</v>
      </c>
      <c r="AY203" s="23"/>
      <c r="AZ203" s="23"/>
      <c r="BA203" s="23"/>
      <c r="BB203" s="32"/>
      <c r="BC203" s="73"/>
    </row>
    <row r="204" spans="1:55" x14ac:dyDescent="0.25">
      <c r="A204" s="22" t="s">
        <v>1296</v>
      </c>
      <c r="B204" s="23" t="s">
        <v>1297</v>
      </c>
      <c r="C204" s="23" t="s">
        <v>1298</v>
      </c>
      <c r="D204" s="23" t="s">
        <v>1299</v>
      </c>
      <c r="E204" s="24"/>
      <c r="F204" s="25"/>
      <c r="G204" s="23" t="s">
        <v>21</v>
      </c>
      <c r="H204" s="23" t="s">
        <v>106</v>
      </c>
      <c r="I204" s="2">
        <v>44637.436249999999</v>
      </c>
      <c r="J204" s="24">
        <f>MONTH(Tabla1[[#This Row],[Publicación]])</f>
        <v>3</v>
      </c>
      <c r="K204" s="24">
        <f>YEAR(Tabla1[[#This Row],[Publicación]])</f>
        <v>2022</v>
      </c>
      <c r="L204" s="2">
        <v>44652.666666666664</v>
      </c>
      <c r="M204" s="26"/>
      <c r="N204" s="25" t="s">
        <v>10</v>
      </c>
      <c r="O204" s="24" t="s">
        <v>29</v>
      </c>
      <c r="P204" s="24" t="s">
        <v>10</v>
      </c>
      <c r="Q204" s="2">
        <v>44644.6875</v>
      </c>
      <c r="R204" s="2">
        <v>44649.708333333336</v>
      </c>
      <c r="S204" s="26"/>
      <c r="T204" s="27">
        <v>0</v>
      </c>
      <c r="U204" s="28">
        <f>Tabla1[[#This Row],[PPTO]]/(1+'Lista Datos'!$B$1)</f>
        <v>0</v>
      </c>
      <c r="V204" s="23"/>
      <c r="W204" s="18" t="s">
        <v>10</v>
      </c>
      <c r="X204" s="102"/>
      <c r="Y204" s="18" t="s">
        <v>146</v>
      </c>
      <c r="Z204" s="18" t="s">
        <v>10</v>
      </c>
      <c r="AA204" s="23" t="s">
        <v>512</v>
      </c>
      <c r="AB204" s="23"/>
      <c r="AC204" s="23"/>
      <c r="AD204" s="23"/>
      <c r="AE204" s="29">
        <f>Tabla1[[#This Row],[Cierre]]+Tabla1[[#This Row],[Vigencia Oferta (días)]]</f>
        <v>44652.666666666664</v>
      </c>
      <c r="AF204" s="87"/>
      <c r="AG204" s="28"/>
      <c r="AH204" s="164">
        <f>Tabla1[[#This Row],[Unidades2]]*Tabla1[[#This Row],[Precio Unitario]]</f>
        <v>0</v>
      </c>
      <c r="AI204" s="23" t="s">
        <v>385</v>
      </c>
      <c r="AJ204" s="26"/>
      <c r="AK204" s="172">
        <f>Tabla1[[#This Row],[Fecha Vigencia]]-AJ204</f>
        <v>44652.666666666664</v>
      </c>
      <c r="AL204" s="23"/>
      <c r="AM204" s="87"/>
      <c r="AN204" s="23"/>
      <c r="AO204" s="29"/>
      <c r="AP204" s="23"/>
      <c r="AQ204" s="23" t="s">
        <v>1300</v>
      </c>
      <c r="AR204" s="23" t="s">
        <v>11</v>
      </c>
      <c r="AS204" s="33">
        <v>0.05</v>
      </c>
      <c r="AT204" s="29">
        <v>44886</v>
      </c>
      <c r="AU204" s="23"/>
      <c r="AV204" s="23"/>
      <c r="AW204" s="23" t="s">
        <v>1301</v>
      </c>
      <c r="AX204" t="s">
        <v>1302</v>
      </c>
      <c r="AY204" s="23"/>
      <c r="AZ204" s="23"/>
      <c r="BA204" s="23"/>
      <c r="BB204" s="32"/>
      <c r="BC204" s="73"/>
    </row>
    <row r="205" spans="1:55" x14ac:dyDescent="0.25">
      <c r="A205" s="22" t="s">
        <v>1303</v>
      </c>
      <c r="B205" s="23" t="s">
        <v>1304</v>
      </c>
      <c r="C205" s="23" t="s">
        <v>1305</v>
      </c>
      <c r="D205" s="23" t="s">
        <v>1306</v>
      </c>
      <c r="E205" s="24"/>
      <c r="F205" s="25"/>
      <c r="G205" s="23" t="s">
        <v>16</v>
      </c>
      <c r="H205" s="23" t="s">
        <v>145</v>
      </c>
      <c r="I205" s="2">
        <v>44642.652060185188</v>
      </c>
      <c r="J205" s="24">
        <f>MONTH(Tabla1[[#This Row],[Publicación]])</f>
        <v>3</v>
      </c>
      <c r="K205" s="24">
        <f>YEAR(Tabla1[[#This Row],[Publicación]])</f>
        <v>2022</v>
      </c>
      <c r="L205" s="2">
        <v>44652.690972222219</v>
      </c>
      <c r="M205" s="26">
        <v>44648</v>
      </c>
      <c r="N205" s="25" t="s">
        <v>10</v>
      </c>
      <c r="O205" s="24" t="s">
        <v>25</v>
      </c>
      <c r="P205" s="24" t="s">
        <v>10</v>
      </c>
      <c r="Q205" s="2">
        <v>44645.811805555553</v>
      </c>
      <c r="R205" s="2">
        <v>44648.625694444447</v>
      </c>
      <c r="S205" s="26">
        <v>44669.373344907406</v>
      </c>
      <c r="T205" s="27">
        <v>0</v>
      </c>
      <c r="U205" s="28">
        <f>Tabla1[[#This Row],[PPTO]]/(1+'Lista Datos'!$B$1)</f>
        <v>0</v>
      </c>
      <c r="V205" s="23"/>
      <c r="W205" s="18" t="s">
        <v>10</v>
      </c>
      <c r="X205" s="102"/>
      <c r="Y205" s="18" t="s">
        <v>146</v>
      </c>
      <c r="Z205" s="18" t="s">
        <v>10</v>
      </c>
      <c r="AA205" s="23"/>
      <c r="AB205" s="23"/>
      <c r="AC205" s="23"/>
      <c r="AD205" s="23"/>
      <c r="AE205" s="29">
        <f>Tabla1[[#This Row],[Cierre]]+Tabla1[[#This Row],[Vigencia Oferta (días)]]</f>
        <v>44652.690972222219</v>
      </c>
      <c r="AF205" s="87"/>
      <c r="AG205" s="28"/>
      <c r="AH205" s="164">
        <f>Tabla1[[#This Row],[Unidades2]]*Tabla1[[#This Row],[Precio Unitario]]</f>
        <v>0</v>
      </c>
      <c r="AI205" s="23" t="s">
        <v>44</v>
      </c>
      <c r="AJ205" s="26">
        <v>44673.691666666666</v>
      </c>
      <c r="AK205" s="172">
        <f>Tabla1[[#This Row],[Fecha Vigencia]]-AJ205</f>
        <v>-21.000694444446708</v>
      </c>
      <c r="AL205" s="23" t="s">
        <v>45</v>
      </c>
      <c r="AM205" s="87">
        <v>5000000</v>
      </c>
      <c r="AN205" s="23"/>
      <c r="AO205" s="29"/>
      <c r="AP205" s="23"/>
      <c r="AQ205" s="23" t="s">
        <v>1307</v>
      </c>
      <c r="AR205" s="23" t="s">
        <v>10</v>
      </c>
      <c r="AS205" s="23"/>
      <c r="AT205" s="23"/>
      <c r="AU205" s="23"/>
      <c r="AV205" s="23"/>
      <c r="AW205" s="23" t="s">
        <v>1308</v>
      </c>
      <c r="AX205" t="s">
        <v>1309</v>
      </c>
      <c r="AY205" s="23"/>
      <c r="AZ205" s="23"/>
      <c r="BA205" s="23"/>
      <c r="BB205" s="32"/>
      <c r="BC205" s="73"/>
    </row>
    <row r="206" spans="1:55" ht="11.25" x14ac:dyDescent="0.2">
      <c r="A206" s="22" t="s">
        <v>1310</v>
      </c>
      <c r="B206" s="23" t="s">
        <v>1311</v>
      </c>
      <c r="C206" s="23" t="s">
        <v>1312</v>
      </c>
      <c r="D206" s="23" t="s">
        <v>1204</v>
      </c>
      <c r="E206" s="24"/>
      <c r="F206" s="25"/>
      <c r="G206" s="23" t="s">
        <v>21</v>
      </c>
      <c r="H206" s="23" t="s">
        <v>106</v>
      </c>
      <c r="I206" s="2">
        <v>44645.690266203703</v>
      </c>
      <c r="J206" s="24">
        <f>MONTH(Tabla1[[#This Row],[Publicación]])</f>
        <v>3</v>
      </c>
      <c r="K206" s="24">
        <f>YEAR(Tabla1[[#This Row],[Publicación]])</f>
        <v>2022</v>
      </c>
      <c r="L206" s="2">
        <v>44655.645833333336</v>
      </c>
      <c r="M206" s="26">
        <v>44651</v>
      </c>
      <c r="N206" s="25" t="s">
        <v>10</v>
      </c>
      <c r="O206" s="24" t="s">
        <v>35</v>
      </c>
      <c r="P206" s="24" t="s">
        <v>10</v>
      </c>
      <c r="Q206" s="2">
        <v>44648.85833333333</v>
      </c>
      <c r="R206" s="2">
        <v>44649.85833333333</v>
      </c>
      <c r="S206" s="26">
        <v>44706.546296296299</v>
      </c>
      <c r="T206" s="27">
        <v>0</v>
      </c>
      <c r="U206" s="28">
        <f>Tabla1[[#This Row],[PPTO]]/(1+'Lista Datos'!$B$1)</f>
        <v>0</v>
      </c>
      <c r="V206" s="23"/>
      <c r="W206" s="18" t="s">
        <v>10</v>
      </c>
      <c r="X206" s="102"/>
      <c r="Y206" s="18" t="s">
        <v>146</v>
      </c>
      <c r="Z206" s="18" t="s">
        <v>10</v>
      </c>
      <c r="AA206" s="23"/>
      <c r="AB206" s="23"/>
      <c r="AC206" s="23"/>
      <c r="AD206" s="23"/>
      <c r="AE206" s="29">
        <f>Tabla1[[#This Row],[Cierre]]+Tabla1[[#This Row],[Vigencia Oferta (días)]]</f>
        <v>44655.645833333336</v>
      </c>
      <c r="AF206" s="87"/>
      <c r="AG206" s="28"/>
      <c r="AH206" s="164">
        <f>Tabla1[[#This Row],[Unidades2]]*Tabla1[[#This Row],[Precio Unitario]]</f>
        <v>0</v>
      </c>
      <c r="AI206" s="23" t="s">
        <v>137</v>
      </c>
      <c r="AJ206" s="26">
        <v>44686.42083333333</v>
      </c>
      <c r="AK206" s="172">
        <f>Tabla1[[#This Row],[Fecha Vigencia]]-AJ206</f>
        <v>-30.774999999994179</v>
      </c>
      <c r="AL206" s="23"/>
      <c r="AM206" s="87"/>
      <c r="AN206" s="23"/>
      <c r="AO206" s="29"/>
      <c r="AP206" s="23"/>
      <c r="AQ206" s="23" t="s">
        <v>1205</v>
      </c>
      <c r="AR206" s="23" t="s">
        <v>10</v>
      </c>
      <c r="AS206" s="23"/>
      <c r="AT206" s="23"/>
      <c r="AU206" s="23"/>
      <c r="AV206" s="23"/>
      <c r="AW206" s="23" t="s">
        <v>1313</v>
      </c>
      <c r="AX206" s="23" t="s">
        <v>1207</v>
      </c>
      <c r="AY206" s="23"/>
      <c r="AZ206" s="23"/>
      <c r="BA206" s="23"/>
      <c r="BB206" s="32"/>
      <c r="BC206" s="73"/>
    </row>
    <row r="207" spans="1:55" x14ac:dyDescent="0.25">
      <c r="A207" s="22" t="s">
        <v>1314</v>
      </c>
      <c r="B207" s="23" t="s">
        <v>1315</v>
      </c>
      <c r="C207" s="23" t="s">
        <v>1316</v>
      </c>
      <c r="D207" s="23" t="s">
        <v>525</v>
      </c>
      <c r="E207" s="24"/>
      <c r="F207" s="25"/>
      <c r="G207" s="23" t="s">
        <v>21</v>
      </c>
      <c r="H207" s="23" t="s">
        <v>106</v>
      </c>
      <c r="I207" s="2">
        <v>44634.748472222222</v>
      </c>
      <c r="J207" s="24">
        <f>MONTH(Tabla1[[#This Row],[Publicación]])</f>
        <v>3</v>
      </c>
      <c r="K207" s="24">
        <f>YEAR(Tabla1[[#This Row],[Publicación]])</f>
        <v>2022</v>
      </c>
      <c r="L207" s="2">
        <v>44655.666666666664</v>
      </c>
      <c r="M207" s="26"/>
      <c r="N207" s="25" t="s">
        <v>11</v>
      </c>
      <c r="O207" s="24"/>
      <c r="P207" s="24" t="s">
        <v>11</v>
      </c>
      <c r="Q207" s="2">
        <v>44636.375</v>
      </c>
      <c r="R207" s="2">
        <v>44638.416666666664</v>
      </c>
      <c r="S207" s="26">
        <v>44729.351226851853</v>
      </c>
      <c r="T207" s="28">
        <v>200000000</v>
      </c>
      <c r="U207" s="28">
        <f>Tabla1[[#This Row],[PPTO]]/(1+'Lista Datos'!$B$1)</f>
        <v>168067226.89075631</v>
      </c>
      <c r="V207" s="23">
        <v>30</v>
      </c>
      <c r="W207" s="18" t="s">
        <v>11</v>
      </c>
      <c r="X207" s="102">
        <v>300000</v>
      </c>
      <c r="Y207" s="26">
        <v>44722</v>
      </c>
      <c r="Z207" s="18" t="s">
        <v>10</v>
      </c>
      <c r="AA207" s="23" t="s">
        <v>177</v>
      </c>
      <c r="AB207" s="23">
        <v>20</v>
      </c>
      <c r="AC207" s="23" t="s">
        <v>10</v>
      </c>
      <c r="AD207" s="23">
        <v>60</v>
      </c>
      <c r="AE207" s="29">
        <f>Tabla1[[#This Row],[Cierre]]+Tabla1[[#This Row],[Vigencia Oferta (días)]]</f>
        <v>44715.666666666664</v>
      </c>
      <c r="AF207" s="87"/>
      <c r="AG207" s="28">
        <v>35171</v>
      </c>
      <c r="AH207" s="164">
        <f>Tabla1[[#This Row],[Unidades2]]*Tabla1[[#This Row],[Precio Unitario]]</f>
        <v>0</v>
      </c>
      <c r="AI207" s="23" t="s">
        <v>44</v>
      </c>
      <c r="AJ207" s="26">
        <v>44728.750567129631</v>
      </c>
      <c r="AK207" s="172">
        <f>Tabla1[[#This Row],[Fecha Vigencia]]-AJ207</f>
        <v>-13.083900462966994</v>
      </c>
      <c r="AL207" s="23" t="s">
        <v>115</v>
      </c>
      <c r="AM207" s="87">
        <v>35171</v>
      </c>
      <c r="AN207" s="23"/>
      <c r="AO207" s="29"/>
      <c r="AP207" s="23"/>
      <c r="AQ207" s="23" t="s">
        <v>526</v>
      </c>
      <c r="AR207" s="23" t="s">
        <v>11</v>
      </c>
      <c r="AS207" s="33">
        <v>0.05</v>
      </c>
      <c r="AT207" s="29">
        <v>45352</v>
      </c>
      <c r="AU207" s="23" t="s">
        <v>1317</v>
      </c>
      <c r="AV207" s="23" t="s">
        <v>1318</v>
      </c>
      <c r="AW207" s="23" t="s">
        <v>1159</v>
      </c>
      <c r="AX207" t="s">
        <v>1160</v>
      </c>
      <c r="AY207" s="23"/>
      <c r="AZ207" s="23"/>
      <c r="BA207" s="23"/>
      <c r="BB207" s="32"/>
      <c r="BC207" s="73"/>
    </row>
    <row r="208" spans="1:55" x14ac:dyDescent="0.25">
      <c r="A208" s="22" t="s">
        <v>1319</v>
      </c>
      <c r="B208" s="23" t="s">
        <v>1320</v>
      </c>
      <c r="C208" s="23" t="s">
        <v>1321</v>
      </c>
      <c r="D208" s="23" t="s">
        <v>1322</v>
      </c>
      <c r="E208" s="24"/>
      <c r="F208" s="25"/>
      <c r="G208" s="23" t="s">
        <v>18</v>
      </c>
      <c r="H208" s="23" t="s">
        <v>213</v>
      </c>
      <c r="I208" s="2">
        <v>44648.356354166666</v>
      </c>
      <c r="J208" s="24">
        <f>MONTH(Tabla1[[#This Row],[Publicación]])</f>
        <v>3</v>
      </c>
      <c r="K208" s="24">
        <f>YEAR(Tabla1[[#This Row],[Publicación]])</f>
        <v>2022</v>
      </c>
      <c r="L208" s="2">
        <v>44655.666666666664</v>
      </c>
      <c r="M208" s="26">
        <v>44649</v>
      </c>
      <c r="N208" s="25" t="s">
        <v>10</v>
      </c>
      <c r="O208" s="24" t="s">
        <v>25</v>
      </c>
      <c r="P208" s="24" t="s">
        <v>10</v>
      </c>
      <c r="Q208" s="2">
        <v>44650.666666666664</v>
      </c>
      <c r="R208" s="2">
        <v>44651.666666666664</v>
      </c>
      <c r="S208" s="26">
        <v>44687.466608796298</v>
      </c>
      <c r="T208" s="27">
        <v>0</v>
      </c>
      <c r="U208" s="28">
        <f>Tabla1[[#This Row],[PPTO]]/(1+'Lista Datos'!$B$1)</f>
        <v>0</v>
      </c>
      <c r="V208" s="23"/>
      <c r="W208" s="18" t="s">
        <v>10</v>
      </c>
      <c r="X208" s="102"/>
      <c r="Y208" s="18" t="s">
        <v>146</v>
      </c>
      <c r="Z208" s="18" t="s">
        <v>10</v>
      </c>
      <c r="AA208" s="23"/>
      <c r="AB208" s="23"/>
      <c r="AC208" s="23"/>
      <c r="AD208" s="23"/>
      <c r="AE208" s="29">
        <f>Tabla1[[#This Row],[Cierre]]+Tabla1[[#This Row],[Vigencia Oferta (días)]]</f>
        <v>44655.666666666664</v>
      </c>
      <c r="AF208" s="87"/>
      <c r="AG208" s="28"/>
      <c r="AH208" s="164">
        <f>Tabla1[[#This Row],[Unidades2]]*Tabla1[[#This Row],[Precio Unitario]]</f>
        <v>0</v>
      </c>
      <c r="AI208" s="23" t="s">
        <v>44</v>
      </c>
      <c r="AJ208" s="26">
        <v>44687</v>
      </c>
      <c r="AK208" s="172">
        <f>Tabla1[[#This Row],[Fecha Vigencia]]-AJ208</f>
        <v>-31.333333333335759</v>
      </c>
      <c r="AL208" s="23" t="s">
        <v>46</v>
      </c>
      <c r="AM208" s="87">
        <v>43420919</v>
      </c>
      <c r="AN208" s="23"/>
      <c r="AO208" s="29"/>
      <c r="AP208" s="23"/>
      <c r="AQ208" s="23" t="s">
        <v>1323</v>
      </c>
      <c r="AR208" s="23" t="s">
        <v>11</v>
      </c>
      <c r="AS208" s="33">
        <v>0.05</v>
      </c>
      <c r="AT208" s="29">
        <v>45111</v>
      </c>
      <c r="AU208" s="23"/>
      <c r="AV208" s="23"/>
      <c r="AW208" s="23" t="s">
        <v>1324</v>
      </c>
      <c r="AX208" t="s">
        <v>1325</v>
      </c>
      <c r="AY208" s="23"/>
      <c r="AZ208" s="23"/>
      <c r="BA208" s="23"/>
      <c r="BB208" s="32"/>
      <c r="BC208" s="73"/>
    </row>
    <row r="209" spans="1:55" ht="11.25" x14ac:dyDescent="0.2">
      <c r="A209" s="22" t="s">
        <v>1326</v>
      </c>
      <c r="B209" s="23" t="s">
        <v>1327</v>
      </c>
      <c r="C209" s="23"/>
      <c r="D209" s="23" t="s">
        <v>1148</v>
      </c>
      <c r="E209" s="24"/>
      <c r="F209" s="25"/>
      <c r="G209" s="23" t="s">
        <v>16</v>
      </c>
      <c r="H209" s="23" t="s">
        <v>520</v>
      </c>
      <c r="I209" s="2">
        <v>44648.512974537036</v>
      </c>
      <c r="J209" s="24">
        <f>MONTH(Tabla1[[#This Row],[Publicación]])</f>
        <v>3</v>
      </c>
      <c r="K209" s="24">
        <f>YEAR(Tabla1[[#This Row],[Publicación]])</f>
        <v>2022</v>
      </c>
      <c r="L209" s="2">
        <v>44657.70416666667</v>
      </c>
      <c r="M209" s="26">
        <v>44649</v>
      </c>
      <c r="N209" s="25" t="s">
        <v>10</v>
      </c>
      <c r="O209" s="24" t="s">
        <v>33</v>
      </c>
      <c r="P209" s="24" t="s">
        <v>10</v>
      </c>
      <c r="Q209" s="2">
        <v>44649.70416666667</v>
      </c>
      <c r="R209" s="2">
        <v>44654.70416666667</v>
      </c>
      <c r="S209" s="26">
        <v>44684.604143518518</v>
      </c>
      <c r="T209" s="27">
        <v>0</v>
      </c>
      <c r="U209" s="28">
        <f>Tabla1[[#This Row],[PPTO]]/(1+'Lista Datos'!$B$1)</f>
        <v>0</v>
      </c>
      <c r="V209" s="23"/>
      <c r="W209" s="18" t="s">
        <v>10</v>
      </c>
      <c r="X209" s="102"/>
      <c r="Y209" s="18" t="s">
        <v>146</v>
      </c>
      <c r="Z209" s="18" t="s">
        <v>10</v>
      </c>
      <c r="AA209" s="23"/>
      <c r="AB209" s="23"/>
      <c r="AC209" s="23"/>
      <c r="AD209" s="23"/>
      <c r="AE209" s="29">
        <f>Tabla1[[#This Row],[Cierre]]+Tabla1[[#This Row],[Vigencia Oferta (días)]]</f>
        <v>44657.70416666667</v>
      </c>
      <c r="AF209" s="87"/>
      <c r="AG209" s="28"/>
      <c r="AH209" s="164">
        <f>Tabla1[[#This Row],[Unidades2]]*Tabla1[[#This Row],[Precio Unitario]]</f>
        <v>0</v>
      </c>
      <c r="AI209" s="23" t="s">
        <v>44</v>
      </c>
      <c r="AJ209" s="26">
        <v>44660.70416666667</v>
      </c>
      <c r="AK209" s="172">
        <f>Tabla1[[#This Row],[Fecha Vigencia]]-AJ209</f>
        <v>-3</v>
      </c>
      <c r="AL209" s="23" t="s">
        <v>46</v>
      </c>
      <c r="AM209" s="87">
        <v>1556050</v>
      </c>
      <c r="AN209" s="23"/>
      <c r="AO209" s="29"/>
      <c r="AP209" s="23"/>
      <c r="AQ209" s="23" t="s">
        <v>1149</v>
      </c>
      <c r="AR209" s="23" t="s">
        <v>10</v>
      </c>
      <c r="AS209" s="23"/>
      <c r="AT209" s="23"/>
      <c r="AU209" s="23"/>
      <c r="AV209" s="23"/>
      <c r="AW209" s="23"/>
      <c r="AX209" s="23"/>
      <c r="AY209" s="23"/>
      <c r="AZ209" s="23"/>
      <c r="BA209" s="23"/>
      <c r="BB209" s="32"/>
      <c r="BC209" s="73"/>
    </row>
    <row r="210" spans="1:55" ht="11.25" x14ac:dyDescent="0.2">
      <c r="A210" s="22" t="s">
        <v>1328</v>
      </c>
      <c r="B210" s="23" t="s">
        <v>1329</v>
      </c>
      <c r="C210" s="23"/>
      <c r="D210" s="23" t="s">
        <v>291</v>
      </c>
      <c r="E210" s="24"/>
      <c r="F210" s="25"/>
      <c r="G210" s="23" t="s">
        <v>21</v>
      </c>
      <c r="H210" s="23" t="s">
        <v>106</v>
      </c>
      <c r="I210" s="2">
        <v>44650.701423611114</v>
      </c>
      <c r="J210" s="24">
        <f>MONTH(Tabla1[[#This Row],[Publicación]])</f>
        <v>3</v>
      </c>
      <c r="K210" s="24">
        <f>YEAR(Tabla1[[#This Row],[Publicación]])</f>
        <v>2022</v>
      </c>
      <c r="L210" s="2">
        <v>44657.708333333336</v>
      </c>
      <c r="M210" s="26">
        <v>44651</v>
      </c>
      <c r="N210" s="25" t="s">
        <v>11</v>
      </c>
      <c r="O210" s="24"/>
      <c r="P210" s="24" t="s">
        <v>11</v>
      </c>
      <c r="Q210" s="2">
        <v>44652.708333333336</v>
      </c>
      <c r="R210" s="2">
        <v>44655.791666666664</v>
      </c>
      <c r="S210" s="26">
        <v>44679.75</v>
      </c>
      <c r="T210" s="28">
        <v>5440000</v>
      </c>
      <c r="U210" s="28">
        <f>Tabla1[[#This Row],[PPTO]]/(1+'Lista Datos'!$B$1)</f>
        <v>4571428.5714285718</v>
      </c>
      <c r="V210" s="23">
        <v>30</v>
      </c>
      <c r="W210" s="18" t="s">
        <v>10</v>
      </c>
      <c r="X210" s="102"/>
      <c r="Y210" s="18" t="s">
        <v>146</v>
      </c>
      <c r="Z210" s="18" t="s">
        <v>10</v>
      </c>
      <c r="AA210" s="23" t="s">
        <v>512</v>
      </c>
      <c r="AB210" s="23"/>
      <c r="AC210" s="23" t="s">
        <v>10</v>
      </c>
      <c r="AD210" s="23">
        <v>30</v>
      </c>
      <c r="AE210" s="29">
        <f>Tabla1[[#This Row],[Cierre]]+Tabla1[[#This Row],[Vigencia Oferta (días)]]</f>
        <v>44687.708333333336</v>
      </c>
      <c r="AF210" s="87">
        <v>8</v>
      </c>
      <c r="AG210" s="28">
        <v>570139</v>
      </c>
      <c r="AH210" s="164">
        <f>Tabla1[[#This Row],[Unidades2]]*Tabla1[[#This Row],[Precio Unitario]]</f>
        <v>4561112</v>
      </c>
      <c r="AI210" s="23" t="s">
        <v>44</v>
      </c>
      <c r="AJ210" s="26">
        <v>44670</v>
      </c>
      <c r="AK210" s="172">
        <f>Tabla1[[#This Row],[Fecha Vigencia]]-AJ210</f>
        <v>17.708333333335759</v>
      </c>
      <c r="AL210" s="23" t="s">
        <v>205</v>
      </c>
      <c r="AM210" s="87">
        <v>2770982</v>
      </c>
      <c r="AN210" s="23"/>
      <c r="AO210" s="29"/>
      <c r="AP210" s="23"/>
      <c r="AQ210" s="23" t="s">
        <v>293</v>
      </c>
      <c r="AR210" s="23" t="s">
        <v>10</v>
      </c>
      <c r="AS210" s="23"/>
      <c r="AT210" s="23"/>
      <c r="AU210" s="23"/>
      <c r="AV210" s="23"/>
      <c r="AW210" s="23"/>
      <c r="AX210" s="23"/>
      <c r="AY210" s="23"/>
      <c r="AZ210" s="23"/>
      <c r="BA210" s="23"/>
      <c r="BB210" s="32"/>
      <c r="BC210" s="73"/>
    </row>
    <row r="211" spans="1:55" ht="11.25" x14ac:dyDescent="0.2">
      <c r="A211" s="22" t="s">
        <v>1330</v>
      </c>
      <c r="B211" s="23" t="s">
        <v>832</v>
      </c>
      <c r="C211" s="23"/>
      <c r="D211" s="23" t="s">
        <v>558</v>
      </c>
      <c r="E211" s="24"/>
      <c r="F211" s="25"/>
      <c r="G211" s="23" t="s">
        <v>16</v>
      </c>
      <c r="H211" s="23" t="s">
        <v>520</v>
      </c>
      <c r="I211" s="2">
        <v>44652.706145833334</v>
      </c>
      <c r="J211" s="24">
        <f>MONTH(Tabla1[[#This Row],[Publicación]])</f>
        <v>4</v>
      </c>
      <c r="K211" s="24">
        <f>YEAR(Tabla1[[#This Row],[Publicación]])</f>
        <v>2022</v>
      </c>
      <c r="L211" s="2">
        <v>44658.625</v>
      </c>
      <c r="M211" s="26">
        <v>44655</v>
      </c>
      <c r="N211" s="25" t="s">
        <v>10</v>
      </c>
      <c r="O211" s="24" t="s">
        <v>33</v>
      </c>
      <c r="P211" s="24" t="s">
        <v>10</v>
      </c>
      <c r="Q211" s="2">
        <v>44656.602777777778</v>
      </c>
      <c r="R211" s="2">
        <v>44657.727777777778</v>
      </c>
      <c r="S211" s="26">
        <v>44668.602777777778</v>
      </c>
      <c r="T211" s="27">
        <v>0</v>
      </c>
      <c r="U211" s="28">
        <f>Tabla1[[#This Row],[PPTO]]/(1+'Lista Datos'!$B$1)</f>
        <v>0</v>
      </c>
      <c r="V211" s="23"/>
      <c r="W211" s="18" t="s">
        <v>10</v>
      </c>
      <c r="X211" s="102"/>
      <c r="Y211" s="18" t="s">
        <v>146</v>
      </c>
      <c r="Z211" s="18" t="s">
        <v>10</v>
      </c>
      <c r="AA211" s="23"/>
      <c r="AB211" s="23"/>
      <c r="AC211" s="23"/>
      <c r="AD211" s="23"/>
      <c r="AE211" s="29">
        <f>Tabla1[[#This Row],[Cierre]]+Tabla1[[#This Row],[Vigencia Oferta (días)]]</f>
        <v>44658.625</v>
      </c>
      <c r="AF211" s="87"/>
      <c r="AG211" s="28"/>
      <c r="AH211" s="164">
        <f>Tabla1[[#This Row],[Unidades2]]*Tabla1[[#This Row],[Precio Unitario]]</f>
        <v>0</v>
      </c>
      <c r="AI211" s="23" t="s">
        <v>44</v>
      </c>
      <c r="AJ211" s="26">
        <v>44669</v>
      </c>
      <c r="AK211" s="172">
        <f>Tabla1[[#This Row],[Fecha Vigencia]]-AJ211</f>
        <v>-10.375</v>
      </c>
      <c r="AL211" s="23" t="s">
        <v>45</v>
      </c>
      <c r="AM211" s="87">
        <v>53170</v>
      </c>
      <c r="AN211" s="23"/>
      <c r="AO211" s="29"/>
      <c r="AP211" s="23"/>
      <c r="AQ211" s="23" t="s">
        <v>440</v>
      </c>
      <c r="AR211" s="23" t="s">
        <v>10</v>
      </c>
      <c r="AS211" s="23"/>
      <c r="AT211" s="23"/>
      <c r="AU211" s="23"/>
      <c r="AV211" s="23"/>
      <c r="AW211" s="23"/>
      <c r="AX211" s="23"/>
      <c r="AY211" s="23"/>
      <c r="AZ211" s="23"/>
      <c r="BA211" s="23"/>
      <c r="BB211" s="32"/>
      <c r="BC211" s="73"/>
    </row>
    <row r="212" spans="1:55" x14ac:dyDescent="0.25">
      <c r="A212" s="22" t="s">
        <v>1331</v>
      </c>
      <c r="B212" s="23" t="s">
        <v>1332</v>
      </c>
      <c r="C212" s="23" t="s">
        <v>1333</v>
      </c>
      <c r="D212" s="23" t="s">
        <v>1334</v>
      </c>
      <c r="E212" s="24"/>
      <c r="F212" s="25"/>
      <c r="G212" s="23" t="s">
        <v>16</v>
      </c>
      <c r="H212" s="23" t="s">
        <v>520</v>
      </c>
      <c r="I212" s="2">
        <v>44652.684641203705</v>
      </c>
      <c r="J212" s="24">
        <f>MONTH(Tabla1[[#This Row],[Publicación]])</f>
        <v>4</v>
      </c>
      <c r="K212" s="24">
        <f>YEAR(Tabla1[[#This Row],[Publicación]])</f>
        <v>2022</v>
      </c>
      <c r="L212" s="2">
        <v>44662.625</v>
      </c>
      <c r="M212" s="26">
        <v>44655</v>
      </c>
      <c r="N212" s="25" t="s">
        <v>10</v>
      </c>
      <c r="O212" s="24" t="s">
        <v>33</v>
      </c>
      <c r="P212" s="24" t="s">
        <v>10</v>
      </c>
      <c r="Q212" s="2">
        <v>44655.833333333336</v>
      </c>
      <c r="R212" s="2">
        <v>44656.833333333336</v>
      </c>
      <c r="S212" s="26">
        <v>44663.738194444442</v>
      </c>
      <c r="T212" s="27">
        <v>0</v>
      </c>
      <c r="U212" s="28">
        <f>Tabla1[[#This Row],[PPTO]]/(1+'Lista Datos'!$B$1)</f>
        <v>0</v>
      </c>
      <c r="V212" s="23"/>
      <c r="W212" s="18" t="s">
        <v>10</v>
      </c>
      <c r="X212" s="102"/>
      <c r="Y212" s="18" t="s">
        <v>146</v>
      </c>
      <c r="Z212" s="18" t="s">
        <v>10</v>
      </c>
      <c r="AA212" s="23"/>
      <c r="AB212" s="23"/>
      <c r="AC212" s="23"/>
      <c r="AD212" s="23"/>
      <c r="AE212" s="29">
        <f>Tabla1[[#This Row],[Cierre]]+Tabla1[[#This Row],[Vigencia Oferta (días)]]</f>
        <v>44662.625</v>
      </c>
      <c r="AF212" s="87"/>
      <c r="AG212" s="28"/>
      <c r="AH212" s="164">
        <f>Tabla1[[#This Row],[Unidades2]]*Tabla1[[#This Row],[Precio Unitario]]</f>
        <v>0</v>
      </c>
      <c r="AI212" s="23" t="s">
        <v>44</v>
      </c>
      <c r="AJ212" s="26">
        <v>44685</v>
      </c>
      <c r="AK212" s="172">
        <f>Tabla1[[#This Row],[Fecha Vigencia]]-AJ212</f>
        <v>-22.375</v>
      </c>
      <c r="AL212" s="23" t="s">
        <v>45</v>
      </c>
      <c r="AM212" s="87">
        <v>166595</v>
      </c>
      <c r="AN212" s="23"/>
      <c r="AO212" s="29"/>
      <c r="AP212" s="23"/>
      <c r="AQ212" s="23" t="s">
        <v>1335</v>
      </c>
      <c r="AR212" s="23" t="s">
        <v>10</v>
      </c>
      <c r="AS212" s="23"/>
      <c r="AT212" s="23"/>
      <c r="AU212" s="23"/>
      <c r="AV212" s="23"/>
      <c r="AW212" s="23" t="s">
        <v>1336</v>
      </c>
      <c r="AX212" t="s">
        <v>1337</v>
      </c>
      <c r="AY212" s="23"/>
      <c r="AZ212" s="23"/>
      <c r="BA212" s="23"/>
      <c r="BB212" s="32"/>
      <c r="BC212" s="73"/>
    </row>
    <row r="213" spans="1:55" x14ac:dyDescent="0.25">
      <c r="A213" s="22" t="s">
        <v>1338</v>
      </c>
      <c r="B213" s="23" t="s">
        <v>1339</v>
      </c>
      <c r="C213" s="23" t="s">
        <v>1340</v>
      </c>
      <c r="D213" s="23" t="s">
        <v>752</v>
      </c>
      <c r="E213" s="24"/>
      <c r="F213" s="25"/>
      <c r="G213" s="23" t="s">
        <v>16</v>
      </c>
      <c r="H213" s="23" t="s">
        <v>145</v>
      </c>
      <c r="I213" s="2">
        <v>44656.646840277775</v>
      </c>
      <c r="J213" s="24">
        <f>MONTH(Tabla1[[#This Row],[Publicación]])</f>
        <v>4</v>
      </c>
      <c r="K213" s="24">
        <f>YEAR(Tabla1[[#This Row],[Publicación]])</f>
        <v>2022</v>
      </c>
      <c r="L213" s="2">
        <v>44662.645833333336</v>
      </c>
      <c r="M213" s="26">
        <v>44659</v>
      </c>
      <c r="N213" s="25" t="s">
        <v>10</v>
      </c>
      <c r="O213" s="24" t="s">
        <v>25</v>
      </c>
      <c r="P213" s="24" t="s">
        <v>10</v>
      </c>
      <c r="Q213" s="2">
        <v>44659.458333333336</v>
      </c>
      <c r="R213" s="2">
        <v>44659.465277777781</v>
      </c>
      <c r="S213" s="26">
        <v>44663.70416666667</v>
      </c>
      <c r="T213" s="27">
        <v>0</v>
      </c>
      <c r="U213" s="28">
        <f>Tabla1[[#This Row],[PPTO]]/(1+'Lista Datos'!$B$1)</f>
        <v>0</v>
      </c>
      <c r="V213" s="23"/>
      <c r="W213" s="18" t="s">
        <v>10</v>
      </c>
      <c r="X213" s="102"/>
      <c r="Y213" s="18" t="s">
        <v>146</v>
      </c>
      <c r="Z213" s="18" t="s">
        <v>10</v>
      </c>
      <c r="AA213" s="23"/>
      <c r="AB213" s="23"/>
      <c r="AC213" s="23"/>
      <c r="AD213" s="23"/>
      <c r="AE213" s="29">
        <f>Tabla1[[#This Row],[Cierre]]+Tabla1[[#This Row],[Vigencia Oferta (días)]]</f>
        <v>44662.645833333336</v>
      </c>
      <c r="AF213" s="87"/>
      <c r="AG213" s="28"/>
      <c r="AH213" s="164">
        <f>Tabla1[[#This Row],[Unidades2]]*Tabla1[[#This Row],[Precio Unitario]]</f>
        <v>0</v>
      </c>
      <c r="AI213" s="23" t="s">
        <v>44</v>
      </c>
      <c r="AJ213" s="26">
        <v>44669</v>
      </c>
      <c r="AK213" s="172">
        <f>Tabla1[[#This Row],[Fecha Vigencia]]-AJ213</f>
        <v>-6.3541666666642413</v>
      </c>
      <c r="AL213" s="23" t="s">
        <v>45</v>
      </c>
      <c r="AM213" s="87">
        <v>2534000</v>
      </c>
      <c r="AN213" s="23"/>
      <c r="AO213" s="29"/>
      <c r="AP213" s="23"/>
      <c r="AQ213" s="23" t="s">
        <v>1341</v>
      </c>
      <c r="AR213" s="23" t="s">
        <v>10</v>
      </c>
      <c r="AS213" s="23"/>
      <c r="AT213" s="23"/>
      <c r="AU213" s="23"/>
      <c r="AV213" s="23"/>
      <c r="AW213" s="23" t="s">
        <v>1251</v>
      </c>
      <c r="AX213" t="s">
        <v>1342</v>
      </c>
      <c r="AY213" s="23"/>
      <c r="AZ213" s="23"/>
      <c r="BA213" s="23"/>
      <c r="BB213" s="32"/>
      <c r="BC213" s="73"/>
    </row>
    <row r="214" spans="1:55" x14ac:dyDescent="0.25">
      <c r="A214" s="22" t="s">
        <v>1343</v>
      </c>
      <c r="B214" s="23" t="s">
        <v>1344</v>
      </c>
      <c r="C214" s="23" t="s">
        <v>1345</v>
      </c>
      <c r="D214" s="23" t="s">
        <v>1346</v>
      </c>
      <c r="E214" s="24"/>
      <c r="F214" s="25"/>
      <c r="G214" s="23" t="s">
        <v>16</v>
      </c>
      <c r="H214" s="23" t="s">
        <v>345</v>
      </c>
      <c r="I214" s="2">
        <v>44631.679143518515</v>
      </c>
      <c r="J214" s="24">
        <f>MONTH(Tabla1[[#This Row],[Publicación]])</f>
        <v>3</v>
      </c>
      <c r="K214" s="24">
        <f>YEAR(Tabla1[[#This Row],[Publicación]])</f>
        <v>2022</v>
      </c>
      <c r="L214" s="2">
        <v>44662.666666666664</v>
      </c>
      <c r="M214" s="26"/>
      <c r="N214" s="25" t="s">
        <v>10</v>
      </c>
      <c r="O214" s="24" t="s">
        <v>31</v>
      </c>
      <c r="P214" s="24" t="s">
        <v>10</v>
      </c>
      <c r="Q214" s="2">
        <v>44646.708333333336</v>
      </c>
      <c r="R214" s="2">
        <v>44651.434027777781</v>
      </c>
      <c r="S214" s="26">
        <v>44692.625</v>
      </c>
      <c r="T214" s="27">
        <v>0</v>
      </c>
      <c r="U214" s="28">
        <f>Tabla1[[#This Row],[PPTO]]/(1+'Lista Datos'!$B$1)</f>
        <v>0</v>
      </c>
      <c r="V214" s="23"/>
      <c r="W214" s="18" t="s">
        <v>11</v>
      </c>
      <c r="X214" s="102">
        <v>500000</v>
      </c>
      <c r="Y214" s="26">
        <v>44753</v>
      </c>
      <c r="Z214" s="18" t="s">
        <v>11</v>
      </c>
      <c r="AA214" s="23"/>
      <c r="AB214" s="23"/>
      <c r="AC214" s="23"/>
      <c r="AD214" s="23"/>
      <c r="AE214" s="29">
        <f>Tabla1[[#This Row],[Cierre]]+Tabla1[[#This Row],[Vigencia Oferta (días)]]</f>
        <v>44662.666666666664</v>
      </c>
      <c r="AF214" s="87"/>
      <c r="AG214" s="28"/>
      <c r="AH214" s="164">
        <f>Tabla1[[#This Row],[Unidades2]]*Tabla1[[#This Row],[Precio Unitario]]</f>
        <v>0</v>
      </c>
      <c r="AI214" s="23" t="s">
        <v>320</v>
      </c>
      <c r="AJ214" s="26"/>
      <c r="AK214" s="172">
        <f>Tabla1[[#This Row],[Fecha Vigencia]]-AJ214</f>
        <v>44662.666666666664</v>
      </c>
      <c r="AL214" s="23"/>
      <c r="AM214" s="87"/>
      <c r="AN214" s="23"/>
      <c r="AO214" s="29"/>
      <c r="AP214" s="23"/>
      <c r="AQ214" s="23" t="s">
        <v>1347</v>
      </c>
      <c r="AR214" s="23" t="s">
        <v>11</v>
      </c>
      <c r="AS214" s="23" t="s">
        <v>1348</v>
      </c>
      <c r="AT214" s="29">
        <v>45894</v>
      </c>
      <c r="AU214" s="23"/>
      <c r="AV214" s="23"/>
      <c r="AW214" s="23" t="s">
        <v>1349</v>
      </c>
      <c r="AX214" t="s">
        <v>1350</v>
      </c>
      <c r="AY214" s="23"/>
      <c r="AZ214" s="23"/>
      <c r="BA214" s="23"/>
      <c r="BB214" s="32"/>
      <c r="BC214" s="73"/>
    </row>
    <row r="215" spans="1:55" x14ac:dyDescent="0.25">
      <c r="A215" s="22" t="s">
        <v>1351</v>
      </c>
      <c r="B215" s="23" t="s">
        <v>1352</v>
      </c>
      <c r="C215" s="23" t="s">
        <v>1353</v>
      </c>
      <c r="D215" s="23" t="s">
        <v>1354</v>
      </c>
      <c r="E215" s="24"/>
      <c r="F215" s="25"/>
      <c r="G215" s="23" t="s">
        <v>16</v>
      </c>
      <c r="H215" s="23" t="s">
        <v>123</v>
      </c>
      <c r="I215" s="2">
        <v>44651.436874999999</v>
      </c>
      <c r="J215" s="24">
        <f>MONTH(Tabla1[[#This Row],[Publicación]])</f>
        <v>3</v>
      </c>
      <c r="K215" s="24">
        <f>YEAR(Tabla1[[#This Row],[Publicación]])</f>
        <v>2022</v>
      </c>
      <c r="L215" s="2">
        <v>44663.6875</v>
      </c>
      <c r="M215" s="26">
        <v>44651</v>
      </c>
      <c r="N215" s="25" t="s">
        <v>11</v>
      </c>
      <c r="O215" s="24"/>
      <c r="P215" s="24" t="s">
        <v>11</v>
      </c>
      <c r="Q215" s="2">
        <v>44657.5</v>
      </c>
      <c r="R215" s="2">
        <v>44659.645833333336</v>
      </c>
      <c r="S215" s="26">
        <v>44672.73060185185</v>
      </c>
      <c r="T215" s="27">
        <v>0</v>
      </c>
      <c r="U215" s="28">
        <f>Tabla1[[#This Row],[PPTO]]/(1+'Lista Datos'!$B$1)</f>
        <v>0</v>
      </c>
      <c r="V215" s="23"/>
      <c r="W215" s="18" t="s">
        <v>10</v>
      </c>
      <c r="X215" s="102"/>
      <c r="Y215" s="18" t="s">
        <v>146</v>
      </c>
      <c r="Z215" s="18" t="s">
        <v>10</v>
      </c>
      <c r="AA215" s="23" t="s">
        <v>177</v>
      </c>
      <c r="AB215" s="23">
        <v>12</v>
      </c>
      <c r="AC215" s="23" t="s">
        <v>10</v>
      </c>
      <c r="AD215" s="23"/>
      <c r="AE215" s="29">
        <f>Tabla1[[#This Row],[Cierre]]+Tabla1[[#This Row],[Vigencia Oferta (días)]]</f>
        <v>44663.6875</v>
      </c>
      <c r="AF215" s="87"/>
      <c r="AG215" s="28"/>
      <c r="AH215" s="164">
        <f>Tabla1[[#This Row],[Unidades2]]*Tabla1[[#This Row],[Precio Unitario]]</f>
        <v>0</v>
      </c>
      <c r="AI215" s="23" t="s">
        <v>44</v>
      </c>
      <c r="AJ215" s="26">
        <v>44672</v>
      </c>
      <c r="AK215" s="172">
        <f>Tabla1[[#This Row],[Fecha Vigencia]]-AJ215</f>
        <v>-8.3125</v>
      </c>
      <c r="AL215" s="23" t="s">
        <v>115</v>
      </c>
      <c r="AM215" s="87">
        <v>2248047</v>
      </c>
      <c r="AN215" s="29">
        <v>44672</v>
      </c>
      <c r="AO215" s="29">
        <v>45037</v>
      </c>
      <c r="AP215" s="23" t="s">
        <v>177</v>
      </c>
      <c r="AQ215" s="23" t="s">
        <v>1355</v>
      </c>
      <c r="AR215" s="23" t="s">
        <v>11</v>
      </c>
      <c r="AS215" s="33">
        <v>0.05</v>
      </c>
      <c r="AT215" s="29">
        <v>45083</v>
      </c>
      <c r="AU215" s="23"/>
      <c r="AV215" s="23"/>
      <c r="AW215" s="23" t="s">
        <v>1356</v>
      </c>
      <c r="AX215" t="s">
        <v>1357</v>
      </c>
      <c r="AY215" s="23" t="s">
        <v>309</v>
      </c>
      <c r="AZ215" s="23"/>
      <c r="BA215" s="23"/>
      <c r="BB215" s="32"/>
      <c r="BC215" s="73"/>
    </row>
    <row r="216" spans="1:55" x14ac:dyDescent="0.25">
      <c r="A216" s="22" t="s">
        <v>1358</v>
      </c>
      <c r="B216" s="23" t="s">
        <v>1359</v>
      </c>
      <c r="C216" s="23" t="s">
        <v>1360</v>
      </c>
      <c r="D216" s="23" t="s">
        <v>486</v>
      </c>
      <c r="E216" s="24"/>
      <c r="F216" s="25"/>
      <c r="G216" s="23" t="s">
        <v>21</v>
      </c>
      <c r="H216" s="23" t="s">
        <v>106</v>
      </c>
      <c r="I216" s="2">
        <v>44658.458831018521</v>
      </c>
      <c r="J216" s="24">
        <f>MONTH(Tabla1[[#This Row],[Publicación]])</f>
        <v>4</v>
      </c>
      <c r="K216" s="24">
        <f>YEAR(Tabla1[[#This Row],[Publicación]])</f>
        <v>2022</v>
      </c>
      <c r="L216" s="2">
        <v>44663.75</v>
      </c>
      <c r="M216" s="26">
        <v>44659</v>
      </c>
      <c r="N216" s="25" t="s">
        <v>11</v>
      </c>
      <c r="O216" s="24"/>
      <c r="P216" s="24" t="s">
        <v>11</v>
      </c>
      <c r="Q216" s="2">
        <v>44661.666666666664</v>
      </c>
      <c r="R216" s="2">
        <v>44662.708333333336</v>
      </c>
      <c r="S216" s="26">
        <v>44693.708333333336</v>
      </c>
      <c r="T216" s="28">
        <v>10263750</v>
      </c>
      <c r="U216" s="28">
        <f>Tabla1[[#This Row],[PPTO]]/(1+'Lista Datos'!$B$1)</f>
        <v>8625000</v>
      </c>
      <c r="V216" s="23">
        <v>30</v>
      </c>
      <c r="W216" s="18" t="s">
        <v>10</v>
      </c>
      <c r="X216" s="102"/>
      <c r="Y216" s="18" t="s">
        <v>146</v>
      </c>
      <c r="Z216" s="18" t="s">
        <v>10</v>
      </c>
      <c r="AA216" s="23" t="s">
        <v>512</v>
      </c>
      <c r="AB216" s="23"/>
      <c r="AC216" s="23" t="s">
        <v>10</v>
      </c>
      <c r="AD216" s="23">
        <v>90</v>
      </c>
      <c r="AE216" s="29">
        <f>Tabla1[[#This Row],[Cierre]]+Tabla1[[#This Row],[Vigencia Oferta (días)]]</f>
        <v>44753.75</v>
      </c>
      <c r="AF216" s="87">
        <v>1</v>
      </c>
      <c r="AG216" s="28">
        <v>7852985</v>
      </c>
      <c r="AH216" s="164">
        <f>Tabla1[[#This Row],[Unidades2]]*Tabla1[[#This Row],[Precio Unitario]]</f>
        <v>7852985</v>
      </c>
      <c r="AI216" s="23" t="s">
        <v>44</v>
      </c>
      <c r="AJ216" s="26">
        <v>44700</v>
      </c>
      <c r="AK216" s="172">
        <f>Tabla1[[#This Row],[Fecha Vigencia]]-AJ216</f>
        <v>53.75</v>
      </c>
      <c r="AL216" s="23" t="s">
        <v>115</v>
      </c>
      <c r="AM216" s="87">
        <v>7852985</v>
      </c>
      <c r="AN216" s="23"/>
      <c r="AO216" s="29"/>
      <c r="AP216" s="23"/>
      <c r="AQ216" s="23" t="s">
        <v>487</v>
      </c>
      <c r="AR216" s="23" t="s">
        <v>10</v>
      </c>
      <c r="AS216" s="23"/>
      <c r="AT216" s="23"/>
      <c r="AU216" t="s">
        <v>1361</v>
      </c>
      <c r="AV216" s="74"/>
      <c r="AW216" s="23" t="s">
        <v>1362</v>
      </c>
      <c r="AX216" t="s">
        <v>1363</v>
      </c>
      <c r="AY216" s="23"/>
      <c r="AZ216" s="23"/>
      <c r="BA216" s="23"/>
      <c r="BB216" s="32"/>
      <c r="BC216" s="73"/>
    </row>
    <row r="217" spans="1:55" x14ac:dyDescent="0.25">
      <c r="A217" s="22" t="s">
        <v>1364</v>
      </c>
      <c r="B217" s="23" t="s">
        <v>1365</v>
      </c>
      <c r="C217" s="23" t="s">
        <v>1366</v>
      </c>
      <c r="D217" s="23" t="s">
        <v>1367</v>
      </c>
      <c r="E217" s="24"/>
      <c r="F217" s="25"/>
      <c r="G217" s="23" t="s">
        <v>20</v>
      </c>
      <c r="H217" s="23" t="s">
        <v>176</v>
      </c>
      <c r="I217" s="2">
        <v>44642.708831018521</v>
      </c>
      <c r="J217" s="24">
        <f>MONTH(Tabla1[[#This Row],[Publicación]])</f>
        <v>3</v>
      </c>
      <c r="K217" s="24">
        <f>YEAR(Tabla1[[#This Row],[Publicación]])</f>
        <v>2022</v>
      </c>
      <c r="L217" s="2">
        <v>44663.791666666664</v>
      </c>
      <c r="M217" s="26">
        <v>44643</v>
      </c>
      <c r="N217" s="25" t="s">
        <v>10</v>
      </c>
      <c r="O217" s="24" t="s">
        <v>25</v>
      </c>
      <c r="P217" s="24" t="s">
        <v>10</v>
      </c>
      <c r="Q217" s="2">
        <v>44648.75</v>
      </c>
      <c r="R217" s="2">
        <v>44652.833333333336</v>
      </c>
      <c r="S217" s="26"/>
      <c r="T217" s="27">
        <v>0</v>
      </c>
      <c r="U217" s="28">
        <f>Tabla1[[#This Row],[PPTO]]/(1+'Lista Datos'!$B$1)</f>
        <v>0</v>
      </c>
      <c r="V217" s="23"/>
      <c r="W217" s="18" t="s">
        <v>11</v>
      </c>
      <c r="X217" s="102">
        <v>300000</v>
      </c>
      <c r="Y217" s="26">
        <v>44751</v>
      </c>
      <c r="Z217" s="18" t="s">
        <v>10</v>
      </c>
      <c r="AA217" s="23" t="s">
        <v>177</v>
      </c>
      <c r="AB217" s="23">
        <v>24</v>
      </c>
      <c r="AC217" s="23" t="s">
        <v>10</v>
      </c>
      <c r="AD217" s="23"/>
      <c r="AE217" s="29">
        <f>Tabla1[[#This Row],[Cierre]]+Tabla1[[#This Row],[Vigencia Oferta (días)]]</f>
        <v>44663.791666666664</v>
      </c>
      <c r="AF217" s="87"/>
      <c r="AG217" s="28"/>
      <c r="AH217" s="164">
        <f>Tabla1[[#This Row],[Unidades2]]*Tabla1[[#This Row],[Precio Unitario]]</f>
        <v>0</v>
      </c>
      <c r="AI217" s="23" t="s">
        <v>44</v>
      </c>
      <c r="AJ217" s="26">
        <v>44854</v>
      </c>
      <c r="AK217" s="172">
        <f>Tabla1[[#This Row],[Fecha Vigencia]]-AJ217</f>
        <v>-190.20833333333576</v>
      </c>
      <c r="AL217" s="23" t="s">
        <v>46</v>
      </c>
      <c r="AM217" s="87" t="s">
        <v>1368</v>
      </c>
      <c r="AN217" s="29">
        <v>44854</v>
      </c>
      <c r="AO217" s="29">
        <v>45585</v>
      </c>
      <c r="AP217" s="23" t="s">
        <v>177</v>
      </c>
      <c r="AQ217" s="23" t="s">
        <v>1369</v>
      </c>
      <c r="AR217" s="23" t="s">
        <v>11</v>
      </c>
      <c r="AS217" s="33">
        <v>0.05</v>
      </c>
      <c r="AT217" s="29">
        <v>45565</v>
      </c>
      <c r="AU217" s="23"/>
      <c r="AV217" s="23"/>
      <c r="AW217" s="23" t="s">
        <v>1370</v>
      </c>
      <c r="AX217" t="s">
        <v>1371</v>
      </c>
      <c r="AY217" s="23"/>
      <c r="AZ217" s="23"/>
      <c r="BA217" s="23"/>
      <c r="BB217" s="32"/>
      <c r="BC217" s="73"/>
    </row>
    <row r="218" spans="1:55" x14ac:dyDescent="0.25">
      <c r="A218" s="22" t="s">
        <v>1372</v>
      </c>
      <c r="B218" s="23" t="s">
        <v>1373</v>
      </c>
      <c r="C218" s="23" t="s">
        <v>1374</v>
      </c>
      <c r="D218" s="23" t="s">
        <v>1375</v>
      </c>
      <c r="E218" s="24"/>
      <c r="F218" s="25"/>
      <c r="G218" s="23" t="s">
        <v>16</v>
      </c>
      <c r="H218" s="23" t="s">
        <v>123</v>
      </c>
      <c r="I218" s="2">
        <v>44651.656030092592</v>
      </c>
      <c r="J218" s="24">
        <f>MONTH(Tabla1[[#This Row],[Publicación]])</f>
        <v>3</v>
      </c>
      <c r="K218" s="24">
        <f>YEAR(Tabla1[[#This Row],[Publicación]])</f>
        <v>2022</v>
      </c>
      <c r="L218" s="2">
        <v>44664.375</v>
      </c>
      <c r="M218" s="26">
        <v>44562</v>
      </c>
      <c r="N218" s="25" t="s">
        <v>10</v>
      </c>
      <c r="O218" s="24" t="s">
        <v>25</v>
      </c>
      <c r="P218" s="24" t="s">
        <v>10</v>
      </c>
      <c r="Q218" s="2">
        <v>44657.666666666664</v>
      </c>
      <c r="R218" s="2">
        <v>44659.541666666664</v>
      </c>
      <c r="S218" s="26">
        <v>44676.625</v>
      </c>
      <c r="T218" s="27">
        <v>0</v>
      </c>
      <c r="U218" s="28">
        <f>Tabla1[[#This Row],[PPTO]]/(1+'Lista Datos'!$B$1)</f>
        <v>0</v>
      </c>
      <c r="V218" s="23"/>
      <c r="W218" s="18" t="s">
        <v>11</v>
      </c>
      <c r="X218" s="102">
        <v>100000</v>
      </c>
      <c r="Y218" s="26">
        <v>44754</v>
      </c>
      <c r="Z218" s="18" t="s">
        <v>10</v>
      </c>
      <c r="AA218" s="23"/>
      <c r="AB218" s="23"/>
      <c r="AC218" s="23"/>
      <c r="AD218" s="23"/>
      <c r="AE218" s="29">
        <f>Tabla1[[#This Row],[Cierre]]+Tabla1[[#This Row],[Vigencia Oferta (días)]]</f>
        <v>44664.375</v>
      </c>
      <c r="AF218" s="87"/>
      <c r="AG218" s="28"/>
      <c r="AH218" s="164">
        <f>Tabla1[[#This Row],[Unidades2]]*Tabla1[[#This Row],[Precio Unitario]]</f>
        <v>0</v>
      </c>
      <c r="AI218" s="23" t="s">
        <v>137</v>
      </c>
      <c r="AJ218" s="26"/>
      <c r="AK218" s="172">
        <f>Tabla1[[#This Row],[Fecha Vigencia]]-AJ218</f>
        <v>44664.375</v>
      </c>
      <c r="AL218" s="23"/>
      <c r="AM218" s="87"/>
      <c r="AN218" s="23"/>
      <c r="AO218" s="29"/>
      <c r="AP218" s="23"/>
      <c r="AQ218" s="23" t="s">
        <v>1376</v>
      </c>
      <c r="AR218" s="23" t="s">
        <v>11</v>
      </c>
      <c r="AS218" s="33">
        <v>0.05</v>
      </c>
      <c r="AT218" s="29">
        <v>45506</v>
      </c>
      <c r="AU218" s="23"/>
      <c r="AV218" s="23"/>
      <c r="AW218" s="23" t="s">
        <v>1377</v>
      </c>
      <c r="AX218" t="s">
        <v>1378</v>
      </c>
      <c r="AY218" s="23"/>
      <c r="AZ218" s="23"/>
      <c r="BA218" s="23"/>
      <c r="BB218" s="32"/>
      <c r="BC218" s="73"/>
    </row>
    <row r="219" spans="1:55" x14ac:dyDescent="0.25">
      <c r="A219" s="22" t="s">
        <v>1379</v>
      </c>
      <c r="B219" s="23" t="s">
        <v>1380</v>
      </c>
      <c r="C219" s="23" t="s">
        <v>1381</v>
      </c>
      <c r="D219" s="23" t="s">
        <v>1382</v>
      </c>
      <c r="E219" s="24"/>
      <c r="F219" s="25"/>
      <c r="G219" s="23" t="s">
        <v>21</v>
      </c>
      <c r="H219" s="23" t="s">
        <v>106</v>
      </c>
      <c r="I219" s="2">
        <v>44645.76190972222</v>
      </c>
      <c r="J219" s="24">
        <f>MONTH(Tabla1[[#This Row],[Publicación]])</f>
        <v>3</v>
      </c>
      <c r="K219" s="24">
        <f>YEAR(Tabla1[[#This Row],[Publicación]])</f>
        <v>2022</v>
      </c>
      <c r="L219" s="2">
        <v>44665.583333333336</v>
      </c>
      <c r="M219" s="26">
        <v>44651</v>
      </c>
      <c r="N219" s="25" t="s">
        <v>10</v>
      </c>
      <c r="O219" s="24" t="s">
        <v>30</v>
      </c>
      <c r="P219" s="24" t="s">
        <v>10</v>
      </c>
      <c r="Q219" s="2">
        <v>44650.583333333336</v>
      </c>
      <c r="R219" s="2">
        <v>44655.75</v>
      </c>
      <c r="S219" s="26">
        <v>44726.75</v>
      </c>
      <c r="T219" s="28">
        <v>141243487</v>
      </c>
      <c r="U219" s="28">
        <f>Tabla1[[#This Row],[PPTO]]/(1+'Lista Datos'!$B$1)</f>
        <v>118692005.88235295</v>
      </c>
      <c r="V219" s="23">
        <v>30</v>
      </c>
      <c r="W219" s="18" t="s">
        <v>11</v>
      </c>
      <c r="X219" s="115">
        <v>0.03</v>
      </c>
      <c r="Y219" s="26">
        <v>44785</v>
      </c>
      <c r="Z219" s="18" t="s">
        <v>10</v>
      </c>
      <c r="AA219" s="23" t="s">
        <v>177</v>
      </c>
      <c r="AB219" s="23">
        <v>12</v>
      </c>
      <c r="AC219" s="23"/>
      <c r="AD219" s="23">
        <v>120</v>
      </c>
      <c r="AE219" s="29">
        <f>Tabla1[[#This Row],[Cierre]]+Tabla1[[#This Row],[Vigencia Oferta (días)]]</f>
        <v>44785.583333333336</v>
      </c>
      <c r="AF219" s="87">
        <v>59</v>
      </c>
      <c r="AG219" s="28">
        <v>28848</v>
      </c>
      <c r="AH219" s="164">
        <f>Tabla1[[#This Row],[Unidades2]]*Tabla1[[#This Row],[Precio Unitario]]</f>
        <v>1702032</v>
      </c>
      <c r="AI219" s="23" t="s">
        <v>44</v>
      </c>
      <c r="AJ219" s="26">
        <v>44755</v>
      </c>
      <c r="AK219" s="172">
        <f>Tabla1[[#This Row],[Fecha Vigencia]]-AJ219</f>
        <v>30.583333333335759</v>
      </c>
      <c r="AL219" s="23" t="s">
        <v>46</v>
      </c>
      <c r="AM219" s="87">
        <v>12000</v>
      </c>
      <c r="AN219" s="23"/>
      <c r="AO219" s="29"/>
      <c r="AP219" s="23"/>
      <c r="AQ219" s="23" t="s">
        <v>1002</v>
      </c>
      <c r="AR219" s="23" t="s">
        <v>11</v>
      </c>
      <c r="AS219" s="33">
        <v>0.05</v>
      </c>
      <c r="AT219" s="29">
        <v>45244</v>
      </c>
      <c r="AU219" s="23"/>
      <c r="AV219" s="23"/>
      <c r="AW219" s="23" t="s">
        <v>1003</v>
      </c>
      <c r="AX219" t="s">
        <v>1383</v>
      </c>
      <c r="AY219" s="23"/>
      <c r="AZ219" s="23"/>
      <c r="BA219" s="23"/>
      <c r="BB219" s="32"/>
      <c r="BC219" s="73"/>
    </row>
    <row r="220" spans="1:55" x14ac:dyDescent="0.25">
      <c r="A220" s="22" t="s">
        <v>1384</v>
      </c>
      <c r="B220" s="23" t="s">
        <v>927</v>
      </c>
      <c r="C220" s="23" t="s">
        <v>927</v>
      </c>
      <c r="D220" s="23" t="s">
        <v>929</v>
      </c>
      <c r="E220" s="24"/>
      <c r="F220" s="25"/>
      <c r="G220" s="23" t="s">
        <v>16</v>
      </c>
      <c r="H220" s="23" t="s">
        <v>123</v>
      </c>
      <c r="I220" s="2">
        <v>44658.705046296294</v>
      </c>
      <c r="J220" s="24">
        <f>MONTH(Tabla1[[#This Row],[Publicación]])</f>
        <v>4</v>
      </c>
      <c r="K220" s="24">
        <f>YEAR(Tabla1[[#This Row],[Publicación]])</f>
        <v>2022</v>
      </c>
      <c r="L220" s="2">
        <v>44665.6875</v>
      </c>
      <c r="M220" s="26">
        <v>44659</v>
      </c>
      <c r="N220" s="25" t="s">
        <v>11</v>
      </c>
      <c r="O220" s="24"/>
      <c r="P220" s="24" t="s">
        <v>11</v>
      </c>
      <c r="Q220" s="2">
        <v>44661.833333333336</v>
      </c>
      <c r="R220" s="2">
        <v>44662.833333333336</v>
      </c>
      <c r="S220" s="26">
        <v>44680.75</v>
      </c>
      <c r="T220" s="27">
        <v>0</v>
      </c>
      <c r="U220" s="28">
        <f>Tabla1[[#This Row],[PPTO]]/(1+'Lista Datos'!$B$1)</f>
        <v>0</v>
      </c>
      <c r="V220" s="23"/>
      <c r="W220" s="18" t="s">
        <v>10</v>
      </c>
      <c r="X220" s="102"/>
      <c r="Y220" s="18" t="s">
        <v>146</v>
      </c>
      <c r="Z220" s="18" t="s">
        <v>10</v>
      </c>
      <c r="AA220" s="23" t="s">
        <v>177</v>
      </c>
      <c r="AB220" s="23">
        <v>9</v>
      </c>
      <c r="AC220" s="23" t="s">
        <v>10</v>
      </c>
      <c r="AD220" s="23"/>
      <c r="AE220" s="29">
        <f>Tabla1[[#This Row],[Cierre]]+Tabla1[[#This Row],[Vigencia Oferta (días)]]</f>
        <v>44665.6875</v>
      </c>
      <c r="AF220" s="87"/>
      <c r="AG220" s="28"/>
      <c r="AH220" s="164">
        <f>Tabla1[[#This Row],[Unidades2]]*Tabla1[[#This Row],[Precio Unitario]]</f>
        <v>0</v>
      </c>
      <c r="AI220" s="23" t="s">
        <v>44</v>
      </c>
      <c r="AJ220" s="26">
        <v>44683</v>
      </c>
      <c r="AK220" s="172">
        <f>Tabla1[[#This Row],[Fecha Vigencia]]-AJ220</f>
        <v>-17.3125</v>
      </c>
      <c r="AL220" s="23" t="s">
        <v>115</v>
      </c>
      <c r="AM220" s="87">
        <v>10662</v>
      </c>
      <c r="AN220" s="29">
        <v>44683</v>
      </c>
      <c r="AO220" s="29">
        <v>44959</v>
      </c>
      <c r="AP220" s="23" t="s">
        <v>177</v>
      </c>
      <c r="AQ220" s="23" t="s">
        <v>930</v>
      </c>
      <c r="AR220" s="23" t="s">
        <v>10</v>
      </c>
      <c r="AS220" s="23"/>
      <c r="AT220" s="23"/>
      <c r="AU220" s="23" t="s">
        <v>1385</v>
      </c>
      <c r="AV220" s="23" t="s">
        <v>1386</v>
      </c>
      <c r="AW220" s="23" t="s">
        <v>1387</v>
      </c>
      <c r="AX220" t="s">
        <v>1388</v>
      </c>
      <c r="AY220" s="23"/>
      <c r="AZ220" s="23"/>
      <c r="BA220" s="23"/>
      <c r="BB220" s="32"/>
      <c r="BC220" s="73"/>
    </row>
    <row r="221" spans="1:55" ht="11.25" x14ac:dyDescent="0.2">
      <c r="A221" s="22" t="s">
        <v>1389</v>
      </c>
      <c r="B221" s="23" t="s">
        <v>1390</v>
      </c>
      <c r="C221" s="23" t="s">
        <v>1391</v>
      </c>
      <c r="D221" s="23" t="s">
        <v>1392</v>
      </c>
      <c r="E221" s="24"/>
      <c r="F221" s="25"/>
      <c r="G221" s="23" t="s">
        <v>16</v>
      </c>
      <c r="H221" s="23" t="s">
        <v>123</v>
      </c>
      <c r="I221" s="2">
        <v>44656.692465277774</v>
      </c>
      <c r="J221" s="24">
        <f>MONTH(Tabla1[[#This Row],[Publicación]])</f>
        <v>4</v>
      </c>
      <c r="K221" s="24">
        <f>YEAR(Tabla1[[#This Row],[Publicación]])</f>
        <v>2022</v>
      </c>
      <c r="L221" s="2">
        <v>44669.628472222219</v>
      </c>
      <c r="M221" s="26">
        <v>44656</v>
      </c>
      <c r="N221" s="25" t="s">
        <v>11</v>
      </c>
      <c r="O221" s="24"/>
      <c r="P221" s="24" t="s">
        <v>11</v>
      </c>
      <c r="Q221" s="2">
        <v>44662.5</v>
      </c>
      <c r="R221" s="2">
        <v>44664.708333333336</v>
      </c>
      <c r="S221" s="26">
        <v>44746.708333333336</v>
      </c>
      <c r="T221" s="27">
        <v>0</v>
      </c>
      <c r="U221" s="28">
        <f>Tabla1[[#This Row],[PPTO]]/(1+'Lista Datos'!$B$1)</f>
        <v>0</v>
      </c>
      <c r="V221" s="23"/>
      <c r="W221" s="18" t="s">
        <v>11</v>
      </c>
      <c r="X221" s="102">
        <v>1000000</v>
      </c>
      <c r="Y221" s="26">
        <v>44756</v>
      </c>
      <c r="Z221" s="18" t="s">
        <v>11</v>
      </c>
      <c r="AA221" s="23" t="s">
        <v>177</v>
      </c>
      <c r="AB221" s="23">
        <v>36</v>
      </c>
      <c r="AC221" s="23" t="s">
        <v>10</v>
      </c>
      <c r="AD221" s="23"/>
      <c r="AE221" s="29">
        <f>Tabla1[[#This Row],[Cierre]]+Tabla1[[#This Row],[Vigencia Oferta (días)]]</f>
        <v>44669.628472222219</v>
      </c>
      <c r="AF221" s="87"/>
      <c r="AG221" s="28"/>
      <c r="AH221" s="164">
        <f>Tabla1[[#This Row],[Unidades2]]*Tabla1[[#This Row],[Precio Unitario]]</f>
        <v>0</v>
      </c>
      <c r="AI221" s="23" t="s">
        <v>44</v>
      </c>
      <c r="AJ221" s="26">
        <v>44714</v>
      </c>
      <c r="AK221" s="172">
        <f>Tabla1[[#This Row],[Fecha Vigencia]]-AJ221</f>
        <v>-44.371527777781012</v>
      </c>
      <c r="AL221" s="23" t="s">
        <v>115</v>
      </c>
      <c r="AM221" s="87">
        <v>275000000</v>
      </c>
      <c r="AN221" s="29">
        <v>44714</v>
      </c>
      <c r="AO221" s="29">
        <v>45810</v>
      </c>
      <c r="AP221" s="23" t="s">
        <v>177</v>
      </c>
      <c r="AQ221" s="23" t="s">
        <v>1341</v>
      </c>
      <c r="AR221" s="23" t="s">
        <v>11</v>
      </c>
      <c r="AS221" s="33">
        <v>0.05</v>
      </c>
      <c r="AT221" s="29">
        <v>45938</v>
      </c>
      <c r="AU221" s="23" t="s">
        <v>1393</v>
      </c>
      <c r="AV221" s="23" t="s">
        <v>1394</v>
      </c>
      <c r="AW221" s="23" t="s">
        <v>1395</v>
      </c>
      <c r="AX221" s="23" t="s">
        <v>1396</v>
      </c>
      <c r="AY221" s="23"/>
      <c r="AZ221" s="23"/>
      <c r="BA221" s="23"/>
      <c r="BB221" s="32"/>
      <c r="BC221" s="73"/>
    </row>
    <row r="222" spans="1:55" x14ac:dyDescent="0.25">
      <c r="A222" s="22" t="s">
        <v>1397</v>
      </c>
      <c r="B222" s="23" t="s">
        <v>1398</v>
      </c>
      <c r="C222" s="23" t="s">
        <v>1399</v>
      </c>
      <c r="D222" s="23" t="s">
        <v>1400</v>
      </c>
      <c r="E222" s="24"/>
      <c r="F222" s="25"/>
      <c r="G222" s="23" t="s">
        <v>16</v>
      </c>
      <c r="H222" s="23" t="s">
        <v>123</v>
      </c>
      <c r="I222" s="2">
        <v>44658.645636574074</v>
      </c>
      <c r="J222" s="24">
        <f>MONTH(Tabla1[[#This Row],[Publicación]])</f>
        <v>4</v>
      </c>
      <c r="K222" s="24">
        <f>YEAR(Tabla1[[#This Row],[Publicación]])</f>
        <v>2022</v>
      </c>
      <c r="L222" s="2">
        <v>44669.666666666664</v>
      </c>
      <c r="M222" s="26">
        <v>44659</v>
      </c>
      <c r="N222" s="25" t="s">
        <v>11</v>
      </c>
      <c r="O222" s="24"/>
      <c r="P222" s="24" t="s">
        <v>11</v>
      </c>
      <c r="Q222" s="2">
        <v>44662.666666666664</v>
      </c>
      <c r="R222" s="2">
        <v>44665.666666666664</v>
      </c>
      <c r="S222" s="26">
        <v>44699.667361111111</v>
      </c>
      <c r="T222" s="27">
        <v>0</v>
      </c>
      <c r="U222" s="28">
        <f>Tabla1[[#This Row],[PPTO]]/(1+'Lista Datos'!$B$1)</f>
        <v>0</v>
      </c>
      <c r="V222" s="23"/>
      <c r="W222" s="18" t="s">
        <v>11</v>
      </c>
      <c r="X222" s="102">
        <v>200000</v>
      </c>
      <c r="Y222" s="26">
        <v>44704</v>
      </c>
      <c r="Z222" s="18" t="s">
        <v>10</v>
      </c>
      <c r="AA222" s="23" t="s">
        <v>177</v>
      </c>
      <c r="AB222" s="23">
        <v>24</v>
      </c>
      <c r="AC222" s="23" t="s">
        <v>10</v>
      </c>
      <c r="AD222" s="23"/>
      <c r="AE222" s="29">
        <f>Tabla1[[#This Row],[Cierre]]+Tabla1[[#This Row],[Vigencia Oferta (días)]]</f>
        <v>44669.666666666664</v>
      </c>
      <c r="AF222" s="87"/>
      <c r="AG222" s="28"/>
      <c r="AH222" s="164">
        <f>Tabla1[[#This Row],[Unidades2]]*Tabla1[[#This Row],[Precio Unitario]]</f>
        <v>0</v>
      </c>
      <c r="AI222" s="23" t="s">
        <v>44</v>
      </c>
      <c r="AJ222" s="26">
        <v>44687</v>
      </c>
      <c r="AK222" s="172">
        <f>Tabla1[[#This Row],[Fecha Vigencia]]-AJ222</f>
        <v>-17.333333333335759</v>
      </c>
      <c r="AL222" s="23" t="s">
        <v>115</v>
      </c>
      <c r="AM222" s="87">
        <v>22000000</v>
      </c>
      <c r="AN222" s="29">
        <v>44687</v>
      </c>
      <c r="AO222" s="29">
        <v>45418</v>
      </c>
      <c r="AP222" s="23" t="s">
        <v>177</v>
      </c>
      <c r="AQ222" s="23" t="s">
        <v>1401</v>
      </c>
      <c r="AR222" s="23" t="s">
        <v>11</v>
      </c>
      <c r="AS222" s="31">
        <v>1100000</v>
      </c>
      <c r="AT222" s="29">
        <v>45446</v>
      </c>
      <c r="AU222" s="23" t="s">
        <v>1402</v>
      </c>
      <c r="AV222" s="23" t="s">
        <v>1403</v>
      </c>
      <c r="AW222" s="23" t="s">
        <v>1404</v>
      </c>
      <c r="AX222" t="s">
        <v>1405</v>
      </c>
      <c r="AY222" s="23"/>
      <c r="AZ222" s="23"/>
      <c r="BA222" s="23"/>
      <c r="BB222" s="32"/>
      <c r="BC222" s="73"/>
    </row>
    <row r="223" spans="1:55" x14ac:dyDescent="0.25">
      <c r="A223" s="22" t="s">
        <v>1406</v>
      </c>
      <c r="B223" s="23" t="s">
        <v>1407</v>
      </c>
      <c r="C223" s="23" t="s">
        <v>1408</v>
      </c>
      <c r="D223" s="23" t="s">
        <v>331</v>
      </c>
      <c r="E223" s="24"/>
      <c r="F223" s="25"/>
      <c r="G223" s="23" t="s">
        <v>21</v>
      </c>
      <c r="H223" s="23" t="s">
        <v>106</v>
      </c>
      <c r="I223" s="2">
        <v>44658.477418981478</v>
      </c>
      <c r="J223" s="24">
        <f>MONTH(Tabla1[[#This Row],[Publicación]])</f>
        <v>4</v>
      </c>
      <c r="K223" s="24">
        <f>YEAR(Tabla1[[#This Row],[Publicación]])</f>
        <v>2022</v>
      </c>
      <c r="L223" s="2">
        <v>44669.666666666664</v>
      </c>
      <c r="M223" s="26">
        <v>44659</v>
      </c>
      <c r="N223" s="25" t="s">
        <v>11</v>
      </c>
      <c r="O223" s="24"/>
      <c r="P223" s="24" t="s">
        <v>11</v>
      </c>
      <c r="Q223" s="2">
        <v>44661.666666666664</v>
      </c>
      <c r="R223" s="2">
        <v>44663.833333333336</v>
      </c>
      <c r="S223" s="26">
        <v>44762.833333333336</v>
      </c>
      <c r="T223" s="27">
        <v>0</v>
      </c>
      <c r="U223" s="28">
        <f>Tabla1[[#This Row],[PPTO]]/(1+'Lista Datos'!$B$1)</f>
        <v>0</v>
      </c>
      <c r="V223" s="23"/>
      <c r="W223" s="18" t="s">
        <v>10</v>
      </c>
      <c r="X223" s="102"/>
      <c r="Y223" s="18" t="s">
        <v>146</v>
      </c>
      <c r="Z223" s="18" t="s">
        <v>10</v>
      </c>
      <c r="AA223" s="23" t="s">
        <v>177</v>
      </c>
      <c r="AB223" s="23">
        <v>31</v>
      </c>
      <c r="AC223" s="23" t="s">
        <v>10</v>
      </c>
      <c r="AD223" s="23">
        <v>180</v>
      </c>
      <c r="AE223" s="29">
        <f>Tabla1[[#This Row],[Cierre]]+Tabla1[[#This Row],[Vigencia Oferta (días)]]</f>
        <v>44849.666666666664</v>
      </c>
      <c r="AF223" s="87">
        <v>200</v>
      </c>
      <c r="AG223" s="28">
        <v>21765</v>
      </c>
      <c r="AH223" s="164">
        <f>Tabla1[[#This Row],[Unidades2]]*Tabla1[[#This Row],[Precio Unitario]]</f>
        <v>4353000</v>
      </c>
      <c r="AI223" s="23" t="s">
        <v>44</v>
      </c>
      <c r="AJ223" s="26">
        <v>44720</v>
      </c>
      <c r="AK223" s="172">
        <f>Tabla1[[#This Row],[Fecha Vigencia]]-AJ223</f>
        <v>129.66666666666424</v>
      </c>
      <c r="AL223" s="23" t="s">
        <v>115</v>
      </c>
      <c r="AM223" s="87">
        <v>4353000</v>
      </c>
      <c r="AN223" s="23"/>
      <c r="AO223" s="29"/>
      <c r="AP223" s="23" t="s">
        <v>177</v>
      </c>
      <c r="AQ223" s="23" t="s">
        <v>332</v>
      </c>
      <c r="AR223" s="23" t="s">
        <v>11</v>
      </c>
      <c r="AS223" s="33">
        <v>0.05</v>
      </c>
      <c r="AT223" s="29">
        <v>45838</v>
      </c>
      <c r="AU223" s="23" t="s">
        <v>459</v>
      </c>
      <c r="AV223" s="23"/>
      <c r="AW223" s="23" t="s">
        <v>1409</v>
      </c>
      <c r="AX223" t="s">
        <v>140</v>
      </c>
      <c r="AY223" s="23"/>
      <c r="AZ223" s="23"/>
      <c r="BA223" s="23"/>
      <c r="BB223" s="32"/>
      <c r="BC223" s="73"/>
    </row>
    <row r="224" spans="1:55" x14ac:dyDescent="0.25">
      <c r="A224" s="22" t="s">
        <v>1410</v>
      </c>
      <c r="B224" s="23" t="s">
        <v>1411</v>
      </c>
      <c r="C224" s="23" t="s">
        <v>1412</v>
      </c>
      <c r="D224" s="23" t="s">
        <v>1413</v>
      </c>
      <c r="E224" s="24"/>
      <c r="F224" s="25"/>
      <c r="G224" s="23" t="s">
        <v>16</v>
      </c>
      <c r="H224" s="23" t="s">
        <v>145</v>
      </c>
      <c r="I224" s="2">
        <v>44662.668171296296</v>
      </c>
      <c r="J224" s="24">
        <f>MONTH(Tabla1[[#This Row],[Publicación]])</f>
        <v>4</v>
      </c>
      <c r="K224" s="24">
        <f>YEAR(Tabla1[[#This Row],[Publicación]])</f>
        <v>2022</v>
      </c>
      <c r="L224" s="2">
        <v>44669.666666666664</v>
      </c>
      <c r="M224" s="26">
        <v>44664</v>
      </c>
      <c r="N224" s="25" t="s">
        <v>10</v>
      </c>
      <c r="O224" s="24" t="s">
        <v>25</v>
      </c>
      <c r="P224" s="24" t="s">
        <v>10</v>
      </c>
      <c r="Q224" s="2">
        <v>44664.625</v>
      </c>
      <c r="R224" s="2">
        <v>44665.666666666664</v>
      </c>
      <c r="S224" s="26">
        <v>44680.666666666664</v>
      </c>
      <c r="T224" s="27">
        <v>0</v>
      </c>
      <c r="U224" s="28">
        <f>Tabla1[[#This Row],[PPTO]]/(1+'Lista Datos'!$B$1)</f>
        <v>0</v>
      </c>
      <c r="V224" s="23"/>
      <c r="W224" s="18" t="s">
        <v>10</v>
      </c>
      <c r="X224" s="102"/>
      <c r="Y224" s="18" t="s">
        <v>146</v>
      </c>
      <c r="Z224" s="18" t="s">
        <v>10</v>
      </c>
      <c r="AA224" s="23"/>
      <c r="AB224" s="23"/>
      <c r="AC224" s="23"/>
      <c r="AD224" s="23"/>
      <c r="AE224" s="29">
        <f>Tabla1[[#This Row],[Cierre]]+Tabla1[[#This Row],[Vigencia Oferta (días)]]</f>
        <v>44669.666666666664</v>
      </c>
      <c r="AF224" s="87"/>
      <c r="AG224" s="28"/>
      <c r="AH224" s="164">
        <f>Tabla1[[#This Row],[Unidades2]]*Tabla1[[#This Row],[Precio Unitario]]</f>
        <v>0</v>
      </c>
      <c r="AI224" s="23" t="s">
        <v>137</v>
      </c>
      <c r="AJ224" s="26"/>
      <c r="AK224" s="172">
        <f>Tabla1[[#This Row],[Fecha Vigencia]]-AJ224</f>
        <v>44669.666666666664</v>
      </c>
      <c r="AL224" s="23"/>
      <c r="AM224" s="87"/>
      <c r="AN224" s="23"/>
      <c r="AO224" s="29"/>
      <c r="AP224" s="23"/>
      <c r="AQ224" s="23" t="s">
        <v>1414</v>
      </c>
      <c r="AR224" s="23" t="s">
        <v>11</v>
      </c>
      <c r="AS224" s="33">
        <v>0.05</v>
      </c>
      <c r="AT224" s="29">
        <v>44998</v>
      </c>
      <c r="AU224" s="23"/>
      <c r="AV224" s="23"/>
      <c r="AW224" s="23" t="s">
        <v>1415</v>
      </c>
      <c r="AX224" t="s">
        <v>1416</v>
      </c>
      <c r="AY224" s="23"/>
      <c r="AZ224" s="23"/>
      <c r="BA224" s="23"/>
      <c r="BB224" s="32"/>
      <c r="BC224" s="73"/>
    </row>
    <row r="225" spans="1:55" x14ac:dyDescent="0.25">
      <c r="A225" s="22" t="s">
        <v>1417</v>
      </c>
      <c r="B225" s="23" t="s">
        <v>1418</v>
      </c>
      <c r="C225" s="23" t="s">
        <v>1419</v>
      </c>
      <c r="D225" s="23" t="s">
        <v>1420</v>
      </c>
      <c r="E225" s="24"/>
      <c r="F225" s="25"/>
      <c r="G225" s="23" t="s">
        <v>16</v>
      </c>
      <c r="H225" s="23" t="s">
        <v>123</v>
      </c>
      <c r="I225" s="2">
        <v>44645.632847222223</v>
      </c>
      <c r="J225" s="24">
        <f>MONTH(Tabla1[[#This Row],[Publicación]])</f>
        <v>3</v>
      </c>
      <c r="K225" s="24">
        <f>YEAR(Tabla1[[#This Row],[Publicación]])</f>
        <v>2022</v>
      </c>
      <c r="L225" s="2">
        <v>44669.708333333336</v>
      </c>
      <c r="M225" s="26">
        <v>44649</v>
      </c>
      <c r="N225" s="25" t="s">
        <v>11</v>
      </c>
      <c r="O225" s="24"/>
      <c r="P225" s="24" t="s">
        <v>11</v>
      </c>
      <c r="Q225" s="2">
        <v>44655.538888888892</v>
      </c>
      <c r="R225" s="2">
        <v>44662.538888888892</v>
      </c>
      <c r="S225" s="26">
        <v>44712.66002314815</v>
      </c>
      <c r="T225" s="27">
        <v>0</v>
      </c>
      <c r="U225" s="28">
        <f>Tabla1[[#This Row],[PPTO]]/(1+'Lista Datos'!$B$1)</f>
        <v>0</v>
      </c>
      <c r="V225" s="23"/>
      <c r="W225" s="18" t="s">
        <v>11</v>
      </c>
      <c r="X225" s="102">
        <v>500000</v>
      </c>
      <c r="Y225" s="26">
        <v>44757</v>
      </c>
      <c r="Z225" s="18" t="s">
        <v>11</v>
      </c>
      <c r="AA225" s="23" t="s">
        <v>177</v>
      </c>
      <c r="AB225" s="23">
        <v>24</v>
      </c>
      <c r="AC225" s="23" t="s">
        <v>10</v>
      </c>
      <c r="AD225" s="23"/>
      <c r="AE225" s="29">
        <f>Tabla1[[#This Row],[Cierre]]+Tabla1[[#This Row],[Vigencia Oferta (días)]]</f>
        <v>44669.708333333336</v>
      </c>
      <c r="AF225" s="87"/>
      <c r="AG225" s="28"/>
      <c r="AH225" s="164">
        <f>Tabla1[[#This Row],[Unidades2]]*Tabla1[[#This Row],[Precio Unitario]]</f>
        <v>0</v>
      </c>
      <c r="AI225" s="23" t="s">
        <v>44</v>
      </c>
      <c r="AJ225" s="26">
        <v>44712</v>
      </c>
      <c r="AK225" s="172">
        <f>Tabla1[[#This Row],[Fecha Vigencia]]-AJ225</f>
        <v>-42.291666666664241</v>
      </c>
      <c r="AL225" s="23" t="s">
        <v>115</v>
      </c>
      <c r="AM225" s="87">
        <v>110000000</v>
      </c>
      <c r="AN225" s="29">
        <v>44712</v>
      </c>
      <c r="AO225" s="29">
        <v>45443</v>
      </c>
      <c r="AP225" s="23" t="s">
        <v>177</v>
      </c>
      <c r="AQ225" s="23" t="s">
        <v>1421</v>
      </c>
      <c r="AR225" s="23" t="s">
        <v>11</v>
      </c>
      <c r="AS225" s="33">
        <v>0.1</v>
      </c>
      <c r="AT225" s="29">
        <v>45460</v>
      </c>
      <c r="AU225" s="23" t="s">
        <v>1422</v>
      </c>
      <c r="AV225" s="23" t="s">
        <v>1423</v>
      </c>
      <c r="AW225" s="23" t="s">
        <v>1424</v>
      </c>
      <c r="AX225" t="s">
        <v>1425</v>
      </c>
      <c r="AY225" s="23"/>
      <c r="AZ225" s="23"/>
      <c r="BA225" s="23"/>
      <c r="BB225" s="32"/>
      <c r="BC225" s="73"/>
    </row>
    <row r="226" spans="1:55" x14ac:dyDescent="0.25">
      <c r="A226" s="22" t="s">
        <v>1426</v>
      </c>
      <c r="B226" s="23" t="s">
        <v>1427</v>
      </c>
      <c r="C226" s="23" t="s">
        <v>1428</v>
      </c>
      <c r="D226" s="23" t="s">
        <v>1429</v>
      </c>
      <c r="E226" s="24"/>
      <c r="F226" s="25"/>
      <c r="G226" s="23" t="s">
        <v>21</v>
      </c>
      <c r="H226" s="23" t="s">
        <v>106</v>
      </c>
      <c r="I226" s="2">
        <v>44662.718576388892</v>
      </c>
      <c r="J226" s="24">
        <f>MONTH(Tabla1[[#This Row],[Publicación]])</f>
        <v>4</v>
      </c>
      <c r="K226" s="24">
        <f>YEAR(Tabla1[[#This Row],[Publicación]])</f>
        <v>2022</v>
      </c>
      <c r="L226" s="2">
        <v>44669.737500000003</v>
      </c>
      <c r="M226" s="26">
        <v>44665</v>
      </c>
      <c r="N226" s="25" t="s">
        <v>10</v>
      </c>
      <c r="O226" s="24" t="s">
        <v>29</v>
      </c>
      <c r="P226" s="24" t="s">
        <v>10</v>
      </c>
      <c r="Q226" s="2">
        <v>44665.652083333334</v>
      </c>
      <c r="R226" s="2">
        <v>44666.818749999999</v>
      </c>
      <c r="S226" s="26">
        <v>44760.738194444442</v>
      </c>
      <c r="T226" s="28">
        <v>46000000</v>
      </c>
      <c r="U226" s="28">
        <f>Tabla1[[#This Row],[PPTO]]/(1+'Lista Datos'!$B$1)</f>
        <v>38655462.184873953</v>
      </c>
      <c r="V226" s="23">
        <v>30</v>
      </c>
      <c r="W226" s="18" t="s">
        <v>10</v>
      </c>
      <c r="X226" s="102"/>
      <c r="Y226" s="18" t="s">
        <v>146</v>
      </c>
      <c r="Z226" s="18" t="s">
        <v>10</v>
      </c>
      <c r="AA226" s="23" t="s">
        <v>512</v>
      </c>
      <c r="AB226" s="23"/>
      <c r="AC226" s="23" t="s">
        <v>10</v>
      </c>
      <c r="AD226" s="23">
        <v>120</v>
      </c>
      <c r="AE226" s="29">
        <f>Tabla1[[#This Row],[Cierre]]+Tabla1[[#This Row],[Vigencia Oferta (días)]]</f>
        <v>44789.737500000003</v>
      </c>
      <c r="AF226" s="87"/>
      <c r="AG226" s="28"/>
      <c r="AH226" s="164">
        <f>Tabla1[[#This Row],[Unidades2]]*Tabla1[[#This Row],[Precio Unitario]]</f>
        <v>0</v>
      </c>
      <c r="AI226" s="23" t="s">
        <v>44</v>
      </c>
      <c r="AJ226" s="26">
        <v>44742</v>
      </c>
      <c r="AK226" s="172">
        <f>Tabla1[[#This Row],[Fecha Vigencia]]-AJ226</f>
        <v>47.73750000000291</v>
      </c>
      <c r="AL226" s="23" t="s">
        <v>205</v>
      </c>
      <c r="AM226" s="87">
        <v>41300</v>
      </c>
      <c r="AN226" s="23"/>
      <c r="AO226" s="29"/>
      <c r="AP226" s="23"/>
      <c r="AQ226" s="23" t="s">
        <v>554</v>
      </c>
      <c r="AR226" s="23" t="s">
        <v>10</v>
      </c>
      <c r="AS226" s="23"/>
      <c r="AT226" s="23"/>
      <c r="AU226" s="23"/>
      <c r="AV226" s="23"/>
      <c r="AW226" s="23" t="s">
        <v>1430</v>
      </c>
      <c r="AX226" t="s">
        <v>556</v>
      </c>
      <c r="AY226" s="23"/>
      <c r="AZ226" s="23"/>
      <c r="BA226" s="23"/>
      <c r="BB226" s="32"/>
      <c r="BC226" s="73"/>
    </row>
    <row r="227" spans="1:55" x14ac:dyDescent="0.25">
      <c r="A227" s="22" t="s">
        <v>1431</v>
      </c>
      <c r="B227" s="23" t="s">
        <v>1432</v>
      </c>
      <c r="C227" s="23" t="s">
        <v>1433</v>
      </c>
      <c r="D227" s="23" t="s">
        <v>1434</v>
      </c>
      <c r="E227" s="24"/>
      <c r="F227" s="25"/>
      <c r="G227" s="23" t="s">
        <v>16</v>
      </c>
      <c r="H227" s="23" t="s">
        <v>240</v>
      </c>
      <c r="I227" s="2">
        <v>44663.787152777775</v>
      </c>
      <c r="J227" s="24">
        <f>MONTH(Tabla1[[#This Row],[Publicación]])</f>
        <v>4</v>
      </c>
      <c r="K227" s="24">
        <f>YEAR(Tabla1[[#This Row],[Publicación]])</f>
        <v>2022</v>
      </c>
      <c r="L227" s="2">
        <v>44670.833333333336</v>
      </c>
      <c r="M227" s="26">
        <v>44664</v>
      </c>
      <c r="N227" s="25" t="s">
        <v>10</v>
      </c>
      <c r="O227" s="24" t="s">
        <v>25</v>
      </c>
      <c r="P227" s="24" t="s">
        <v>10</v>
      </c>
      <c r="Q227" s="2">
        <v>44667.999305555553</v>
      </c>
      <c r="R227" s="2">
        <v>44669.708333333336</v>
      </c>
      <c r="S227" s="26">
        <v>44676.629166666666</v>
      </c>
      <c r="T227" s="27">
        <v>0</v>
      </c>
      <c r="U227" s="28">
        <f>Tabla1[[#This Row],[PPTO]]/(1+'Lista Datos'!$B$1)</f>
        <v>0</v>
      </c>
      <c r="V227" s="23"/>
      <c r="W227" s="18" t="s">
        <v>10</v>
      </c>
      <c r="X227" s="102"/>
      <c r="Y227" s="18" t="s">
        <v>146</v>
      </c>
      <c r="Z227" s="18" t="s">
        <v>10</v>
      </c>
      <c r="AA227" s="23"/>
      <c r="AB227" s="23"/>
      <c r="AC227" s="23"/>
      <c r="AD227" s="23"/>
      <c r="AE227" s="29">
        <f>Tabla1[[#This Row],[Cierre]]+Tabla1[[#This Row],[Vigencia Oferta (días)]]</f>
        <v>44670.833333333336</v>
      </c>
      <c r="AF227" s="87"/>
      <c r="AG227" s="28"/>
      <c r="AH227" s="164">
        <f>Tabla1[[#This Row],[Unidades2]]*Tabla1[[#This Row],[Precio Unitario]]</f>
        <v>0</v>
      </c>
      <c r="AI227" s="23" t="s">
        <v>44</v>
      </c>
      <c r="AJ227" s="26">
        <v>44677</v>
      </c>
      <c r="AK227" s="172">
        <f>Tabla1[[#This Row],[Fecha Vigencia]]-AJ227</f>
        <v>-6.1666666666642413</v>
      </c>
      <c r="AL227" s="23" t="s">
        <v>115</v>
      </c>
      <c r="AM227" s="87">
        <v>14793840</v>
      </c>
      <c r="AN227" s="23"/>
      <c r="AO227" s="29"/>
      <c r="AP227" s="23"/>
      <c r="AQ227" s="23" t="s">
        <v>1435</v>
      </c>
      <c r="AR227" s="23" t="s">
        <v>10</v>
      </c>
      <c r="AS227" s="23"/>
      <c r="AT227" s="23"/>
      <c r="AU227" s="23"/>
      <c r="AV227" s="23"/>
      <c r="AW227" s="23" t="s">
        <v>1436</v>
      </c>
      <c r="AX227" t="s">
        <v>1437</v>
      </c>
      <c r="AY227" s="23" t="s">
        <v>309</v>
      </c>
      <c r="AZ227" s="23"/>
      <c r="BA227" s="23"/>
      <c r="BB227" s="32"/>
      <c r="BC227" s="73"/>
    </row>
    <row r="228" spans="1:55" x14ac:dyDescent="0.25">
      <c r="A228" s="22" t="s">
        <v>1438</v>
      </c>
      <c r="B228" s="23" t="s">
        <v>1439</v>
      </c>
      <c r="C228" s="23" t="s">
        <v>1440</v>
      </c>
      <c r="D228" s="23" t="s">
        <v>1441</v>
      </c>
      <c r="E228" s="24"/>
      <c r="F228" s="25"/>
      <c r="G228" s="23" t="s">
        <v>21</v>
      </c>
      <c r="H228" s="23" t="s">
        <v>106</v>
      </c>
      <c r="I228" s="2">
        <v>44657.750960648147</v>
      </c>
      <c r="J228" s="24">
        <f>MONTH(Tabla1[[#This Row],[Publicación]])</f>
        <v>4</v>
      </c>
      <c r="K228" s="24">
        <f>YEAR(Tabla1[[#This Row],[Publicación]])</f>
        <v>2022</v>
      </c>
      <c r="L228" s="2">
        <v>44671.828472222223</v>
      </c>
      <c r="M228" s="26">
        <v>44659</v>
      </c>
      <c r="N228" s="25" t="s">
        <v>11</v>
      </c>
      <c r="O228" s="24"/>
      <c r="P228" s="24" t="s">
        <v>11</v>
      </c>
      <c r="Q228" s="2">
        <v>44662.912499999999</v>
      </c>
      <c r="R228" s="2">
        <v>44663.912499999999</v>
      </c>
      <c r="S228" s="26">
        <v>44732.82916666667</v>
      </c>
      <c r="T228" s="27">
        <v>0</v>
      </c>
      <c r="U228" s="28">
        <f>Tabla1[[#This Row],[PPTO]]/(1+'Lista Datos'!$B$1)</f>
        <v>0</v>
      </c>
      <c r="V228" s="23">
        <v>45</v>
      </c>
      <c r="W228" s="18" t="s">
        <v>10</v>
      </c>
      <c r="X228" s="102"/>
      <c r="Y228" s="18" t="s">
        <v>146</v>
      </c>
      <c r="Z228" s="18" t="s">
        <v>10</v>
      </c>
      <c r="AA228" s="23" t="s">
        <v>512</v>
      </c>
      <c r="AB228" s="23"/>
      <c r="AC228" s="23" t="s">
        <v>10</v>
      </c>
      <c r="AD228" s="23">
        <v>60</v>
      </c>
      <c r="AE228" s="29">
        <f>Tabla1[[#This Row],[Cierre]]+Tabla1[[#This Row],[Vigencia Oferta (días)]]</f>
        <v>44731.828472222223</v>
      </c>
      <c r="AF228" s="87">
        <v>3</v>
      </c>
      <c r="AG228" s="28">
        <v>34507</v>
      </c>
      <c r="AH228" s="164">
        <f>Tabla1[[#This Row],[Unidades2]]*Tabla1[[#This Row],[Precio Unitario]]</f>
        <v>103521</v>
      </c>
      <c r="AI228" s="23" t="s">
        <v>44</v>
      </c>
      <c r="AJ228" s="26">
        <v>44693</v>
      </c>
      <c r="AK228" s="172">
        <f>Tabla1[[#This Row],[Fecha Vigencia]]-AJ228</f>
        <v>38.828472222223354</v>
      </c>
      <c r="AL228" s="23" t="s">
        <v>115</v>
      </c>
      <c r="AM228" s="87">
        <v>34507</v>
      </c>
      <c r="AN228" s="23"/>
      <c r="AO228" s="29"/>
      <c r="AP228" s="23"/>
      <c r="AQ228" s="23" t="s">
        <v>1442</v>
      </c>
      <c r="AR228" s="23" t="s">
        <v>10</v>
      </c>
      <c r="AS228" s="23"/>
      <c r="AT228" s="23"/>
      <c r="AU228" s="23"/>
      <c r="AV228" s="23"/>
      <c r="AW228" s="23" t="s">
        <v>1443</v>
      </c>
      <c r="AX228" t="s">
        <v>1444</v>
      </c>
      <c r="AY228" s="23"/>
      <c r="AZ228" s="23"/>
      <c r="BA228" s="23"/>
      <c r="BB228" s="32"/>
      <c r="BC228" s="73"/>
    </row>
    <row r="229" spans="1:55" x14ac:dyDescent="0.25">
      <c r="A229" s="22" t="s">
        <v>1445</v>
      </c>
      <c r="B229" s="23" t="s">
        <v>1446</v>
      </c>
      <c r="C229" s="23" t="s">
        <v>1447</v>
      </c>
      <c r="D229" s="23" t="s">
        <v>1448</v>
      </c>
      <c r="E229" s="24"/>
      <c r="F229" s="25"/>
      <c r="G229" s="23" t="s">
        <v>21</v>
      </c>
      <c r="H229" s="23" t="s">
        <v>106</v>
      </c>
      <c r="I229" s="2">
        <v>44663.616747685184</v>
      </c>
      <c r="J229" s="24">
        <f>MONTH(Tabla1[[#This Row],[Publicación]])</f>
        <v>4</v>
      </c>
      <c r="K229" s="24">
        <f>YEAR(Tabla1[[#This Row],[Publicación]])</f>
        <v>2022</v>
      </c>
      <c r="L229" s="2">
        <v>44673.708333333336</v>
      </c>
      <c r="M229" s="26">
        <v>44665</v>
      </c>
      <c r="N229" s="25" t="s">
        <v>10</v>
      </c>
      <c r="O229" s="24" t="s">
        <v>29</v>
      </c>
      <c r="P229" s="24" t="s">
        <v>10</v>
      </c>
      <c r="Q229" s="2">
        <v>44668.708333333336</v>
      </c>
      <c r="R229" s="2">
        <v>44669.708333333336</v>
      </c>
      <c r="S229" s="26">
        <v>44740.708333333336</v>
      </c>
      <c r="T229" s="27">
        <v>0</v>
      </c>
      <c r="U229" s="28">
        <f>Tabla1[[#This Row],[PPTO]]/(1+'Lista Datos'!$B$1)</f>
        <v>0</v>
      </c>
      <c r="V229" s="23"/>
      <c r="W229" s="18" t="s">
        <v>11</v>
      </c>
      <c r="X229" s="102">
        <v>500000</v>
      </c>
      <c r="Y229" s="26">
        <v>44802</v>
      </c>
      <c r="Z229" s="18" t="s">
        <v>10</v>
      </c>
      <c r="AA229" s="23"/>
      <c r="AB229" s="23"/>
      <c r="AC229" s="23"/>
      <c r="AD229" s="23"/>
      <c r="AE229" s="29">
        <f>Tabla1[[#This Row],[Cierre]]+Tabla1[[#This Row],[Vigencia Oferta (días)]]</f>
        <v>44673.708333333336</v>
      </c>
      <c r="AF229" s="87"/>
      <c r="AG229" s="28"/>
      <c r="AH229" s="164">
        <f>Tabla1[[#This Row],[Unidades2]]*Tabla1[[#This Row],[Precio Unitario]]</f>
        <v>0</v>
      </c>
      <c r="AI229" s="23" t="s">
        <v>44</v>
      </c>
      <c r="AJ229" s="26">
        <v>44755</v>
      </c>
      <c r="AK229" s="172">
        <f>Tabla1[[#This Row],[Fecha Vigencia]]-AJ229</f>
        <v>-81.291666666664241</v>
      </c>
      <c r="AL229" s="23" t="s">
        <v>205</v>
      </c>
      <c r="AM229" s="87">
        <v>67000</v>
      </c>
      <c r="AN229" s="23"/>
      <c r="AO229" s="29"/>
      <c r="AP229" s="23"/>
      <c r="AQ229" s="23" t="s">
        <v>1449</v>
      </c>
      <c r="AR229" s="23" t="s">
        <v>11</v>
      </c>
      <c r="AS229" s="33">
        <v>500000</v>
      </c>
      <c r="AT229" s="29">
        <v>44830</v>
      </c>
      <c r="AU229" s="23"/>
      <c r="AV229" s="23"/>
      <c r="AW229" s="23" t="s">
        <v>1450</v>
      </c>
      <c r="AX229" t="s">
        <v>1451</v>
      </c>
      <c r="AY229" s="23"/>
      <c r="AZ229" s="23"/>
      <c r="BA229" s="23"/>
      <c r="BB229" s="32"/>
      <c r="BC229" s="73"/>
    </row>
    <row r="230" spans="1:55" x14ac:dyDescent="0.25">
      <c r="A230" s="22" t="s">
        <v>1452</v>
      </c>
      <c r="B230" s="23" t="s">
        <v>1453</v>
      </c>
      <c r="C230" s="23" t="s">
        <v>1454</v>
      </c>
      <c r="D230" s="23" t="s">
        <v>752</v>
      </c>
      <c r="E230" s="24"/>
      <c r="F230" s="25"/>
      <c r="G230" s="23" t="s">
        <v>20</v>
      </c>
      <c r="H230" s="23" t="s">
        <v>176</v>
      </c>
      <c r="I230" s="2">
        <v>44670.407337962963</v>
      </c>
      <c r="J230" s="24">
        <f>MONTH(Tabla1[[#This Row],[Publicación]])</f>
        <v>4</v>
      </c>
      <c r="K230" s="24">
        <f>YEAR(Tabla1[[#This Row],[Publicación]])</f>
        <v>2022</v>
      </c>
      <c r="L230" s="2">
        <v>44676.645833333336</v>
      </c>
      <c r="M230" s="26">
        <v>44670</v>
      </c>
      <c r="N230" s="25" t="s">
        <v>10</v>
      </c>
      <c r="O230" s="24" t="s">
        <v>33</v>
      </c>
      <c r="P230" s="24" t="s">
        <v>10</v>
      </c>
      <c r="Q230" s="2">
        <v>44672.416666666664</v>
      </c>
      <c r="R230" s="2">
        <v>44672.423611111109</v>
      </c>
      <c r="S230" s="26">
        <v>44708.625</v>
      </c>
      <c r="T230" s="27">
        <v>0</v>
      </c>
      <c r="U230" s="28">
        <f>Tabla1[[#This Row],[PPTO]]/(1+'Lista Datos'!$B$1)</f>
        <v>0</v>
      </c>
      <c r="V230" s="23"/>
      <c r="W230" s="18" t="s">
        <v>10</v>
      </c>
      <c r="X230" s="102"/>
      <c r="Y230" s="18" t="s">
        <v>146</v>
      </c>
      <c r="Z230" s="18" t="s">
        <v>10</v>
      </c>
      <c r="AA230" s="23" t="s">
        <v>177</v>
      </c>
      <c r="AB230" s="23"/>
      <c r="AC230" s="23" t="s">
        <v>10</v>
      </c>
      <c r="AD230" s="23"/>
      <c r="AE230" s="29">
        <f>Tabla1[[#This Row],[Cierre]]+Tabla1[[#This Row],[Vigencia Oferta (días)]]</f>
        <v>44676.645833333336</v>
      </c>
      <c r="AF230" s="87"/>
      <c r="AG230" s="28"/>
      <c r="AH230" s="164">
        <f>Tabla1[[#This Row],[Unidades2]]*Tabla1[[#This Row],[Precio Unitario]]</f>
        <v>0</v>
      </c>
      <c r="AI230" s="23" t="s">
        <v>44</v>
      </c>
      <c r="AJ230" s="26">
        <v>44678</v>
      </c>
      <c r="AK230" s="172">
        <f>Tabla1[[#This Row],[Fecha Vigencia]]-AJ230</f>
        <v>-1.3541666666642413</v>
      </c>
      <c r="AL230" s="23" t="s">
        <v>45</v>
      </c>
      <c r="AM230" s="87">
        <v>38052</v>
      </c>
      <c r="AN230" s="23"/>
      <c r="AO230" s="29"/>
      <c r="AP230" s="23"/>
      <c r="AQ230" s="23" t="s">
        <v>1250</v>
      </c>
      <c r="AR230" s="23" t="s">
        <v>10</v>
      </c>
      <c r="AS230" s="23"/>
      <c r="AT230" s="23"/>
      <c r="AU230" s="23"/>
      <c r="AV230" s="23"/>
      <c r="AW230" s="23" t="s">
        <v>1251</v>
      </c>
      <c r="AX230" t="s">
        <v>1342</v>
      </c>
      <c r="AY230" s="23"/>
      <c r="AZ230" s="23"/>
      <c r="BA230" s="23"/>
      <c r="BB230" s="32"/>
      <c r="BC230" s="73"/>
    </row>
    <row r="231" spans="1:55" x14ac:dyDescent="0.25">
      <c r="A231" s="22" t="s">
        <v>1455</v>
      </c>
      <c r="B231" s="23" t="s">
        <v>1456</v>
      </c>
      <c r="C231" s="23" t="s">
        <v>1457</v>
      </c>
      <c r="D231" s="23" t="s">
        <v>1458</v>
      </c>
      <c r="E231" s="24"/>
      <c r="F231" s="25"/>
      <c r="G231" s="23" t="s">
        <v>16</v>
      </c>
      <c r="H231" s="23" t="s">
        <v>123</v>
      </c>
      <c r="I231" s="2">
        <v>44670.656018518515</v>
      </c>
      <c r="J231" s="24">
        <f>MONTH(Tabla1[[#This Row],[Publicación]])</f>
        <v>4</v>
      </c>
      <c r="K231" s="24">
        <f>YEAR(Tabla1[[#This Row],[Publicación]])</f>
        <v>2022</v>
      </c>
      <c r="L231" s="2">
        <v>44676.708333333336</v>
      </c>
      <c r="M231" s="26">
        <v>44671</v>
      </c>
      <c r="N231" s="25" t="s">
        <v>10</v>
      </c>
      <c r="O231" s="24" t="s">
        <v>34</v>
      </c>
      <c r="P231" s="24" t="s">
        <v>10</v>
      </c>
      <c r="Q231" s="2">
        <v>44673.583333333336</v>
      </c>
      <c r="R231" s="2">
        <v>44674.625</v>
      </c>
      <c r="S231" s="26">
        <v>44746.783333333333</v>
      </c>
      <c r="T231" s="27">
        <v>0</v>
      </c>
      <c r="U231" s="28">
        <f>Tabla1[[#This Row],[PPTO]]/(1+'Lista Datos'!$B$1)</f>
        <v>0</v>
      </c>
      <c r="V231" s="23"/>
      <c r="W231" s="18" t="s">
        <v>10</v>
      </c>
      <c r="X231" s="102"/>
      <c r="Y231" s="18" t="s">
        <v>146</v>
      </c>
      <c r="Z231" s="18" t="s">
        <v>10</v>
      </c>
      <c r="AA231" s="23"/>
      <c r="AB231" s="23"/>
      <c r="AC231" s="23"/>
      <c r="AD231" s="23"/>
      <c r="AE231" s="29">
        <f>Tabla1[[#This Row],[Cierre]]+Tabla1[[#This Row],[Vigencia Oferta (días)]]</f>
        <v>44676.708333333336</v>
      </c>
      <c r="AF231" s="87"/>
      <c r="AG231" s="28"/>
      <c r="AH231" s="164">
        <f>Tabla1[[#This Row],[Unidades2]]*Tabla1[[#This Row],[Precio Unitario]]</f>
        <v>0</v>
      </c>
      <c r="AI231" s="23" t="s">
        <v>44</v>
      </c>
      <c r="AJ231" s="26">
        <v>44690</v>
      </c>
      <c r="AK231" s="172">
        <f>Tabla1[[#This Row],[Fecha Vigencia]]-AJ231</f>
        <v>-13.291666666664241</v>
      </c>
      <c r="AL231" s="23" t="s">
        <v>46</v>
      </c>
      <c r="AM231" s="87">
        <v>8805000</v>
      </c>
      <c r="AN231" s="23"/>
      <c r="AO231" s="29"/>
      <c r="AP231" s="23"/>
      <c r="AQ231" s="23" t="s">
        <v>1263</v>
      </c>
      <c r="AR231" s="23" t="s">
        <v>10</v>
      </c>
      <c r="AS231" s="23"/>
      <c r="AT231" s="23"/>
      <c r="AU231" s="23"/>
      <c r="AV231" s="23"/>
      <c r="AW231" s="23" t="s">
        <v>1459</v>
      </c>
      <c r="AX231" t="s">
        <v>1460</v>
      </c>
      <c r="AY231" s="23"/>
      <c r="AZ231" s="23"/>
      <c r="BA231" s="23"/>
      <c r="BB231" s="32"/>
      <c r="BC231" s="73"/>
    </row>
    <row r="232" spans="1:55" x14ac:dyDescent="0.25">
      <c r="A232" s="22" t="s">
        <v>1461</v>
      </c>
      <c r="B232" s="23" t="s">
        <v>1462</v>
      </c>
      <c r="C232" s="23" t="s">
        <v>1447</v>
      </c>
      <c r="D232" s="23" t="s">
        <v>1448</v>
      </c>
      <c r="E232" s="24"/>
      <c r="F232" s="25"/>
      <c r="G232" s="23" t="s">
        <v>21</v>
      </c>
      <c r="H232" s="23" t="s">
        <v>106</v>
      </c>
      <c r="I232" s="2">
        <v>44665.42324074074</v>
      </c>
      <c r="J232" s="24">
        <f>MONTH(Tabla1[[#This Row],[Publicación]])</f>
        <v>4</v>
      </c>
      <c r="K232" s="24">
        <f>YEAR(Tabla1[[#This Row],[Publicación]])</f>
        <v>2022</v>
      </c>
      <c r="L232" s="2">
        <v>44676.782638888886</v>
      </c>
      <c r="M232" s="26"/>
      <c r="N232" s="25" t="s">
        <v>10</v>
      </c>
      <c r="O232" s="24" t="s">
        <v>30</v>
      </c>
      <c r="P232" s="24" t="s">
        <v>10</v>
      </c>
      <c r="Q232" s="2">
        <v>44670.708333333336</v>
      </c>
      <c r="R232" s="2">
        <v>44671.709027777775</v>
      </c>
      <c r="S232" s="26">
        <v>44721.586759259262</v>
      </c>
      <c r="T232" s="27">
        <v>0</v>
      </c>
      <c r="U232" s="28">
        <f>Tabla1[[#This Row],[PPTO]]/(1+'Lista Datos'!$B$1)</f>
        <v>0</v>
      </c>
      <c r="V232" s="23"/>
      <c r="W232" s="18" t="s">
        <v>11</v>
      </c>
      <c r="X232" s="102">
        <v>500000</v>
      </c>
      <c r="Y232" s="26">
        <v>44767</v>
      </c>
      <c r="Z232" s="18" t="s">
        <v>10</v>
      </c>
      <c r="AA232" s="23" t="s">
        <v>177</v>
      </c>
      <c r="AB232" s="23">
        <v>12</v>
      </c>
      <c r="AC232" s="23"/>
      <c r="AD232" s="23"/>
      <c r="AE232" s="29">
        <f>Tabla1[[#This Row],[Cierre]]+Tabla1[[#This Row],[Vigencia Oferta (días)]]</f>
        <v>44676.782638888886</v>
      </c>
      <c r="AF232" s="87"/>
      <c r="AG232" s="28"/>
      <c r="AH232" s="164">
        <f>Tabla1[[#This Row],[Unidades2]]*Tabla1[[#This Row],[Precio Unitario]]</f>
        <v>0</v>
      </c>
      <c r="AI232" s="23" t="s">
        <v>44</v>
      </c>
      <c r="AJ232" s="26">
        <v>44721</v>
      </c>
      <c r="AK232" s="172">
        <f>Tabla1[[#This Row],[Fecha Vigencia]]-AJ232</f>
        <v>-44.21736111111386</v>
      </c>
      <c r="AL232" s="23" t="s">
        <v>205</v>
      </c>
      <c r="AM232" s="87">
        <v>12300</v>
      </c>
      <c r="AN232" s="23"/>
      <c r="AO232" s="29"/>
      <c r="AP232" s="23"/>
      <c r="AQ232" s="23" t="s">
        <v>1449</v>
      </c>
      <c r="AR232" s="23" t="s">
        <v>11</v>
      </c>
      <c r="AS232" s="33">
        <v>0.08</v>
      </c>
      <c r="AT232" s="29">
        <v>45140</v>
      </c>
      <c r="AU232" s="23"/>
      <c r="AV232" s="23"/>
      <c r="AW232" s="23" t="s">
        <v>1463</v>
      </c>
      <c r="AX232" t="s">
        <v>1451</v>
      </c>
      <c r="AY232" s="23"/>
      <c r="AZ232" s="23"/>
      <c r="BA232" s="23"/>
      <c r="BB232" s="32"/>
      <c r="BC232" s="73"/>
    </row>
    <row r="233" spans="1:55" ht="11.25" x14ac:dyDescent="0.2">
      <c r="A233" s="22" t="s">
        <v>1464</v>
      </c>
      <c r="B233" s="23" t="s">
        <v>915</v>
      </c>
      <c r="C233" s="23" t="s">
        <v>1465</v>
      </c>
      <c r="D233" s="23" t="s">
        <v>917</v>
      </c>
      <c r="E233" s="24"/>
      <c r="F233" s="25"/>
      <c r="G233" s="23" t="s">
        <v>21</v>
      </c>
      <c r="H233" s="23" t="s">
        <v>106</v>
      </c>
      <c r="I233" s="2">
        <v>44670.539224537039</v>
      </c>
      <c r="J233" s="24">
        <f>MONTH(Tabla1[[#This Row],[Publicación]])</f>
        <v>4</v>
      </c>
      <c r="K233" s="24">
        <f>YEAR(Tabla1[[#This Row],[Publicación]])</f>
        <v>2022</v>
      </c>
      <c r="L233" s="2">
        <v>44677.419444444444</v>
      </c>
      <c r="M233" s="26"/>
      <c r="N233" s="25" t="s">
        <v>10</v>
      </c>
      <c r="O233" s="24" t="s">
        <v>33</v>
      </c>
      <c r="P233" s="24" t="s">
        <v>10</v>
      </c>
      <c r="Q233" s="2">
        <v>44671.378472222219</v>
      </c>
      <c r="R233" s="2">
        <v>44676.378472222219</v>
      </c>
      <c r="S233" s="26">
        <v>44678.676990740743</v>
      </c>
      <c r="T233" s="27">
        <v>0</v>
      </c>
      <c r="U233" s="28">
        <f>Tabla1[[#This Row],[PPTO]]/(1+'Lista Datos'!$B$1)</f>
        <v>0</v>
      </c>
      <c r="V233" s="23"/>
      <c r="W233" s="18" t="s">
        <v>10</v>
      </c>
      <c r="X233" s="102"/>
      <c r="Y233" s="18" t="s">
        <v>146</v>
      </c>
      <c r="Z233" s="18" t="s">
        <v>10</v>
      </c>
      <c r="AA233" s="23" t="s">
        <v>512</v>
      </c>
      <c r="AB233" s="23"/>
      <c r="AC233" s="23"/>
      <c r="AD233" s="23"/>
      <c r="AE233" s="29">
        <f>Tabla1[[#This Row],[Cierre]]+Tabla1[[#This Row],[Vigencia Oferta (días)]]</f>
        <v>44677.419444444444</v>
      </c>
      <c r="AF233" s="87">
        <v>100</v>
      </c>
      <c r="AG233" s="28"/>
      <c r="AH233" s="164">
        <f>Tabla1[[#This Row],[Unidades2]]*Tabla1[[#This Row],[Precio Unitario]]</f>
        <v>0</v>
      </c>
      <c r="AI233" s="23" t="s">
        <v>44</v>
      </c>
      <c r="AJ233" s="26">
        <v>44678</v>
      </c>
      <c r="AK233" s="172">
        <f>Tabla1[[#This Row],[Fecha Vigencia]]-AJ233</f>
        <v>-0.58055555555620231</v>
      </c>
      <c r="AL233" s="23" t="s">
        <v>46</v>
      </c>
      <c r="AM233" s="87">
        <v>3500</v>
      </c>
      <c r="AN233" s="23"/>
      <c r="AO233" s="29"/>
      <c r="AP233" s="23"/>
      <c r="AQ233" s="23" t="s">
        <v>918</v>
      </c>
      <c r="AR233" s="23" t="s">
        <v>10</v>
      </c>
      <c r="AS233" s="23"/>
      <c r="AT233" s="23"/>
      <c r="AU233" s="23"/>
      <c r="AV233" s="23"/>
      <c r="AW233" s="23"/>
      <c r="AX233" s="23"/>
      <c r="AY233" s="23"/>
      <c r="AZ233" s="23"/>
      <c r="BA233" s="23"/>
      <c r="BB233" s="32"/>
      <c r="BC233" s="73"/>
    </row>
    <row r="234" spans="1:55" ht="11.25" x14ac:dyDescent="0.2">
      <c r="A234" s="22" t="s">
        <v>1464</v>
      </c>
      <c r="B234" s="23" t="s">
        <v>915</v>
      </c>
      <c r="C234" s="23" t="s">
        <v>1465</v>
      </c>
      <c r="D234" s="23" t="s">
        <v>917</v>
      </c>
      <c r="E234" s="24"/>
      <c r="F234" s="25"/>
      <c r="G234" s="23" t="s">
        <v>21</v>
      </c>
      <c r="H234" s="23" t="s">
        <v>106</v>
      </c>
      <c r="I234" s="2">
        <v>44670.539224537039</v>
      </c>
      <c r="J234" s="24">
        <f>MONTH(Tabla1[[#This Row],[Publicación]])</f>
        <v>4</v>
      </c>
      <c r="K234" s="24">
        <f>YEAR(Tabla1[[#This Row],[Publicación]])</f>
        <v>2022</v>
      </c>
      <c r="L234" s="2">
        <v>44677.419444444444</v>
      </c>
      <c r="M234" s="26"/>
      <c r="N234" s="25" t="s">
        <v>10</v>
      </c>
      <c r="O234" s="24" t="s">
        <v>33</v>
      </c>
      <c r="P234" s="24" t="s">
        <v>10</v>
      </c>
      <c r="Q234" s="2">
        <v>44671.378472222219</v>
      </c>
      <c r="R234" s="2">
        <v>44676.378472222219</v>
      </c>
      <c r="S234" s="26">
        <v>44678.676990740743</v>
      </c>
      <c r="T234" s="27">
        <v>0</v>
      </c>
      <c r="U234" s="28">
        <f>Tabla1[[#This Row],[PPTO]]/(1+'Lista Datos'!$B$1)</f>
        <v>0</v>
      </c>
      <c r="V234" s="23"/>
      <c r="W234" s="18" t="s">
        <v>10</v>
      </c>
      <c r="X234" s="102"/>
      <c r="Y234" s="18" t="s">
        <v>146</v>
      </c>
      <c r="Z234" s="18" t="s">
        <v>10</v>
      </c>
      <c r="AA234" s="23" t="s">
        <v>512</v>
      </c>
      <c r="AB234" s="23"/>
      <c r="AC234" s="23"/>
      <c r="AD234" s="23"/>
      <c r="AE234" s="29">
        <f>Tabla1[[#This Row],[Cierre]]+Tabla1[[#This Row],[Vigencia Oferta (días)]]</f>
        <v>44677.419444444444</v>
      </c>
      <c r="AF234" s="87">
        <v>6</v>
      </c>
      <c r="AG234" s="28"/>
      <c r="AH234" s="164">
        <f>Tabla1[[#This Row],[Unidades2]]*Tabla1[[#This Row],[Precio Unitario]]</f>
        <v>0</v>
      </c>
      <c r="AI234" s="23" t="s">
        <v>44</v>
      </c>
      <c r="AJ234" s="26">
        <v>44678</v>
      </c>
      <c r="AK234" s="172">
        <f>Tabla1[[#This Row],[Fecha Vigencia]]-AJ234</f>
        <v>-0.58055555555620231</v>
      </c>
      <c r="AL234" s="23" t="s">
        <v>46</v>
      </c>
      <c r="AM234" s="87">
        <v>19990</v>
      </c>
      <c r="AN234" s="23"/>
      <c r="AO234" s="29"/>
      <c r="AP234" s="23"/>
      <c r="AQ234" s="23" t="s">
        <v>918</v>
      </c>
      <c r="AR234" s="23" t="s">
        <v>10</v>
      </c>
      <c r="AS234" s="23"/>
      <c r="AT234" s="23"/>
      <c r="AU234" s="23"/>
      <c r="AV234" s="23"/>
      <c r="AW234" s="23"/>
      <c r="AX234" s="23"/>
      <c r="AY234" s="23"/>
      <c r="AZ234" s="23"/>
      <c r="BA234" s="23"/>
      <c r="BB234" s="32"/>
      <c r="BC234" s="73"/>
    </row>
    <row r="235" spans="1:55" x14ac:dyDescent="0.25">
      <c r="A235" s="22" t="s">
        <v>1466</v>
      </c>
      <c r="B235" s="23" t="s">
        <v>1467</v>
      </c>
      <c r="C235" s="23" t="s">
        <v>1468</v>
      </c>
      <c r="D235" s="23" t="s">
        <v>1469</v>
      </c>
      <c r="E235" s="24"/>
      <c r="F235" s="25"/>
      <c r="G235" s="23" t="s">
        <v>16</v>
      </c>
      <c r="H235" s="23" t="s">
        <v>123</v>
      </c>
      <c r="I235" s="2">
        <v>44670.477627314816</v>
      </c>
      <c r="J235" s="24">
        <f>MONTH(Tabla1[[#This Row],[Publicación]])</f>
        <v>4</v>
      </c>
      <c r="K235" s="24">
        <f>YEAR(Tabla1[[#This Row],[Publicación]])</f>
        <v>2022</v>
      </c>
      <c r="L235" s="2">
        <v>44677.666666666664</v>
      </c>
      <c r="M235" s="26">
        <v>44670</v>
      </c>
      <c r="N235" s="25" t="s">
        <v>11</v>
      </c>
      <c r="O235" s="24"/>
      <c r="P235" s="24" t="s">
        <v>11</v>
      </c>
      <c r="Q235" s="2">
        <v>44672.626388888886</v>
      </c>
      <c r="R235" s="2">
        <v>44673.626388888886</v>
      </c>
      <c r="S235" s="26">
        <v>44680.692361111112</v>
      </c>
      <c r="T235" s="27">
        <v>0</v>
      </c>
      <c r="U235" s="28">
        <f>Tabla1[[#This Row],[PPTO]]/(1+'Lista Datos'!$B$1)</f>
        <v>0</v>
      </c>
      <c r="V235" s="23"/>
      <c r="W235" s="18" t="s">
        <v>10</v>
      </c>
      <c r="X235" s="102"/>
      <c r="Y235" s="18" t="s">
        <v>146</v>
      </c>
      <c r="Z235" s="18" t="s">
        <v>10</v>
      </c>
      <c r="AA235" s="23" t="s">
        <v>177</v>
      </c>
      <c r="AB235" s="23">
        <v>12</v>
      </c>
      <c r="AC235" s="23" t="s">
        <v>10</v>
      </c>
      <c r="AD235" s="23"/>
      <c r="AE235" s="29">
        <f>Tabla1[[#This Row],[Cierre]]+Tabla1[[#This Row],[Vigencia Oferta (días)]]</f>
        <v>44677.666666666664</v>
      </c>
      <c r="AF235" s="87"/>
      <c r="AG235" s="28"/>
      <c r="AH235" s="164">
        <f>Tabla1[[#This Row],[Unidades2]]*Tabla1[[#This Row],[Precio Unitario]]</f>
        <v>0</v>
      </c>
      <c r="AI235" s="23" t="s">
        <v>44</v>
      </c>
      <c r="AJ235" s="26">
        <v>44691</v>
      </c>
      <c r="AK235" s="172">
        <f>Tabla1[[#This Row],[Fecha Vigencia]]-AJ235</f>
        <v>-13.333333333335759</v>
      </c>
      <c r="AL235" s="23" t="s">
        <v>115</v>
      </c>
      <c r="AM235" s="87">
        <v>25000000</v>
      </c>
      <c r="AN235" s="29">
        <v>44691</v>
      </c>
      <c r="AO235" s="29">
        <v>45056</v>
      </c>
      <c r="AP235" s="23"/>
      <c r="AQ235" s="23" t="s">
        <v>891</v>
      </c>
      <c r="AR235" s="23" t="s">
        <v>11</v>
      </c>
      <c r="AS235" s="33">
        <v>0.05</v>
      </c>
      <c r="AT235" s="29">
        <v>45230</v>
      </c>
      <c r="AU235" s="23"/>
      <c r="AV235" s="23"/>
      <c r="AW235" s="23" t="s">
        <v>892</v>
      </c>
      <c r="AX235" t="s">
        <v>893</v>
      </c>
      <c r="AY235" s="23"/>
      <c r="AZ235" s="23"/>
      <c r="BA235" s="23"/>
      <c r="BB235" s="32"/>
      <c r="BC235" s="73"/>
    </row>
    <row r="236" spans="1:55" ht="11.25" x14ac:dyDescent="0.2">
      <c r="A236" s="22" t="s">
        <v>1470</v>
      </c>
      <c r="B236" s="23" t="s">
        <v>1471</v>
      </c>
      <c r="C236" s="23" t="s">
        <v>1471</v>
      </c>
      <c r="D236" s="34" t="s">
        <v>1472</v>
      </c>
      <c r="E236" s="24"/>
      <c r="F236" s="25"/>
      <c r="G236" s="23" t="s">
        <v>21</v>
      </c>
      <c r="H236" s="23" t="s">
        <v>106</v>
      </c>
      <c r="I236" s="2">
        <v>44670.669004629628</v>
      </c>
      <c r="J236" s="24">
        <f>MONTH(Tabla1[[#This Row],[Publicación]])</f>
        <v>4</v>
      </c>
      <c r="K236" s="24">
        <f>YEAR(Tabla1[[#This Row],[Publicación]])</f>
        <v>2022</v>
      </c>
      <c r="L236" s="2">
        <v>44677.864583333336</v>
      </c>
      <c r="M236" s="26"/>
      <c r="N236" s="25" t="s">
        <v>10</v>
      </c>
      <c r="O236" s="24" t="s">
        <v>34</v>
      </c>
      <c r="P236" s="24" t="s">
        <v>10</v>
      </c>
      <c r="Q236" s="2">
        <v>44671.864583333336</v>
      </c>
      <c r="R236" s="2">
        <v>44672.864583333336</v>
      </c>
      <c r="S236" s="26">
        <v>44680.661493055559</v>
      </c>
      <c r="T236" s="28">
        <v>5553000</v>
      </c>
      <c r="U236" s="28">
        <f>Tabla1[[#This Row],[PPTO]]/(1+'Lista Datos'!$B$1)</f>
        <v>4666386.5546218492</v>
      </c>
      <c r="V236" s="23">
        <v>30</v>
      </c>
      <c r="W236" s="18" t="s">
        <v>10</v>
      </c>
      <c r="X236" s="102"/>
      <c r="Y236" s="18" t="s">
        <v>146</v>
      </c>
      <c r="Z236" s="18" t="s">
        <v>10</v>
      </c>
      <c r="AA236" s="23" t="s">
        <v>512</v>
      </c>
      <c r="AB236" s="23"/>
      <c r="AC236" s="23" t="s">
        <v>10</v>
      </c>
      <c r="AD236" s="23"/>
      <c r="AE236" s="29">
        <f>Tabla1[[#This Row],[Cierre]]+Tabla1[[#This Row],[Vigencia Oferta (días)]]</f>
        <v>44677.864583333336</v>
      </c>
      <c r="AF236" s="87"/>
      <c r="AG236" s="28"/>
      <c r="AH236" s="164">
        <f>Tabla1[[#This Row],[Unidades2]]*Tabla1[[#This Row],[Precio Unitario]]</f>
        <v>0</v>
      </c>
      <c r="AI236" s="23" t="s">
        <v>137</v>
      </c>
      <c r="AJ236" s="26"/>
      <c r="AK236" s="172">
        <f>Tabla1[[#This Row],[Fecha Vigencia]]-AJ236</f>
        <v>44677.864583333336</v>
      </c>
      <c r="AL236" s="23"/>
      <c r="AM236" s="87"/>
      <c r="AN236" s="23"/>
      <c r="AO236" s="29"/>
      <c r="AP236" s="23"/>
      <c r="AQ236" s="34" t="s">
        <v>1473</v>
      </c>
      <c r="AR236" s="23" t="s">
        <v>10</v>
      </c>
      <c r="AS236" s="23"/>
      <c r="AT236" s="23"/>
      <c r="AU236" s="23"/>
      <c r="AV236" s="23"/>
      <c r="AW236" s="23"/>
      <c r="AX236" s="23"/>
      <c r="AY236" s="23"/>
      <c r="AZ236" s="23"/>
      <c r="BA236" s="23"/>
      <c r="BB236" s="32"/>
      <c r="BC236" s="73"/>
    </row>
    <row r="237" spans="1:55" x14ac:dyDescent="0.25">
      <c r="A237" s="22" t="s">
        <v>1474</v>
      </c>
      <c r="B237" s="23" t="s">
        <v>1475</v>
      </c>
      <c r="C237" s="23" t="s">
        <v>1476</v>
      </c>
      <c r="D237" s="23" t="s">
        <v>1477</v>
      </c>
      <c r="E237" s="24"/>
      <c r="F237" s="25"/>
      <c r="G237" s="23" t="s">
        <v>16</v>
      </c>
      <c r="H237" s="23" t="s">
        <v>520</v>
      </c>
      <c r="I237" s="2">
        <v>44671.34584490741</v>
      </c>
      <c r="J237" s="24">
        <f>MONTH(Tabla1[[#This Row],[Publicación]])</f>
        <v>4</v>
      </c>
      <c r="K237" s="24">
        <f>YEAR(Tabla1[[#This Row],[Publicación]])</f>
        <v>2022</v>
      </c>
      <c r="L237" s="2">
        <v>44679.628472222219</v>
      </c>
      <c r="M237" s="26">
        <v>44672</v>
      </c>
      <c r="N237" s="25" t="s">
        <v>10</v>
      </c>
      <c r="O237" s="24" t="s">
        <v>34</v>
      </c>
      <c r="P237" s="24" t="s">
        <v>10</v>
      </c>
      <c r="Q237" s="2">
        <v>44673.711111111108</v>
      </c>
      <c r="R237" s="2">
        <v>44677.711111111108</v>
      </c>
      <c r="S237" s="26">
        <v>44706.708333333336</v>
      </c>
      <c r="T237" s="27">
        <v>0</v>
      </c>
      <c r="U237" s="28">
        <f>Tabla1[[#This Row],[PPTO]]/(1+'Lista Datos'!$B$1)</f>
        <v>0</v>
      </c>
      <c r="V237" s="23"/>
      <c r="W237" s="18" t="s">
        <v>10</v>
      </c>
      <c r="X237" s="102"/>
      <c r="Y237" s="18" t="s">
        <v>146</v>
      </c>
      <c r="Z237" s="18" t="s">
        <v>10</v>
      </c>
      <c r="AA237" s="23"/>
      <c r="AB237" s="23"/>
      <c r="AC237" s="23"/>
      <c r="AD237" s="23"/>
      <c r="AE237" s="29">
        <f>Tabla1[[#This Row],[Cierre]]+Tabla1[[#This Row],[Vigencia Oferta (días)]]</f>
        <v>44679.628472222219</v>
      </c>
      <c r="AF237" s="87"/>
      <c r="AG237" s="28"/>
      <c r="AH237" s="164">
        <f>Tabla1[[#This Row],[Unidades2]]*Tabla1[[#This Row],[Precio Unitario]]</f>
        <v>0</v>
      </c>
      <c r="AI237" s="23" t="s">
        <v>137</v>
      </c>
      <c r="AJ237" s="26"/>
      <c r="AK237" s="172">
        <f>Tabla1[[#This Row],[Fecha Vigencia]]-AJ237</f>
        <v>44679.628472222219</v>
      </c>
      <c r="AL237" s="23"/>
      <c r="AM237" s="87"/>
      <c r="AN237" s="23"/>
      <c r="AO237" s="29"/>
      <c r="AP237" s="23"/>
      <c r="AQ237" s="23" t="s">
        <v>1478</v>
      </c>
      <c r="AR237" s="23" t="s">
        <v>11</v>
      </c>
      <c r="AS237" s="33">
        <v>0.05</v>
      </c>
      <c r="AT237" s="29">
        <v>45534</v>
      </c>
      <c r="AU237" s="23"/>
      <c r="AV237" s="23"/>
      <c r="AW237" s="23" t="s">
        <v>1479</v>
      </c>
      <c r="AX237" t="s">
        <v>1480</v>
      </c>
      <c r="AY237" s="23"/>
      <c r="AZ237" s="23"/>
      <c r="BA237" s="23"/>
      <c r="BB237" s="32"/>
      <c r="BC237" s="73"/>
    </row>
    <row r="238" spans="1:55" x14ac:dyDescent="0.25">
      <c r="A238" s="22" t="s">
        <v>1481</v>
      </c>
      <c r="B238" s="23" t="s">
        <v>1482</v>
      </c>
      <c r="C238" s="23" t="s">
        <v>1483</v>
      </c>
      <c r="D238" s="23" t="s">
        <v>1484</v>
      </c>
      <c r="E238" s="24"/>
      <c r="F238" s="25"/>
      <c r="G238" s="23" t="s">
        <v>41</v>
      </c>
      <c r="H238" s="23" t="s">
        <v>298</v>
      </c>
      <c r="I238" s="2">
        <v>44665.702928240738</v>
      </c>
      <c r="J238" s="24">
        <f>MONTH(Tabla1[[#This Row],[Publicación]])</f>
        <v>4</v>
      </c>
      <c r="K238" s="24">
        <f>YEAR(Tabla1[[#This Row],[Publicación]])</f>
        <v>2022</v>
      </c>
      <c r="L238" s="2">
        <v>44680.416666666664</v>
      </c>
      <c r="M238" s="26">
        <v>44671</v>
      </c>
      <c r="N238" s="25" t="s">
        <v>10</v>
      </c>
      <c r="O238" s="24" t="s">
        <v>25</v>
      </c>
      <c r="P238" s="24" t="s">
        <v>10</v>
      </c>
      <c r="Q238" s="2">
        <v>44673.663888888892</v>
      </c>
      <c r="R238" s="2">
        <v>44676.663888888892</v>
      </c>
      <c r="S238" s="26">
        <v>44707.782638888886</v>
      </c>
      <c r="T238" s="27">
        <v>0</v>
      </c>
      <c r="U238" s="28">
        <f>Tabla1[[#This Row],[PPTO]]/(1+'Lista Datos'!$B$1)</f>
        <v>0</v>
      </c>
      <c r="V238" s="23"/>
      <c r="W238" s="18" t="s">
        <v>10</v>
      </c>
      <c r="X238" s="102"/>
      <c r="Y238" s="18" t="s">
        <v>146</v>
      </c>
      <c r="Z238" s="18" t="s">
        <v>10</v>
      </c>
      <c r="AA238" s="23"/>
      <c r="AB238" s="23"/>
      <c r="AC238" s="23"/>
      <c r="AD238" s="23"/>
      <c r="AE238" s="29">
        <f>Tabla1[[#This Row],[Cierre]]+Tabla1[[#This Row],[Vigencia Oferta (días)]]</f>
        <v>44680.416666666664</v>
      </c>
      <c r="AF238" s="87"/>
      <c r="AG238" s="28"/>
      <c r="AH238" s="164">
        <f>Tabla1[[#This Row],[Unidades2]]*Tabla1[[#This Row],[Precio Unitario]]</f>
        <v>0</v>
      </c>
      <c r="AI238" s="23" t="s">
        <v>44</v>
      </c>
      <c r="AJ238" s="26">
        <v>44711</v>
      </c>
      <c r="AK238" s="172">
        <f>Tabla1[[#This Row],[Fecha Vigencia]]-AJ238</f>
        <v>-30.583333333335759</v>
      </c>
      <c r="AL238" s="23" t="s">
        <v>45</v>
      </c>
      <c r="AM238" s="87">
        <v>4709008</v>
      </c>
      <c r="AN238" s="23"/>
      <c r="AO238" s="29"/>
      <c r="AP238" s="23"/>
      <c r="AQ238" s="23" t="s">
        <v>1485</v>
      </c>
      <c r="AR238" s="23" t="s">
        <v>10</v>
      </c>
      <c r="AS238" s="23"/>
      <c r="AT238" s="23"/>
      <c r="AU238" s="23"/>
      <c r="AV238" s="23"/>
      <c r="AW238" s="23" t="s">
        <v>1486</v>
      </c>
      <c r="AX238" t="s">
        <v>1487</v>
      </c>
      <c r="AY238" s="23"/>
      <c r="AZ238" s="23"/>
      <c r="BA238" s="23"/>
      <c r="BB238" s="32"/>
      <c r="BC238" s="73"/>
    </row>
    <row r="239" spans="1:55" x14ac:dyDescent="0.25">
      <c r="A239" s="22" t="s">
        <v>1488</v>
      </c>
      <c r="B239" s="23" t="s">
        <v>1489</v>
      </c>
      <c r="C239" s="23" t="s">
        <v>1490</v>
      </c>
      <c r="D239" s="23" t="s">
        <v>1491</v>
      </c>
      <c r="E239" s="24"/>
      <c r="F239" s="25"/>
      <c r="G239" s="23" t="s">
        <v>16</v>
      </c>
      <c r="H239" s="23" t="s">
        <v>520</v>
      </c>
      <c r="I239" s="2">
        <v>44669.492581018516</v>
      </c>
      <c r="J239" s="24">
        <f>MONTH(Tabla1[[#This Row],[Publicación]])</f>
        <v>4</v>
      </c>
      <c r="K239" s="24">
        <f>YEAR(Tabla1[[#This Row],[Publicación]])</f>
        <v>2022</v>
      </c>
      <c r="L239" s="2">
        <v>44680.625</v>
      </c>
      <c r="M239" s="26">
        <v>44670</v>
      </c>
      <c r="N239" s="25" t="s">
        <v>10</v>
      </c>
      <c r="O239" s="24" t="s">
        <v>33</v>
      </c>
      <c r="P239" s="24" t="s">
        <v>10</v>
      </c>
      <c r="Q239" s="2">
        <v>44673.791666666664</v>
      </c>
      <c r="R239" s="2">
        <v>44678.708333333336</v>
      </c>
      <c r="S239" s="26">
        <v>44701.708333333336</v>
      </c>
      <c r="T239" s="27">
        <v>0</v>
      </c>
      <c r="U239" s="28">
        <f>Tabla1[[#This Row],[PPTO]]/(1+'Lista Datos'!$B$1)</f>
        <v>0</v>
      </c>
      <c r="V239" s="23"/>
      <c r="W239" s="18" t="s">
        <v>11</v>
      </c>
      <c r="X239" s="102">
        <v>700000</v>
      </c>
      <c r="Y239" s="26">
        <v>44740</v>
      </c>
      <c r="Z239" s="18" t="s">
        <v>11</v>
      </c>
      <c r="AA239" s="23"/>
      <c r="AB239" s="23"/>
      <c r="AC239" s="23"/>
      <c r="AD239" s="23"/>
      <c r="AE239" s="29">
        <f>Tabla1[[#This Row],[Cierre]]+Tabla1[[#This Row],[Vigencia Oferta (días)]]</f>
        <v>44680.625</v>
      </c>
      <c r="AF239" s="87"/>
      <c r="AG239" s="28"/>
      <c r="AH239" s="164">
        <f>Tabla1[[#This Row],[Unidades2]]*Tabla1[[#This Row],[Precio Unitario]]</f>
        <v>0</v>
      </c>
      <c r="AI239" s="23" t="s">
        <v>44</v>
      </c>
      <c r="AJ239" s="26">
        <v>44693</v>
      </c>
      <c r="AK239" s="172">
        <f>Tabla1[[#This Row],[Fecha Vigencia]]-AJ239</f>
        <v>-12.375</v>
      </c>
      <c r="AL239" s="23" t="s">
        <v>191</v>
      </c>
      <c r="AM239" s="87">
        <v>108480000</v>
      </c>
      <c r="AN239" s="23"/>
      <c r="AO239" s="29"/>
      <c r="AP239" s="23"/>
      <c r="AQ239" s="23" t="s">
        <v>1492</v>
      </c>
      <c r="AR239" s="23" t="s">
        <v>11</v>
      </c>
      <c r="AS239" s="33">
        <v>0.05</v>
      </c>
      <c r="AT239" s="29">
        <v>45506</v>
      </c>
      <c r="AU239" s="23"/>
      <c r="AV239" s="23"/>
      <c r="AW239" s="23" t="s">
        <v>1493</v>
      </c>
      <c r="AX239" t="s">
        <v>1494</v>
      </c>
      <c r="AY239" s="23"/>
      <c r="AZ239" s="23"/>
      <c r="BA239" s="23"/>
      <c r="BB239" s="32"/>
      <c r="BC239" s="73"/>
    </row>
    <row r="240" spans="1:55" x14ac:dyDescent="0.25">
      <c r="A240" s="22" t="s">
        <v>1495</v>
      </c>
      <c r="B240" s="23" t="s">
        <v>1496</v>
      </c>
      <c r="C240" s="23" t="s">
        <v>1497</v>
      </c>
      <c r="D240" s="23" t="s">
        <v>1498</v>
      </c>
      <c r="E240" s="24"/>
      <c r="F240" s="25"/>
      <c r="G240" s="23" t="s">
        <v>16</v>
      </c>
      <c r="H240" s="23" t="s">
        <v>520</v>
      </c>
      <c r="I240" s="2">
        <v>44663.350462962961</v>
      </c>
      <c r="J240" s="24">
        <f>MONTH(Tabla1[[#This Row],[Publicación]])</f>
        <v>4</v>
      </c>
      <c r="K240" s="24">
        <f>YEAR(Tabla1[[#This Row],[Publicación]])</f>
        <v>2022</v>
      </c>
      <c r="L240" s="2">
        <v>44683.625694444447</v>
      </c>
      <c r="M240" s="26">
        <v>44664</v>
      </c>
      <c r="N240" s="25" t="s">
        <v>10</v>
      </c>
      <c r="O240" s="24" t="s">
        <v>34</v>
      </c>
      <c r="P240" s="24" t="s">
        <v>10</v>
      </c>
      <c r="Q240" s="2">
        <v>44677.5</v>
      </c>
      <c r="R240" s="2">
        <v>44679.583333333336</v>
      </c>
      <c r="S240" s="26">
        <v>44712.75</v>
      </c>
      <c r="T240" s="27">
        <v>0</v>
      </c>
      <c r="U240" s="28">
        <f>Tabla1[[#This Row],[PPTO]]/(1+'Lista Datos'!$B$1)</f>
        <v>0</v>
      </c>
      <c r="V240" s="23"/>
      <c r="W240" s="18" t="s">
        <v>11</v>
      </c>
      <c r="X240" s="102">
        <v>500000</v>
      </c>
      <c r="Y240" s="26">
        <v>44895</v>
      </c>
      <c r="Z240" s="18" t="s">
        <v>10</v>
      </c>
      <c r="AA240" s="23"/>
      <c r="AB240" s="23"/>
      <c r="AC240" s="23"/>
      <c r="AD240" s="23"/>
      <c r="AE240" s="29">
        <f>Tabla1[[#This Row],[Cierre]]+Tabla1[[#This Row],[Vigencia Oferta (días)]]</f>
        <v>44683.625694444447</v>
      </c>
      <c r="AF240" s="87"/>
      <c r="AG240" s="28"/>
      <c r="AH240" s="164">
        <f>Tabla1[[#This Row],[Unidades2]]*Tabla1[[#This Row],[Precio Unitario]]</f>
        <v>0</v>
      </c>
      <c r="AI240" s="23" t="s">
        <v>44</v>
      </c>
      <c r="AJ240" s="26">
        <v>44768</v>
      </c>
      <c r="AK240" s="172">
        <f>Tabla1[[#This Row],[Fecha Vigencia]]-AJ240</f>
        <v>-84.374305555553292</v>
      </c>
      <c r="AL240" s="23" t="s">
        <v>472</v>
      </c>
      <c r="AM240" s="87">
        <v>471</v>
      </c>
      <c r="AN240" s="23"/>
      <c r="AO240" s="29"/>
      <c r="AP240" s="23"/>
      <c r="AQ240" s="23" t="s">
        <v>630</v>
      </c>
      <c r="AR240" s="23" t="s">
        <v>11</v>
      </c>
      <c r="AS240" s="33">
        <v>0.05</v>
      </c>
      <c r="AT240" s="29">
        <v>45930</v>
      </c>
      <c r="AU240" s="23"/>
      <c r="AV240" s="23"/>
      <c r="AW240" s="23" t="s">
        <v>1499</v>
      </c>
      <c r="AX240" t="s">
        <v>1500</v>
      </c>
      <c r="AY240" s="23"/>
      <c r="AZ240" s="23"/>
      <c r="BA240" s="23"/>
      <c r="BB240" s="32"/>
      <c r="BC240" s="73"/>
    </row>
    <row r="241" spans="1:55" ht="11.25" x14ac:dyDescent="0.2">
      <c r="A241" s="22" t="s">
        <v>1501</v>
      </c>
      <c r="B241" s="23" t="s">
        <v>1176</v>
      </c>
      <c r="C241" s="23" t="s">
        <v>1502</v>
      </c>
      <c r="D241" s="34" t="s">
        <v>1178</v>
      </c>
      <c r="E241" s="24"/>
      <c r="F241" s="25"/>
      <c r="G241" s="23" t="s">
        <v>21</v>
      </c>
      <c r="H241" s="23" t="s">
        <v>106</v>
      </c>
      <c r="I241" s="2">
        <v>44671.702002314814</v>
      </c>
      <c r="J241" s="24">
        <f>MONTH(Tabla1[[#This Row],[Publicación]])</f>
        <v>4</v>
      </c>
      <c r="K241" s="24">
        <f>YEAR(Tabla1[[#This Row],[Publicación]])</f>
        <v>2022</v>
      </c>
      <c r="L241" s="2">
        <v>44683.666666666664</v>
      </c>
      <c r="M241" s="26"/>
      <c r="N241" s="25" t="s">
        <v>11</v>
      </c>
      <c r="O241" s="24"/>
      <c r="P241" s="24" t="s">
        <v>11</v>
      </c>
      <c r="Q241" s="2">
        <v>44678.708333333336</v>
      </c>
      <c r="R241" s="2">
        <v>44680.708333333336</v>
      </c>
      <c r="S241" s="26"/>
      <c r="T241" s="28">
        <v>107000000</v>
      </c>
      <c r="U241" s="28">
        <f>Tabla1[[#This Row],[PPTO]]/(1+'Lista Datos'!$B$1)</f>
        <v>89915966.386554629</v>
      </c>
      <c r="V241" s="23">
        <v>30</v>
      </c>
      <c r="W241" s="18" t="s">
        <v>10</v>
      </c>
      <c r="X241" s="102"/>
      <c r="Y241" s="18" t="s">
        <v>146</v>
      </c>
      <c r="Z241" s="18" t="s">
        <v>10</v>
      </c>
      <c r="AA241" s="23" t="s">
        <v>177</v>
      </c>
      <c r="AB241" s="23">
        <v>24</v>
      </c>
      <c r="AC241" s="23" t="s">
        <v>10</v>
      </c>
      <c r="AD241" s="23">
        <v>120</v>
      </c>
      <c r="AE241" s="29">
        <f>Tabla1[[#This Row],[Cierre]]+Tabla1[[#This Row],[Vigencia Oferta (días)]]</f>
        <v>44803.666666666664</v>
      </c>
      <c r="AF241" s="87">
        <v>50</v>
      </c>
      <c r="AG241" s="28">
        <v>17179</v>
      </c>
      <c r="AH241" s="164">
        <f>Tabla1[[#This Row],[Unidades2]]*Tabla1[[#This Row],[Precio Unitario]]</f>
        <v>858950</v>
      </c>
      <c r="AI241" s="23" t="s">
        <v>44</v>
      </c>
      <c r="AJ241" s="26">
        <v>44732</v>
      </c>
      <c r="AK241" s="172">
        <f>Tabla1[[#This Row],[Fecha Vigencia]]-AJ241</f>
        <v>71.666666666664241</v>
      </c>
      <c r="AL241" s="23" t="s">
        <v>46</v>
      </c>
      <c r="AM241" s="87">
        <v>16650</v>
      </c>
      <c r="AN241" s="23"/>
      <c r="AO241" s="29"/>
      <c r="AP241" s="23"/>
      <c r="AQ241" s="34" t="s">
        <v>192</v>
      </c>
      <c r="AR241" s="23" t="s">
        <v>11</v>
      </c>
      <c r="AS241" s="33">
        <v>0.05</v>
      </c>
      <c r="AT241" s="29">
        <v>45513</v>
      </c>
      <c r="AU241" s="23" t="s">
        <v>459</v>
      </c>
      <c r="AV241" s="23"/>
      <c r="AW241" s="23"/>
      <c r="AX241" s="23"/>
      <c r="AY241" s="23"/>
      <c r="AZ241" s="23"/>
      <c r="BA241" s="23"/>
      <c r="BB241" s="32"/>
      <c r="BC241" s="73"/>
    </row>
    <row r="242" spans="1:55" x14ac:dyDescent="0.25">
      <c r="A242" s="22" t="s">
        <v>1503</v>
      </c>
      <c r="B242" s="23" t="s">
        <v>1504</v>
      </c>
      <c r="C242" s="23" t="s">
        <v>1505</v>
      </c>
      <c r="D242" s="23" t="s">
        <v>1008</v>
      </c>
      <c r="E242" s="24"/>
      <c r="F242" s="25"/>
      <c r="G242" s="23" t="s">
        <v>21</v>
      </c>
      <c r="H242" s="23" t="s">
        <v>106</v>
      </c>
      <c r="I242" s="2">
        <v>44673.68644675926</v>
      </c>
      <c r="J242" s="24">
        <f>MONTH(Tabla1[[#This Row],[Publicación]])</f>
        <v>4</v>
      </c>
      <c r="K242" s="24">
        <f>YEAR(Tabla1[[#This Row],[Publicación]])</f>
        <v>2022</v>
      </c>
      <c r="L242" s="2">
        <v>44684.583333333336</v>
      </c>
      <c r="M242" s="26">
        <v>44679</v>
      </c>
      <c r="N242" s="25" t="s">
        <v>11</v>
      </c>
      <c r="O242" s="24"/>
      <c r="P242" s="24" t="s">
        <v>11</v>
      </c>
      <c r="Q242" s="2">
        <v>44677.637499999997</v>
      </c>
      <c r="R242" s="2">
        <v>44678.637499999997</v>
      </c>
      <c r="S242" s="26">
        <v>44770.629166666666</v>
      </c>
      <c r="T242" s="28">
        <v>110000000</v>
      </c>
      <c r="U242" s="28">
        <f>Tabla1[[#This Row],[PPTO]]/(1+'Lista Datos'!$B$1)</f>
        <v>92436974.789915964</v>
      </c>
      <c r="V242" s="23">
        <v>30</v>
      </c>
      <c r="W242" s="18" t="s">
        <v>11</v>
      </c>
      <c r="X242" s="102">
        <v>200000</v>
      </c>
      <c r="Y242" s="26">
        <v>44712</v>
      </c>
      <c r="Z242" s="18" t="s">
        <v>10</v>
      </c>
      <c r="AA242" s="23" t="s">
        <v>512</v>
      </c>
      <c r="AB242" s="23"/>
      <c r="AC242" s="23" t="s">
        <v>10</v>
      </c>
      <c r="AD242" s="23">
        <v>60</v>
      </c>
      <c r="AE242" s="29">
        <f>Tabla1[[#This Row],[Cierre]]+Tabla1[[#This Row],[Vigencia Oferta (días)]]</f>
        <v>44744.583333333336</v>
      </c>
      <c r="AF242" s="87"/>
      <c r="AG242" s="28"/>
      <c r="AH242" s="164">
        <f>Tabla1[[#This Row],[Unidades2]]*Tabla1[[#This Row],[Precio Unitario]]</f>
        <v>0</v>
      </c>
      <c r="AI242" s="23" t="s">
        <v>44</v>
      </c>
      <c r="AJ242" s="26">
        <v>44746</v>
      </c>
      <c r="AK242" s="172">
        <f>Tabla1[[#This Row],[Fecha Vigencia]]-AJ242</f>
        <v>-1.4166666666642413</v>
      </c>
      <c r="AL242" s="23" t="s">
        <v>46</v>
      </c>
      <c r="AM242" s="87">
        <v>44658</v>
      </c>
      <c r="AN242" s="23"/>
      <c r="AO242" s="29"/>
      <c r="AP242" s="23"/>
      <c r="AQ242" s="23" t="s">
        <v>554</v>
      </c>
      <c r="AR242" s="23" t="s">
        <v>11</v>
      </c>
      <c r="AS242" s="33">
        <v>0.05</v>
      </c>
      <c r="AT242" s="29">
        <v>44742</v>
      </c>
      <c r="AU242" s="23"/>
      <c r="AV242" s="23"/>
      <c r="AW242" s="23" t="s">
        <v>1506</v>
      </c>
      <c r="AX242" t="s">
        <v>556</v>
      </c>
      <c r="AY242" s="23"/>
      <c r="AZ242" s="23"/>
      <c r="BA242" s="23"/>
      <c r="BB242" s="32"/>
      <c r="BC242" s="73"/>
    </row>
    <row r="243" spans="1:55" x14ac:dyDescent="0.25">
      <c r="A243" s="22" t="s">
        <v>1507</v>
      </c>
      <c r="B243" s="23" t="s">
        <v>1508</v>
      </c>
      <c r="C243" s="23" t="s">
        <v>1509</v>
      </c>
      <c r="D243" s="23" t="s">
        <v>1413</v>
      </c>
      <c r="E243" s="24"/>
      <c r="F243" s="25"/>
      <c r="G243" s="23" t="s">
        <v>16</v>
      </c>
      <c r="H243" s="23" t="s">
        <v>145</v>
      </c>
      <c r="I243" s="2">
        <v>44678.686909722222</v>
      </c>
      <c r="J243" s="24">
        <f>MONTH(Tabla1[[#This Row],[Publicación]])</f>
        <v>4</v>
      </c>
      <c r="K243" s="24">
        <f>YEAR(Tabla1[[#This Row],[Publicación]])</f>
        <v>2022</v>
      </c>
      <c r="L243" s="2">
        <v>44685.416666666664</v>
      </c>
      <c r="M243" s="26">
        <v>44679</v>
      </c>
      <c r="N243" s="25" t="s">
        <v>10</v>
      </c>
      <c r="O243" s="24" t="s">
        <v>25</v>
      </c>
      <c r="P243" s="24" t="s">
        <v>10</v>
      </c>
      <c r="Q243" s="2">
        <v>44680.583333333336</v>
      </c>
      <c r="R243" s="2">
        <v>44683.666666666664</v>
      </c>
      <c r="S243" s="26">
        <v>44701.645833333336</v>
      </c>
      <c r="T243" s="27">
        <v>0</v>
      </c>
      <c r="U243" s="28">
        <f>Tabla1[[#This Row],[PPTO]]/(1+'Lista Datos'!$B$1)</f>
        <v>0</v>
      </c>
      <c r="V243" s="23"/>
      <c r="W243" s="18" t="s">
        <v>10</v>
      </c>
      <c r="X243" s="102"/>
      <c r="Y243" s="18" t="s">
        <v>146</v>
      </c>
      <c r="Z243" s="18" t="s">
        <v>10</v>
      </c>
      <c r="AA243" s="23"/>
      <c r="AB243" s="23"/>
      <c r="AC243" s="23"/>
      <c r="AD243" s="23"/>
      <c r="AE243" s="29">
        <f>Tabla1[[#This Row],[Cierre]]+Tabla1[[#This Row],[Vigencia Oferta (días)]]</f>
        <v>44685.416666666664</v>
      </c>
      <c r="AF243" s="87"/>
      <c r="AG243" s="28"/>
      <c r="AH243" s="164">
        <f>Tabla1[[#This Row],[Unidades2]]*Tabla1[[#This Row],[Precio Unitario]]</f>
        <v>0</v>
      </c>
      <c r="AI243" s="23" t="s">
        <v>137</v>
      </c>
      <c r="AJ243" s="26"/>
      <c r="AK243" s="172">
        <f>Tabla1[[#This Row],[Fecha Vigencia]]-AJ243</f>
        <v>44685.416666666664</v>
      </c>
      <c r="AL243" s="23"/>
      <c r="AM243" s="87"/>
      <c r="AN243" s="23"/>
      <c r="AO243" s="29"/>
      <c r="AP243" s="23"/>
      <c r="AQ243" s="23" t="s">
        <v>1414</v>
      </c>
      <c r="AR243" s="23" t="s">
        <v>10</v>
      </c>
      <c r="AS243" s="23"/>
      <c r="AT243" s="23"/>
      <c r="AU243" s="23"/>
      <c r="AV243" s="23"/>
      <c r="AW243" s="23" t="s">
        <v>1510</v>
      </c>
      <c r="AX243" t="s">
        <v>1511</v>
      </c>
      <c r="AY243" s="23"/>
      <c r="AZ243" s="23"/>
      <c r="BA243" s="23"/>
      <c r="BB243" s="32"/>
      <c r="BC243" s="73"/>
    </row>
    <row r="244" spans="1:55" x14ac:dyDescent="0.25">
      <c r="A244" s="22" t="s">
        <v>1512</v>
      </c>
      <c r="B244" s="23" t="s">
        <v>1513</v>
      </c>
      <c r="C244" s="23" t="s">
        <v>1514</v>
      </c>
      <c r="D244" s="23" t="s">
        <v>153</v>
      </c>
      <c r="E244" s="24"/>
      <c r="F244" s="25"/>
      <c r="G244" s="23" t="s">
        <v>16</v>
      </c>
      <c r="H244" s="23" t="s">
        <v>145</v>
      </c>
      <c r="I244" s="2">
        <v>44665.718530092592</v>
      </c>
      <c r="J244" s="24">
        <f>MONTH(Tabla1[[#This Row],[Publicación]])</f>
        <v>4</v>
      </c>
      <c r="K244" s="24">
        <f>YEAR(Tabla1[[#This Row],[Publicación]])</f>
        <v>2022</v>
      </c>
      <c r="L244" s="2">
        <v>44685.555555555555</v>
      </c>
      <c r="M244" s="26">
        <v>44671</v>
      </c>
      <c r="N244" s="25" t="s">
        <v>10</v>
      </c>
      <c r="O244" s="24" t="s">
        <v>34</v>
      </c>
      <c r="P244" s="24" t="s">
        <v>10</v>
      </c>
      <c r="Q244" s="2">
        <v>44672.87222222222</v>
      </c>
      <c r="R244" s="2">
        <v>44677.87222222222</v>
      </c>
      <c r="S244" s="26">
        <v>44797.556250000001</v>
      </c>
      <c r="T244" s="27">
        <v>0</v>
      </c>
      <c r="U244" s="28">
        <f>Tabla1[[#This Row],[PPTO]]/(1+'Lista Datos'!$B$1)</f>
        <v>0</v>
      </c>
      <c r="V244" s="23"/>
      <c r="W244" s="18" t="s">
        <v>11</v>
      </c>
      <c r="X244" s="102">
        <v>200000</v>
      </c>
      <c r="Y244" s="26">
        <v>44046</v>
      </c>
      <c r="Z244" s="18" t="s">
        <v>10</v>
      </c>
      <c r="AA244" s="23"/>
      <c r="AB244" s="23"/>
      <c r="AC244" s="23"/>
      <c r="AD244" s="23"/>
      <c r="AE244" s="29">
        <f>Tabla1[[#This Row],[Cierre]]+Tabla1[[#This Row],[Vigencia Oferta (días)]]</f>
        <v>44685.555555555555</v>
      </c>
      <c r="AF244" s="87"/>
      <c r="AG244" s="28"/>
      <c r="AH244" s="164">
        <f>Tabla1[[#This Row],[Unidades2]]*Tabla1[[#This Row],[Precio Unitario]]</f>
        <v>0</v>
      </c>
      <c r="AI244" s="23" t="s">
        <v>137</v>
      </c>
      <c r="AJ244" s="26"/>
      <c r="AK244" s="172">
        <f>Tabla1[[#This Row],[Fecha Vigencia]]-AJ244</f>
        <v>44685.555555555555</v>
      </c>
      <c r="AL244" s="23"/>
      <c r="AM244" s="87"/>
      <c r="AN244" s="23"/>
      <c r="AO244" s="29"/>
      <c r="AP244" s="23"/>
      <c r="AQ244" s="23" t="s">
        <v>154</v>
      </c>
      <c r="AR244" s="23" t="s">
        <v>11</v>
      </c>
      <c r="AS244" s="33">
        <v>0.1</v>
      </c>
      <c r="AT244" s="29">
        <v>45609</v>
      </c>
      <c r="AU244" s="23"/>
      <c r="AV244" s="23"/>
      <c r="AW244" s="23" t="s">
        <v>1515</v>
      </c>
      <c r="AX244" t="s">
        <v>156</v>
      </c>
      <c r="AY244" s="23"/>
      <c r="AZ244" s="23"/>
      <c r="BA244" s="23"/>
      <c r="BB244" s="32"/>
      <c r="BC244" s="73"/>
    </row>
    <row r="245" spans="1:55" x14ac:dyDescent="0.25">
      <c r="A245" s="22" t="s">
        <v>1516</v>
      </c>
      <c r="B245" s="23" t="s">
        <v>1517</v>
      </c>
      <c r="C245" s="23" t="s">
        <v>1518</v>
      </c>
      <c r="D245" s="23" t="s">
        <v>1519</v>
      </c>
      <c r="E245" s="24"/>
      <c r="F245" s="25"/>
      <c r="G245" s="23" t="s">
        <v>20</v>
      </c>
      <c r="H245" s="23" t="s">
        <v>176</v>
      </c>
      <c r="I245" s="2">
        <v>44665.47388888889</v>
      </c>
      <c r="J245" s="24">
        <f>MONTH(Tabla1[[#This Row],[Publicación]])</f>
        <v>4</v>
      </c>
      <c r="K245" s="24">
        <f>YEAR(Tabla1[[#This Row],[Publicación]])</f>
        <v>2022</v>
      </c>
      <c r="L245" s="2">
        <v>44685.625</v>
      </c>
      <c r="M245" s="26">
        <v>44665</v>
      </c>
      <c r="N245" s="25" t="s">
        <v>11</v>
      </c>
      <c r="O245" s="24" t="s">
        <v>29</v>
      </c>
      <c r="P245" s="24" t="s">
        <v>11</v>
      </c>
      <c r="Q245" s="2">
        <v>44672.416666666664</v>
      </c>
      <c r="R245" s="2">
        <v>44676.875</v>
      </c>
      <c r="S245" s="26">
        <v>44718.75</v>
      </c>
      <c r="T245" s="28">
        <v>80000000</v>
      </c>
      <c r="U245" s="28">
        <f>Tabla1[[#This Row],[PPTO]]/(1+'Lista Datos'!$B$1)</f>
        <v>67226890.756302521</v>
      </c>
      <c r="V245" s="23">
        <v>30</v>
      </c>
      <c r="W245" s="18" t="s">
        <v>10</v>
      </c>
      <c r="X245" s="102">
        <v>62184320</v>
      </c>
      <c r="Y245" s="18" t="s">
        <v>146</v>
      </c>
      <c r="Z245" s="18" t="s">
        <v>10</v>
      </c>
      <c r="AA245" s="23" t="s">
        <v>177</v>
      </c>
      <c r="AB245" s="23">
        <v>24</v>
      </c>
      <c r="AC245" s="23" t="s">
        <v>10</v>
      </c>
      <c r="AD245" s="23">
        <v>60</v>
      </c>
      <c r="AE245" s="29">
        <f>Tabla1[[#This Row],[Cierre]]+Tabla1[[#This Row],[Vigencia Oferta (días)]]</f>
        <v>44745.625</v>
      </c>
      <c r="AF245" s="87"/>
      <c r="AG245" s="28"/>
      <c r="AH245" s="164">
        <f>Tabla1[[#This Row],[Unidades2]]*Tabla1[[#This Row],[Precio Unitario]]</f>
        <v>0</v>
      </c>
      <c r="AI245" s="23" t="s">
        <v>137</v>
      </c>
      <c r="AJ245" s="26"/>
      <c r="AK245" s="172">
        <f>Tabla1[[#This Row],[Fecha Vigencia]]-AJ245</f>
        <v>44745.625</v>
      </c>
      <c r="AL245" s="23"/>
      <c r="AM245" s="87"/>
      <c r="AN245" s="23"/>
      <c r="AO245" s="29"/>
      <c r="AP245" s="23"/>
      <c r="AQ245" s="23" t="s">
        <v>1520</v>
      </c>
      <c r="AR245" s="23" t="s">
        <v>11</v>
      </c>
      <c r="AS245" s="33">
        <v>0.05</v>
      </c>
      <c r="AT245" s="29">
        <v>45504</v>
      </c>
      <c r="AU245" s="23"/>
      <c r="AV245" s="23"/>
      <c r="AW245" s="23" t="s">
        <v>1521</v>
      </c>
      <c r="AX245" t="s">
        <v>1522</v>
      </c>
      <c r="AY245" s="23"/>
      <c r="AZ245" s="23"/>
      <c r="BA245" s="23"/>
      <c r="BB245" s="32"/>
      <c r="BC245" s="73"/>
    </row>
    <row r="246" spans="1:55" x14ac:dyDescent="0.25">
      <c r="A246" s="22" t="s">
        <v>1523</v>
      </c>
      <c r="B246" s="23" t="s">
        <v>1524</v>
      </c>
      <c r="C246" s="23" t="s">
        <v>1525</v>
      </c>
      <c r="D246" s="23" t="s">
        <v>1526</v>
      </c>
      <c r="E246" s="24"/>
      <c r="F246" s="25"/>
      <c r="G246" s="23" t="s">
        <v>16</v>
      </c>
      <c r="H246" s="23" t="s">
        <v>145</v>
      </c>
      <c r="I246" s="2">
        <v>44671.731562499997</v>
      </c>
      <c r="J246" s="24">
        <f>MONTH(Tabla1[[#This Row],[Publicación]])</f>
        <v>4</v>
      </c>
      <c r="K246" s="24">
        <f>YEAR(Tabla1[[#This Row],[Publicación]])</f>
        <v>2022</v>
      </c>
      <c r="L246" s="2">
        <v>44685.6875</v>
      </c>
      <c r="M246" s="26">
        <v>44672</v>
      </c>
      <c r="N246" s="25" t="s">
        <v>10</v>
      </c>
      <c r="O246" s="24" t="s">
        <v>25</v>
      </c>
      <c r="P246" s="24" t="s">
        <v>10</v>
      </c>
      <c r="Q246" s="2">
        <v>44677.541666666664</v>
      </c>
      <c r="R246" s="2">
        <v>44679.458333333336</v>
      </c>
      <c r="S246" s="26">
        <v>44712.729166666664</v>
      </c>
      <c r="T246" s="27">
        <v>0</v>
      </c>
      <c r="U246" s="28">
        <f>Tabla1[[#This Row],[PPTO]]/(1+'Lista Datos'!$B$1)</f>
        <v>0</v>
      </c>
      <c r="V246" s="23"/>
      <c r="W246" s="18" t="s">
        <v>11</v>
      </c>
      <c r="X246" s="102">
        <v>400000</v>
      </c>
      <c r="Y246" s="26">
        <v>44957</v>
      </c>
      <c r="Z246" s="18" t="s">
        <v>10</v>
      </c>
      <c r="AA246" s="23"/>
      <c r="AB246" s="23"/>
      <c r="AC246" s="23"/>
      <c r="AD246" s="23"/>
      <c r="AE246" s="29">
        <f>Tabla1[[#This Row],[Cierre]]+Tabla1[[#This Row],[Vigencia Oferta (días)]]</f>
        <v>44685.6875</v>
      </c>
      <c r="AF246" s="87"/>
      <c r="AG246" s="28"/>
      <c r="AH246" s="164">
        <f>Tabla1[[#This Row],[Unidades2]]*Tabla1[[#This Row],[Precio Unitario]]</f>
        <v>0</v>
      </c>
      <c r="AI246" s="23" t="s">
        <v>44</v>
      </c>
      <c r="AJ246" s="26">
        <v>44719</v>
      </c>
      <c r="AK246" s="172">
        <f>Tabla1[[#This Row],[Fecha Vigencia]]-AJ246</f>
        <v>-33.3125</v>
      </c>
      <c r="AL246" s="23" t="s">
        <v>45</v>
      </c>
      <c r="AM246" s="87">
        <v>5630247</v>
      </c>
      <c r="AN246" s="23"/>
      <c r="AO246" s="29"/>
      <c r="AP246" s="23"/>
      <c r="AQ246" s="23" t="s">
        <v>1527</v>
      </c>
      <c r="AR246" s="23" t="s">
        <v>10</v>
      </c>
      <c r="AS246" s="23"/>
      <c r="AT246" s="23"/>
      <c r="AU246" s="23"/>
      <c r="AV246" s="23"/>
      <c r="AW246" s="23" t="s">
        <v>1528</v>
      </c>
      <c r="AX246" t="s">
        <v>1529</v>
      </c>
      <c r="AY246" s="23"/>
      <c r="AZ246" s="23"/>
      <c r="BA246" s="23"/>
      <c r="BB246" s="32"/>
      <c r="BC246" s="73"/>
    </row>
    <row r="247" spans="1:55" x14ac:dyDescent="0.25">
      <c r="A247" s="22" t="s">
        <v>1530</v>
      </c>
      <c r="B247" s="23" t="s">
        <v>1531</v>
      </c>
      <c r="C247" s="23" t="s">
        <v>1532</v>
      </c>
      <c r="D247" s="23" t="s">
        <v>1533</v>
      </c>
      <c r="E247" s="24"/>
      <c r="F247" s="25"/>
      <c r="G247" s="23" t="s">
        <v>16</v>
      </c>
      <c r="H247" s="23" t="s">
        <v>520</v>
      </c>
      <c r="I247" s="2">
        <v>44676.545046296298</v>
      </c>
      <c r="J247" s="24">
        <f>MONTH(Tabla1[[#This Row],[Publicación]])</f>
        <v>4</v>
      </c>
      <c r="K247" s="24">
        <f>YEAR(Tabla1[[#This Row],[Publicación]])</f>
        <v>2022</v>
      </c>
      <c r="L247" s="2">
        <v>44686.762499999997</v>
      </c>
      <c r="M247" s="26">
        <v>44678</v>
      </c>
      <c r="N247" s="25" t="s">
        <v>11</v>
      </c>
      <c r="O247" s="24"/>
      <c r="P247" s="24" t="s">
        <v>11</v>
      </c>
      <c r="Q247" s="2">
        <v>44681.421527777777</v>
      </c>
      <c r="R247" s="2">
        <v>44684.729166666664</v>
      </c>
      <c r="S247" s="26">
        <v>44712.647916666669</v>
      </c>
      <c r="T247" s="27">
        <v>0</v>
      </c>
      <c r="U247" s="28">
        <f>Tabla1[[#This Row],[PPTO]]/(1+'Lista Datos'!$B$1)</f>
        <v>0</v>
      </c>
      <c r="V247" s="23"/>
      <c r="W247" s="18" t="s">
        <v>11</v>
      </c>
      <c r="X247" s="102">
        <v>500000</v>
      </c>
      <c r="Y247" s="26">
        <v>44786</v>
      </c>
      <c r="Z247" s="18" t="s">
        <v>11</v>
      </c>
      <c r="AA247" s="23" t="s">
        <v>177</v>
      </c>
      <c r="AB247" s="23"/>
      <c r="AC247" s="23" t="s">
        <v>10</v>
      </c>
      <c r="AD247" s="23"/>
      <c r="AE247" s="29">
        <f>Tabla1[[#This Row],[Cierre]]+Tabla1[[#This Row],[Vigencia Oferta (días)]]</f>
        <v>44686.762499999997</v>
      </c>
      <c r="AF247" s="87"/>
      <c r="AG247" s="28"/>
      <c r="AH247" s="164">
        <f>Tabla1[[#This Row],[Unidades2]]*Tabla1[[#This Row],[Precio Unitario]]</f>
        <v>0</v>
      </c>
      <c r="AI247" s="23" t="s">
        <v>137</v>
      </c>
      <c r="AJ247" s="26"/>
      <c r="AK247" s="172">
        <f>Tabla1[[#This Row],[Fecha Vigencia]]-AJ247</f>
        <v>44686.762499999997</v>
      </c>
      <c r="AL247" s="23"/>
      <c r="AM247" s="87"/>
      <c r="AN247" s="23"/>
      <c r="AO247" s="29"/>
      <c r="AP247" s="23"/>
      <c r="AQ247" s="23" t="s">
        <v>1534</v>
      </c>
      <c r="AR247" s="23" t="s">
        <v>11</v>
      </c>
      <c r="AS247" s="33">
        <v>0.1</v>
      </c>
      <c r="AT247" s="29">
        <v>45230</v>
      </c>
      <c r="AU247" s="23"/>
      <c r="AV247" s="23"/>
      <c r="AW247" s="23" t="s">
        <v>1535</v>
      </c>
      <c r="AX247" t="s">
        <v>1536</v>
      </c>
      <c r="AY247" s="23"/>
      <c r="AZ247" s="23"/>
      <c r="BA247" s="23"/>
      <c r="BB247" s="32"/>
      <c r="BC247" s="73"/>
    </row>
    <row r="248" spans="1:55" x14ac:dyDescent="0.25">
      <c r="A248" s="22" t="s">
        <v>1537</v>
      </c>
      <c r="B248" s="23" t="s">
        <v>1538</v>
      </c>
      <c r="C248" s="23" t="s">
        <v>1539</v>
      </c>
      <c r="D248" s="23" t="s">
        <v>1382</v>
      </c>
      <c r="E248" s="24"/>
      <c r="F248" s="25"/>
      <c r="G248" s="23" t="s">
        <v>21</v>
      </c>
      <c r="H248" s="23" t="s">
        <v>106</v>
      </c>
      <c r="I248" s="2">
        <v>44657.623912037037</v>
      </c>
      <c r="J248" s="24">
        <f>MONTH(Tabla1[[#This Row],[Publicación]])</f>
        <v>4</v>
      </c>
      <c r="K248" s="24">
        <f>YEAR(Tabla1[[#This Row],[Publicación]])</f>
        <v>2022</v>
      </c>
      <c r="L248" s="2">
        <v>44687.625</v>
      </c>
      <c r="M248" s="26">
        <v>44659</v>
      </c>
      <c r="N248" s="25" t="s">
        <v>11</v>
      </c>
      <c r="O248" s="24"/>
      <c r="P248" s="24" t="s">
        <v>11</v>
      </c>
      <c r="Q248" s="2">
        <v>44667.666666666664</v>
      </c>
      <c r="R248" s="2">
        <v>44671.75</v>
      </c>
      <c r="S248" s="26">
        <v>44747.75</v>
      </c>
      <c r="T248" s="28">
        <v>322979929</v>
      </c>
      <c r="U248" s="28">
        <f>Tabla1[[#This Row],[PPTO]]/(1+'Lista Datos'!$B$1)</f>
        <v>271411705.0420168</v>
      </c>
      <c r="V248" s="23">
        <v>30</v>
      </c>
      <c r="W248" s="18" t="s">
        <v>11</v>
      </c>
      <c r="X248" s="102">
        <v>0.03</v>
      </c>
      <c r="Y248" s="26">
        <v>44629</v>
      </c>
      <c r="Z248" s="18" t="s">
        <v>10</v>
      </c>
      <c r="AA248" s="23" t="s">
        <v>177</v>
      </c>
      <c r="AB248" s="23">
        <v>12</v>
      </c>
      <c r="AC248" s="23" t="s">
        <v>10</v>
      </c>
      <c r="AD248" s="23">
        <v>120</v>
      </c>
      <c r="AE248" s="29">
        <f>Tabla1[[#This Row],[Cierre]]+Tabla1[[#This Row],[Vigencia Oferta (días)]]</f>
        <v>44807.625</v>
      </c>
      <c r="AF248" s="87"/>
      <c r="AG248" s="28"/>
      <c r="AH248" s="164">
        <f>Tabla1[[#This Row],[Unidades2]]*Tabla1[[#This Row],[Precio Unitario]]</f>
        <v>0</v>
      </c>
      <c r="AI248" s="23" t="s">
        <v>137</v>
      </c>
      <c r="AJ248" s="26"/>
      <c r="AK248" s="172">
        <f>Tabla1[[#This Row],[Fecha Vigencia]]-AJ248</f>
        <v>44807.625</v>
      </c>
      <c r="AL248" s="23"/>
      <c r="AM248" s="87"/>
      <c r="AN248" s="23"/>
      <c r="AO248" s="29"/>
      <c r="AP248" s="23"/>
      <c r="AQ248" s="23" t="s">
        <v>1002</v>
      </c>
      <c r="AR248" s="23" t="s">
        <v>11</v>
      </c>
      <c r="AS248" s="33">
        <v>0.05</v>
      </c>
      <c r="AT248" s="29">
        <v>45232</v>
      </c>
      <c r="AU248" s="23"/>
      <c r="AV248" s="23"/>
      <c r="AW248" s="23" t="s">
        <v>1540</v>
      </c>
      <c r="AX248" t="s">
        <v>1541</v>
      </c>
      <c r="AY248" s="23"/>
      <c r="AZ248" s="23"/>
      <c r="BA248" s="23"/>
      <c r="BB248" s="32"/>
      <c r="BC248" s="73"/>
    </row>
    <row r="249" spans="1:55" x14ac:dyDescent="0.25">
      <c r="A249" s="22" t="s">
        <v>1542</v>
      </c>
      <c r="B249" s="23" t="s">
        <v>1543</v>
      </c>
      <c r="C249" s="23" t="s">
        <v>1544</v>
      </c>
      <c r="D249" s="23" t="s">
        <v>344</v>
      </c>
      <c r="E249" s="24"/>
      <c r="F249" s="25"/>
      <c r="G249" s="23" t="s">
        <v>16</v>
      </c>
      <c r="H249" s="23" t="s">
        <v>345</v>
      </c>
      <c r="I249" s="2">
        <v>44665.610462962963</v>
      </c>
      <c r="J249" s="24">
        <f>MONTH(Tabla1[[#This Row],[Publicación]])</f>
        <v>4</v>
      </c>
      <c r="K249" s="24">
        <f>YEAR(Tabla1[[#This Row],[Publicación]])</f>
        <v>2022</v>
      </c>
      <c r="L249" s="2">
        <v>44687.666666666664</v>
      </c>
      <c r="M249" s="26">
        <v>44665</v>
      </c>
      <c r="N249" s="25" t="s">
        <v>10</v>
      </c>
      <c r="O249" s="24" t="s">
        <v>25</v>
      </c>
      <c r="P249" s="24" t="s">
        <v>10</v>
      </c>
      <c r="Q249" s="2">
        <v>44676.625</v>
      </c>
      <c r="R249" s="2">
        <v>44679.75</v>
      </c>
      <c r="S249" s="26">
        <v>44742.75</v>
      </c>
      <c r="T249" s="27">
        <v>0</v>
      </c>
      <c r="U249" s="28">
        <f>Tabla1[[#This Row],[PPTO]]/(1+'Lista Datos'!$B$1)</f>
        <v>0</v>
      </c>
      <c r="V249" s="23"/>
      <c r="W249" s="18" t="s">
        <v>10</v>
      </c>
      <c r="X249" s="102"/>
      <c r="Y249" s="18" t="s">
        <v>146</v>
      </c>
      <c r="Z249" s="18" t="s">
        <v>11</v>
      </c>
      <c r="AA249" s="23"/>
      <c r="AB249" s="23"/>
      <c r="AC249" s="23"/>
      <c r="AD249" s="23"/>
      <c r="AE249" s="29">
        <f>Tabla1[[#This Row],[Cierre]]+Tabla1[[#This Row],[Vigencia Oferta (días)]]</f>
        <v>44687.666666666664</v>
      </c>
      <c r="AF249" s="87"/>
      <c r="AG249" s="28"/>
      <c r="AH249" s="164">
        <f>Tabla1[[#This Row],[Unidades2]]*Tabla1[[#This Row],[Precio Unitario]]</f>
        <v>0</v>
      </c>
      <c r="AI249" s="23" t="s">
        <v>44</v>
      </c>
      <c r="AJ249" s="26">
        <v>44720</v>
      </c>
      <c r="AK249" s="172">
        <f>Tabla1[[#This Row],[Fecha Vigencia]]-AJ249</f>
        <v>-32.333333333335759</v>
      </c>
      <c r="AL249" s="23" t="s">
        <v>191</v>
      </c>
      <c r="AM249" s="87">
        <v>60000000</v>
      </c>
      <c r="AN249" s="23"/>
      <c r="AO249" s="29"/>
      <c r="AP249" s="23"/>
      <c r="AQ249" s="23" t="s">
        <v>346</v>
      </c>
      <c r="AR249" s="23" t="s">
        <v>11</v>
      </c>
      <c r="AS249" s="33">
        <v>0.05</v>
      </c>
      <c r="AT249" s="29">
        <v>45777</v>
      </c>
      <c r="AU249" s="23"/>
      <c r="AV249" s="23"/>
      <c r="AW249" s="23" t="s">
        <v>670</v>
      </c>
      <c r="AX249" t="s">
        <v>671</v>
      </c>
      <c r="AY249" s="23"/>
      <c r="AZ249" s="23"/>
      <c r="BA249" s="23"/>
      <c r="BB249" s="32"/>
      <c r="BC249" s="73"/>
    </row>
    <row r="250" spans="1:55" x14ac:dyDescent="0.25">
      <c r="A250" s="35" t="s">
        <v>1545</v>
      </c>
      <c r="B250" s="23" t="s">
        <v>1546</v>
      </c>
      <c r="C250" s="23" t="s">
        <v>1547</v>
      </c>
      <c r="D250" s="34" t="s">
        <v>1114</v>
      </c>
      <c r="E250" s="24"/>
      <c r="F250" s="25"/>
      <c r="G250" s="23" t="s">
        <v>21</v>
      </c>
      <c r="H250" s="23" t="s">
        <v>106</v>
      </c>
      <c r="I250" s="2">
        <v>44680.453321759262</v>
      </c>
      <c r="J250" s="24">
        <f>MONTH(Tabla1[[#This Row],[Publicación]])</f>
        <v>4</v>
      </c>
      <c r="K250" s="24">
        <f>YEAR(Tabla1[[#This Row],[Publicación]])</f>
        <v>2022</v>
      </c>
      <c r="L250" s="2">
        <v>44690.628472222219</v>
      </c>
      <c r="M250" s="26">
        <v>44686</v>
      </c>
      <c r="N250" s="25" t="s">
        <v>11</v>
      </c>
      <c r="O250" s="24"/>
      <c r="P250" s="24" t="s">
        <v>11</v>
      </c>
      <c r="Q250" s="2">
        <v>44685.634027777778</v>
      </c>
      <c r="R250" s="2">
        <v>44687.666666666664</v>
      </c>
      <c r="S250" s="26">
        <v>44721</v>
      </c>
      <c r="T250" s="28">
        <v>25000000</v>
      </c>
      <c r="U250" s="28">
        <f>Tabla1[[#This Row],[PPTO]]/(1+'Lista Datos'!$B$1)</f>
        <v>21008403.361344539</v>
      </c>
      <c r="V250" s="23">
        <v>45</v>
      </c>
      <c r="W250" s="18" t="s">
        <v>10</v>
      </c>
      <c r="X250" s="102"/>
      <c r="Y250" s="18" t="s">
        <v>146</v>
      </c>
      <c r="Z250" s="18" t="s">
        <v>10</v>
      </c>
      <c r="AA250" s="23" t="s">
        <v>177</v>
      </c>
      <c r="AB250" s="23">
        <v>12</v>
      </c>
      <c r="AC250" s="23" t="s">
        <v>10</v>
      </c>
      <c r="AD250" s="23">
        <v>60</v>
      </c>
      <c r="AE250" s="29">
        <f>Tabla1[[#This Row],[Cierre]]+Tabla1[[#This Row],[Vigencia Oferta (días)]]</f>
        <v>44750.628472222219</v>
      </c>
      <c r="AF250" s="87">
        <v>1000</v>
      </c>
      <c r="AG250" s="28">
        <v>15654</v>
      </c>
      <c r="AH250" s="164">
        <f>Tabla1[[#This Row],[Unidades2]]*Tabla1[[#This Row],[Precio Unitario]]</f>
        <v>15654000</v>
      </c>
      <c r="AI250" s="23" t="s">
        <v>44</v>
      </c>
      <c r="AJ250" s="26">
        <v>44803</v>
      </c>
      <c r="AK250" s="172">
        <f>Tabla1[[#This Row],[Fecha Vigencia]]-AJ250</f>
        <v>-52.371527777781012</v>
      </c>
      <c r="AL250" s="23" t="s">
        <v>46</v>
      </c>
      <c r="AM250" s="87">
        <v>2439</v>
      </c>
      <c r="AN250" s="29">
        <v>44803</v>
      </c>
      <c r="AO250" s="29">
        <v>45168</v>
      </c>
      <c r="AP250" s="23" t="s">
        <v>177</v>
      </c>
      <c r="AQ250" s="34" t="s">
        <v>1079</v>
      </c>
      <c r="AR250" s="23" t="s">
        <v>10</v>
      </c>
      <c r="AS250" s="23"/>
      <c r="AT250" s="23"/>
      <c r="AU250" s="23"/>
      <c r="AV250" s="23"/>
      <c r="AW250" s="23" t="s">
        <v>1114</v>
      </c>
      <c r="AX250" t="s">
        <v>1081</v>
      </c>
      <c r="AY250" s="23"/>
      <c r="AZ250" s="23"/>
      <c r="BA250" s="23"/>
      <c r="BB250" s="32"/>
      <c r="BC250" s="73"/>
    </row>
    <row r="251" spans="1:55" x14ac:dyDescent="0.25">
      <c r="A251" s="35" t="s">
        <v>1545</v>
      </c>
      <c r="B251" s="23" t="s">
        <v>1546</v>
      </c>
      <c r="C251" s="23" t="s">
        <v>1547</v>
      </c>
      <c r="D251" s="34" t="s">
        <v>1114</v>
      </c>
      <c r="E251" s="24"/>
      <c r="F251" s="25"/>
      <c r="G251" s="23" t="s">
        <v>21</v>
      </c>
      <c r="H251" s="23" t="s">
        <v>106</v>
      </c>
      <c r="I251" s="2">
        <v>44680.453321759262</v>
      </c>
      <c r="J251" s="24">
        <f>MONTH(Tabla1[[#This Row],[Publicación]])</f>
        <v>4</v>
      </c>
      <c r="K251" s="24">
        <f>YEAR(Tabla1[[#This Row],[Publicación]])</f>
        <v>2022</v>
      </c>
      <c r="L251" s="2">
        <v>44690.628472222219</v>
      </c>
      <c r="M251" s="26">
        <v>44686</v>
      </c>
      <c r="N251" s="25" t="s">
        <v>11</v>
      </c>
      <c r="O251" s="24"/>
      <c r="P251" s="24" t="s">
        <v>11</v>
      </c>
      <c r="Q251" s="2">
        <v>44685.634027777778</v>
      </c>
      <c r="R251" s="2">
        <v>44687.666666666664</v>
      </c>
      <c r="S251" s="26">
        <v>44721</v>
      </c>
      <c r="T251" s="28">
        <v>25000000</v>
      </c>
      <c r="U251" s="28">
        <f>Tabla1[[#This Row],[PPTO]]/(1+'Lista Datos'!$B$1)</f>
        <v>21008403.361344539</v>
      </c>
      <c r="V251" s="23">
        <v>45</v>
      </c>
      <c r="W251" s="18" t="s">
        <v>10</v>
      </c>
      <c r="X251" s="102"/>
      <c r="Y251" s="18" t="s">
        <v>146</v>
      </c>
      <c r="Z251" s="18" t="s">
        <v>10</v>
      </c>
      <c r="AA251" s="23" t="s">
        <v>177</v>
      </c>
      <c r="AB251" s="23">
        <v>12</v>
      </c>
      <c r="AC251" s="23" t="s">
        <v>10</v>
      </c>
      <c r="AD251" s="23">
        <v>60</v>
      </c>
      <c r="AE251" s="29">
        <f>Tabla1[[#This Row],[Cierre]]+Tabla1[[#This Row],[Vigencia Oferta (días)]]</f>
        <v>44750.628472222219</v>
      </c>
      <c r="AF251" s="87">
        <v>1000</v>
      </c>
      <c r="AG251" s="28">
        <v>15654</v>
      </c>
      <c r="AH251" s="164">
        <f>Tabla1[[#This Row],[Unidades2]]*Tabla1[[#This Row],[Precio Unitario]]</f>
        <v>15654000</v>
      </c>
      <c r="AI251" s="23" t="s">
        <v>44</v>
      </c>
      <c r="AJ251" s="26">
        <v>44803</v>
      </c>
      <c r="AK251" s="172">
        <f>Tabla1[[#This Row],[Fecha Vigencia]]-AJ251</f>
        <v>-52.371527777781012</v>
      </c>
      <c r="AL251" s="23" t="s">
        <v>46</v>
      </c>
      <c r="AM251" s="87">
        <v>1710</v>
      </c>
      <c r="AN251" s="23">
        <v>44803</v>
      </c>
      <c r="AO251" s="29">
        <v>45168</v>
      </c>
      <c r="AP251" s="23" t="s">
        <v>177</v>
      </c>
      <c r="AQ251" s="34" t="s">
        <v>1079</v>
      </c>
      <c r="AR251" s="23" t="s">
        <v>10</v>
      </c>
      <c r="AS251" s="23"/>
      <c r="AT251" s="23"/>
      <c r="AU251" s="23"/>
      <c r="AV251" s="23"/>
      <c r="AW251" s="23" t="s">
        <v>1114</v>
      </c>
      <c r="AX251" t="s">
        <v>1081</v>
      </c>
      <c r="AY251" s="23"/>
      <c r="AZ251" s="23"/>
      <c r="BA251" s="23"/>
      <c r="BB251" s="32"/>
      <c r="BC251" s="73"/>
    </row>
    <row r="252" spans="1:55" x14ac:dyDescent="0.25">
      <c r="A252" s="35" t="s">
        <v>1545</v>
      </c>
      <c r="B252" s="23" t="s">
        <v>1546</v>
      </c>
      <c r="C252" s="23" t="s">
        <v>1547</v>
      </c>
      <c r="D252" s="34" t="s">
        <v>1114</v>
      </c>
      <c r="E252" s="24"/>
      <c r="F252" s="25"/>
      <c r="G252" s="23" t="s">
        <v>21</v>
      </c>
      <c r="H252" s="23" t="s">
        <v>106</v>
      </c>
      <c r="I252" s="2">
        <v>44680.453321759262</v>
      </c>
      <c r="J252" s="24">
        <f>MONTH(Tabla1[[#This Row],[Publicación]])</f>
        <v>4</v>
      </c>
      <c r="K252" s="24">
        <f>YEAR(Tabla1[[#This Row],[Publicación]])</f>
        <v>2022</v>
      </c>
      <c r="L252" s="2">
        <v>44690.628472222219</v>
      </c>
      <c r="M252" s="26">
        <v>44686</v>
      </c>
      <c r="N252" s="25" t="s">
        <v>11</v>
      </c>
      <c r="O252" s="24"/>
      <c r="P252" s="24" t="s">
        <v>11</v>
      </c>
      <c r="Q252" s="2">
        <v>44685.634027777778</v>
      </c>
      <c r="R252" s="2">
        <v>44687.666666666664</v>
      </c>
      <c r="S252" s="26">
        <v>44721</v>
      </c>
      <c r="T252" s="28">
        <v>25000000</v>
      </c>
      <c r="U252" s="28">
        <f>Tabla1[[#This Row],[PPTO]]/(1+'Lista Datos'!$B$1)</f>
        <v>21008403.361344539</v>
      </c>
      <c r="V252" s="23">
        <v>45</v>
      </c>
      <c r="W252" s="18" t="s">
        <v>10</v>
      </c>
      <c r="X252" s="102"/>
      <c r="Y252" s="18" t="s">
        <v>146</v>
      </c>
      <c r="Z252" s="18" t="s">
        <v>10</v>
      </c>
      <c r="AA252" s="23" t="s">
        <v>177</v>
      </c>
      <c r="AB252" s="23">
        <v>12</v>
      </c>
      <c r="AC252" s="23" t="s">
        <v>10</v>
      </c>
      <c r="AD252" s="23">
        <v>60</v>
      </c>
      <c r="AE252" s="29">
        <f>Tabla1[[#This Row],[Cierre]]+Tabla1[[#This Row],[Vigencia Oferta (días)]]</f>
        <v>44750.628472222219</v>
      </c>
      <c r="AF252" s="87">
        <v>1000</v>
      </c>
      <c r="AG252" s="28">
        <v>15654</v>
      </c>
      <c r="AH252" s="164">
        <f>Tabla1[[#This Row],[Unidades2]]*Tabla1[[#This Row],[Precio Unitario]]</f>
        <v>15654000</v>
      </c>
      <c r="AI252" s="23" t="s">
        <v>44</v>
      </c>
      <c r="AJ252" s="26">
        <v>44803</v>
      </c>
      <c r="AK252" s="172">
        <f>Tabla1[[#This Row],[Fecha Vigencia]]-AJ252</f>
        <v>-52.371527777781012</v>
      </c>
      <c r="AL252" s="23" t="s">
        <v>46</v>
      </c>
      <c r="AM252" s="87">
        <v>1870</v>
      </c>
      <c r="AN252" s="23">
        <v>44803</v>
      </c>
      <c r="AO252" s="29">
        <v>45168</v>
      </c>
      <c r="AP252" s="23" t="s">
        <v>177</v>
      </c>
      <c r="AQ252" s="34" t="s">
        <v>1079</v>
      </c>
      <c r="AR252" s="23" t="s">
        <v>10</v>
      </c>
      <c r="AS252" s="23"/>
      <c r="AT252" s="23"/>
      <c r="AU252" s="23"/>
      <c r="AV252" s="23"/>
      <c r="AW252" s="23" t="s">
        <v>1114</v>
      </c>
      <c r="AX252" t="s">
        <v>1081</v>
      </c>
      <c r="AY252" s="23"/>
      <c r="AZ252" s="23"/>
      <c r="BA252" s="23"/>
      <c r="BB252" s="32"/>
      <c r="BC252" s="73"/>
    </row>
    <row r="253" spans="1:55" x14ac:dyDescent="0.25">
      <c r="A253" s="22" t="s">
        <v>1548</v>
      </c>
      <c r="B253" s="23" t="s">
        <v>1475</v>
      </c>
      <c r="C253" s="23" t="s">
        <v>1549</v>
      </c>
      <c r="D253" s="23" t="s">
        <v>1477</v>
      </c>
      <c r="E253" s="24"/>
      <c r="F253" s="25"/>
      <c r="G253" s="23" t="s">
        <v>16</v>
      </c>
      <c r="H253" s="23" t="s">
        <v>520</v>
      </c>
      <c r="I253" s="2">
        <v>44683.687175925923</v>
      </c>
      <c r="J253" s="24">
        <f>MONTH(Tabla1[[#This Row],[Publicación]])</f>
        <v>5</v>
      </c>
      <c r="K253" s="24">
        <f>YEAR(Tabla1[[#This Row],[Publicación]])</f>
        <v>2022</v>
      </c>
      <c r="L253" s="2">
        <v>44690.645833333336</v>
      </c>
      <c r="M253" s="26">
        <v>44685</v>
      </c>
      <c r="N253" s="25" t="s">
        <v>10</v>
      </c>
      <c r="O253" s="24" t="s">
        <v>34</v>
      </c>
      <c r="P253" s="24" t="s">
        <v>10</v>
      </c>
      <c r="Q253" s="2">
        <v>44684.791666666664</v>
      </c>
      <c r="R253" s="2">
        <v>44686.666666666664</v>
      </c>
      <c r="S253" s="26">
        <v>44720.625</v>
      </c>
      <c r="T253" s="28">
        <v>0</v>
      </c>
      <c r="U253" s="28">
        <f>Tabla1[[#This Row],[PPTO]]/(1+'Lista Datos'!$B$1)</f>
        <v>0</v>
      </c>
      <c r="V253" s="23"/>
      <c r="W253" s="18" t="s">
        <v>10</v>
      </c>
      <c r="X253" s="102"/>
      <c r="Y253" s="18" t="s">
        <v>146</v>
      </c>
      <c r="Z253" s="18" t="s">
        <v>10</v>
      </c>
      <c r="AA253" s="23"/>
      <c r="AB253" s="23"/>
      <c r="AC253" s="23"/>
      <c r="AD253" s="23"/>
      <c r="AE253" s="29">
        <f>Tabla1[[#This Row],[Cierre]]+Tabla1[[#This Row],[Vigencia Oferta (días)]]</f>
        <v>44690.645833333336</v>
      </c>
      <c r="AF253" s="87"/>
      <c r="AG253" s="28"/>
      <c r="AH253" s="164">
        <f>Tabla1[[#This Row],[Unidades2]]*Tabla1[[#This Row],[Precio Unitario]]</f>
        <v>0</v>
      </c>
      <c r="AI253" s="23" t="s">
        <v>137</v>
      </c>
      <c r="AJ253" s="26"/>
      <c r="AK253" s="172">
        <f>Tabla1[[#This Row],[Fecha Vigencia]]-AJ253</f>
        <v>44690.645833333336</v>
      </c>
      <c r="AL253" s="23"/>
      <c r="AM253" s="87"/>
      <c r="AN253" s="23"/>
      <c r="AO253" s="29"/>
      <c r="AP253" s="23"/>
      <c r="AQ253" s="23" t="s">
        <v>1478</v>
      </c>
      <c r="AR253" s="23" t="s">
        <v>11</v>
      </c>
      <c r="AS253" s="33">
        <v>0.05</v>
      </c>
      <c r="AT253" s="29">
        <v>45534</v>
      </c>
      <c r="AU253" s="23"/>
      <c r="AV253" s="23"/>
      <c r="AW253" s="23" t="s">
        <v>1479</v>
      </c>
      <c r="AX253" t="s">
        <v>1480</v>
      </c>
      <c r="AY253" s="23"/>
      <c r="AZ253" s="23"/>
      <c r="BA253" s="23"/>
      <c r="BB253" s="32"/>
      <c r="BC253" s="73"/>
    </row>
    <row r="254" spans="1:55" ht="11.25" x14ac:dyDescent="0.2">
      <c r="A254" s="22" t="s">
        <v>1550</v>
      </c>
      <c r="B254" s="23" t="s">
        <v>1551</v>
      </c>
      <c r="C254" s="23"/>
      <c r="D254" s="34" t="s">
        <v>1552</v>
      </c>
      <c r="E254" s="24"/>
      <c r="F254" s="25"/>
      <c r="G254" s="23" t="s">
        <v>16</v>
      </c>
      <c r="H254" s="23" t="s">
        <v>1553</v>
      </c>
      <c r="I254" s="2">
        <v>44684.6797337963</v>
      </c>
      <c r="J254" s="24">
        <f>MONTH(Tabla1[[#This Row],[Publicación]])</f>
        <v>5</v>
      </c>
      <c r="K254" s="24">
        <f>YEAR(Tabla1[[#This Row],[Publicación]])</f>
        <v>2022</v>
      </c>
      <c r="L254" s="2">
        <v>44690.729166666664</v>
      </c>
      <c r="M254" s="26">
        <v>44685</v>
      </c>
      <c r="N254" s="25" t="s">
        <v>10</v>
      </c>
      <c r="O254" s="24" t="s">
        <v>34</v>
      </c>
      <c r="P254" s="24" t="s">
        <v>10</v>
      </c>
      <c r="Q254" s="2">
        <v>44685.729166666664</v>
      </c>
      <c r="R254" s="2">
        <v>44686.729166666664</v>
      </c>
      <c r="S254" s="26">
        <v>44704.729166666664</v>
      </c>
      <c r="T254" s="28">
        <v>0</v>
      </c>
      <c r="U254" s="28">
        <f>Tabla1[[#This Row],[PPTO]]/(1+'Lista Datos'!$B$1)</f>
        <v>0</v>
      </c>
      <c r="V254" s="23"/>
      <c r="W254" s="18" t="s">
        <v>10</v>
      </c>
      <c r="X254" s="102"/>
      <c r="Y254" s="18" t="s">
        <v>146</v>
      </c>
      <c r="Z254" s="18" t="s">
        <v>10</v>
      </c>
      <c r="AA254" s="23"/>
      <c r="AB254" s="23"/>
      <c r="AC254" s="23"/>
      <c r="AD254" s="23"/>
      <c r="AE254" s="29">
        <f>Tabla1[[#This Row],[Cierre]]+Tabla1[[#This Row],[Vigencia Oferta (días)]]</f>
        <v>44690.729166666664</v>
      </c>
      <c r="AF254" s="87"/>
      <c r="AG254" s="28"/>
      <c r="AH254" s="164">
        <f>Tabla1[[#This Row],[Unidades2]]*Tabla1[[#This Row],[Precio Unitario]]</f>
        <v>0</v>
      </c>
      <c r="AI254" s="23" t="s">
        <v>44</v>
      </c>
      <c r="AJ254" s="26">
        <v>44707</v>
      </c>
      <c r="AK254" s="172">
        <f>Tabla1[[#This Row],[Fecha Vigencia]]-AJ254</f>
        <v>-16.270833333335759</v>
      </c>
      <c r="AL254" s="23" t="s">
        <v>46</v>
      </c>
      <c r="AM254" s="87">
        <v>555800</v>
      </c>
      <c r="AN254" s="23"/>
      <c r="AO254" s="29"/>
      <c r="AP254" s="23"/>
      <c r="AQ254" s="34" t="s">
        <v>1554</v>
      </c>
      <c r="AR254" s="23" t="s">
        <v>10</v>
      </c>
      <c r="AS254" s="23"/>
      <c r="AT254" s="23"/>
      <c r="AU254" s="23"/>
      <c r="AV254" s="23"/>
      <c r="AW254" s="23"/>
      <c r="AX254" s="23"/>
      <c r="AY254" s="23"/>
      <c r="AZ254" s="23"/>
      <c r="BA254" s="23"/>
      <c r="BB254" s="32"/>
      <c r="BC254" s="73"/>
    </row>
    <row r="255" spans="1:55" x14ac:dyDescent="0.25">
      <c r="A255" s="22" t="s">
        <v>1555</v>
      </c>
      <c r="B255" s="23" t="s">
        <v>1556</v>
      </c>
      <c r="C255" s="23" t="s">
        <v>1556</v>
      </c>
      <c r="D255" s="34" t="s">
        <v>337</v>
      </c>
      <c r="E255" s="24"/>
      <c r="F255" s="25"/>
      <c r="G255" s="23" t="s">
        <v>16</v>
      </c>
      <c r="H255" s="23" t="s">
        <v>533</v>
      </c>
      <c r="I255" s="2">
        <v>44686.533750000002</v>
      </c>
      <c r="J255" s="24">
        <f>MONTH(Tabla1[[#This Row],[Publicación]])</f>
        <v>5</v>
      </c>
      <c r="K255" s="24">
        <f>YEAR(Tabla1[[#This Row],[Publicación]])</f>
        <v>2022</v>
      </c>
      <c r="L255" s="2">
        <v>44692.580555555556</v>
      </c>
      <c r="M255" s="26">
        <v>44687</v>
      </c>
      <c r="N255" s="25" t="s">
        <v>10</v>
      </c>
      <c r="O255" s="24" t="s">
        <v>25</v>
      </c>
      <c r="P255" s="24" t="s">
        <v>10</v>
      </c>
      <c r="Q255" s="2">
        <v>44689.663888888892</v>
      </c>
      <c r="R255" s="2">
        <v>44690.663888888892</v>
      </c>
      <c r="S255" s="26">
        <v>44693.581250000003</v>
      </c>
      <c r="T255" s="28">
        <v>0</v>
      </c>
      <c r="U255" s="28">
        <f>Tabla1[[#This Row],[PPTO]]/(1+'Lista Datos'!$B$1)</f>
        <v>0</v>
      </c>
      <c r="V255" s="23"/>
      <c r="W255" s="18" t="s">
        <v>10</v>
      </c>
      <c r="X255" s="102"/>
      <c r="Y255" s="18" t="s">
        <v>146</v>
      </c>
      <c r="Z255" s="18" t="s">
        <v>10</v>
      </c>
      <c r="AA255" s="23"/>
      <c r="AB255" s="23"/>
      <c r="AC255" s="23"/>
      <c r="AD255" s="23"/>
      <c r="AE255" s="29">
        <f>Tabla1[[#This Row],[Cierre]]+Tabla1[[#This Row],[Vigencia Oferta (días)]]</f>
        <v>44692.580555555556</v>
      </c>
      <c r="AF255" s="87"/>
      <c r="AG255" s="28"/>
      <c r="AH255" s="164">
        <f>Tabla1[[#This Row],[Unidades2]]*Tabla1[[#This Row],[Precio Unitario]]</f>
        <v>0</v>
      </c>
      <c r="AI255" s="23" t="s">
        <v>137</v>
      </c>
      <c r="AJ255" s="26"/>
      <c r="AK255" s="172">
        <f>Tabla1[[#This Row],[Fecha Vigencia]]-AJ255</f>
        <v>44692.580555555556</v>
      </c>
      <c r="AL255" s="23"/>
      <c r="AM255" s="87"/>
      <c r="AN255" s="23"/>
      <c r="AO255" s="29"/>
      <c r="AP255" s="23"/>
      <c r="AQ255" s="34" t="s">
        <v>338</v>
      </c>
      <c r="AR255" s="23" t="s">
        <v>10</v>
      </c>
      <c r="AS255" s="23"/>
      <c r="AT255" s="23"/>
      <c r="AU255" s="23"/>
      <c r="AV255" s="23"/>
      <c r="AW255" s="23" t="s">
        <v>339</v>
      </c>
      <c r="AX255" t="s">
        <v>340</v>
      </c>
      <c r="AY255" s="23"/>
      <c r="AZ255" s="23"/>
      <c r="BA255" s="23"/>
      <c r="BB255" s="32"/>
      <c r="BC255" s="73"/>
    </row>
    <row r="256" spans="1:55" x14ac:dyDescent="0.25">
      <c r="A256" s="35" t="s">
        <v>1557</v>
      </c>
      <c r="B256" s="23" t="s">
        <v>1558</v>
      </c>
      <c r="C256" s="23" t="s">
        <v>1559</v>
      </c>
      <c r="D256" s="23" t="s">
        <v>113</v>
      </c>
      <c r="E256" s="24"/>
      <c r="F256" s="25"/>
      <c r="G256" s="23" t="s">
        <v>41</v>
      </c>
      <c r="H256" s="23" t="s">
        <v>298</v>
      </c>
      <c r="I256" s="2">
        <v>44680.505740740744</v>
      </c>
      <c r="J256" s="24">
        <f>MONTH(Tabla1[[#This Row],[Publicación]])</f>
        <v>4</v>
      </c>
      <c r="K256" s="24">
        <f>YEAR(Tabla1[[#This Row],[Publicación]])</f>
        <v>2022</v>
      </c>
      <c r="L256" s="2">
        <v>44693.625</v>
      </c>
      <c r="M256" s="26">
        <v>44686</v>
      </c>
      <c r="N256" s="25" t="s">
        <v>10</v>
      </c>
      <c r="O256" s="24" t="s">
        <v>25</v>
      </c>
      <c r="P256" s="24" t="s">
        <v>10</v>
      </c>
      <c r="Q256" s="2">
        <v>44684.542361111111</v>
      </c>
      <c r="R256" s="2">
        <v>44690.625</v>
      </c>
      <c r="S256" s="26">
        <v>44816.625</v>
      </c>
      <c r="T256" s="28">
        <v>0</v>
      </c>
      <c r="U256" s="28">
        <f>Tabla1[[#This Row],[PPTO]]/(1+'Lista Datos'!$B$1)</f>
        <v>0</v>
      </c>
      <c r="V256" s="23"/>
      <c r="W256" s="18" t="s">
        <v>10</v>
      </c>
      <c r="X256" s="102"/>
      <c r="Y256" s="18" t="s">
        <v>146</v>
      </c>
      <c r="Z256" s="18" t="s">
        <v>10</v>
      </c>
      <c r="AA256" s="23"/>
      <c r="AB256" s="23"/>
      <c r="AC256" s="23"/>
      <c r="AD256" s="23"/>
      <c r="AE256" s="29">
        <f>Tabla1[[#This Row],[Cierre]]+Tabla1[[#This Row],[Vigencia Oferta (días)]]</f>
        <v>44693.625</v>
      </c>
      <c r="AF256" s="87"/>
      <c r="AG256" s="28"/>
      <c r="AH256" s="164">
        <f>Tabla1[[#This Row],[Unidades2]]*Tabla1[[#This Row],[Precio Unitario]]</f>
        <v>0</v>
      </c>
      <c r="AI256" s="23" t="s">
        <v>44</v>
      </c>
      <c r="AJ256" s="26">
        <v>44767</v>
      </c>
      <c r="AK256" s="172">
        <f>Tabla1[[#This Row],[Fecha Vigencia]]-AJ256</f>
        <v>-73.375</v>
      </c>
      <c r="AL256" s="23" t="s">
        <v>472</v>
      </c>
      <c r="AM256" s="87">
        <v>120271</v>
      </c>
      <c r="AN256" s="23"/>
      <c r="AO256" s="29"/>
      <c r="AP256" s="23"/>
      <c r="AQ256" s="23" t="s">
        <v>116</v>
      </c>
      <c r="AR256" s="23" t="s">
        <v>10</v>
      </c>
      <c r="AS256" s="23"/>
      <c r="AT256" s="23"/>
      <c r="AU256" s="23"/>
      <c r="AV256" s="23"/>
      <c r="AW256" s="77" t="s">
        <v>1560</v>
      </c>
      <c r="AX256" t="s">
        <v>1561</v>
      </c>
      <c r="AY256" s="23"/>
      <c r="AZ256" s="23"/>
      <c r="BA256" s="23"/>
      <c r="BB256" s="32"/>
      <c r="BC256" s="73"/>
    </row>
    <row r="257" spans="1:55" x14ac:dyDescent="0.25">
      <c r="A257" s="35" t="s">
        <v>1562</v>
      </c>
      <c r="B257" s="23" t="s">
        <v>1563</v>
      </c>
      <c r="C257" s="23" t="s">
        <v>1564</v>
      </c>
      <c r="D257" s="23" t="s">
        <v>1565</v>
      </c>
      <c r="E257" s="24"/>
      <c r="F257" s="25"/>
      <c r="G257" s="23" t="s">
        <v>16</v>
      </c>
      <c r="H257" s="23" t="s">
        <v>345</v>
      </c>
      <c r="I257" s="2">
        <v>44685.454351851855</v>
      </c>
      <c r="J257" s="24">
        <f>MONTH(Tabla1[[#This Row],[Publicación]])</f>
        <v>5</v>
      </c>
      <c r="K257" s="24">
        <f>YEAR(Tabla1[[#This Row],[Publicación]])</f>
        <v>2022</v>
      </c>
      <c r="L257" s="2">
        <v>44694.524305555555</v>
      </c>
      <c r="M257" s="26">
        <v>44686</v>
      </c>
      <c r="N257" s="25" t="s">
        <v>10</v>
      </c>
      <c r="O257" s="24" t="s">
        <v>27</v>
      </c>
      <c r="P257" s="24" t="s">
        <v>10</v>
      </c>
      <c r="Q257" s="2">
        <v>44687.607638888891</v>
      </c>
      <c r="R257" s="2">
        <v>44691.607638888891</v>
      </c>
      <c r="S257" s="26">
        <v>44742.525000000001</v>
      </c>
      <c r="T257" s="28">
        <v>0</v>
      </c>
      <c r="U257" s="28">
        <f>Tabla1[[#This Row],[PPTO]]/(1+'Lista Datos'!$B$1)</f>
        <v>0</v>
      </c>
      <c r="V257" s="23"/>
      <c r="W257" s="18" t="s">
        <v>10</v>
      </c>
      <c r="X257" s="102"/>
      <c r="Y257" s="18" t="s">
        <v>146</v>
      </c>
      <c r="Z257" s="18" t="s">
        <v>10</v>
      </c>
      <c r="AA257" s="23"/>
      <c r="AB257" s="23"/>
      <c r="AC257" s="23"/>
      <c r="AD257" s="23"/>
      <c r="AE257" s="29">
        <f>Tabla1[[#This Row],[Cierre]]+Tabla1[[#This Row],[Vigencia Oferta (días)]]</f>
        <v>44694.524305555555</v>
      </c>
      <c r="AF257" s="87"/>
      <c r="AG257" s="28"/>
      <c r="AH257" s="164">
        <f>Tabla1[[#This Row],[Unidades2]]*Tabla1[[#This Row],[Precio Unitario]]</f>
        <v>0</v>
      </c>
      <c r="AI257" s="23" t="s">
        <v>137</v>
      </c>
      <c r="AJ257" s="26"/>
      <c r="AK257" s="172">
        <f>Tabla1[[#This Row],[Fecha Vigencia]]-AJ257</f>
        <v>44694.524305555555</v>
      </c>
      <c r="AL257" s="23"/>
      <c r="AM257" s="87"/>
      <c r="AN257" s="23"/>
      <c r="AO257" s="29"/>
      <c r="AP257" s="23"/>
      <c r="AQ257" s="23" t="s">
        <v>1566</v>
      </c>
      <c r="AR257" s="23" t="s">
        <v>10</v>
      </c>
      <c r="AS257" s="23"/>
      <c r="AT257" s="23"/>
      <c r="AU257" s="23"/>
      <c r="AV257" s="23"/>
      <c r="AW257" s="23" t="s">
        <v>1567</v>
      </c>
      <c r="AX257" t="s">
        <v>1568</v>
      </c>
      <c r="AY257" s="23"/>
      <c r="AZ257" s="23"/>
      <c r="BA257" s="23"/>
      <c r="BB257" s="32"/>
      <c r="BC257" s="73"/>
    </row>
    <row r="258" spans="1:55" x14ac:dyDescent="0.25">
      <c r="A258" s="36" t="s">
        <v>1569</v>
      </c>
      <c r="B258" s="37" t="s">
        <v>1570</v>
      </c>
      <c r="C258" s="37" t="s">
        <v>1571</v>
      </c>
      <c r="D258" s="55" t="s">
        <v>331</v>
      </c>
      <c r="E258" s="38"/>
      <c r="F258" s="39"/>
      <c r="G258" s="37" t="s">
        <v>21</v>
      </c>
      <c r="H258" s="37" t="s">
        <v>106</v>
      </c>
      <c r="I258" s="2">
        <v>44664.657997685186</v>
      </c>
      <c r="J258" s="24">
        <f>MONTH(Tabla1[[#This Row],[Publicación]])</f>
        <v>4</v>
      </c>
      <c r="K258" s="24">
        <f>YEAR(Tabla1[[#This Row],[Publicación]])</f>
        <v>2022</v>
      </c>
      <c r="L258" s="40">
        <v>44694.708333333336</v>
      </c>
      <c r="M258" s="41"/>
      <c r="N258" s="39" t="s">
        <v>11</v>
      </c>
      <c r="O258" s="38"/>
      <c r="P258" s="24" t="s">
        <v>11</v>
      </c>
      <c r="Q258" s="40">
        <v>44670.708333333336</v>
      </c>
      <c r="R258" s="40">
        <v>44676.833333333336</v>
      </c>
      <c r="S258" s="41">
        <v>44818.833333333336</v>
      </c>
      <c r="T258" s="28">
        <v>0</v>
      </c>
      <c r="U258" s="28">
        <f>Tabla1[[#This Row],[PPTO]]/(1+'Lista Datos'!$B$1)</f>
        <v>0</v>
      </c>
      <c r="V258" s="37">
        <v>30</v>
      </c>
      <c r="W258" s="19" t="s">
        <v>11</v>
      </c>
      <c r="X258" s="112">
        <v>200000</v>
      </c>
      <c r="Y258" s="41">
        <v>44834</v>
      </c>
      <c r="Z258" s="19" t="s">
        <v>10</v>
      </c>
      <c r="AA258" s="37" t="s">
        <v>177</v>
      </c>
      <c r="AB258" s="37">
        <v>36</v>
      </c>
      <c r="AC258" s="37" t="s">
        <v>10</v>
      </c>
      <c r="AD258" s="37">
        <v>180</v>
      </c>
      <c r="AE258" s="29">
        <f>Tabla1[[#This Row],[Cierre]]+Tabla1[[#This Row],[Vigencia Oferta (días)]]</f>
        <v>44874.708333333336</v>
      </c>
      <c r="AF258" s="88">
        <v>54</v>
      </c>
      <c r="AG258" s="43">
        <v>32002</v>
      </c>
      <c r="AH258" s="164">
        <f>Tabla1[[#This Row],[Unidades2]]*Tabla1[[#This Row],[Precio Unitario]]</f>
        <v>1728108</v>
      </c>
      <c r="AI258" s="37" t="s">
        <v>320</v>
      </c>
      <c r="AJ258" s="41"/>
      <c r="AK258" s="172">
        <f>Tabla1[[#This Row],[Fecha Vigencia]]-AJ258</f>
        <v>44874.708333333336</v>
      </c>
      <c r="AL258" s="37"/>
      <c r="AM258" s="88"/>
      <c r="AN258" s="50"/>
      <c r="AO258" s="50"/>
      <c r="AP258" s="37" t="s">
        <v>177</v>
      </c>
      <c r="AQ258" s="55" t="s">
        <v>332</v>
      </c>
      <c r="AR258" s="37" t="s">
        <v>11</v>
      </c>
      <c r="AS258" s="51">
        <v>0.05</v>
      </c>
      <c r="AT258" s="50">
        <v>46022</v>
      </c>
      <c r="AU258" s="37" t="s">
        <v>459</v>
      </c>
      <c r="AV258" s="37"/>
      <c r="AW258" s="37" t="s">
        <v>1409</v>
      </c>
      <c r="AX258" t="s">
        <v>140</v>
      </c>
      <c r="AY258" s="37"/>
      <c r="AZ258" s="37"/>
      <c r="BA258" s="37"/>
      <c r="BB258" s="44"/>
      <c r="BC258" s="73"/>
    </row>
    <row r="259" spans="1:55" ht="11.25" x14ac:dyDescent="0.2">
      <c r="A259" s="22" t="s">
        <v>1572</v>
      </c>
      <c r="B259" s="23" t="s">
        <v>1573</v>
      </c>
      <c r="C259" s="23" t="s">
        <v>1574</v>
      </c>
      <c r="D259" s="34" t="s">
        <v>264</v>
      </c>
      <c r="E259" s="24"/>
      <c r="F259" s="25"/>
      <c r="G259" s="23" t="s">
        <v>21</v>
      </c>
      <c r="H259" s="23" t="s">
        <v>106</v>
      </c>
      <c r="I259" s="2">
        <v>44664.724999999999</v>
      </c>
      <c r="J259" s="24">
        <f>MONTH(Tabla1[[#This Row],[Publicación]])</f>
        <v>4</v>
      </c>
      <c r="K259" s="24">
        <f>YEAR(Tabla1[[#This Row],[Publicación]])</f>
        <v>2022</v>
      </c>
      <c r="L259" s="2">
        <v>44697.625</v>
      </c>
      <c r="M259" s="26"/>
      <c r="N259" s="25" t="s">
        <v>10</v>
      </c>
      <c r="O259" s="24" t="s">
        <v>29</v>
      </c>
      <c r="P259" s="24" t="s">
        <v>10</v>
      </c>
      <c r="Q259" s="2">
        <v>44684.625</v>
      </c>
      <c r="R259" s="2">
        <v>44690.75</v>
      </c>
      <c r="S259" s="26">
        <v>44816.75</v>
      </c>
      <c r="T259" s="28">
        <v>0</v>
      </c>
      <c r="U259" s="28">
        <f>Tabla1[[#This Row],[PPTO]]/(1+'Lista Datos'!$B$1)</f>
        <v>0</v>
      </c>
      <c r="V259" s="23">
        <v>30</v>
      </c>
      <c r="W259" s="18" t="s">
        <v>11</v>
      </c>
      <c r="X259" s="102">
        <v>200000</v>
      </c>
      <c r="Y259" s="26">
        <v>44816</v>
      </c>
      <c r="Z259" s="18" t="s">
        <v>10</v>
      </c>
      <c r="AA259" s="23" t="s">
        <v>177</v>
      </c>
      <c r="AB259" s="23">
        <v>12</v>
      </c>
      <c r="AC259" s="23" t="s">
        <v>10</v>
      </c>
      <c r="AD259" s="23"/>
      <c r="AE259" s="29">
        <f>Tabla1[[#This Row],[Cierre]]+Tabla1[[#This Row],[Vigencia Oferta (días)]]</f>
        <v>44697.625</v>
      </c>
      <c r="AF259" s="87">
        <v>30</v>
      </c>
      <c r="AG259" s="28"/>
      <c r="AH259" s="164">
        <f>Tabla1[[#This Row],[Unidades2]]*Tabla1[[#This Row],[Precio Unitario]]</f>
        <v>0</v>
      </c>
      <c r="AI259" s="23" t="s">
        <v>44</v>
      </c>
      <c r="AJ259" s="26"/>
      <c r="AK259" s="172">
        <f>Tabla1[[#This Row],[Fecha Vigencia]]-AJ259</f>
        <v>44697.625</v>
      </c>
      <c r="AL259" s="23"/>
      <c r="AM259" s="87"/>
      <c r="AN259" s="23"/>
      <c r="AO259" s="29"/>
      <c r="AP259" s="23"/>
      <c r="AQ259" s="34" t="s">
        <v>265</v>
      </c>
      <c r="AR259" s="23" t="s">
        <v>11</v>
      </c>
      <c r="AS259" s="33">
        <v>0.05</v>
      </c>
      <c r="AT259" s="29">
        <v>45239</v>
      </c>
      <c r="AU259" s="23"/>
      <c r="AV259" s="23"/>
      <c r="AW259" s="23"/>
      <c r="AX259" s="23"/>
      <c r="AY259" s="23"/>
      <c r="AZ259" s="23"/>
      <c r="BA259" s="23"/>
      <c r="BB259" s="32"/>
      <c r="BC259" s="73"/>
    </row>
    <row r="260" spans="1:55" x14ac:dyDescent="0.25">
      <c r="A260" s="22" t="s">
        <v>1575</v>
      </c>
      <c r="B260" s="23" t="s">
        <v>1576</v>
      </c>
      <c r="C260" s="23" t="s">
        <v>1577</v>
      </c>
      <c r="D260" s="34" t="s">
        <v>1448</v>
      </c>
      <c r="E260" s="24"/>
      <c r="F260" s="25"/>
      <c r="G260" s="23" t="s">
        <v>16</v>
      </c>
      <c r="H260" s="23" t="s">
        <v>145</v>
      </c>
      <c r="I260" s="2">
        <v>44687.481481481482</v>
      </c>
      <c r="J260" s="24">
        <f>MONTH(Tabla1[[#This Row],[Publicación]])</f>
        <v>5</v>
      </c>
      <c r="K260" s="24">
        <f>YEAR(Tabla1[[#This Row],[Publicación]])</f>
        <v>2022</v>
      </c>
      <c r="L260" s="2">
        <v>44697.625</v>
      </c>
      <c r="M260" s="26">
        <v>44687</v>
      </c>
      <c r="N260" s="25" t="s">
        <v>10</v>
      </c>
      <c r="O260" s="24" t="s">
        <v>25</v>
      </c>
      <c r="P260" s="24" t="s">
        <v>10</v>
      </c>
      <c r="Q260" s="2">
        <v>44691.5</v>
      </c>
      <c r="R260" s="2">
        <v>44693.520833333336</v>
      </c>
      <c r="S260" s="26">
        <v>44761.512499999997</v>
      </c>
      <c r="T260" s="28">
        <v>0</v>
      </c>
      <c r="U260" s="28">
        <f>Tabla1[[#This Row],[PPTO]]/(1+'Lista Datos'!$B$1)</f>
        <v>0</v>
      </c>
      <c r="V260" s="23"/>
      <c r="W260" s="18" t="s">
        <v>11</v>
      </c>
      <c r="X260" s="102">
        <v>500000</v>
      </c>
      <c r="Y260" s="26">
        <v>44790</v>
      </c>
      <c r="Z260" s="18" t="s">
        <v>11</v>
      </c>
      <c r="AA260" s="23"/>
      <c r="AB260" s="23"/>
      <c r="AC260" s="23"/>
      <c r="AD260" s="23"/>
      <c r="AE260" s="29">
        <f>Tabla1[[#This Row],[Cierre]]+Tabla1[[#This Row],[Vigencia Oferta (días)]]</f>
        <v>44697.625</v>
      </c>
      <c r="AF260" s="87"/>
      <c r="AG260" s="28"/>
      <c r="AH260" s="164">
        <f>Tabla1[[#This Row],[Unidades2]]*Tabla1[[#This Row],[Precio Unitario]]</f>
        <v>0</v>
      </c>
      <c r="AI260" s="23" t="s">
        <v>44</v>
      </c>
      <c r="AJ260" s="26">
        <v>44734</v>
      </c>
      <c r="AK260" s="172">
        <f>Tabla1[[#This Row],[Fecha Vigencia]]-AJ260</f>
        <v>-36.375</v>
      </c>
      <c r="AL260" s="23" t="s">
        <v>45</v>
      </c>
      <c r="AM260" s="87">
        <v>142229623</v>
      </c>
      <c r="AN260" s="23"/>
      <c r="AO260" s="29"/>
      <c r="AP260" s="23"/>
      <c r="AQ260" s="34" t="s">
        <v>1449</v>
      </c>
      <c r="AR260" s="23" t="s">
        <v>11</v>
      </c>
      <c r="AS260" s="33">
        <v>0.08</v>
      </c>
      <c r="AT260" s="29">
        <v>45586</v>
      </c>
      <c r="AU260" s="23"/>
      <c r="AV260" s="23"/>
      <c r="AW260" s="23" t="s">
        <v>1578</v>
      </c>
      <c r="AX260" t="s">
        <v>1579</v>
      </c>
      <c r="AY260" s="23"/>
      <c r="AZ260" s="23"/>
      <c r="BA260" s="23"/>
      <c r="BB260" s="32"/>
      <c r="BC260" s="73"/>
    </row>
    <row r="261" spans="1:55" x14ac:dyDescent="0.25">
      <c r="A261" s="22" t="s">
        <v>1580</v>
      </c>
      <c r="B261" s="23" t="s">
        <v>1581</v>
      </c>
      <c r="C261" s="23" t="s">
        <v>1582</v>
      </c>
      <c r="D261" s="34" t="s">
        <v>153</v>
      </c>
      <c r="E261" s="24"/>
      <c r="F261" s="25"/>
      <c r="G261" s="23" t="s">
        <v>21</v>
      </c>
      <c r="H261" s="23" t="s">
        <v>106</v>
      </c>
      <c r="I261" s="2">
        <v>44686.611111111109</v>
      </c>
      <c r="J261" s="24">
        <f>MONTH(Tabla1[[#This Row],[Publicación]])</f>
        <v>5</v>
      </c>
      <c r="K261" s="24">
        <f>YEAR(Tabla1[[#This Row],[Publicación]])</f>
        <v>2022</v>
      </c>
      <c r="L261" s="2">
        <v>44697.730555555558</v>
      </c>
      <c r="M261" s="26">
        <v>44690</v>
      </c>
      <c r="N261" s="25" t="s">
        <v>10</v>
      </c>
      <c r="O261" s="24" t="s">
        <v>25</v>
      </c>
      <c r="P261" s="24" t="s">
        <v>10</v>
      </c>
      <c r="Q261" s="2">
        <v>44691.75</v>
      </c>
      <c r="R261" s="2">
        <v>44693.75</v>
      </c>
      <c r="S261" s="26">
        <v>44769.731249999997</v>
      </c>
      <c r="T261" s="28">
        <v>6000000</v>
      </c>
      <c r="U261" s="28">
        <f>Tabla1[[#This Row],[PPTO]]/(1+'Lista Datos'!$B$1)</f>
        <v>5042016.8067226894</v>
      </c>
      <c r="V261" s="23">
        <v>30</v>
      </c>
      <c r="W261" s="18" t="s">
        <v>10</v>
      </c>
      <c r="X261" s="102"/>
      <c r="Y261" s="18" t="s">
        <v>146</v>
      </c>
      <c r="Z261" s="18" t="s">
        <v>10</v>
      </c>
      <c r="AA261" s="23"/>
      <c r="AB261" s="23"/>
      <c r="AC261" s="23"/>
      <c r="AD261" s="23">
        <v>90</v>
      </c>
      <c r="AE261" s="29">
        <f>Tabla1[[#This Row],[Cierre]]+Tabla1[[#This Row],[Vigencia Oferta (días)]]</f>
        <v>44787.730555555558</v>
      </c>
      <c r="AF261" s="87"/>
      <c r="AG261" s="28"/>
      <c r="AH261" s="164">
        <f>Tabla1[[#This Row],[Unidades2]]*Tabla1[[#This Row],[Precio Unitario]]</f>
        <v>0</v>
      </c>
      <c r="AI261" s="23" t="s">
        <v>44</v>
      </c>
      <c r="AJ261" s="26">
        <v>44747</v>
      </c>
      <c r="AK261" s="172">
        <f>Tabla1[[#This Row],[Fecha Vigencia]]-AJ261</f>
        <v>40.730555555557657</v>
      </c>
      <c r="AL261" s="23" t="s">
        <v>46</v>
      </c>
      <c r="AM261" s="87">
        <v>4095100</v>
      </c>
      <c r="AN261" s="23"/>
      <c r="AO261" s="29"/>
      <c r="AP261" s="23"/>
      <c r="AQ261" s="34" t="s">
        <v>154</v>
      </c>
      <c r="AR261" s="23" t="s">
        <v>10</v>
      </c>
      <c r="AS261" s="23"/>
      <c r="AT261" s="23"/>
      <c r="AU261" s="23" t="s">
        <v>459</v>
      </c>
      <c r="AV261" s="23"/>
      <c r="AW261" s="23" t="s">
        <v>1515</v>
      </c>
      <c r="AX261" t="s">
        <v>156</v>
      </c>
      <c r="AY261" s="23"/>
      <c r="AZ261" s="23"/>
      <c r="BA261" s="23"/>
      <c r="BB261" s="32"/>
      <c r="BC261" s="73"/>
    </row>
    <row r="262" spans="1:55" x14ac:dyDescent="0.25">
      <c r="A262" s="22" t="s">
        <v>1583</v>
      </c>
      <c r="B262" s="23" t="s">
        <v>1584</v>
      </c>
      <c r="C262" s="23" t="s">
        <v>1585</v>
      </c>
      <c r="D262" s="23" t="s">
        <v>1236</v>
      </c>
      <c r="E262" s="24"/>
      <c r="F262" s="25"/>
      <c r="G262" s="23" t="s">
        <v>20</v>
      </c>
      <c r="H262" s="23" t="s">
        <v>176</v>
      </c>
      <c r="I262" s="2">
        <v>44669.724293981482</v>
      </c>
      <c r="J262" s="24">
        <f>MONTH(Tabla1[[#This Row],[Publicación]])</f>
        <v>4</v>
      </c>
      <c r="K262" s="24">
        <f>YEAR(Tabla1[[#This Row],[Publicación]])</f>
        <v>2022</v>
      </c>
      <c r="L262" s="2">
        <v>44699.75</v>
      </c>
      <c r="M262" s="26">
        <v>44670</v>
      </c>
      <c r="N262" s="25" t="s">
        <v>11</v>
      </c>
      <c r="O262" s="24" t="s">
        <v>26</v>
      </c>
      <c r="P262" s="24" t="s">
        <v>11</v>
      </c>
      <c r="Q262" s="2">
        <v>44679.75</v>
      </c>
      <c r="R262" s="2">
        <v>44684.75</v>
      </c>
      <c r="S262" s="26">
        <v>44879.75</v>
      </c>
      <c r="T262" s="28">
        <v>816630000</v>
      </c>
      <c r="U262" s="28">
        <f>Tabla1[[#This Row],[PPTO]]/(1+'Lista Datos'!$B$1)</f>
        <v>686243697.47899163</v>
      </c>
      <c r="V262" s="23"/>
      <c r="W262" s="18" t="s">
        <v>11</v>
      </c>
      <c r="X262" s="102">
        <v>2000000</v>
      </c>
      <c r="Y262" s="26">
        <v>44879</v>
      </c>
      <c r="Z262" s="18" t="s">
        <v>10</v>
      </c>
      <c r="AA262" s="23" t="s">
        <v>177</v>
      </c>
      <c r="AB262" s="23">
        <v>36</v>
      </c>
      <c r="AC262" s="23" t="s">
        <v>10</v>
      </c>
      <c r="AD262" s="23">
        <v>180</v>
      </c>
      <c r="AE262" s="29">
        <f>Tabla1[[#This Row],[Cierre]]+Tabla1[[#This Row],[Vigencia Oferta (días)]]</f>
        <v>44879.75</v>
      </c>
      <c r="AF262" s="87"/>
      <c r="AG262" s="28"/>
      <c r="AH262" s="164">
        <f>Tabla1[[#This Row],[Unidades2]]*Tabla1[[#This Row],[Precio Unitario]]</f>
        <v>0</v>
      </c>
      <c r="AI262" s="23" t="s">
        <v>137</v>
      </c>
      <c r="AJ262" s="26"/>
      <c r="AK262" s="172">
        <f>Tabla1[[#This Row],[Fecha Vigencia]]-AJ262</f>
        <v>44879.75</v>
      </c>
      <c r="AL262" s="23"/>
      <c r="AM262" s="87"/>
      <c r="AN262" s="23"/>
      <c r="AO262" s="29"/>
      <c r="AP262" s="45"/>
      <c r="AQ262" s="23" t="s">
        <v>1237</v>
      </c>
      <c r="AR262" s="23" t="s">
        <v>11</v>
      </c>
      <c r="AS262" s="33">
        <v>0.05</v>
      </c>
      <c r="AT262" s="29">
        <v>46111</v>
      </c>
      <c r="AU262" s="23"/>
      <c r="AV262" s="45"/>
      <c r="AW262" s="45" t="s">
        <v>1586</v>
      </c>
      <c r="AX262" t="s">
        <v>1587</v>
      </c>
      <c r="AY262" s="23"/>
      <c r="AZ262" s="23"/>
      <c r="BA262" s="23"/>
      <c r="BB262" s="32"/>
      <c r="BC262" s="73"/>
    </row>
    <row r="263" spans="1:55" x14ac:dyDescent="0.25">
      <c r="A263" s="22" t="s">
        <v>1588</v>
      </c>
      <c r="B263" s="23" t="s">
        <v>1589</v>
      </c>
      <c r="C263" s="23" t="s">
        <v>1590</v>
      </c>
      <c r="D263" s="34" t="s">
        <v>136</v>
      </c>
      <c r="E263" s="24"/>
      <c r="F263" s="25"/>
      <c r="G263" s="23" t="s">
        <v>16</v>
      </c>
      <c r="H263" s="23" t="s">
        <v>123</v>
      </c>
      <c r="I263" s="2">
        <v>44691.692291666666</v>
      </c>
      <c r="J263" s="24">
        <f>MONTH(Tabla1[[#This Row],[Publicación]])</f>
        <v>5</v>
      </c>
      <c r="K263" s="24">
        <f>YEAR(Tabla1[[#This Row],[Publicación]])</f>
        <v>2022</v>
      </c>
      <c r="L263" s="2">
        <v>44701.375</v>
      </c>
      <c r="M263" s="26">
        <v>44693</v>
      </c>
      <c r="N263" s="25" t="s">
        <v>10</v>
      </c>
      <c r="O263" s="24" t="s">
        <v>26</v>
      </c>
      <c r="P263" s="24" t="s">
        <v>10</v>
      </c>
      <c r="Q263" s="2">
        <v>44697.416666666664</v>
      </c>
      <c r="R263" s="2">
        <v>44699.708333333336</v>
      </c>
      <c r="S263" s="26">
        <v>44718.708333333336</v>
      </c>
      <c r="T263" s="28">
        <v>0</v>
      </c>
      <c r="U263" s="28">
        <f>Tabla1[[#This Row],[PPTO]]/(1+'Lista Datos'!$B$1)</f>
        <v>0</v>
      </c>
      <c r="V263" s="23"/>
      <c r="W263" s="18" t="s">
        <v>10</v>
      </c>
      <c r="X263" s="102"/>
      <c r="Y263" s="18" t="s">
        <v>146</v>
      </c>
      <c r="Z263" s="18" t="s">
        <v>10</v>
      </c>
      <c r="AA263" s="23"/>
      <c r="AB263" s="23"/>
      <c r="AC263" s="23"/>
      <c r="AD263" s="23"/>
      <c r="AE263" s="29">
        <f>Tabla1[[#This Row],[Cierre]]+Tabla1[[#This Row],[Vigencia Oferta (días)]]</f>
        <v>44701.375</v>
      </c>
      <c r="AF263" s="87"/>
      <c r="AG263" s="28"/>
      <c r="AH263" s="164">
        <f>Tabla1[[#This Row],[Unidades2]]*Tabla1[[#This Row],[Precio Unitario]]</f>
        <v>0</v>
      </c>
      <c r="AI263" s="23" t="s">
        <v>44</v>
      </c>
      <c r="AJ263" s="26">
        <v>44713</v>
      </c>
      <c r="AK263" s="172">
        <f>Tabla1[[#This Row],[Fecha Vigencia]]-AJ263</f>
        <v>-11.625</v>
      </c>
      <c r="AL263" s="23" t="s">
        <v>46</v>
      </c>
      <c r="AM263" s="87">
        <v>37393864</v>
      </c>
      <c r="AN263" s="23"/>
      <c r="AO263" s="29"/>
      <c r="AP263" s="23"/>
      <c r="AQ263" s="34" t="s">
        <v>138</v>
      </c>
      <c r="AR263" s="23" t="s">
        <v>10</v>
      </c>
      <c r="AS263" s="23"/>
      <c r="AT263" s="23"/>
      <c r="AU263" s="23"/>
      <c r="AV263" s="23"/>
      <c r="AW263" s="23" t="s">
        <v>1591</v>
      </c>
      <c r="AX263" t="s">
        <v>140</v>
      </c>
      <c r="AY263" s="23"/>
      <c r="AZ263" s="23"/>
      <c r="BA263" s="23"/>
      <c r="BB263" s="32"/>
      <c r="BC263" s="73"/>
    </row>
    <row r="264" spans="1:55" x14ac:dyDescent="0.25">
      <c r="A264" s="22" t="s">
        <v>1592</v>
      </c>
      <c r="B264" s="23" t="s">
        <v>1593</v>
      </c>
      <c r="C264" s="23" t="s">
        <v>1594</v>
      </c>
      <c r="D264" s="34" t="s">
        <v>1595</v>
      </c>
      <c r="E264" s="24"/>
      <c r="F264" s="25"/>
      <c r="G264" s="23" t="s">
        <v>16</v>
      </c>
      <c r="H264" s="23" t="s">
        <v>1596</v>
      </c>
      <c r="I264" s="2">
        <v>44690.436412037037</v>
      </c>
      <c r="J264" s="24">
        <f>MONTH(Tabla1[[#This Row],[Publicación]])</f>
        <v>5</v>
      </c>
      <c r="K264" s="24">
        <f>YEAR(Tabla1[[#This Row],[Publicación]])</f>
        <v>2022</v>
      </c>
      <c r="L264" s="2">
        <v>44701.554166666669</v>
      </c>
      <c r="M264" s="26">
        <v>44690</v>
      </c>
      <c r="N264" s="25" t="s">
        <v>11</v>
      </c>
      <c r="O264" s="24"/>
      <c r="P264" s="24" t="s">
        <v>11</v>
      </c>
      <c r="Q264" s="2">
        <v>44695.634722222225</v>
      </c>
      <c r="R264" s="2">
        <v>44698.634722222225</v>
      </c>
      <c r="S264" s="26">
        <v>44712.554861111108</v>
      </c>
      <c r="T264" s="28">
        <v>0</v>
      </c>
      <c r="U264" s="28">
        <f>Tabla1[[#This Row],[PPTO]]/(1+'Lista Datos'!$B$1)</f>
        <v>0</v>
      </c>
      <c r="V264" s="23"/>
      <c r="W264" s="18" t="s">
        <v>10</v>
      </c>
      <c r="X264" s="102"/>
      <c r="Y264" s="18" t="s">
        <v>146</v>
      </c>
      <c r="Z264" s="18" t="s">
        <v>11</v>
      </c>
      <c r="AA264" s="23" t="s">
        <v>177</v>
      </c>
      <c r="AB264" s="23">
        <v>7</v>
      </c>
      <c r="AC264" s="23" t="s">
        <v>10</v>
      </c>
      <c r="AD264" s="23"/>
      <c r="AE264" s="29">
        <f>Tabla1[[#This Row],[Cierre]]+Tabla1[[#This Row],[Vigencia Oferta (días)]]</f>
        <v>44701.554166666669</v>
      </c>
      <c r="AF264" s="87"/>
      <c r="AG264" s="28"/>
      <c r="AH264" s="164">
        <f>Tabla1[[#This Row],[Unidades2]]*Tabla1[[#This Row],[Precio Unitario]]</f>
        <v>0</v>
      </c>
      <c r="AI264" s="23" t="s">
        <v>44</v>
      </c>
      <c r="AJ264" s="26">
        <v>44721</v>
      </c>
      <c r="AK264" s="172">
        <f>Tabla1[[#This Row],[Fecha Vigencia]]-AJ264</f>
        <v>-19.445833333331393</v>
      </c>
      <c r="AL264" s="23" t="s">
        <v>115</v>
      </c>
      <c r="AM264" s="87">
        <v>16999167</v>
      </c>
      <c r="AN264" s="29">
        <v>44721</v>
      </c>
      <c r="AO264" s="29">
        <v>44935</v>
      </c>
      <c r="AP264" s="23" t="s">
        <v>177</v>
      </c>
      <c r="AQ264" s="34" t="s">
        <v>365</v>
      </c>
      <c r="AR264" s="23" t="s">
        <v>10</v>
      </c>
      <c r="AS264" s="23"/>
      <c r="AT264" s="23"/>
      <c r="AU264" s="23" t="s">
        <v>1597</v>
      </c>
      <c r="AV264" s="23" t="s">
        <v>1598</v>
      </c>
      <c r="AW264" s="23" t="s">
        <v>1599</v>
      </c>
      <c r="AX264" t="s">
        <v>1600</v>
      </c>
      <c r="AY264" s="23"/>
      <c r="AZ264" s="23"/>
      <c r="BA264" s="23"/>
      <c r="BB264" s="32"/>
      <c r="BC264" s="73"/>
    </row>
    <row r="265" spans="1:55" x14ac:dyDescent="0.25">
      <c r="A265" s="22" t="s">
        <v>1601</v>
      </c>
      <c r="B265" s="23" t="s">
        <v>1602</v>
      </c>
      <c r="C265" s="23" t="s">
        <v>1603</v>
      </c>
      <c r="D265" s="23" t="s">
        <v>1604</v>
      </c>
      <c r="E265" s="24"/>
      <c r="F265" s="25"/>
      <c r="G265" s="23" t="s">
        <v>16</v>
      </c>
      <c r="H265" s="23" t="s">
        <v>533</v>
      </c>
      <c r="I265" s="2">
        <v>44684.71675925926</v>
      </c>
      <c r="J265" s="24">
        <f>MONTH(Tabla1[[#This Row],[Publicación]])</f>
        <v>5</v>
      </c>
      <c r="K265" s="24">
        <f>YEAR(Tabla1[[#This Row],[Publicación]])</f>
        <v>2022</v>
      </c>
      <c r="L265" s="2">
        <v>44704.625</v>
      </c>
      <c r="M265" s="26">
        <v>44685</v>
      </c>
      <c r="N265" s="25" t="s">
        <v>10</v>
      </c>
      <c r="O265" s="24" t="s">
        <v>25</v>
      </c>
      <c r="P265" s="24" t="s">
        <v>10</v>
      </c>
      <c r="Q265" s="2">
        <v>44687.708333333336</v>
      </c>
      <c r="R265" s="2">
        <v>44691.708333333336</v>
      </c>
      <c r="S265" s="26">
        <v>44726.708333333336</v>
      </c>
      <c r="T265" s="28">
        <v>0</v>
      </c>
      <c r="U265" s="28">
        <f>Tabla1[[#This Row],[PPTO]]/(1+'Lista Datos'!$B$1)</f>
        <v>0</v>
      </c>
      <c r="V265" s="23"/>
      <c r="W265" s="18" t="s">
        <v>11</v>
      </c>
      <c r="X265" s="102">
        <v>300000</v>
      </c>
      <c r="Y265" s="26">
        <v>44796</v>
      </c>
      <c r="Z265" s="18" t="s">
        <v>11</v>
      </c>
      <c r="AA265" s="23"/>
      <c r="AB265" s="23"/>
      <c r="AC265" s="23"/>
      <c r="AD265" s="23"/>
      <c r="AE265" s="29">
        <f>Tabla1[[#This Row],[Cierre]]+Tabla1[[#This Row],[Vigencia Oferta (días)]]</f>
        <v>44704.625</v>
      </c>
      <c r="AF265" s="87"/>
      <c r="AG265" s="28"/>
      <c r="AH265" s="164">
        <f>Tabla1[[#This Row],[Unidades2]]*Tabla1[[#This Row],[Precio Unitario]]</f>
        <v>0</v>
      </c>
      <c r="AI265" s="23" t="s">
        <v>44</v>
      </c>
      <c r="AJ265" s="26">
        <v>44743</v>
      </c>
      <c r="AK265" s="172">
        <f>Tabla1[[#This Row],[Fecha Vigencia]]-AJ265</f>
        <v>-38.375</v>
      </c>
      <c r="AL265" s="23" t="s">
        <v>472</v>
      </c>
      <c r="AM265" s="87">
        <v>233100000</v>
      </c>
      <c r="AN265" s="23"/>
      <c r="AO265" s="29"/>
      <c r="AP265" s="23"/>
      <c r="AQ265" s="23" t="s">
        <v>1369</v>
      </c>
      <c r="AR265" s="23" t="s">
        <v>11</v>
      </c>
      <c r="AS265" s="33">
        <v>0.05</v>
      </c>
      <c r="AT265" s="29">
        <v>45912</v>
      </c>
      <c r="AU265" s="23"/>
      <c r="AV265" s="23"/>
      <c r="AW265" s="23" t="s">
        <v>1605</v>
      </c>
      <c r="AX265" t="s">
        <v>1606</v>
      </c>
      <c r="AY265" s="23"/>
      <c r="AZ265" s="23"/>
      <c r="BA265" s="23"/>
      <c r="BB265" s="32"/>
      <c r="BC265" s="73"/>
    </row>
    <row r="266" spans="1:55" ht="11.25" x14ac:dyDescent="0.2">
      <c r="A266" s="22" t="s">
        <v>1607</v>
      </c>
      <c r="B266" s="23" t="s">
        <v>1608</v>
      </c>
      <c r="C266" s="23"/>
      <c r="D266" s="34" t="s">
        <v>1609</v>
      </c>
      <c r="E266" s="24"/>
      <c r="F266" s="25"/>
      <c r="G266" s="23" t="s">
        <v>16</v>
      </c>
      <c r="H266" s="23" t="s">
        <v>778</v>
      </c>
      <c r="I266" s="2">
        <v>44691.596041666664</v>
      </c>
      <c r="J266" s="24">
        <f>MONTH(Tabla1[[#This Row],[Publicación]])</f>
        <v>5</v>
      </c>
      <c r="K266" s="24">
        <f>YEAR(Tabla1[[#This Row],[Publicación]])</f>
        <v>2022</v>
      </c>
      <c r="L266" s="2">
        <v>44704.625</v>
      </c>
      <c r="M266" s="26">
        <v>44693</v>
      </c>
      <c r="N266" s="25" t="s">
        <v>10</v>
      </c>
      <c r="O266" s="24" t="s">
        <v>25</v>
      </c>
      <c r="P266" s="24" t="s">
        <v>10</v>
      </c>
      <c r="Q266" s="2">
        <v>44698.999305555553</v>
      </c>
      <c r="R266" s="2">
        <v>44699.75</v>
      </c>
      <c r="S266" s="26">
        <v>44708.708333333336</v>
      </c>
      <c r="T266" s="28">
        <v>0</v>
      </c>
      <c r="U266" s="28">
        <f>Tabla1[[#This Row],[PPTO]]/(1+'Lista Datos'!$B$1)</f>
        <v>0</v>
      </c>
      <c r="V266" s="23"/>
      <c r="W266" s="18" t="s">
        <v>10</v>
      </c>
      <c r="X266" s="102"/>
      <c r="Y266" s="18"/>
      <c r="Z266" s="18" t="s">
        <v>11</v>
      </c>
      <c r="AA266" s="23"/>
      <c r="AB266" s="23"/>
      <c r="AC266" s="23"/>
      <c r="AD266" s="23"/>
      <c r="AE266" s="29">
        <f>Tabla1[[#This Row],[Cierre]]+Tabla1[[#This Row],[Vigencia Oferta (días)]]</f>
        <v>44704.625</v>
      </c>
      <c r="AF266" s="87"/>
      <c r="AG266" s="28"/>
      <c r="AH266" s="164">
        <f>Tabla1[[#This Row],[Unidades2]]*Tabla1[[#This Row],[Precio Unitario]]</f>
        <v>0</v>
      </c>
      <c r="AI266" s="23" t="s">
        <v>137</v>
      </c>
      <c r="AJ266" s="26"/>
      <c r="AK266" s="172">
        <f>Tabla1[[#This Row],[Fecha Vigencia]]-AJ266</f>
        <v>44704.625</v>
      </c>
      <c r="AL266" s="23"/>
      <c r="AM266" s="87"/>
      <c r="AN266" s="23"/>
      <c r="AO266" s="29"/>
      <c r="AP266" s="23"/>
      <c r="AQ266" s="34" t="s">
        <v>1610</v>
      </c>
      <c r="AR266" s="23" t="s">
        <v>10</v>
      </c>
      <c r="AS266" s="23"/>
      <c r="AT266" s="23"/>
      <c r="AU266" s="23"/>
      <c r="AV266" s="23"/>
      <c r="AW266" s="23"/>
      <c r="AX266" s="23"/>
      <c r="AY266" s="23"/>
      <c r="AZ266" s="23"/>
      <c r="BA266" s="23"/>
      <c r="BB266" s="32"/>
      <c r="BC266" s="73"/>
    </row>
    <row r="267" spans="1:55" x14ac:dyDescent="0.25">
      <c r="A267" s="22" t="s">
        <v>1611</v>
      </c>
      <c r="B267" s="34" t="s">
        <v>1612</v>
      </c>
      <c r="C267" s="23" t="s">
        <v>1613</v>
      </c>
      <c r="D267" s="34" t="s">
        <v>1614</v>
      </c>
      <c r="E267" s="24"/>
      <c r="F267" s="25"/>
      <c r="G267" s="23" t="s">
        <v>16</v>
      </c>
      <c r="H267" s="23" t="s">
        <v>520</v>
      </c>
      <c r="I267" s="2">
        <v>44694.643159722225</v>
      </c>
      <c r="J267" s="24">
        <f>MONTH(Tabla1[[#This Row],[Publicación]])</f>
        <v>5</v>
      </c>
      <c r="K267" s="24">
        <f>YEAR(Tabla1[[#This Row],[Publicación]])</f>
        <v>2022</v>
      </c>
      <c r="L267" s="2">
        <v>44704.627083333333</v>
      </c>
      <c r="M267" s="26">
        <v>44697</v>
      </c>
      <c r="N267" s="25" t="s">
        <v>10</v>
      </c>
      <c r="O267" s="24" t="s">
        <v>33</v>
      </c>
      <c r="P267" s="24" t="s">
        <v>10</v>
      </c>
      <c r="Q267" s="2">
        <v>44697.625</v>
      </c>
      <c r="R267" s="2">
        <v>44698.797222222223</v>
      </c>
      <c r="S267" s="26">
        <v>44742.647986111115</v>
      </c>
      <c r="T267" s="28">
        <v>0</v>
      </c>
      <c r="U267" s="28">
        <f>Tabla1[[#This Row],[PPTO]]/(1+'Lista Datos'!$B$1)</f>
        <v>0</v>
      </c>
      <c r="V267" s="23"/>
      <c r="W267" s="18" t="s">
        <v>10</v>
      </c>
      <c r="X267" s="102"/>
      <c r="Y267" s="18" t="s">
        <v>146</v>
      </c>
      <c r="Z267" s="18" t="s">
        <v>10</v>
      </c>
      <c r="AA267" s="23"/>
      <c r="AB267" s="23"/>
      <c r="AC267" s="23"/>
      <c r="AD267" s="23"/>
      <c r="AE267" s="29">
        <f>Tabla1[[#This Row],[Cierre]]+Tabla1[[#This Row],[Vigencia Oferta (días)]]</f>
        <v>44704.627083333333</v>
      </c>
      <c r="AF267" s="87"/>
      <c r="AG267" s="28"/>
      <c r="AH267" s="164">
        <f>Tabla1[[#This Row],[Unidades2]]*Tabla1[[#This Row],[Precio Unitario]]</f>
        <v>0</v>
      </c>
      <c r="AI267" s="23" t="s">
        <v>137</v>
      </c>
      <c r="AJ267" s="26"/>
      <c r="AK267" s="172">
        <f>Tabla1[[#This Row],[Fecha Vigencia]]-AJ267</f>
        <v>44704.627083333333</v>
      </c>
      <c r="AL267" s="23"/>
      <c r="AM267" s="87"/>
      <c r="AN267" s="23"/>
      <c r="AO267" s="29"/>
      <c r="AP267" s="23"/>
      <c r="AQ267" s="34" t="s">
        <v>1615</v>
      </c>
      <c r="AR267" s="23" t="s">
        <v>11</v>
      </c>
      <c r="AS267" s="33">
        <v>0.05</v>
      </c>
      <c r="AT267" s="29">
        <v>45552</v>
      </c>
      <c r="AU267" s="23"/>
      <c r="AV267" s="23"/>
      <c r="AW267" s="23" t="s">
        <v>1616</v>
      </c>
      <c r="AX267" t="s">
        <v>1617</v>
      </c>
      <c r="AY267" s="23"/>
      <c r="AZ267" s="23"/>
      <c r="BA267" s="23"/>
      <c r="BB267" s="32"/>
      <c r="BC267" s="73"/>
    </row>
    <row r="268" spans="1:55" x14ac:dyDescent="0.25">
      <c r="A268" s="35" t="s">
        <v>1618</v>
      </c>
      <c r="B268" s="23" t="s">
        <v>1619</v>
      </c>
      <c r="C268" s="23" t="s">
        <v>1620</v>
      </c>
      <c r="D268" s="23" t="s">
        <v>1621</v>
      </c>
      <c r="E268" s="24"/>
      <c r="F268" s="25"/>
      <c r="G268" s="23" t="s">
        <v>16</v>
      </c>
      <c r="H268" s="23" t="s">
        <v>533</v>
      </c>
      <c r="I268" s="2">
        <v>44697.678877314815</v>
      </c>
      <c r="J268" s="24">
        <f>MONTH(Tabla1[[#This Row],[Publicación]])</f>
        <v>5</v>
      </c>
      <c r="K268" s="24">
        <f>YEAR(Tabla1[[#This Row],[Publicación]])</f>
        <v>2022</v>
      </c>
      <c r="L268" s="2">
        <v>44704.666666666664</v>
      </c>
      <c r="M268" s="26">
        <v>44700</v>
      </c>
      <c r="N268" s="25" t="s">
        <v>10</v>
      </c>
      <c r="O268" s="24" t="s">
        <v>25</v>
      </c>
      <c r="P268" s="24" t="s">
        <v>10</v>
      </c>
      <c r="Q268" s="2">
        <v>44700.666666666664</v>
      </c>
      <c r="R268" s="2">
        <v>44701.666666666664</v>
      </c>
      <c r="S268" s="26">
        <v>44706.667361111111</v>
      </c>
      <c r="T268" s="28">
        <v>0</v>
      </c>
      <c r="U268" s="28">
        <f>Tabla1[[#This Row],[PPTO]]/(1+'Lista Datos'!$B$1)</f>
        <v>0</v>
      </c>
      <c r="V268" s="23"/>
      <c r="W268" s="18" t="s">
        <v>10</v>
      </c>
      <c r="X268" s="102"/>
      <c r="Y268" s="18" t="s">
        <v>146</v>
      </c>
      <c r="Z268" s="18" t="s">
        <v>10</v>
      </c>
      <c r="AA268" s="23"/>
      <c r="AB268" s="23"/>
      <c r="AC268" s="23"/>
      <c r="AD268" s="23"/>
      <c r="AE268" s="29">
        <f>Tabla1[[#This Row],[Cierre]]+Tabla1[[#This Row],[Vigencia Oferta (días)]]</f>
        <v>44704.666666666664</v>
      </c>
      <c r="AF268" s="87"/>
      <c r="AG268" s="28"/>
      <c r="AH268" s="164">
        <f>Tabla1[[#This Row],[Unidades2]]*Tabla1[[#This Row],[Precio Unitario]]</f>
        <v>0</v>
      </c>
      <c r="AI268" s="23" t="s">
        <v>137</v>
      </c>
      <c r="AJ268" s="26"/>
      <c r="AK268" s="172">
        <f>Tabla1[[#This Row],[Fecha Vigencia]]-AJ268</f>
        <v>44704.666666666664</v>
      </c>
      <c r="AL268" s="23"/>
      <c r="AM268" s="87"/>
      <c r="AN268" s="23"/>
      <c r="AO268" s="29"/>
      <c r="AP268" s="23"/>
      <c r="AQ268" s="34" t="s">
        <v>1622</v>
      </c>
      <c r="AR268" s="23" t="s">
        <v>10</v>
      </c>
      <c r="AS268" s="23"/>
      <c r="AT268" s="23"/>
      <c r="AU268" s="23"/>
      <c r="AV268" s="23"/>
      <c r="AW268" s="23" t="s">
        <v>1623</v>
      </c>
      <c r="AX268" t="s">
        <v>1624</v>
      </c>
      <c r="AY268" s="23"/>
      <c r="AZ268" s="23"/>
      <c r="BA268" s="23"/>
      <c r="BB268" s="32"/>
      <c r="BC268" s="73"/>
    </row>
    <row r="269" spans="1:55" x14ac:dyDescent="0.25">
      <c r="A269" s="22" t="s">
        <v>1625</v>
      </c>
      <c r="B269" s="23" t="s">
        <v>1626</v>
      </c>
      <c r="C269" s="23" t="s">
        <v>1627</v>
      </c>
      <c r="D269" s="23" t="s">
        <v>391</v>
      </c>
      <c r="E269" s="24"/>
      <c r="F269" s="25"/>
      <c r="G269" s="23" t="s">
        <v>21</v>
      </c>
      <c r="H269" s="23" t="s">
        <v>106</v>
      </c>
      <c r="I269" s="2">
        <v>44683.661585648151</v>
      </c>
      <c r="J269" s="24">
        <f>MONTH(Tabla1[[#This Row],[Publicación]])</f>
        <v>5</v>
      </c>
      <c r="K269" s="24">
        <f>YEAR(Tabla1[[#This Row],[Publicación]])</f>
        <v>2022</v>
      </c>
      <c r="L269" s="2">
        <v>44704.731944444444</v>
      </c>
      <c r="M269" s="26">
        <v>44684</v>
      </c>
      <c r="N269" s="25" t="s">
        <v>10</v>
      </c>
      <c r="O269" s="24" t="s">
        <v>27</v>
      </c>
      <c r="P269" s="24" t="s">
        <v>10</v>
      </c>
      <c r="Q269" s="2">
        <v>44691.795138888891</v>
      </c>
      <c r="R269" s="2">
        <v>44694.628472222219</v>
      </c>
      <c r="S269" s="26">
        <v>44762.64261574074</v>
      </c>
      <c r="T269" s="28">
        <v>0</v>
      </c>
      <c r="U269" s="28">
        <f>Tabla1[[#This Row],[PPTO]]/(1+'Lista Datos'!$B$1)</f>
        <v>0</v>
      </c>
      <c r="V269" s="23"/>
      <c r="W269" s="18" t="s">
        <v>11</v>
      </c>
      <c r="X269" s="102">
        <v>500000</v>
      </c>
      <c r="Y269" s="26">
        <v>44764</v>
      </c>
      <c r="Z269" s="18" t="s">
        <v>10</v>
      </c>
      <c r="AA269" s="23"/>
      <c r="AB269" s="23"/>
      <c r="AC269" s="23"/>
      <c r="AD269" s="23"/>
      <c r="AE269" s="29">
        <f>Tabla1[[#This Row],[Cierre]]+Tabla1[[#This Row],[Vigencia Oferta (días)]]</f>
        <v>44704.731944444444</v>
      </c>
      <c r="AF269" s="87"/>
      <c r="AG269" s="28"/>
      <c r="AH269" s="164">
        <f>Tabla1[[#This Row],[Unidades2]]*Tabla1[[#This Row],[Precio Unitario]]</f>
        <v>0</v>
      </c>
      <c r="AI269" s="23" t="s">
        <v>44</v>
      </c>
      <c r="AJ269" s="26">
        <v>44762</v>
      </c>
      <c r="AK269" s="172">
        <f>Tabla1[[#This Row],[Fecha Vigencia]]-AJ269</f>
        <v>-57.268055555556202</v>
      </c>
      <c r="AL269" s="23" t="s">
        <v>46</v>
      </c>
      <c r="AM269" s="87">
        <v>32800</v>
      </c>
      <c r="AN269" s="23"/>
      <c r="AO269" s="29"/>
      <c r="AP269" s="23"/>
      <c r="AQ269" s="23" t="s">
        <v>392</v>
      </c>
      <c r="AR269" s="23" t="s">
        <v>11</v>
      </c>
      <c r="AS269" s="33">
        <v>0.15</v>
      </c>
      <c r="AT269" s="29">
        <v>44895</v>
      </c>
      <c r="AU269" s="23"/>
      <c r="AV269" s="23"/>
      <c r="AW269" s="23" t="s">
        <v>333</v>
      </c>
      <c r="AX269" t="s">
        <v>394</v>
      </c>
      <c r="AY269" s="23"/>
      <c r="AZ269" s="23"/>
      <c r="BA269" s="23"/>
      <c r="BB269" s="32"/>
      <c r="BC269" s="73"/>
    </row>
    <row r="270" spans="1:55" x14ac:dyDescent="0.25">
      <c r="A270" s="22" t="s">
        <v>1628</v>
      </c>
      <c r="B270" s="23" t="s">
        <v>1629</v>
      </c>
      <c r="C270" s="23" t="s">
        <v>1630</v>
      </c>
      <c r="D270" s="34" t="s">
        <v>1533</v>
      </c>
      <c r="E270" s="24"/>
      <c r="F270" s="25"/>
      <c r="G270" s="23" t="s">
        <v>16</v>
      </c>
      <c r="H270" s="23" t="s">
        <v>520</v>
      </c>
      <c r="I270" s="2">
        <v>44693.447881944441</v>
      </c>
      <c r="J270" s="24">
        <f>MONTH(Tabla1[[#This Row],[Publicación]])</f>
        <v>5</v>
      </c>
      <c r="K270" s="24">
        <f>YEAR(Tabla1[[#This Row],[Publicación]])</f>
        <v>2022</v>
      </c>
      <c r="L270" s="2">
        <v>44704.793055555558</v>
      </c>
      <c r="M270" s="26">
        <v>44697</v>
      </c>
      <c r="N270" s="25" t="s">
        <v>11</v>
      </c>
      <c r="O270" s="24"/>
      <c r="P270" s="24" t="s">
        <v>11</v>
      </c>
      <c r="Q270" s="2">
        <v>44698.390277777777</v>
      </c>
      <c r="R270" s="2">
        <v>44700.71875</v>
      </c>
      <c r="S270" s="26">
        <v>44707.688657407409</v>
      </c>
      <c r="T270" s="28">
        <v>0</v>
      </c>
      <c r="U270" s="28">
        <f>Tabla1[[#This Row],[PPTO]]/(1+'Lista Datos'!$B$1)</f>
        <v>0</v>
      </c>
      <c r="V270" s="23"/>
      <c r="W270" s="18" t="s">
        <v>11</v>
      </c>
      <c r="X270" s="102">
        <v>500000</v>
      </c>
      <c r="Y270" s="26">
        <v>44804</v>
      </c>
      <c r="Z270" s="18" t="s">
        <v>10</v>
      </c>
      <c r="AA270" s="23"/>
      <c r="AB270" s="23"/>
      <c r="AC270" s="23" t="s">
        <v>10</v>
      </c>
      <c r="AD270" s="23"/>
      <c r="AE270" s="29">
        <f>Tabla1[[#This Row],[Cierre]]+Tabla1[[#This Row],[Vigencia Oferta (días)]]</f>
        <v>44704.793055555558</v>
      </c>
      <c r="AF270" s="87"/>
      <c r="AG270" s="28"/>
      <c r="AH270" s="164">
        <f>Tabla1[[#This Row],[Unidades2]]*Tabla1[[#This Row],[Precio Unitario]]</f>
        <v>0</v>
      </c>
      <c r="AI270" s="23" t="s">
        <v>137</v>
      </c>
      <c r="AJ270" s="26"/>
      <c r="AK270" s="172">
        <f>Tabla1[[#This Row],[Fecha Vigencia]]-AJ270</f>
        <v>44704.793055555558</v>
      </c>
      <c r="AL270" s="23"/>
      <c r="AM270" s="87"/>
      <c r="AN270" s="23"/>
      <c r="AO270" s="29"/>
      <c r="AP270" s="23"/>
      <c r="AQ270" s="34" t="s">
        <v>1534</v>
      </c>
      <c r="AR270" s="23" t="s">
        <v>11</v>
      </c>
      <c r="AS270" s="33">
        <v>0.1</v>
      </c>
      <c r="AT270" s="29">
        <v>45596</v>
      </c>
      <c r="AU270" s="23"/>
      <c r="AV270" s="23"/>
      <c r="AW270" s="23" t="s">
        <v>1535</v>
      </c>
      <c r="AX270" t="s">
        <v>1536</v>
      </c>
      <c r="AY270" s="23"/>
      <c r="AZ270" s="23"/>
      <c r="BA270" s="23"/>
      <c r="BB270" s="32"/>
      <c r="BC270" s="73"/>
    </row>
    <row r="271" spans="1:55" x14ac:dyDescent="0.25">
      <c r="A271" s="22" t="s">
        <v>1631</v>
      </c>
      <c r="B271" s="23" t="s">
        <v>1475</v>
      </c>
      <c r="C271" s="23" t="s">
        <v>1549</v>
      </c>
      <c r="D271" s="34" t="s">
        <v>1477</v>
      </c>
      <c r="E271" s="24"/>
      <c r="F271" s="25"/>
      <c r="G271" s="23" t="s">
        <v>16</v>
      </c>
      <c r="H271" s="23" t="s">
        <v>520</v>
      </c>
      <c r="I271" s="2">
        <v>44694.660405092596</v>
      </c>
      <c r="J271" s="24">
        <f>MONTH(Tabla1[[#This Row],[Publicación]])</f>
        <v>5</v>
      </c>
      <c r="K271" s="24">
        <f>YEAR(Tabla1[[#This Row],[Publicación]])</f>
        <v>2022</v>
      </c>
      <c r="L271" s="2">
        <v>44707.375</v>
      </c>
      <c r="M271" s="26">
        <v>44697</v>
      </c>
      <c r="N271" s="25" t="s">
        <v>10</v>
      </c>
      <c r="O271" s="24" t="s">
        <v>34</v>
      </c>
      <c r="P271" s="24" t="s">
        <v>10</v>
      </c>
      <c r="Q271" s="2">
        <v>44698.708333333336</v>
      </c>
      <c r="R271" s="2">
        <v>44705.708333333336</v>
      </c>
      <c r="S271" s="26">
        <v>44742.708333333336</v>
      </c>
      <c r="T271" s="28">
        <v>0</v>
      </c>
      <c r="U271" s="28">
        <f>Tabla1[[#This Row],[PPTO]]/(1+'Lista Datos'!$B$1)</f>
        <v>0</v>
      </c>
      <c r="V271" s="23"/>
      <c r="W271" s="18" t="s">
        <v>10</v>
      </c>
      <c r="X271" s="102"/>
      <c r="Y271" s="18" t="s">
        <v>146</v>
      </c>
      <c r="Z271" s="18" t="s">
        <v>10</v>
      </c>
      <c r="AA271" s="23"/>
      <c r="AB271" s="23"/>
      <c r="AC271" s="23"/>
      <c r="AD271" s="23"/>
      <c r="AE271" s="29">
        <f>Tabla1[[#This Row],[Cierre]]+Tabla1[[#This Row],[Vigencia Oferta (días)]]</f>
        <v>44707.375</v>
      </c>
      <c r="AF271" s="87"/>
      <c r="AG271" s="28"/>
      <c r="AH271" s="164">
        <f>Tabla1[[#This Row],[Unidades2]]*Tabla1[[#This Row],[Precio Unitario]]</f>
        <v>0</v>
      </c>
      <c r="AI271" s="23" t="s">
        <v>137</v>
      </c>
      <c r="AJ271" s="26"/>
      <c r="AK271" s="172">
        <f>Tabla1[[#This Row],[Fecha Vigencia]]-AJ271</f>
        <v>44707.375</v>
      </c>
      <c r="AL271" s="23"/>
      <c r="AM271" s="87"/>
      <c r="AN271" s="23"/>
      <c r="AO271" s="29"/>
      <c r="AP271" s="23"/>
      <c r="AQ271" s="34" t="s">
        <v>1478</v>
      </c>
      <c r="AR271" s="23" t="s">
        <v>11</v>
      </c>
      <c r="AS271" s="33">
        <v>0.05</v>
      </c>
      <c r="AT271" s="29">
        <v>45565</v>
      </c>
      <c r="AU271" s="23"/>
      <c r="AV271" s="23"/>
      <c r="AW271" s="23" t="s">
        <v>1632</v>
      </c>
      <c r="AX271" t="s">
        <v>1480</v>
      </c>
      <c r="AY271" s="23"/>
      <c r="AZ271" s="23"/>
      <c r="BA271" s="23"/>
      <c r="BB271" s="32"/>
      <c r="BC271" s="73"/>
    </row>
    <row r="272" spans="1:55" x14ac:dyDescent="0.25">
      <c r="A272" s="22" t="s">
        <v>1633</v>
      </c>
      <c r="B272" s="23" t="s">
        <v>1634</v>
      </c>
      <c r="C272" s="23" t="s">
        <v>1635</v>
      </c>
      <c r="D272" s="34" t="s">
        <v>1636</v>
      </c>
      <c r="E272" s="24"/>
      <c r="F272" s="25"/>
      <c r="G272" s="23" t="s">
        <v>16</v>
      </c>
      <c r="H272" s="23" t="s">
        <v>520</v>
      </c>
      <c r="I272" s="2">
        <v>44687.644594907404</v>
      </c>
      <c r="J272" s="24">
        <f>MONTH(Tabla1[[#This Row],[Publicación]])</f>
        <v>5</v>
      </c>
      <c r="K272" s="24">
        <f>YEAR(Tabla1[[#This Row],[Publicación]])</f>
        <v>2022</v>
      </c>
      <c r="L272" s="2">
        <v>44707.509027777778</v>
      </c>
      <c r="M272" s="26">
        <v>44687</v>
      </c>
      <c r="N272" s="25" t="s">
        <v>10</v>
      </c>
      <c r="O272" s="24" t="s">
        <v>35</v>
      </c>
      <c r="P272" s="24" t="s">
        <v>10</v>
      </c>
      <c r="Q272" s="2">
        <v>44694.786805555559</v>
      </c>
      <c r="R272" s="2">
        <v>44698.786805555559</v>
      </c>
      <c r="S272" s="26">
        <v>44768.509722222225</v>
      </c>
      <c r="T272" s="28">
        <v>0</v>
      </c>
      <c r="U272" s="28">
        <f>Tabla1[[#This Row],[PPTO]]/(1+'Lista Datos'!$B$1)</f>
        <v>0</v>
      </c>
      <c r="V272" s="23"/>
      <c r="W272" s="18" t="s">
        <v>11</v>
      </c>
      <c r="X272" s="102">
        <v>500000</v>
      </c>
      <c r="Y272" s="26">
        <v>44799</v>
      </c>
      <c r="Z272" s="18" t="s">
        <v>10</v>
      </c>
      <c r="AA272" s="23"/>
      <c r="AB272" s="23"/>
      <c r="AC272" s="23"/>
      <c r="AD272" s="23"/>
      <c r="AE272" s="29">
        <f>Tabla1[[#This Row],[Cierre]]+Tabla1[[#This Row],[Vigencia Oferta (días)]]</f>
        <v>44707.509027777778</v>
      </c>
      <c r="AF272" s="87"/>
      <c r="AG272" s="28"/>
      <c r="AH272" s="164">
        <f>Tabla1[[#This Row],[Unidades2]]*Tabla1[[#This Row],[Precio Unitario]]</f>
        <v>0</v>
      </c>
      <c r="AI272" s="23" t="s">
        <v>44</v>
      </c>
      <c r="AJ272" s="26">
        <v>44715</v>
      </c>
      <c r="AK272" s="172">
        <f>Tabla1[[#This Row],[Fecha Vigencia]]-AJ272</f>
        <v>-7.4909722222218988</v>
      </c>
      <c r="AL272" s="23" t="s">
        <v>45</v>
      </c>
      <c r="AM272" s="87">
        <v>1464146</v>
      </c>
      <c r="AN272" s="23"/>
      <c r="AO272" s="29"/>
      <c r="AP272" s="23"/>
      <c r="AQ272" s="34" t="s">
        <v>1442</v>
      </c>
      <c r="AR272" s="23" t="s">
        <v>11</v>
      </c>
      <c r="AS272" s="33">
        <v>0.05</v>
      </c>
      <c r="AT272" s="29">
        <v>45547</v>
      </c>
      <c r="AU272" s="23"/>
      <c r="AV272" s="23"/>
      <c r="AW272" s="23" t="s">
        <v>1637</v>
      </c>
      <c r="AX272" t="s">
        <v>1444</v>
      </c>
      <c r="AY272" s="23" t="s">
        <v>309</v>
      </c>
      <c r="AZ272" s="23"/>
      <c r="BA272" s="23"/>
      <c r="BB272" s="32"/>
      <c r="BC272" s="73"/>
    </row>
    <row r="273" spans="1:55" x14ac:dyDescent="0.25">
      <c r="A273" s="22" t="s">
        <v>1638</v>
      </c>
      <c r="B273" s="23" t="s">
        <v>1639</v>
      </c>
      <c r="C273" s="23" t="s">
        <v>1640</v>
      </c>
      <c r="D273" s="34" t="s">
        <v>1641</v>
      </c>
      <c r="E273" s="24"/>
      <c r="F273" s="25"/>
      <c r="G273" s="23" t="s">
        <v>16</v>
      </c>
      <c r="H273" s="23" t="s">
        <v>1596</v>
      </c>
      <c r="I273" s="2">
        <v>44687.771377314813</v>
      </c>
      <c r="J273" s="24">
        <f>MONTH(Tabla1[[#This Row],[Publicación]])</f>
        <v>5</v>
      </c>
      <c r="K273" s="24">
        <f>YEAR(Tabla1[[#This Row],[Publicación]])</f>
        <v>2022</v>
      </c>
      <c r="L273" s="2">
        <v>44707.625</v>
      </c>
      <c r="M273" s="26">
        <v>44690</v>
      </c>
      <c r="N273" s="25" t="s">
        <v>10</v>
      </c>
      <c r="O273" s="24" t="s">
        <v>25</v>
      </c>
      <c r="P273" s="24" t="s">
        <v>10</v>
      </c>
      <c r="Q273" s="2">
        <v>44694.708333333336</v>
      </c>
      <c r="R273" s="2">
        <v>44697.708333333336</v>
      </c>
      <c r="S273" s="26">
        <v>44756.625</v>
      </c>
      <c r="T273" s="28">
        <v>0</v>
      </c>
      <c r="U273" s="28">
        <f>Tabla1[[#This Row],[PPTO]]/(1+'Lista Datos'!$B$1)</f>
        <v>0</v>
      </c>
      <c r="V273" s="23"/>
      <c r="W273" s="18" t="s">
        <v>11</v>
      </c>
      <c r="X273" s="102">
        <v>300000</v>
      </c>
      <c r="Y273" s="26">
        <v>44799</v>
      </c>
      <c r="Z273" s="18" t="s">
        <v>11</v>
      </c>
      <c r="AA273" s="23"/>
      <c r="AB273" s="23"/>
      <c r="AC273" s="23"/>
      <c r="AD273" s="23"/>
      <c r="AE273" s="29">
        <f>Tabla1[[#This Row],[Cierre]]+Tabla1[[#This Row],[Vigencia Oferta (días)]]</f>
        <v>44707.625</v>
      </c>
      <c r="AF273" s="87"/>
      <c r="AG273" s="28"/>
      <c r="AH273" s="164">
        <f>Tabla1[[#This Row],[Unidades2]]*Tabla1[[#This Row],[Precio Unitario]]</f>
        <v>0</v>
      </c>
      <c r="AI273" s="23" t="s">
        <v>44</v>
      </c>
      <c r="AJ273" s="26">
        <v>44756</v>
      </c>
      <c r="AK273" s="172">
        <f>Tabla1[[#This Row],[Fecha Vigencia]]-AJ273</f>
        <v>-48.375</v>
      </c>
      <c r="AL273" s="23" t="s">
        <v>46</v>
      </c>
      <c r="AM273" s="87">
        <v>6460832</v>
      </c>
      <c r="AN273" s="23"/>
      <c r="AO273" s="29"/>
      <c r="AP273" s="23"/>
      <c r="AQ273" s="34" t="s">
        <v>1642</v>
      </c>
      <c r="AR273" s="23" t="s">
        <v>11</v>
      </c>
      <c r="AS273" s="33">
        <v>0.05</v>
      </c>
      <c r="AT273" s="29">
        <v>44890</v>
      </c>
      <c r="AU273" s="23"/>
      <c r="AV273" s="23"/>
      <c r="AW273" s="23" t="s">
        <v>1643</v>
      </c>
      <c r="AX273" t="s">
        <v>1644</v>
      </c>
      <c r="AY273" s="23"/>
      <c r="AZ273" s="23"/>
      <c r="BA273" s="23"/>
      <c r="BB273" s="32"/>
      <c r="BC273" s="73"/>
    </row>
    <row r="274" spans="1:55" x14ac:dyDescent="0.25">
      <c r="A274" s="22" t="s">
        <v>1645</v>
      </c>
      <c r="B274" s="23" t="s">
        <v>1646</v>
      </c>
      <c r="C274" s="23" t="s">
        <v>1647</v>
      </c>
      <c r="D274" s="23" t="s">
        <v>1648</v>
      </c>
      <c r="E274" s="24"/>
      <c r="F274" s="25"/>
      <c r="G274" s="23" t="s">
        <v>20</v>
      </c>
      <c r="H274" s="23" t="s">
        <v>176</v>
      </c>
      <c r="I274" s="2">
        <v>44697.69327546296</v>
      </c>
      <c r="J274" s="24">
        <f>MONTH(Tabla1[[#This Row],[Publicación]])</f>
        <v>5</v>
      </c>
      <c r="K274" s="24">
        <f>YEAR(Tabla1[[#This Row],[Publicación]])</f>
        <v>2022</v>
      </c>
      <c r="L274" s="2">
        <v>44708.5</v>
      </c>
      <c r="M274" s="26">
        <v>44699</v>
      </c>
      <c r="N274" s="25" t="s">
        <v>10</v>
      </c>
      <c r="O274" s="24" t="s">
        <v>31</v>
      </c>
      <c r="P274" s="24" t="s">
        <v>10</v>
      </c>
      <c r="Q274" s="2">
        <v>44701.375</v>
      </c>
      <c r="R274" s="2">
        <v>44704.666666666664</v>
      </c>
      <c r="S274" s="26">
        <v>44740.465833333335</v>
      </c>
      <c r="T274" s="28">
        <v>0</v>
      </c>
      <c r="U274" s="28">
        <f>Tabla1[[#This Row],[PPTO]]/(1+'Lista Datos'!$B$1)</f>
        <v>0</v>
      </c>
      <c r="V274" s="23"/>
      <c r="W274" s="18" t="s">
        <v>11</v>
      </c>
      <c r="X274" s="102">
        <v>100000</v>
      </c>
      <c r="Y274" s="26">
        <v>44771</v>
      </c>
      <c r="Z274" s="18" t="s">
        <v>10</v>
      </c>
      <c r="AA274" s="23" t="s">
        <v>177</v>
      </c>
      <c r="AB274" s="23"/>
      <c r="AC274" s="23" t="s">
        <v>10</v>
      </c>
      <c r="AD274" s="23"/>
      <c r="AE274" s="29">
        <f>Tabla1[[#This Row],[Cierre]]+Tabla1[[#This Row],[Vigencia Oferta (días)]]</f>
        <v>44708.5</v>
      </c>
      <c r="AF274" s="87"/>
      <c r="AG274" s="28"/>
      <c r="AH274" s="164">
        <f>Tabla1[[#This Row],[Unidades2]]*Tabla1[[#This Row],[Precio Unitario]]</f>
        <v>0</v>
      </c>
      <c r="AI274" s="23" t="s">
        <v>44</v>
      </c>
      <c r="AJ274" s="26">
        <v>44740</v>
      </c>
      <c r="AK274" s="172">
        <f>Tabla1[[#This Row],[Fecha Vigencia]]-AJ274</f>
        <v>-31.5</v>
      </c>
      <c r="AL274" s="23" t="s">
        <v>472</v>
      </c>
      <c r="AM274" s="87">
        <v>291240000</v>
      </c>
      <c r="AN274" s="23"/>
      <c r="AO274" s="29"/>
      <c r="AP274" s="23"/>
      <c r="AQ274" s="34" t="s">
        <v>1649</v>
      </c>
      <c r="AR274" s="23" t="s">
        <v>11</v>
      </c>
      <c r="AS274" s="33">
        <v>0.1</v>
      </c>
      <c r="AT274" s="29">
        <v>45337</v>
      </c>
      <c r="AU274" s="23"/>
      <c r="AV274" s="23"/>
      <c r="AW274" s="23" t="s">
        <v>1650</v>
      </c>
      <c r="AX274" t="s">
        <v>1651</v>
      </c>
      <c r="AY274" s="23"/>
      <c r="AZ274" s="23"/>
      <c r="BA274" s="23"/>
      <c r="BB274" s="32"/>
      <c r="BC274" s="73"/>
    </row>
    <row r="275" spans="1:55" x14ac:dyDescent="0.25">
      <c r="A275" s="22" t="s">
        <v>1652</v>
      </c>
      <c r="B275" s="23" t="s">
        <v>1653</v>
      </c>
      <c r="C275" s="23" t="s">
        <v>1654</v>
      </c>
      <c r="D275" s="34" t="s">
        <v>1655</v>
      </c>
      <c r="E275" s="24"/>
      <c r="F275" s="25"/>
      <c r="G275" s="23" t="s">
        <v>21</v>
      </c>
      <c r="H275" s="23" t="s">
        <v>106</v>
      </c>
      <c r="I275" s="2">
        <v>44697.474537037036</v>
      </c>
      <c r="J275" s="24">
        <f>MONTH(Tabla1[[#This Row],[Publicación]])</f>
        <v>5</v>
      </c>
      <c r="K275" s="24">
        <f>YEAR(Tabla1[[#This Row],[Publicación]])</f>
        <v>2022</v>
      </c>
      <c r="L275" s="2">
        <v>44708.666666666664</v>
      </c>
      <c r="M275" s="26">
        <v>44705</v>
      </c>
      <c r="N275" s="25" t="s">
        <v>10</v>
      </c>
      <c r="O275" s="24" t="s">
        <v>25</v>
      </c>
      <c r="P275" s="24" t="s">
        <v>10</v>
      </c>
      <c r="Q275" s="2">
        <v>44698.666666666664</v>
      </c>
      <c r="R275" s="2">
        <v>44700.999305555553</v>
      </c>
      <c r="S275" s="26">
        <v>44741.588784722226</v>
      </c>
      <c r="T275" s="28">
        <v>0</v>
      </c>
      <c r="U275" s="28">
        <f>Tabla1[[#This Row],[PPTO]]/(1+'Lista Datos'!$B$1)</f>
        <v>0</v>
      </c>
      <c r="V275" s="23"/>
      <c r="W275" s="18" t="s">
        <v>10</v>
      </c>
      <c r="X275" s="102"/>
      <c r="Y275" s="18" t="s">
        <v>146</v>
      </c>
      <c r="Z275" s="18" t="s">
        <v>10</v>
      </c>
      <c r="AA275" s="23"/>
      <c r="AB275" s="23"/>
      <c r="AC275" s="23"/>
      <c r="AD275" s="23"/>
      <c r="AE275" s="29">
        <f>Tabla1[[#This Row],[Cierre]]+Tabla1[[#This Row],[Vigencia Oferta (días)]]</f>
        <v>44708.666666666664</v>
      </c>
      <c r="AF275" s="87"/>
      <c r="AG275" s="28"/>
      <c r="AH275" s="164">
        <f>Tabla1[[#This Row],[Unidades2]]*Tabla1[[#This Row],[Precio Unitario]]</f>
        <v>0</v>
      </c>
      <c r="AI275" s="23" t="s">
        <v>44</v>
      </c>
      <c r="AJ275" s="26">
        <v>44741</v>
      </c>
      <c r="AK275" s="172">
        <f>Tabla1[[#This Row],[Fecha Vigencia]]-AJ275</f>
        <v>-32.333333333335759</v>
      </c>
      <c r="AL275" s="23" t="s">
        <v>46</v>
      </c>
      <c r="AM275" s="87">
        <v>3340284</v>
      </c>
      <c r="AN275" s="23"/>
      <c r="AO275" s="29"/>
      <c r="AP275" s="23"/>
      <c r="AQ275" s="34" t="s">
        <v>473</v>
      </c>
      <c r="AR275" s="23" t="s">
        <v>10</v>
      </c>
      <c r="AS275" s="23"/>
      <c r="AT275" s="23"/>
      <c r="AU275" s="23"/>
      <c r="AV275" s="23"/>
      <c r="AW275" s="23" t="s">
        <v>474</v>
      </c>
      <c r="AX275" t="s">
        <v>1656</v>
      </c>
      <c r="AY275" s="23"/>
      <c r="AZ275" s="23"/>
      <c r="BA275" s="23"/>
      <c r="BB275" s="32"/>
      <c r="BC275" s="73"/>
    </row>
    <row r="276" spans="1:55" x14ac:dyDescent="0.25">
      <c r="A276" s="22" t="s">
        <v>1657</v>
      </c>
      <c r="B276" s="23" t="s">
        <v>1658</v>
      </c>
      <c r="C276" s="23" t="s">
        <v>1659</v>
      </c>
      <c r="D276" s="34" t="s">
        <v>1346</v>
      </c>
      <c r="E276" s="24"/>
      <c r="F276" s="25"/>
      <c r="G276" s="23" t="s">
        <v>16</v>
      </c>
      <c r="H276" s="23" t="s">
        <v>345</v>
      </c>
      <c r="I276" s="2">
        <v>44693.666504629633</v>
      </c>
      <c r="J276" s="24">
        <f>MONTH(Tabla1[[#This Row],[Publicación]])</f>
        <v>5</v>
      </c>
      <c r="K276" s="24">
        <f>YEAR(Tabla1[[#This Row],[Publicación]])</f>
        <v>2022</v>
      </c>
      <c r="L276" s="2">
        <v>44708.708333333336</v>
      </c>
      <c r="M276" s="26">
        <v>44697</v>
      </c>
      <c r="N276" s="25" t="s">
        <v>10</v>
      </c>
      <c r="O276" s="24" t="s">
        <v>26</v>
      </c>
      <c r="P276" s="24" t="s">
        <v>10</v>
      </c>
      <c r="Q276" s="2">
        <v>44700.64166666667</v>
      </c>
      <c r="R276" s="2">
        <v>44701.64166666667</v>
      </c>
      <c r="S276" s="26">
        <v>44769.708333333336</v>
      </c>
      <c r="T276" s="28">
        <v>0</v>
      </c>
      <c r="U276" s="28">
        <f>Tabla1[[#This Row],[PPTO]]/(1+'Lista Datos'!$B$1)</f>
        <v>0</v>
      </c>
      <c r="V276" s="23"/>
      <c r="W276" s="18" t="s">
        <v>11</v>
      </c>
      <c r="X276" s="102">
        <v>500000</v>
      </c>
      <c r="Y276" s="26">
        <v>44770</v>
      </c>
      <c r="Z276" s="18" t="s">
        <v>11</v>
      </c>
      <c r="AA276" s="23"/>
      <c r="AB276" s="23"/>
      <c r="AC276" s="23"/>
      <c r="AD276" s="23"/>
      <c r="AE276" s="29">
        <f>Tabla1[[#This Row],[Cierre]]+Tabla1[[#This Row],[Vigencia Oferta (días)]]</f>
        <v>44708.708333333336</v>
      </c>
      <c r="AF276" s="87"/>
      <c r="AG276" s="28"/>
      <c r="AH276" s="164">
        <f>Tabla1[[#This Row],[Unidades2]]*Tabla1[[#This Row],[Precio Unitario]]</f>
        <v>0</v>
      </c>
      <c r="AI276" s="23" t="s">
        <v>137</v>
      </c>
      <c r="AJ276" s="26"/>
      <c r="AK276" s="172">
        <f>Tabla1[[#This Row],[Fecha Vigencia]]-AJ276</f>
        <v>44708.708333333336</v>
      </c>
      <c r="AL276" s="23"/>
      <c r="AM276" s="87"/>
      <c r="AN276" s="23"/>
      <c r="AO276" s="29"/>
      <c r="AP276" s="23"/>
      <c r="AQ276" s="34" t="s">
        <v>1347</v>
      </c>
      <c r="AR276" s="23" t="s">
        <v>11</v>
      </c>
      <c r="AS276" s="33">
        <v>0.05</v>
      </c>
      <c r="AT276" s="29">
        <v>45168</v>
      </c>
      <c r="AU276" s="23"/>
      <c r="AV276" s="23"/>
      <c r="AW276" s="23" t="s">
        <v>1660</v>
      </c>
      <c r="AX276" t="s">
        <v>1661</v>
      </c>
      <c r="AY276" s="23"/>
      <c r="AZ276" s="23"/>
      <c r="BA276" s="23"/>
      <c r="BB276" s="32"/>
      <c r="BC276" s="73"/>
    </row>
    <row r="277" spans="1:55" x14ac:dyDescent="0.25">
      <c r="A277" s="22" t="s">
        <v>1662</v>
      </c>
      <c r="B277" s="23" t="s">
        <v>1663</v>
      </c>
      <c r="C277" s="23" t="s">
        <v>1664</v>
      </c>
      <c r="D277" s="34" t="s">
        <v>1665</v>
      </c>
      <c r="E277" s="24"/>
      <c r="F277" s="25"/>
      <c r="G277" s="23" t="s">
        <v>16</v>
      </c>
      <c r="H277" s="23" t="s">
        <v>533</v>
      </c>
      <c r="I277" s="2">
        <v>44704.661423611113</v>
      </c>
      <c r="J277" s="24">
        <f>MONTH(Tabla1[[#This Row],[Publicación]])</f>
        <v>5</v>
      </c>
      <c r="K277" s="24">
        <f>YEAR(Tabla1[[#This Row],[Publicación]])</f>
        <v>2022</v>
      </c>
      <c r="L277" s="2">
        <v>44711.625694444447</v>
      </c>
      <c r="M277" s="26">
        <v>44708.678472222222</v>
      </c>
      <c r="N277" s="25" t="s">
        <v>11</v>
      </c>
      <c r="O277" s="24"/>
      <c r="P277" s="24" t="s">
        <v>11</v>
      </c>
      <c r="Q277" s="2">
        <v>44706.791666666664</v>
      </c>
      <c r="R277" s="2">
        <v>44707.458333333336</v>
      </c>
      <c r="S277" s="26">
        <v>44726.475057870368</v>
      </c>
      <c r="T277" s="28">
        <v>0</v>
      </c>
      <c r="U277" s="28">
        <f>Tabla1[[#This Row],[PPTO]]/(1+'Lista Datos'!$B$1)</f>
        <v>0</v>
      </c>
      <c r="V277" s="23"/>
      <c r="W277" s="18" t="s">
        <v>10</v>
      </c>
      <c r="X277" s="102"/>
      <c r="Y277" s="18" t="s">
        <v>146</v>
      </c>
      <c r="Z277" s="18" t="s">
        <v>10</v>
      </c>
      <c r="AA277" s="23" t="s">
        <v>177</v>
      </c>
      <c r="AB277" s="23">
        <v>12</v>
      </c>
      <c r="AC277" s="23" t="s">
        <v>10</v>
      </c>
      <c r="AD277" s="23"/>
      <c r="AE277" s="29">
        <f>Tabla1[[#This Row],[Cierre]]+Tabla1[[#This Row],[Vigencia Oferta (días)]]</f>
        <v>44711.625694444447</v>
      </c>
      <c r="AF277" s="87"/>
      <c r="AG277" s="28"/>
      <c r="AH277" s="164">
        <f>Tabla1[[#This Row],[Unidades2]]*Tabla1[[#This Row],[Precio Unitario]]</f>
        <v>0</v>
      </c>
      <c r="AI277" s="23" t="s">
        <v>44</v>
      </c>
      <c r="AJ277" s="26">
        <v>44726</v>
      </c>
      <c r="AK277" s="172">
        <f>Tabla1[[#This Row],[Fecha Vigencia]]-AJ277</f>
        <v>-14.374305555553292</v>
      </c>
      <c r="AL277" s="23" t="s">
        <v>115</v>
      </c>
      <c r="AM277" s="87">
        <v>30000000</v>
      </c>
      <c r="AN277" s="29">
        <v>44726</v>
      </c>
      <c r="AO277" s="29">
        <v>45091</v>
      </c>
      <c r="AP277" s="23"/>
      <c r="AQ277" s="34" t="s">
        <v>1666</v>
      </c>
      <c r="AR277" s="23" t="s">
        <v>11</v>
      </c>
      <c r="AS277" s="33">
        <v>0.05</v>
      </c>
      <c r="AT277" s="29">
        <v>45199</v>
      </c>
      <c r="AU277" s="23" t="s">
        <v>1667</v>
      </c>
      <c r="AV277" s="23" t="s">
        <v>1668</v>
      </c>
      <c r="AW277" s="23" t="s">
        <v>333</v>
      </c>
      <c r="AX277" t="s">
        <v>1669</v>
      </c>
      <c r="AY277" s="23"/>
      <c r="AZ277" s="23"/>
      <c r="BA277" s="23"/>
      <c r="BB277" s="32"/>
      <c r="BC277" s="73"/>
    </row>
    <row r="278" spans="1:55" x14ac:dyDescent="0.25">
      <c r="A278" s="22" t="s">
        <v>1670</v>
      </c>
      <c r="B278" s="23" t="s">
        <v>1344</v>
      </c>
      <c r="C278" s="23" t="s">
        <v>1345</v>
      </c>
      <c r="D278" s="34" t="s">
        <v>1346</v>
      </c>
      <c r="E278" s="24"/>
      <c r="F278" s="25"/>
      <c r="G278" s="23" t="s">
        <v>16</v>
      </c>
      <c r="H278" s="23" t="s">
        <v>345</v>
      </c>
      <c r="I278" s="2">
        <v>44678.723263888889</v>
      </c>
      <c r="J278" s="24">
        <f>MONTH(Tabla1[[#This Row],[Publicación]])</f>
        <v>4</v>
      </c>
      <c r="K278" s="24">
        <f>YEAR(Tabla1[[#This Row],[Publicación]])</f>
        <v>2022</v>
      </c>
      <c r="L278" s="2">
        <v>44711.666666666664</v>
      </c>
      <c r="M278" s="26">
        <v>44679</v>
      </c>
      <c r="N278" s="25" t="s">
        <v>10</v>
      </c>
      <c r="O278" s="24" t="s">
        <v>25</v>
      </c>
      <c r="P278" s="24" t="s">
        <v>10</v>
      </c>
      <c r="Q278" s="2">
        <v>44693.434027777781</v>
      </c>
      <c r="R278" s="2">
        <v>44698.434027777781</v>
      </c>
      <c r="S278" s="26">
        <v>44741.605555555558</v>
      </c>
      <c r="T278" s="28">
        <v>0</v>
      </c>
      <c r="U278" s="28">
        <f>Tabla1[[#This Row],[PPTO]]/(1+'Lista Datos'!$B$1)</f>
        <v>0</v>
      </c>
      <c r="V278" s="23"/>
      <c r="W278" s="18" t="s">
        <v>11</v>
      </c>
      <c r="X278" s="102">
        <v>500000</v>
      </c>
      <c r="Y278" s="26">
        <v>44802</v>
      </c>
      <c r="Z278" s="18" t="s">
        <v>11</v>
      </c>
      <c r="AA278" s="23"/>
      <c r="AB278" s="23"/>
      <c r="AC278" s="23"/>
      <c r="AD278" s="23"/>
      <c r="AE278" s="29">
        <f>Tabla1[[#This Row],[Cierre]]+Tabla1[[#This Row],[Vigencia Oferta (días)]]</f>
        <v>44711.666666666664</v>
      </c>
      <c r="AF278" s="87"/>
      <c r="AG278" s="28"/>
      <c r="AH278" s="164">
        <f>Tabla1[[#This Row],[Unidades2]]*Tabla1[[#This Row],[Precio Unitario]]</f>
        <v>0</v>
      </c>
      <c r="AI278" s="23" t="s">
        <v>137</v>
      </c>
      <c r="AJ278" s="26"/>
      <c r="AK278" s="172">
        <f>Tabla1[[#This Row],[Fecha Vigencia]]-AJ278</f>
        <v>44711.666666666664</v>
      </c>
      <c r="AL278" s="23"/>
      <c r="AM278" s="87"/>
      <c r="AN278" s="23"/>
      <c r="AO278" s="29"/>
      <c r="AP278" s="23"/>
      <c r="AQ278" s="34" t="s">
        <v>1347</v>
      </c>
      <c r="AR278" s="23" t="s">
        <v>11</v>
      </c>
      <c r="AS278" s="33">
        <v>0.1</v>
      </c>
      <c r="AT278" s="29">
        <v>45920</v>
      </c>
      <c r="AU278" s="23"/>
      <c r="AV278" s="23"/>
      <c r="AW278" s="23" t="s">
        <v>1349</v>
      </c>
      <c r="AX278" t="s">
        <v>1350</v>
      </c>
      <c r="AY278" s="23"/>
      <c r="AZ278" s="23"/>
      <c r="BA278" s="23"/>
      <c r="BB278" s="32"/>
      <c r="BC278" s="73"/>
    </row>
    <row r="279" spans="1:55" x14ac:dyDescent="0.25">
      <c r="A279" s="22" t="s">
        <v>1671</v>
      </c>
      <c r="B279" s="23" t="s">
        <v>1672</v>
      </c>
      <c r="C279" s="23" t="s">
        <v>1673</v>
      </c>
      <c r="D279" s="34" t="s">
        <v>122</v>
      </c>
      <c r="E279" s="24"/>
      <c r="F279" s="25"/>
      <c r="G279" s="23" t="s">
        <v>16</v>
      </c>
      <c r="H279" s="23" t="s">
        <v>123</v>
      </c>
      <c r="I279" s="2">
        <v>44690.681493055556</v>
      </c>
      <c r="J279" s="24">
        <f>MONTH(Tabla1[[#This Row],[Publicación]])</f>
        <v>5</v>
      </c>
      <c r="K279" s="24">
        <f>YEAR(Tabla1[[#This Row],[Publicación]])</f>
        <v>2022</v>
      </c>
      <c r="L279" s="2">
        <v>44712.708333333336</v>
      </c>
      <c r="M279" s="26">
        <v>44691</v>
      </c>
      <c r="N279" s="25" t="s">
        <v>10</v>
      </c>
      <c r="O279" s="24" t="s">
        <v>25</v>
      </c>
      <c r="P279" s="24" t="s">
        <v>10</v>
      </c>
      <c r="Q279" s="2">
        <v>44700.708333333336</v>
      </c>
      <c r="R279" s="2">
        <v>44705.708333333336</v>
      </c>
      <c r="S279" s="26">
        <v>44782.708333333336</v>
      </c>
      <c r="T279" s="28">
        <v>0</v>
      </c>
      <c r="U279" s="28">
        <f>Tabla1[[#This Row],[PPTO]]/(1+'Lista Datos'!$B$1)</f>
        <v>0</v>
      </c>
      <c r="V279" s="23"/>
      <c r="W279" s="18" t="s">
        <v>11</v>
      </c>
      <c r="X279" s="102">
        <v>500000</v>
      </c>
      <c r="Y279" s="26">
        <v>44812</v>
      </c>
      <c r="Z279" s="18" t="s">
        <v>10</v>
      </c>
      <c r="AA279" s="23"/>
      <c r="AB279" s="23"/>
      <c r="AC279" s="23"/>
      <c r="AD279" s="23"/>
      <c r="AE279" s="29">
        <f>Tabla1[[#This Row],[Cierre]]+Tabla1[[#This Row],[Vigencia Oferta (días)]]</f>
        <v>44712.708333333336</v>
      </c>
      <c r="AF279" s="87"/>
      <c r="AG279" s="28"/>
      <c r="AH279" s="164">
        <f>Tabla1[[#This Row],[Unidades2]]*Tabla1[[#This Row],[Precio Unitario]]</f>
        <v>0</v>
      </c>
      <c r="AI279" s="23" t="s">
        <v>137</v>
      </c>
      <c r="AJ279" s="26">
        <v>44740</v>
      </c>
      <c r="AK279" s="172">
        <f>Tabla1[[#This Row],[Fecha Vigencia]]-AJ279</f>
        <v>-27.291666666664241</v>
      </c>
      <c r="AL279" s="23"/>
      <c r="AM279" s="87"/>
      <c r="AN279" s="23"/>
      <c r="AO279" s="29"/>
      <c r="AP279" s="23"/>
      <c r="AQ279" s="34" t="s">
        <v>959</v>
      </c>
      <c r="AR279" s="23" t="s">
        <v>11</v>
      </c>
      <c r="AS279" s="33">
        <v>0.05</v>
      </c>
      <c r="AT279" s="29">
        <v>46013</v>
      </c>
      <c r="AU279" s="23"/>
      <c r="AV279" s="23"/>
      <c r="AW279" s="23" t="s">
        <v>1674</v>
      </c>
      <c r="AX279" t="s">
        <v>961</v>
      </c>
      <c r="AY279" s="23"/>
      <c r="AZ279" s="23"/>
      <c r="BA279" s="23"/>
      <c r="BB279" s="32"/>
      <c r="BC279" s="73"/>
    </row>
    <row r="280" spans="1:55" x14ac:dyDescent="0.25">
      <c r="A280" s="22" t="s">
        <v>1675</v>
      </c>
      <c r="B280" s="23" t="s">
        <v>1676</v>
      </c>
      <c r="C280" s="23" t="s">
        <v>1677</v>
      </c>
      <c r="D280" s="34" t="s">
        <v>153</v>
      </c>
      <c r="E280" s="24"/>
      <c r="F280" s="25"/>
      <c r="G280" s="23" t="s">
        <v>16</v>
      </c>
      <c r="H280" s="23" t="s">
        <v>145</v>
      </c>
      <c r="I280" s="2">
        <v>44704.644687499997</v>
      </c>
      <c r="J280" s="24">
        <f>MONTH(Tabla1[[#This Row],[Publicación]])</f>
        <v>5</v>
      </c>
      <c r="K280" s="24">
        <f>YEAR(Tabla1[[#This Row],[Publicación]])</f>
        <v>2022</v>
      </c>
      <c r="L280" s="2">
        <v>44714.5</v>
      </c>
      <c r="M280" s="26">
        <v>44706</v>
      </c>
      <c r="N280" s="25" t="s">
        <v>10</v>
      </c>
      <c r="O280" s="24" t="s">
        <v>25</v>
      </c>
      <c r="P280" s="24" t="s">
        <v>10</v>
      </c>
      <c r="Q280" s="2">
        <v>44709.708333333336</v>
      </c>
      <c r="R280" s="2">
        <v>44711.75</v>
      </c>
      <c r="S280" s="26">
        <v>44729.390833333331</v>
      </c>
      <c r="T280" s="28">
        <v>0</v>
      </c>
      <c r="U280" s="28">
        <f>Tabla1[[#This Row],[PPTO]]/(1+'Lista Datos'!$B$1)</f>
        <v>0</v>
      </c>
      <c r="V280" s="23"/>
      <c r="W280" s="18" t="s">
        <v>10</v>
      </c>
      <c r="X280" s="102"/>
      <c r="Y280" s="18" t="s">
        <v>146</v>
      </c>
      <c r="Z280" s="18" t="s">
        <v>10</v>
      </c>
      <c r="AA280" s="23"/>
      <c r="AB280" s="23"/>
      <c r="AC280" s="23"/>
      <c r="AD280" s="23"/>
      <c r="AE280" s="29">
        <f>Tabla1[[#This Row],[Cierre]]+Tabla1[[#This Row],[Vigencia Oferta (días)]]</f>
        <v>44714.5</v>
      </c>
      <c r="AF280" s="87"/>
      <c r="AG280" s="28"/>
      <c r="AH280" s="164">
        <f>Tabla1[[#This Row],[Unidades2]]*Tabla1[[#This Row],[Precio Unitario]]</f>
        <v>0</v>
      </c>
      <c r="AI280" s="23" t="s">
        <v>137</v>
      </c>
      <c r="AJ280" s="26"/>
      <c r="AK280" s="172">
        <f>Tabla1[[#This Row],[Fecha Vigencia]]-AJ280</f>
        <v>44714.5</v>
      </c>
      <c r="AL280" s="23"/>
      <c r="AM280" s="87"/>
      <c r="AN280" s="23"/>
      <c r="AO280" s="29"/>
      <c r="AP280" s="23"/>
      <c r="AQ280" s="34" t="s">
        <v>154</v>
      </c>
      <c r="AR280" s="23" t="s">
        <v>10</v>
      </c>
      <c r="AS280" s="23"/>
      <c r="AT280" s="23"/>
      <c r="AU280" s="23"/>
      <c r="AV280" s="23"/>
      <c r="AW280" s="23" t="s">
        <v>1678</v>
      </c>
      <c r="AX280" t="s">
        <v>1679</v>
      </c>
      <c r="AY280" s="23"/>
      <c r="AZ280" s="23"/>
      <c r="BA280" s="23"/>
      <c r="BB280" s="32"/>
      <c r="BC280" s="73"/>
    </row>
    <row r="281" spans="1:55" x14ac:dyDescent="0.25">
      <c r="A281" s="22" t="s">
        <v>1680</v>
      </c>
      <c r="B281" s="23" t="s">
        <v>1681</v>
      </c>
      <c r="C281" s="23" t="s">
        <v>1682</v>
      </c>
      <c r="D281" s="34" t="s">
        <v>1683</v>
      </c>
      <c r="E281" s="24"/>
      <c r="F281" s="25"/>
      <c r="G281" s="23" t="s">
        <v>16</v>
      </c>
      <c r="H281" s="23" t="s">
        <v>520</v>
      </c>
      <c r="I281" s="2">
        <v>44704.654467592591</v>
      </c>
      <c r="J281" s="24">
        <f>MONTH(Tabla1[[#This Row],[Publicación]])</f>
        <v>5</v>
      </c>
      <c r="K281" s="24">
        <f>YEAR(Tabla1[[#This Row],[Publicación]])</f>
        <v>2022</v>
      </c>
      <c r="L281" s="2">
        <v>44714.625</v>
      </c>
      <c r="M281" s="26">
        <v>44707</v>
      </c>
      <c r="N281" s="25" t="s">
        <v>10</v>
      </c>
      <c r="O281" s="24" t="s">
        <v>33</v>
      </c>
      <c r="P281" s="24" t="s">
        <v>10</v>
      </c>
      <c r="Q281" s="2">
        <v>44707.958333333336</v>
      </c>
      <c r="R281" s="2">
        <v>44708.708333333336</v>
      </c>
      <c r="S281" s="26">
        <v>44743.71947916667</v>
      </c>
      <c r="T281" s="28">
        <v>0</v>
      </c>
      <c r="U281" s="28">
        <f>Tabla1[[#This Row],[PPTO]]/(1+'Lista Datos'!$B$1)</f>
        <v>0</v>
      </c>
      <c r="V281" s="23"/>
      <c r="W281" s="18" t="s">
        <v>10</v>
      </c>
      <c r="X281" s="102"/>
      <c r="Y281" s="18" t="s">
        <v>146</v>
      </c>
      <c r="Z281" s="18" t="s">
        <v>10</v>
      </c>
      <c r="AA281" s="23"/>
      <c r="AB281" s="23"/>
      <c r="AC281" s="23"/>
      <c r="AD281" s="23"/>
      <c r="AE281" s="29">
        <f>Tabla1[[#This Row],[Cierre]]+Tabla1[[#This Row],[Vigencia Oferta (días)]]</f>
        <v>44714.625</v>
      </c>
      <c r="AF281" s="87"/>
      <c r="AG281" s="28"/>
      <c r="AH281" s="164">
        <f>Tabla1[[#This Row],[Unidades2]]*Tabla1[[#This Row],[Precio Unitario]]</f>
        <v>0</v>
      </c>
      <c r="AI281" s="23" t="s">
        <v>44</v>
      </c>
      <c r="AJ281" s="26">
        <v>44742</v>
      </c>
      <c r="AK281" s="172">
        <f>Tabla1[[#This Row],[Fecha Vigencia]]-AJ281</f>
        <v>-27.375</v>
      </c>
      <c r="AL281" s="23" t="s">
        <v>45</v>
      </c>
      <c r="AM281" s="87">
        <v>3301889</v>
      </c>
      <c r="AN281" s="23"/>
      <c r="AO281" s="29"/>
      <c r="AP281" s="23"/>
      <c r="AQ281" s="34" t="s">
        <v>1684</v>
      </c>
      <c r="AR281" s="23" t="s">
        <v>10</v>
      </c>
      <c r="AS281" s="23"/>
      <c r="AT281" s="23"/>
      <c r="AU281" s="23"/>
      <c r="AV281" s="23"/>
      <c r="AW281" s="23" t="s">
        <v>1685</v>
      </c>
      <c r="AX281" t="s">
        <v>1686</v>
      </c>
      <c r="AY281" s="23"/>
      <c r="AZ281" s="23"/>
      <c r="BA281" s="23"/>
      <c r="BB281" s="32"/>
      <c r="BC281" s="73"/>
    </row>
    <row r="282" spans="1:55" x14ac:dyDescent="0.25">
      <c r="A282" s="22" t="s">
        <v>1687</v>
      </c>
      <c r="B282" s="23" t="s">
        <v>1688</v>
      </c>
      <c r="C282" s="23" t="s">
        <v>1689</v>
      </c>
      <c r="D282" s="34" t="s">
        <v>1690</v>
      </c>
      <c r="E282" s="24"/>
      <c r="F282" s="25"/>
      <c r="G282" s="23" t="s">
        <v>16</v>
      </c>
      <c r="H282" s="23" t="s">
        <v>123</v>
      </c>
      <c r="I282" s="2">
        <v>44705.643750000003</v>
      </c>
      <c r="J282" s="24">
        <f>MONTH(Tabla1[[#This Row],[Publicación]])</f>
        <v>5</v>
      </c>
      <c r="K282" s="24">
        <f>YEAR(Tabla1[[#This Row],[Publicación]])</f>
        <v>2022</v>
      </c>
      <c r="L282" s="2">
        <v>44714.666666666664</v>
      </c>
      <c r="M282" s="26">
        <v>44708</v>
      </c>
      <c r="N282" s="25" t="s">
        <v>10</v>
      </c>
      <c r="O282" s="24" t="s">
        <v>25</v>
      </c>
      <c r="P282" s="24" t="s">
        <v>10</v>
      </c>
      <c r="Q282" s="2">
        <v>44708.708333333336</v>
      </c>
      <c r="R282" s="2">
        <v>44711.666666666664</v>
      </c>
      <c r="S282" s="26">
        <v>44781.666666666664</v>
      </c>
      <c r="T282" s="28">
        <v>0</v>
      </c>
      <c r="U282" s="28">
        <f>Tabla1[[#This Row],[PPTO]]/(1+'Lista Datos'!$B$1)</f>
        <v>0</v>
      </c>
      <c r="V282" s="23"/>
      <c r="W282" s="18" t="s">
        <v>10</v>
      </c>
      <c r="X282" s="102"/>
      <c r="Y282" s="18" t="s">
        <v>146</v>
      </c>
      <c r="Z282" s="18" t="s">
        <v>10</v>
      </c>
      <c r="AA282" s="23" t="s">
        <v>177</v>
      </c>
      <c r="AB282" s="23">
        <v>24</v>
      </c>
      <c r="AC282" s="23"/>
      <c r="AD282" s="23"/>
      <c r="AE282" s="29">
        <f>Tabla1[[#This Row],[Cierre]]+Tabla1[[#This Row],[Vigencia Oferta (días)]]</f>
        <v>44714.666666666664</v>
      </c>
      <c r="AF282" s="87"/>
      <c r="AG282" s="28"/>
      <c r="AH282" s="164">
        <f>Tabla1[[#This Row],[Unidades2]]*Tabla1[[#This Row],[Precio Unitario]]</f>
        <v>0</v>
      </c>
      <c r="AI282" s="23" t="s">
        <v>44</v>
      </c>
      <c r="AJ282" s="26">
        <v>44774</v>
      </c>
      <c r="AK282" s="172">
        <f>Tabla1[[#This Row],[Fecha Vigencia]]-AJ282</f>
        <v>-59.333333333335759</v>
      </c>
      <c r="AL282" s="23" t="s">
        <v>45</v>
      </c>
      <c r="AM282" s="87" t="s">
        <v>1691</v>
      </c>
      <c r="AN282" s="29">
        <v>44774</v>
      </c>
      <c r="AO282" s="29">
        <v>45505</v>
      </c>
      <c r="AP282" s="23" t="s">
        <v>177</v>
      </c>
      <c r="AQ282" s="34" t="s">
        <v>1692</v>
      </c>
      <c r="AR282" s="23" t="s">
        <v>11</v>
      </c>
      <c r="AS282" s="33">
        <v>0.05</v>
      </c>
      <c r="AT282" s="29">
        <v>45595</v>
      </c>
      <c r="AU282" s="23"/>
      <c r="AV282" s="23"/>
      <c r="AW282" s="23" t="s">
        <v>1693</v>
      </c>
      <c r="AX282" t="s">
        <v>1694</v>
      </c>
      <c r="AY282" s="23"/>
      <c r="AZ282" s="23"/>
      <c r="BA282" s="23"/>
      <c r="BB282" s="32"/>
      <c r="BC282" s="73"/>
    </row>
    <row r="283" spans="1:55" x14ac:dyDescent="0.25">
      <c r="A283" s="35" t="s">
        <v>1695</v>
      </c>
      <c r="B283" s="23" t="s">
        <v>1696</v>
      </c>
      <c r="C283" s="23" t="s">
        <v>1697</v>
      </c>
      <c r="D283" s="23" t="s">
        <v>1698</v>
      </c>
      <c r="E283" s="24"/>
      <c r="F283" s="25"/>
      <c r="G283" s="23" t="s">
        <v>16</v>
      </c>
      <c r="H283" s="23" t="s">
        <v>345</v>
      </c>
      <c r="I283" s="2">
        <v>44685.578402777777</v>
      </c>
      <c r="J283" s="24">
        <f>MONTH(Tabla1[[#This Row],[Publicación]])</f>
        <v>5</v>
      </c>
      <c r="K283" s="24">
        <f>YEAR(Tabla1[[#This Row],[Publicación]])</f>
        <v>2022</v>
      </c>
      <c r="L283" s="2">
        <v>44715.625</v>
      </c>
      <c r="M283" s="26">
        <v>44686</v>
      </c>
      <c r="N283" s="25" t="s">
        <v>10</v>
      </c>
      <c r="O283" s="24" t="s">
        <v>34</v>
      </c>
      <c r="P283" s="24" t="s">
        <v>10</v>
      </c>
      <c r="Q283" s="2">
        <v>44697.625</v>
      </c>
      <c r="R283" s="2">
        <v>44699.708333333336</v>
      </c>
      <c r="S283" s="26">
        <v>44764.708333333336</v>
      </c>
      <c r="T283" s="28">
        <v>0</v>
      </c>
      <c r="U283" s="28">
        <f>Tabla1[[#This Row],[PPTO]]/(1+'Lista Datos'!$B$1)</f>
        <v>0</v>
      </c>
      <c r="V283" s="23"/>
      <c r="W283" s="18" t="s">
        <v>11</v>
      </c>
      <c r="X283" s="102">
        <v>1000000</v>
      </c>
      <c r="Y283" s="26">
        <v>44898</v>
      </c>
      <c r="Z283" s="18" t="s">
        <v>11</v>
      </c>
      <c r="AA283" s="23"/>
      <c r="AB283" s="23"/>
      <c r="AC283" s="23"/>
      <c r="AD283" s="23"/>
      <c r="AE283" s="29">
        <f>Tabla1[[#This Row],[Cierre]]+Tabla1[[#This Row],[Vigencia Oferta (días)]]</f>
        <v>44715.625</v>
      </c>
      <c r="AF283" s="87"/>
      <c r="AG283" s="28"/>
      <c r="AH283" s="164">
        <f>Tabla1[[#This Row],[Unidades2]]*Tabla1[[#This Row],[Precio Unitario]]</f>
        <v>0</v>
      </c>
      <c r="AI283" s="23" t="s">
        <v>137</v>
      </c>
      <c r="AJ283" s="26"/>
      <c r="AK283" s="172">
        <f>Tabla1[[#This Row],[Fecha Vigencia]]-AJ283</f>
        <v>44715.625</v>
      </c>
      <c r="AL283" s="23"/>
      <c r="AM283" s="87"/>
      <c r="AN283" s="23"/>
      <c r="AO283" s="29"/>
      <c r="AP283" s="23"/>
      <c r="AQ283" s="23" t="s">
        <v>178</v>
      </c>
      <c r="AR283" s="23" t="s">
        <v>11</v>
      </c>
      <c r="AS283" s="33">
        <v>0.1</v>
      </c>
      <c r="AT283" s="29">
        <v>45576</v>
      </c>
      <c r="AU283" s="23"/>
      <c r="AV283" s="23"/>
      <c r="AW283" s="23" t="s">
        <v>179</v>
      </c>
      <c r="AX283" t="s">
        <v>180</v>
      </c>
      <c r="AY283" s="23"/>
      <c r="AZ283" s="23"/>
      <c r="BA283" s="23"/>
      <c r="BB283" s="32"/>
      <c r="BC283" s="73"/>
    </row>
    <row r="284" spans="1:55" x14ac:dyDescent="0.25">
      <c r="A284" s="22" t="s">
        <v>1699</v>
      </c>
      <c r="B284" s="23" t="s">
        <v>1700</v>
      </c>
      <c r="C284" s="23" t="s">
        <v>1701</v>
      </c>
      <c r="D284" s="34" t="s">
        <v>1702</v>
      </c>
      <c r="E284" s="24"/>
      <c r="F284" s="25"/>
      <c r="G284" s="23" t="s">
        <v>41</v>
      </c>
      <c r="H284" s="23" t="s">
        <v>240</v>
      </c>
      <c r="I284" s="2">
        <v>44704.521134259259</v>
      </c>
      <c r="J284" s="24">
        <f>MONTH(Tabla1[[#This Row],[Publicación]])</f>
        <v>5</v>
      </c>
      <c r="K284" s="24">
        <f>YEAR(Tabla1[[#This Row],[Publicación]])</f>
        <v>2022</v>
      </c>
      <c r="L284" s="2">
        <v>44718.625</v>
      </c>
      <c r="M284" s="26">
        <v>44706</v>
      </c>
      <c r="N284" s="25" t="s">
        <v>11</v>
      </c>
      <c r="O284" s="24"/>
      <c r="P284" s="24" t="s">
        <v>11</v>
      </c>
      <c r="Q284" s="2">
        <v>44709.333333333336</v>
      </c>
      <c r="R284" s="2">
        <v>44712.708333333336</v>
      </c>
      <c r="S284" s="26">
        <v>44750.540983796294</v>
      </c>
      <c r="T284" s="28">
        <v>0</v>
      </c>
      <c r="U284" s="28">
        <f>Tabla1[[#This Row],[PPTO]]/(1+'Lista Datos'!$B$1)</f>
        <v>0</v>
      </c>
      <c r="V284" s="23"/>
      <c r="W284" s="18" t="s">
        <v>10</v>
      </c>
      <c r="X284" s="102"/>
      <c r="Y284" s="18" t="s">
        <v>146</v>
      </c>
      <c r="Z284" s="18" t="s">
        <v>10</v>
      </c>
      <c r="AA284" s="23"/>
      <c r="AB284" s="23"/>
      <c r="AC284" s="23" t="s">
        <v>10</v>
      </c>
      <c r="AD284" s="23"/>
      <c r="AE284" s="29">
        <f>Tabla1[[#This Row],[Cierre]]+Tabla1[[#This Row],[Vigencia Oferta (días)]]</f>
        <v>44718.625</v>
      </c>
      <c r="AF284" s="87"/>
      <c r="AG284" s="28"/>
      <c r="AH284" s="164">
        <f>Tabla1[[#This Row],[Unidades2]]*Tabla1[[#This Row],[Precio Unitario]]</f>
        <v>0</v>
      </c>
      <c r="AI284" s="23" t="s">
        <v>44</v>
      </c>
      <c r="AJ284" s="26">
        <v>44750</v>
      </c>
      <c r="AK284" s="172">
        <f>Tabla1[[#This Row],[Fecha Vigencia]]-AJ284</f>
        <v>-31.375</v>
      </c>
      <c r="AL284" s="23" t="s">
        <v>45</v>
      </c>
      <c r="AM284" s="87">
        <v>825357</v>
      </c>
      <c r="AN284" s="23"/>
      <c r="AO284" s="29"/>
      <c r="AP284" s="23"/>
      <c r="AQ284" s="34" t="s">
        <v>299</v>
      </c>
      <c r="AR284" s="23" t="s">
        <v>11</v>
      </c>
      <c r="AS284" s="33">
        <v>0.05</v>
      </c>
      <c r="AT284" s="29">
        <v>45562</v>
      </c>
      <c r="AU284" s="23"/>
      <c r="AV284" s="23"/>
      <c r="AW284" s="23" t="s">
        <v>1703</v>
      </c>
      <c r="AX284" t="s">
        <v>1704</v>
      </c>
      <c r="AY284" s="23"/>
      <c r="AZ284" s="23"/>
      <c r="BA284" s="23"/>
      <c r="BB284" s="32"/>
      <c r="BC284" s="73"/>
    </row>
    <row r="285" spans="1:55" x14ac:dyDescent="0.25">
      <c r="A285" s="22" t="s">
        <v>1705</v>
      </c>
      <c r="B285" s="23" t="s">
        <v>1706</v>
      </c>
      <c r="C285" s="23" t="s">
        <v>1707</v>
      </c>
      <c r="D285" s="34" t="s">
        <v>1533</v>
      </c>
      <c r="E285" s="24"/>
      <c r="F285" s="25"/>
      <c r="G285" s="23" t="s">
        <v>16</v>
      </c>
      <c r="H285" s="23" t="s">
        <v>123</v>
      </c>
      <c r="I285" s="2">
        <v>44708.497303240743</v>
      </c>
      <c r="J285" s="24">
        <f>MONTH(Tabla1[[#This Row],[Publicación]])</f>
        <v>5</v>
      </c>
      <c r="K285" s="24">
        <f>YEAR(Tabla1[[#This Row],[Publicación]])</f>
        <v>2022</v>
      </c>
      <c r="L285" s="2">
        <v>44718.775694444441</v>
      </c>
      <c r="M285" s="26">
        <v>44708</v>
      </c>
      <c r="N285" s="25" t="s">
        <v>11</v>
      </c>
      <c r="O285" s="24"/>
      <c r="P285" s="24" t="s">
        <v>11</v>
      </c>
      <c r="Q285" s="2">
        <v>44713.396527777775</v>
      </c>
      <c r="R285" s="2">
        <v>44715.666666666664</v>
      </c>
      <c r="S285" s="26">
        <v>44735.331655092596</v>
      </c>
      <c r="T285" s="28">
        <v>0</v>
      </c>
      <c r="U285" s="28">
        <f>Tabla1[[#This Row],[PPTO]]/(1+'Lista Datos'!$B$1)</f>
        <v>0</v>
      </c>
      <c r="V285" s="23"/>
      <c r="W285" s="18" t="s">
        <v>11</v>
      </c>
      <c r="X285" s="102">
        <v>500000</v>
      </c>
      <c r="Y285" s="26">
        <v>44818</v>
      </c>
      <c r="Z285" s="18" t="s">
        <v>11</v>
      </c>
      <c r="AA285" s="23" t="s">
        <v>177</v>
      </c>
      <c r="AB285" s="23">
        <v>12</v>
      </c>
      <c r="AC285" s="23" t="s">
        <v>10</v>
      </c>
      <c r="AD285" s="23"/>
      <c r="AE285" s="29">
        <f>Tabla1[[#This Row],[Cierre]]+Tabla1[[#This Row],[Vigencia Oferta (días)]]</f>
        <v>44718.775694444441</v>
      </c>
      <c r="AF285" s="87"/>
      <c r="AG285" s="28"/>
      <c r="AH285" s="164">
        <f>Tabla1[[#This Row],[Unidades2]]*Tabla1[[#This Row],[Precio Unitario]]</f>
        <v>0</v>
      </c>
      <c r="AI285" s="23" t="s">
        <v>44</v>
      </c>
      <c r="AJ285" s="26">
        <v>44734</v>
      </c>
      <c r="AK285" s="172">
        <f>Tabla1[[#This Row],[Fecha Vigencia]]-AJ285</f>
        <v>-15.224305555559113</v>
      </c>
      <c r="AL285" s="23" t="s">
        <v>472</v>
      </c>
      <c r="AM285" s="87">
        <v>26520000</v>
      </c>
      <c r="AN285" s="29">
        <v>44734</v>
      </c>
      <c r="AO285" s="29">
        <v>45099</v>
      </c>
      <c r="AP285" s="23" t="s">
        <v>177</v>
      </c>
      <c r="AQ285" s="34" t="s">
        <v>1534</v>
      </c>
      <c r="AR285" s="23" t="s">
        <v>11</v>
      </c>
      <c r="AS285" s="33">
        <v>0.1</v>
      </c>
      <c r="AT285" s="29">
        <v>45250</v>
      </c>
      <c r="AU285" s="23"/>
      <c r="AV285" s="23"/>
      <c r="AW285" s="23" t="s">
        <v>1535</v>
      </c>
      <c r="AX285" t="s">
        <v>1536</v>
      </c>
      <c r="AY285" s="23"/>
      <c r="AZ285" s="23"/>
      <c r="BA285" s="23"/>
      <c r="BB285" s="32"/>
      <c r="BC285" s="73"/>
    </row>
    <row r="286" spans="1:55" x14ac:dyDescent="0.25">
      <c r="A286" s="35" t="s">
        <v>1708</v>
      </c>
      <c r="B286" s="23" t="s">
        <v>1709</v>
      </c>
      <c r="C286" s="23" t="s">
        <v>1710</v>
      </c>
      <c r="D286" s="23" t="s">
        <v>1711</v>
      </c>
      <c r="E286" s="24"/>
      <c r="F286" s="25"/>
      <c r="G286" s="23" t="s">
        <v>16</v>
      </c>
      <c r="H286" s="23" t="s">
        <v>1596</v>
      </c>
      <c r="I286" s="2">
        <v>44697.582835648151</v>
      </c>
      <c r="J286" s="24">
        <f>MONTH(Tabla1[[#This Row],[Publicación]])</f>
        <v>5</v>
      </c>
      <c r="K286" s="24">
        <f>YEAR(Tabla1[[#This Row],[Publicación]])</f>
        <v>2022</v>
      </c>
      <c r="L286" s="2">
        <v>44719.5</v>
      </c>
      <c r="M286" s="26">
        <v>44700</v>
      </c>
      <c r="N286" s="25" t="s">
        <v>10</v>
      </c>
      <c r="O286" s="24" t="s">
        <v>35</v>
      </c>
      <c r="P286" s="24" t="s">
        <v>10</v>
      </c>
      <c r="Q286" s="2">
        <v>44706.75</v>
      </c>
      <c r="R286" s="2">
        <v>44708.75</v>
      </c>
      <c r="S286" s="26"/>
      <c r="T286" s="28">
        <v>0</v>
      </c>
      <c r="U286" s="28">
        <f>Tabla1[[#This Row],[PPTO]]/(1+'Lista Datos'!$B$1)</f>
        <v>0</v>
      </c>
      <c r="V286" s="23"/>
      <c r="W286" s="18" t="s">
        <v>11</v>
      </c>
      <c r="X286" s="102">
        <v>300000</v>
      </c>
      <c r="Y286" s="26">
        <v>44839</v>
      </c>
      <c r="Z286" s="18" t="s">
        <v>11</v>
      </c>
      <c r="AA286" s="23"/>
      <c r="AB286" s="23"/>
      <c r="AC286" s="23"/>
      <c r="AD286" s="23"/>
      <c r="AE286" s="29">
        <f>Tabla1[[#This Row],[Cierre]]+Tabla1[[#This Row],[Vigencia Oferta (días)]]</f>
        <v>44719.5</v>
      </c>
      <c r="AF286" s="87"/>
      <c r="AG286" s="28"/>
      <c r="AH286" s="164">
        <f>Tabla1[[#This Row],[Unidades2]]*Tabla1[[#This Row],[Precio Unitario]]</f>
        <v>0</v>
      </c>
      <c r="AI286" s="23" t="s">
        <v>44</v>
      </c>
      <c r="AJ286" s="26">
        <v>44754</v>
      </c>
      <c r="AK286" s="172">
        <f>Tabla1[[#This Row],[Fecha Vigencia]]-AJ286</f>
        <v>-34.5</v>
      </c>
      <c r="AL286" s="23" t="s">
        <v>45</v>
      </c>
      <c r="AM286" s="87">
        <v>77850</v>
      </c>
      <c r="AN286" s="23"/>
      <c r="AO286" s="29"/>
      <c r="AP286" s="23"/>
      <c r="AQ286" s="34" t="s">
        <v>1712</v>
      </c>
      <c r="AR286" s="23" t="s">
        <v>11</v>
      </c>
      <c r="AS286" s="31">
        <v>354167</v>
      </c>
      <c r="AT286" s="29">
        <v>45999</v>
      </c>
      <c r="AU286" s="23"/>
      <c r="AV286" s="23"/>
      <c r="AW286" s="23" t="s">
        <v>1713</v>
      </c>
      <c r="AX286" t="s">
        <v>1714</v>
      </c>
      <c r="AY286" s="23"/>
      <c r="AZ286" s="23"/>
      <c r="BA286" s="23"/>
      <c r="BB286" s="32"/>
      <c r="BC286" s="73"/>
    </row>
    <row r="287" spans="1:55" x14ac:dyDescent="0.25">
      <c r="A287" s="22" t="s">
        <v>1715</v>
      </c>
      <c r="B287" s="23" t="s">
        <v>1716</v>
      </c>
      <c r="C287" s="23" t="s">
        <v>1717</v>
      </c>
      <c r="D287" s="34" t="s">
        <v>1718</v>
      </c>
      <c r="E287" s="24"/>
      <c r="F287" s="25"/>
      <c r="G287" s="23" t="s">
        <v>21</v>
      </c>
      <c r="H287" s="23" t="s">
        <v>106</v>
      </c>
      <c r="I287" s="2">
        <v>44711.517361111109</v>
      </c>
      <c r="J287" s="24">
        <f>MONTH(Tabla1[[#This Row],[Publicación]])</f>
        <v>5</v>
      </c>
      <c r="K287" s="24">
        <f>YEAR(Tabla1[[#This Row],[Publicación]])</f>
        <v>2022</v>
      </c>
      <c r="L287" s="2">
        <v>44719.645833333336</v>
      </c>
      <c r="M287" s="26">
        <v>44713</v>
      </c>
      <c r="N287" s="25" t="s">
        <v>10</v>
      </c>
      <c r="O287" s="24" t="s">
        <v>35</v>
      </c>
      <c r="P287" s="24" t="s">
        <v>10</v>
      </c>
      <c r="Q287" s="2">
        <v>44714.645833333336</v>
      </c>
      <c r="R287" s="2">
        <v>44718.625</v>
      </c>
      <c r="S287" s="26">
        <v>44762.756574074076</v>
      </c>
      <c r="T287" s="28">
        <v>0</v>
      </c>
      <c r="U287" s="28">
        <f>Tabla1[[#This Row],[PPTO]]/(1+'Lista Datos'!$B$1)</f>
        <v>0</v>
      </c>
      <c r="V287" s="23"/>
      <c r="W287" s="18" t="s">
        <v>10</v>
      </c>
      <c r="X287" s="102"/>
      <c r="Y287" s="18" t="s">
        <v>146</v>
      </c>
      <c r="Z287" s="18" t="s">
        <v>10</v>
      </c>
      <c r="AA287" s="23"/>
      <c r="AB287" s="23"/>
      <c r="AC287" s="23"/>
      <c r="AD287" s="23"/>
      <c r="AE287" s="29">
        <f>Tabla1[[#This Row],[Cierre]]+Tabla1[[#This Row],[Vigencia Oferta (días)]]</f>
        <v>44719.645833333336</v>
      </c>
      <c r="AF287" s="87"/>
      <c r="AG287" s="28"/>
      <c r="AH287" s="164">
        <f>Tabla1[[#This Row],[Unidades2]]*Tabla1[[#This Row],[Precio Unitario]]</f>
        <v>0</v>
      </c>
      <c r="AI287" s="23" t="s">
        <v>44</v>
      </c>
      <c r="AJ287" s="26">
        <v>44762</v>
      </c>
      <c r="AK287" s="172">
        <f>Tabla1[[#This Row],[Fecha Vigencia]]-AJ287</f>
        <v>-42.354166666664241</v>
      </c>
      <c r="AL287" s="23" t="s">
        <v>46</v>
      </c>
      <c r="AM287" s="87">
        <v>17990</v>
      </c>
      <c r="AN287" s="23"/>
      <c r="AO287" s="29"/>
      <c r="AP287" s="23"/>
      <c r="AQ287" s="34" t="s">
        <v>1719</v>
      </c>
      <c r="AR287" s="23" t="s">
        <v>10</v>
      </c>
      <c r="AS287" s="23"/>
      <c r="AT287" s="23"/>
      <c r="AU287" s="23"/>
      <c r="AV287" s="23"/>
      <c r="AW287" s="23" t="s">
        <v>1720</v>
      </c>
      <c r="AX287" t="s">
        <v>1721</v>
      </c>
      <c r="AY287" s="23"/>
      <c r="AZ287" s="23"/>
      <c r="BA287" s="23"/>
      <c r="BB287" s="32"/>
      <c r="BC287" s="73"/>
    </row>
    <row r="288" spans="1:55" x14ac:dyDescent="0.25">
      <c r="A288" s="22" t="s">
        <v>1722</v>
      </c>
      <c r="B288" s="23" t="s">
        <v>1723</v>
      </c>
      <c r="C288" s="23" t="s">
        <v>1724</v>
      </c>
      <c r="D288" s="34" t="s">
        <v>344</v>
      </c>
      <c r="E288" s="24"/>
      <c r="F288" s="25"/>
      <c r="G288" s="23" t="s">
        <v>16</v>
      </c>
      <c r="H288" s="23" t="s">
        <v>345</v>
      </c>
      <c r="I288" s="2">
        <v>44700.710532407407</v>
      </c>
      <c r="J288" s="24">
        <f>MONTH(Tabla1[[#This Row],[Publicación]])</f>
        <v>5</v>
      </c>
      <c r="K288" s="24">
        <f>YEAR(Tabla1[[#This Row],[Publicación]])</f>
        <v>2022</v>
      </c>
      <c r="L288" s="2">
        <v>44719.680555555555</v>
      </c>
      <c r="M288" s="26">
        <v>44704</v>
      </c>
      <c r="N288" s="25" t="s">
        <v>10</v>
      </c>
      <c r="O288" s="24" t="s">
        <v>25</v>
      </c>
      <c r="P288" s="24" t="s">
        <v>10</v>
      </c>
      <c r="Q288" s="2">
        <v>44708.841666666667</v>
      </c>
      <c r="R288" s="2">
        <v>44715.841666666667</v>
      </c>
      <c r="S288" s="26">
        <v>44749.4296875</v>
      </c>
      <c r="T288" s="28">
        <v>0</v>
      </c>
      <c r="U288" s="28">
        <f>Tabla1[[#This Row],[PPTO]]/(1+'Lista Datos'!$B$1)</f>
        <v>0</v>
      </c>
      <c r="V288" s="23"/>
      <c r="W288" s="18" t="s">
        <v>10</v>
      </c>
      <c r="X288" s="102"/>
      <c r="Y288" s="18" t="s">
        <v>146</v>
      </c>
      <c r="Z288" s="18" t="s">
        <v>11</v>
      </c>
      <c r="AA288" s="23"/>
      <c r="AB288" s="23"/>
      <c r="AC288" s="23"/>
      <c r="AD288" s="23"/>
      <c r="AE288" s="29">
        <f>Tabla1[[#This Row],[Cierre]]+Tabla1[[#This Row],[Vigencia Oferta (días)]]</f>
        <v>44719.680555555555</v>
      </c>
      <c r="AF288" s="87"/>
      <c r="AG288" s="28"/>
      <c r="AH288" s="164">
        <f>Tabla1[[#This Row],[Unidades2]]*Tabla1[[#This Row],[Precio Unitario]]</f>
        <v>0</v>
      </c>
      <c r="AI288" s="23" t="s">
        <v>44</v>
      </c>
      <c r="AJ288" s="26">
        <v>44749</v>
      </c>
      <c r="AK288" s="172">
        <f>Tabla1[[#This Row],[Fecha Vigencia]]-AJ288</f>
        <v>-29.319444444445253</v>
      </c>
      <c r="AL288" s="23" t="s">
        <v>46</v>
      </c>
      <c r="AM288" s="87">
        <v>4239500</v>
      </c>
      <c r="AN288" s="23"/>
      <c r="AO288" s="29"/>
      <c r="AP288" s="23"/>
      <c r="AQ288" s="34" t="s">
        <v>346</v>
      </c>
      <c r="AR288" s="23" t="s">
        <v>11</v>
      </c>
      <c r="AS288" s="33">
        <v>0.05</v>
      </c>
      <c r="AT288" s="29">
        <v>45552</v>
      </c>
      <c r="AU288" s="23"/>
      <c r="AV288" s="23"/>
      <c r="AW288" s="23" t="s">
        <v>1725</v>
      </c>
      <c r="AX288" t="s">
        <v>671</v>
      </c>
      <c r="AY288" s="23"/>
      <c r="AZ288" s="23"/>
      <c r="BA288" s="23"/>
      <c r="BB288" s="32"/>
      <c r="BC288" s="73"/>
    </row>
    <row r="289" spans="1:55" x14ac:dyDescent="0.25">
      <c r="A289" s="22" t="s">
        <v>1726</v>
      </c>
      <c r="B289" s="23" t="s">
        <v>1727</v>
      </c>
      <c r="C289" s="23" t="s">
        <v>1728</v>
      </c>
      <c r="D289" s="34" t="s">
        <v>1729</v>
      </c>
      <c r="E289" s="24"/>
      <c r="F289" s="25"/>
      <c r="G289" s="23" t="s">
        <v>16</v>
      </c>
      <c r="H289" s="23" t="s">
        <v>123</v>
      </c>
      <c r="I289" s="2">
        <v>44700.406238425923</v>
      </c>
      <c r="J289" s="24">
        <f>MONTH(Tabla1[[#This Row],[Publicación]])</f>
        <v>5</v>
      </c>
      <c r="K289" s="24">
        <f>YEAR(Tabla1[[#This Row],[Publicación]])</f>
        <v>2022</v>
      </c>
      <c r="L289" s="2">
        <v>44721.708333333336</v>
      </c>
      <c r="M289" s="26">
        <v>44704</v>
      </c>
      <c r="N289" s="25" t="s">
        <v>10</v>
      </c>
      <c r="O289" s="24" t="s">
        <v>25</v>
      </c>
      <c r="P289" s="24" t="s">
        <v>10</v>
      </c>
      <c r="Q289" s="2">
        <v>44708.958333333336</v>
      </c>
      <c r="R289" s="2">
        <v>44711.708333333336</v>
      </c>
      <c r="S289" s="26">
        <v>44747.38244212963</v>
      </c>
      <c r="T289" s="28">
        <v>0</v>
      </c>
      <c r="U289" s="28">
        <f>Tabla1[[#This Row],[PPTO]]/(1+'Lista Datos'!$B$1)</f>
        <v>0</v>
      </c>
      <c r="V289" s="23"/>
      <c r="W289" s="18" t="s">
        <v>11</v>
      </c>
      <c r="X289" s="102">
        <v>500000</v>
      </c>
      <c r="Y289" s="26">
        <v>44781</v>
      </c>
      <c r="Z289" s="18" t="s">
        <v>11</v>
      </c>
      <c r="AA289" s="23"/>
      <c r="AB289" s="23"/>
      <c r="AC289" s="23"/>
      <c r="AD289" s="23"/>
      <c r="AE289" s="29">
        <f>Tabla1[[#This Row],[Cierre]]+Tabla1[[#This Row],[Vigencia Oferta (días)]]</f>
        <v>44721.708333333336</v>
      </c>
      <c r="AF289" s="87"/>
      <c r="AG289" s="28"/>
      <c r="AH289" s="164">
        <f>Tabla1[[#This Row],[Unidades2]]*Tabla1[[#This Row],[Precio Unitario]]</f>
        <v>0</v>
      </c>
      <c r="AI289" s="23" t="s">
        <v>44</v>
      </c>
      <c r="AJ289" s="26">
        <v>44747</v>
      </c>
      <c r="AK289" s="172">
        <f>Tabla1[[#This Row],[Fecha Vigencia]]-AJ289</f>
        <v>-25.291666666664241</v>
      </c>
      <c r="AL289" s="23" t="s">
        <v>45</v>
      </c>
      <c r="AM289" s="87">
        <v>169341128</v>
      </c>
      <c r="AN289" s="23"/>
      <c r="AO289" s="29"/>
      <c r="AP289" s="23"/>
      <c r="AQ289" s="34" t="s">
        <v>1730</v>
      </c>
      <c r="AR289" s="23" t="s">
        <v>11</v>
      </c>
      <c r="AS289" s="33">
        <v>0.05</v>
      </c>
      <c r="AT289" s="29">
        <v>45199</v>
      </c>
      <c r="AU289" s="23"/>
      <c r="AV289" s="23"/>
      <c r="AW289" s="23" t="s">
        <v>1731</v>
      </c>
      <c r="AX289" t="s">
        <v>1732</v>
      </c>
      <c r="AY289" s="23"/>
      <c r="AZ289" s="23"/>
      <c r="BA289" s="23"/>
      <c r="BB289" s="32"/>
      <c r="BC289" s="73"/>
    </row>
    <row r="290" spans="1:55" x14ac:dyDescent="0.25">
      <c r="A290" s="22" t="s">
        <v>1733</v>
      </c>
      <c r="B290" s="23" t="s">
        <v>1734</v>
      </c>
      <c r="C290" s="23" t="s">
        <v>1735</v>
      </c>
      <c r="D290" s="23" t="s">
        <v>1736</v>
      </c>
      <c r="E290" s="24"/>
      <c r="F290" s="25"/>
      <c r="G290" s="23" t="s">
        <v>18</v>
      </c>
      <c r="H290" s="23" t="s">
        <v>213</v>
      </c>
      <c r="I290" s="2">
        <v>44712.74659722222</v>
      </c>
      <c r="J290" s="24">
        <f>MONTH(Tabla1[[#This Row],[Publicación]])</f>
        <v>5</v>
      </c>
      <c r="K290" s="24">
        <f>YEAR(Tabla1[[#This Row],[Publicación]])</f>
        <v>2022</v>
      </c>
      <c r="L290" s="2">
        <v>44722.607638888891</v>
      </c>
      <c r="M290" s="26">
        <v>44714</v>
      </c>
      <c r="N290" s="25" t="s">
        <v>10</v>
      </c>
      <c r="O290" s="24" t="s">
        <v>25</v>
      </c>
      <c r="P290" s="24" t="s">
        <v>10</v>
      </c>
      <c r="Q290" s="2">
        <v>44716.892361111109</v>
      </c>
      <c r="R290" s="2">
        <v>44718.892361111109</v>
      </c>
      <c r="S290" s="26">
        <v>44754</v>
      </c>
      <c r="T290" s="28">
        <v>0</v>
      </c>
      <c r="U290" s="28">
        <f>Tabla1[[#This Row],[PPTO]]/(1+'Lista Datos'!$B$1)</f>
        <v>0</v>
      </c>
      <c r="V290" s="23"/>
      <c r="W290" s="18" t="s">
        <v>10</v>
      </c>
      <c r="X290" s="102"/>
      <c r="Y290" s="18" t="s">
        <v>146</v>
      </c>
      <c r="Z290" s="18" t="s">
        <v>10</v>
      </c>
      <c r="AA290" s="23"/>
      <c r="AB290" s="23"/>
      <c r="AC290" s="23"/>
      <c r="AD290" s="23"/>
      <c r="AE290" s="29">
        <f>Tabla1[[#This Row],[Cierre]]+Tabla1[[#This Row],[Vigencia Oferta (días)]]</f>
        <v>44722.607638888891</v>
      </c>
      <c r="AF290" s="87"/>
      <c r="AG290" s="28"/>
      <c r="AH290" s="164">
        <f>Tabla1[[#This Row],[Unidades2]]*Tabla1[[#This Row],[Precio Unitario]]</f>
        <v>0</v>
      </c>
      <c r="AI290" s="23" t="s">
        <v>44</v>
      </c>
      <c r="AJ290" s="26">
        <v>44754</v>
      </c>
      <c r="AK290" s="172">
        <f>Tabla1[[#This Row],[Fecha Vigencia]]-AJ290</f>
        <v>-31.392361111109494</v>
      </c>
      <c r="AL290" s="23" t="s">
        <v>46</v>
      </c>
      <c r="AM290" s="87">
        <v>3900000</v>
      </c>
      <c r="AN290" s="23"/>
      <c r="AO290" s="29"/>
      <c r="AP290" s="23"/>
      <c r="AQ290" s="34" t="s">
        <v>1737</v>
      </c>
      <c r="AR290" s="23" t="s">
        <v>11</v>
      </c>
      <c r="AS290" s="33">
        <v>7.0000000000000007E-2</v>
      </c>
      <c r="AT290" s="29">
        <v>44834</v>
      </c>
      <c r="AU290" s="23"/>
      <c r="AV290" s="23"/>
      <c r="AW290" s="23" t="s">
        <v>1738</v>
      </c>
      <c r="AX290" t="s">
        <v>1739</v>
      </c>
      <c r="AY290" s="23"/>
      <c r="AZ290" s="23"/>
      <c r="BA290" s="23"/>
      <c r="BB290" s="32"/>
      <c r="BC290" s="73"/>
    </row>
    <row r="291" spans="1:55" x14ac:dyDescent="0.25">
      <c r="A291" s="22" t="s">
        <v>1740</v>
      </c>
      <c r="B291" s="23" t="s">
        <v>1741</v>
      </c>
      <c r="C291" s="23" t="s">
        <v>1742</v>
      </c>
      <c r="D291" s="34" t="s">
        <v>1743</v>
      </c>
      <c r="E291" s="24"/>
      <c r="F291" s="25"/>
      <c r="G291" s="23" t="s">
        <v>16</v>
      </c>
      <c r="H291" s="23" t="s">
        <v>145</v>
      </c>
      <c r="I291" s="2">
        <v>44718.481099537035</v>
      </c>
      <c r="J291" s="24">
        <f>MONTH(Tabla1[[#This Row],[Publicación]])</f>
        <v>6</v>
      </c>
      <c r="K291" s="24">
        <f>YEAR(Tabla1[[#This Row],[Publicación]])</f>
        <v>2022</v>
      </c>
      <c r="L291" s="2">
        <v>44725.625</v>
      </c>
      <c r="M291" s="26">
        <v>44719</v>
      </c>
      <c r="N291" s="25" t="s">
        <v>11</v>
      </c>
      <c r="O291" s="24"/>
      <c r="P291" s="24" t="s">
        <v>11</v>
      </c>
      <c r="Q291" s="2">
        <v>44720.6875</v>
      </c>
      <c r="R291" s="2">
        <v>44721.645833333336</v>
      </c>
      <c r="S291" s="26">
        <v>44736</v>
      </c>
      <c r="T291" s="28">
        <v>0</v>
      </c>
      <c r="U291" s="28">
        <f>Tabla1[[#This Row],[PPTO]]/(1+'Lista Datos'!$B$1)</f>
        <v>0</v>
      </c>
      <c r="V291" s="23"/>
      <c r="W291" s="18" t="s">
        <v>10</v>
      </c>
      <c r="X291" s="102"/>
      <c r="Y291" s="18" t="s">
        <v>146</v>
      </c>
      <c r="Z291" s="18" t="s">
        <v>10</v>
      </c>
      <c r="AA291" s="23" t="s">
        <v>177</v>
      </c>
      <c r="AB291" s="23">
        <v>24</v>
      </c>
      <c r="AC291" s="23" t="s">
        <v>10</v>
      </c>
      <c r="AD291" s="23"/>
      <c r="AE291" s="29">
        <f>Tabla1[[#This Row],[Cierre]]+Tabla1[[#This Row],[Vigencia Oferta (días)]]</f>
        <v>44725.625</v>
      </c>
      <c r="AF291" s="87"/>
      <c r="AG291" s="28"/>
      <c r="AH291" s="164">
        <f>Tabla1[[#This Row],[Unidades2]]*Tabla1[[#This Row],[Precio Unitario]]</f>
        <v>0</v>
      </c>
      <c r="AI291" s="23" t="s">
        <v>44</v>
      </c>
      <c r="AJ291" s="26">
        <v>44736</v>
      </c>
      <c r="AK291" s="172">
        <f>Tabla1[[#This Row],[Fecha Vigencia]]-AJ291</f>
        <v>-10.375</v>
      </c>
      <c r="AL291" s="23" t="s">
        <v>115</v>
      </c>
      <c r="AM291" s="87">
        <v>5000000</v>
      </c>
      <c r="AN291" s="29">
        <v>44736</v>
      </c>
      <c r="AO291" s="29">
        <v>45467</v>
      </c>
      <c r="AP291" s="23" t="s">
        <v>177</v>
      </c>
      <c r="AQ291" s="34" t="s">
        <v>1744</v>
      </c>
      <c r="AR291" s="23" t="s">
        <v>10</v>
      </c>
      <c r="AS291" s="23"/>
      <c r="AT291" s="23"/>
      <c r="AU291" s="23" t="s">
        <v>1745</v>
      </c>
      <c r="AV291" s="23" t="s">
        <v>1746</v>
      </c>
      <c r="AW291" s="23" t="s">
        <v>1747</v>
      </c>
      <c r="AX291" t="s">
        <v>1748</v>
      </c>
      <c r="AY291" s="23"/>
      <c r="AZ291" s="23"/>
      <c r="BA291" s="23"/>
      <c r="BB291" s="32"/>
      <c r="BC291" s="73"/>
    </row>
    <row r="292" spans="1:55" x14ac:dyDescent="0.25">
      <c r="A292" s="22" t="s">
        <v>1749</v>
      </c>
      <c r="B292" s="23" t="s">
        <v>1475</v>
      </c>
      <c r="C292" s="23" t="s">
        <v>1549</v>
      </c>
      <c r="D292" s="34" t="s">
        <v>1477</v>
      </c>
      <c r="E292" s="24"/>
      <c r="F292" s="25"/>
      <c r="G292" s="23" t="s">
        <v>16</v>
      </c>
      <c r="H292" s="23" t="s">
        <v>123</v>
      </c>
      <c r="I292" s="2">
        <v>44714.625</v>
      </c>
      <c r="J292" s="24">
        <f>MONTH(Tabla1[[#This Row],[Publicación]])</f>
        <v>6</v>
      </c>
      <c r="K292" s="24">
        <f>YEAR(Tabla1[[#This Row],[Publicación]])</f>
        <v>2022</v>
      </c>
      <c r="L292" s="2">
        <v>44725.628472222219</v>
      </c>
      <c r="M292" s="26">
        <v>44719</v>
      </c>
      <c r="N292" s="25" t="s">
        <v>10</v>
      </c>
      <c r="O292" s="24" t="s">
        <v>25</v>
      </c>
      <c r="P292" s="24" t="s">
        <v>10</v>
      </c>
      <c r="Q292" s="2">
        <v>44719.375</v>
      </c>
      <c r="R292" s="2">
        <v>44721.416666666664</v>
      </c>
      <c r="S292" s="26">
        <v>44741</v>
      </c>
      <c r="T292" s="28">
        <v>0</v>
      </c>
      <c r="U292" s="28">
        <f>Tabla1[[#This Row],[PPTO]]/(1+'Lista Datos'!$B$1)</f>
        <v>0</v>
      </c>
      <c r="V292" s="23"/>
      <c r="W292" s="18" t="s">
        <v>10</v>
      </c>
      <c r="X292" s="102"/>
      <c r="Y292" s="18" t="s">
        <v>146</v>
      </c>
      <c r="Z292" s="18" t="s">
        <v>10</v>
      </c>
      <c r="AA292" s="23"/>
      <c r="AB292" s="23"/>
      <c r="AC292" s="23"/>
      <c r="AD292" s="23"/>
      <c r="AE292" s="29">
        <f>Tabla1[[#This Row],[Cierre]]+Tabla1[[#This Row],[Vigencia Oferta (días)]]</f>
        <v>44725.628472222219</v>
      </c>
      <c r="AF292" s="87"/>
      <c r="AG292" s="28"/>
      <c r="AH292" s="164">
        <f>Tabla1[[#This Row],[Unidades2]]*Tabla1[[#This Row],[Precio Unitario]]</f>
        <v>0</v>
      </c>
      <c r="AI292" s="23" t="s">
        <v>44</v>
      </c>
      <c r="AJ292" s="26">
        <v>44741</v>
      </c>
      <c r="AK292" s="172">
        <f>Tabla1[[#This Row],[Fecha Vigencia]]-AJ292</f>
        <v>-15.371527777781012</v>
      </c>
      <c r="AL292" s="23" t="s">
        <v>45</v>
      </c>
      <c r="AM292" s="87">
        <v>44240</v>
      </c>
      <c r="AN292" s="23"/>
      <c r="AO292" s="29"/>
      <c r="AP292" s="23"/>
      <c r="AQ292" s="34" t="s">
        <v>1478</v>
      </c>
      <c r="AR292" s="23" t="s">
        <v>11</v>
      </c>
      <c r="AS292" s="33">
        <v>0.05</v>
      </c>
      <c r="AT292" s="29">
        <v>45565</v>
      </c>
      <c r="AU292" s="23"/>
      <c r="AV292" s="23"/>
      <c r="AW292" s="23" t="s">
        <v>1479</v>
      </c>
      <c r="AX292" t="s">
        <v>1750</v>
      </c>
      <c r="AY292" s="23" t="s">
        <v>309</v>
      </c>
      <c r="AZ292" s="23"/>
      <c r="BA292" s="23"/>
      <c r="BB292" s="32"/>
      <c r="BC292" s="73"/>
    </row>
    <row r="293" spans="1:55" ht="11.25" x14ac:dyDescent="0.2">
      <c r="A293" s="22" t="s">
        <v>1751</v>
      </c>
      <c r="B293" s="23" t="s">
        <v>1752</v>
      </c>
      <c r="C293" s="23"/>
      <c r="D293" s="34" t="s">
        <v>291</v>
      </c>
      <c r="E293" s="24"/>
      <c r="F293" s="25"/>
      <c r="G293" s="34" t="s">
        <v>16</v>
      </c>
      <c r="H293" s="23" t="s">
        <v>145</v>
      </c>
      <c r="I293" s="2">
        <v>44718.6871875</v>
      </c>
      <c r="J293" s="24">
        <f>MONTH(Tabla1[[#This Row],[Publicación]])</f>
        <v>6</v>
      </c>
      <c r="K293" s="24">
        <f>YEAR(Tabla1[[#This Row],[Publicación]])</f>
        <v>2022</v>
      </c>
      <c r="L293" s="2">
        <v>44725.645833333336</v>
      </c>
      <c r="M293" s="26">
        <v>44719</v>
      </c>
      <c r="N293" s="25" t="s">
        <v>10</v>
      </c>
      <c r="O293" s="24" t="s">
        <v>26</v>
      </c>
      <c r="P293" s="24" t="s">
        <v>10</v>
      </c>
      <c r="Q293" s="2">
        <v>44720.645833333336</v>
      </c>
      <c r="R293" s="2">
        <v>44721.75</v>
      </c>
      <c r="S293" s="26">
        <v>44736</v>
      </c>
      <c r="T293" s="28">
        <v>0</v>
      </c>
      <c r="U293" s="28">
        <f>Tabla1[[#This Row],[PPTO]]/(1+'Lista Datos'!$B$1)</f>
        <v>0</v>
      </c>
      <c r="V293" s="23"/>
      <c r="W293" s="18" t="s">
        <v>10</v>
      </c>
      <c r="X293" s="102"/>
      <c r="Y293" s="18" t="s">
        <v>146</v>
      </c>
      <c r="Z293" s="18" t="s">
        <v>10</v>
      </c>
      <c r="AA293" s="23"/>
      <c r="AB293" s="23"/>
      <c r="AC293" s="23"/>
      <c r="AD293" s="23"/>
      <c r="AE293" s="29">
        <f>Tabla1[[#This Row],[Cierre]]+Tabla1[[#This Row],[Vigencia Oferta (días)]]</f>
        <v>44725.645833333336</v>
      </c>
      <c r="AF293" s="87"/>
      <c r="AG293" s="28"/>
      <c r="AH293" s="164">
        <f>Tabla1[[#This Row],[Unidades2]]*Tabla1[[#This Row],[Precio Unitario]]</f>
        <v>0</v>
      </c>
      <c r="AI293" s="23" t="s">
        <v>44</v>
      </c>
      <c r="AJ293" s="26">
        <v>44736</v>
      </c>
      <c r="AK293" s="172">
        <f>Tabla1[[#This Row],[Fecha Vigencia]]-AJ293</f>
        <v>-10.354166666664241</v>
      </c>
      <c r="AL293" s="23" t="s">
        <v>45</v>
      </c>
      <c r="AM293" s="87">
        <v>4621849</v>
      </c>
      <c r="AN293" s="23"/>
      <c r="AO293" s="29"/>
      <c r="AP293" s="23"/>
      <c r="AQ293" s="34" t="s">
        <v>293</v>
      </c>
      <c r="AR293" s="23" t="s">
        <v>10</v>
      </c>
      <c r="AS293" s="23"/>
      <c r="AT293" s="23"/>
      <c r="AU293" s="23"/>
      <c r="AV293" s="23"/>
      <c r="AW293" s="23"/>
      <c r="AX293" s="23"/>
      <c r="AY293" s="23"/>
      <c r="AZ293" s="23"/>
      <c r="BA293" s="23"/>
      <c r="BB293" s="32"/>
      <c r="BC293" s="73"/>
    </row>
    <row r="294" spans="1:55" x14ac:dyDescent="0.25">
      <c r="A294" s="22" t="s">
        <v>1753</v>
      </c>
      <c r="B294" s="23" t="s">
        <v>1754</v>
      </c>
      <c r="C294" s="23" t="s">
        <v>1755</v>
      </c>
      <c r="D294" s="34" t="s">
        <v>562</v>
      </c>
      <c r="E294" s="24"/>
      <c r="F294" s="25"/>
      <c r="G294" s="23" t="s">
        <v>21</v>
      </c>
      <c r="H294" s="23" t="s">
        <v>106</v>
      </c>
      <c r="I294" s="2">
        <v>44707.726226851853</v>
      </c>
      <c r="J294" s="24">
        <f>MONTH(Tabla1[[#This Row],[Publicación]])</f>
        <v>5</v>
      </c>
      <c r="K294" s="24">
        <f>YEAR(Tabla1[[#This Row],[Publicación]])</f>
        <v>2022</v>
      </c>
      <c r="L294" s="2">
        <v>44727.625</v>
      </c>
      <c r="M294" s="26">
        <v>44713</v>
      </c>
      <c r="N294" s="25" t="s">
        <v>10</v>
      </c>
      <c r="O294" s="24" t="s">
        <v>27</v>
      </c>
      <c r="P294" s="24" t="s">
        <v>10</v>
      </c>
      <c r="Q294" s="2">
        <v>44715.5</v>
      </c>
      <c r="R294" s="2">
        <v>44718.75</v>
      </c>
      <c r="S294" s="26">
        <v>44770</v>
      </c>
      <c r="T294" s="28">
        <v>0</v>
      </c>
      <c r="U294" s="28">
        <f>Tabla1[[#This Row],[PPTO]]/(1+'Lista Datos'!$B$1)</f>
        <v>0</v>
      </c>
      <c r="V294" s="23"/>
      <c r="W294" s="18" t="s">
        <v>11</v>
      </c>
      <c r="X294" s="102">
        <v>200000</v>
      </c>
      <c r="Y294" s="26">
        <v>44819</v>
      </c>
      <c r="Z294" s="18" t="s">
        <v>10</v>
      </c>
      <c r="AA294" s="23"/>
      <c r="AB294" s="23"/>
      <c r="AC294" s="23"/>
      <c r="AD294" s="23"/>
      <c r="AE294" s="29">
        <f>Tabla1[[#This Row],[Cierre]]+Tabla1[[#This Row],[Vigencia Oferta (días)]]</f>
        <v>44727.625</v>
      </c>
      <c r="AF294" s="87"/>
      <c r="AG294" s="28"/>
      <c r="AH294" s="164">
        <f>Tabla1[[#This Row],[Unidades2]]*Tabla1[[#This Row],[Precio Unitario]]</f>
        <v>0</v>
      </c>
      <c r="AI294" s="23" t="s">
        <v>137</v>
      </c>
      <c r="AJ294" s="26">
        <v>44770</v>
      </c>
      <c r="AK294" s="172">
        <f>Tabla1[[#This Row],[Fecha Vigencia]]-AJ294</f>
        <v>-42.375</v>
      </c>
      <c r="AL294" s="23"/>
      <c r="AM294" s="87"/>
      <c r="AN294" s="23"/>
      <c r="AO294" s="29"/>
      <c r="AP294" s="23"/>
      <c r="AQ294" s="34" t="s">
        <v>372</v>
      </c>
      <c r="AR294" s="23" t="s">
        <v>11</v>
      </c>
      <c r="AS294" s="33">
        <v>0.05</v>
      </c>
      <c r="AT294" s="29">
        <v>45422</v>
      </c>
      <c r="AU294" s="23"/>
      <c r="AV294" s="23"/>
      <c r="AW294" s="23" t="s">
        <v>1756</v>
      </c>
      <c r="AX294" t="s">
        <v>1757</v>
      </c>
      <c r="AY294" s="23"/>
      <c r="AZ294" s="23"/>
      <c r="BA294" s="23"/>
      <c r="BB294" s="32"/>
      <c r="BC294" s="73"/>
    </row>
    <row r="295" spans="1:55" x14ac:dyDescent="0.25">
      <c r="A295" s="22" t="s">
        <v>1758</v>
      </c>
      <c r="B295" s="23" t="s">
        <v>1759</v>
      </c>
      <c r="C295" s="23" t="s">
        <v>1760</v>
      </c>
      <c r="D295" s="34" t="s">
        <v>458</v>
      </c>
      <c r="E295" s="24"/>
      <c r="F295" s="25"/>
      <c r="G295" s="23" t="s">
        <v>20</v>
      </c>
      <c r="H295" s="23" t="s">
        <v>176</v>
      </c>
      <c r="I295" s="2">
        <v>44718.621736111112</v>
      </c>
      <c r="J295" s="24">
        <f>MONTH(Tabla1[[#This Row],[Publicación]])</f>
        <v>6</v>
      </c>
      <c r="K295" s="24">
        <f>YEAR(Tabla1[[#This Row],[Publicación]])</f>
        <v>2022</v>
      </c>
      <c r="L295" s="2">
        <v>44728.645833333336</v>
      </c>
      <c r="M295" s="26">
        <v>44719</v>
      </c>
      <c r="N295" s="25" t="s">
        <v>11</v>
      </c>
      <c r="O295" s="24" t="s">
        <v>26</v>
      </c>
      <c r="P295" s="24" t="s">
        <v>11</v>
      </c>
      <c r="Q295" s="2">
        <v>44723.5</v>
      </c>
      <c r="R295" s="2">
        <v>44725.708333333336</v>
      </c>
      <c r="S295" s="56">
        <v>44753</v>
      </c>
      <c r="T295" s="28">
        <v>275000000</v>
      </c>
      <c r="U295" s="28">
        <f>Tabla1[[#This Row],[PPTO]]/(1+'Lista Datos'!$B$1)</f>
        <v>231092436.97478992</v>
      </c>
      <c r="V295" s="23">
        <v>30</v>
      </c>
      <c r="W295" s="18" t="s">
        <v>11</v>
      </c>
      <c r="X295" s="102">
        <v>200000</v>
      </c>
      <c r="Y295" s="26">
        <v>44818</v>
      </c>
      <c r="Z295" s="18" t="s">
        <v>10</v>
      </c>
      <c r="AA295" s="23" t="s">
        <v>177</v>
      </c>
      <c r="AB295" s="23">
        <v>36</v>
      </c>
      <c r="AC295" s="23" t="s">
        <v>10</v>
      </c>
      <c r="AD295" s="23">
        <v>90</v>
      </c>
      <c r="AE295" s="29">
        <f>Tabla1[[#This Row],[Cierre]]+Tabla1[[#This Row],[Vigencia Oferta (días)]]</f>
        <v>44818.645833333336</v>
      </c>
      <c r="AF295" s="87"/>
      <c r="AG295" s="28"/>
      <c r="AH295" s="164">
        <f>Tabla1[[#This Row],[Unidades2]]*Tabla1[[#This Row],[Precio Unitario]]</f>
        <v>0</v>
      </c>
      <c r="AI295" s="23" t="s">
        <v>44</v>
      </c>
      <c r="AJ295" s="26">
        <v>44750</v>
      </c>
      <c r="AK295" s="172">
        <f>Tabla1[[#This Row],[Fecha Vigencia]]-AJ295</f>
        <v>68.645833333335759</v>
      </c>
      <c r="AL295" s="23" t="s">
        <v>45</v>
      </c>
      <c r="AM295" s="87">
        <v>228571428</v>
      </c>
      <c r="AN295" s="23"/>
      <c r="AO295" s="29"/>
      <c r="AP295" s="23"/>
      <c r="AQ295" s="34" t="s">
        <v>321</v>
      </c>
      <c r="AR295" s="23" t="s">
        <v>11</v>
      </c>
      <c r="AS295" s="33">
        <v>0.05</v>
      </c>
      <c r="AT295" s="29">
        <v>45948</v>
      </c>
      <c r="AU295" s="23"/>
      <c r="AV295" s="23"/>
      <c r="AW295" s="23" t="s">
        <v>460</v>
      </c>
      <c r="AX295" t="s">
        <v>323</v>
      </c>
      <c r="AY295" s="23"/>
      <c r="AZ295" s="23"/>
      <c r="BA295" s="23"/>
      <c r="BB295" s="32"/>
      <c r="BC295" s="73"/>
    </row>
    <row r="296" spans="1:55" x14ac:dyDescent="0.25">
      <c r="A296" s="35" t="s">
        <v>1761</v>
      </c>
      <c r="B296" s="23" t="s">
        <v>1762</v>
      </c>
      <c r="C296" s="23" t="s">
        <v>1763</v>
      </c>
      <c r="D296" s="34" t="s">
        <v>1641</v>
      </c>
      <c r="E296" s="24"/>
      <c r="F296" s="25"/>
      <c r="G296" s="23" t="s">
        <v>16</v>
      </c>
      <c r="H296" s="23" t="s">
        <v>1596</v>
      </c>
      <c r="I296" s="2">
        <v>44721.557951388888</v>
      </c>
      <c r="J296" s="24">
        <f>MONTH(Tabla1[[#This Row],[Publicación]])</f>
        <v>6</v>
      </c>
      <c r="K296" s="24">
        <f>YEAR(Tabla1[[#This Row],[Publicación]])</f>
        <v>2022</v>
      </c>
      <c r="L296" s="2">
        <v>44732.625</v>
      </c>
      <c r="M296" s="26">
        <v>44725</v>
      </c>
      <c r="N296" s="25" t="s">
        <v>10</v>
      </c>
      <c r="O296" s="24" t="s">
        <v>25</v>
      </c>
      <c r="P296" s="24" t="s">
        <v>10</v>
      </c>
      <c r="Q296" s="2">
        <v>44725.5</v>
      </c>
      <c r="R296" s="2">
        <v>44727.625</v>
      </c>
      <c r="S296" s="26">
        <v>44771.5</v>
      </c>
      <c r="T296" s="28">
        <v>0</v>
      </c>
      <c r="U296" s="28">
        <f>Tabla1[[#This Row],[PPTO]]/(1+'Lista Datos'!$B$1)</f>
        <v>0</v>
      </c>
      <c r="V296" s="23"/>
      <c r="W296" s="18" t="s">
        <v>11</v>
      </c>
      <c r="X296" s="102">
        <v>1000000</v>
      </c>
      <c r="Y296" s="26">
        <v>44795</v>
      </c>
      <c r="Z296" s="18" t="s">
        <v>10</v>
      </c>
      <c r="AA296" s="23" t="s">
        <v>177</v>
      </c>
      <c r="AB296" s="23">
        <v>36</v>
      </c>
      <c r="AC296" s="23"/>
      <c r="AD296" s="23"/>
      <c r="AE296" s="29">
        <f>Tabla1[[#This Row],[Cierre]]+Tabla1[[#This Row],[Vigencia Oferta (días)]]</f>
        <v>44732.625</v>
      </c>
      <c r="AF296" s="87"/>
      <c r="AG296" s="28"/>
      <c r="AH296" s="164">
        <f>Tabla1[[#This Row],[Unidades2]]*Tabla1[[#This Row],[Precio Unitario]]</f>
        <v>0</v>
      </c>
      <c r="AI296" s="23" t="s">
        <v>44</v>
      </c>
      <c r="AJ296" s="26">
        <v>44851</v>
      </c>
      <c r="AK296" s="172">
        <f>Tabla1[[#This Row],[Fecha Vigencia]]-AJ296</f>
        <v>-118.375</v>
      </c>
      <c r="AL296" s="23" t="s">
        <v>45</v>
      </c>
      <c r="AM296" s="87" t="s">
        <v>1764</v>
      </c>
      <c r="AN296" s="29">
        <v>44851</v>
      </c>
      <c r="AO296" s="29">
        <v>45947</v>
      </c>
      <c r="AP296" s="23" t="s">
        <v>177</v>
      </c>
      <c r="AQ296" s="34" t="s">
        <v>1642</v>
      </c>
      <c r="AR296" s="23" t="s">
        <v>11</v>
      </c>
      <c r="AS296" s="33">
        <v>0.05</v>
      </c>
      <c r="AT296" s="29">
        <v>45930</v>
      </c>
      <c r="AU296" s="23"/>
      <c r="AV296" s="23"/>
      <c r="AW296" s="23" t="s">
        <v>1765</v>
      </c>
      <c r="AX296" t="s">
        <v>1766</v>
      </c>
      <c r="AY296" s="23"/>
      <c r="AZ296" s="23"/>
      <c r="BA296" s="23"/>
      <c r="BB296" s="32"/>
      <c r="BC296" s="73"/>
    </row>
    <row r="297" spans="1:55" x14ac:dyDescent="0.25">
      <c r="A297" s="22" t="s">
        <v>1767</v>
      </c>
      <c r="B297" s="23" t="s">
        <v>1768</v>
      </c>
      <c r="C297" s="23" t="s">
        <v>1769</v>
      </c>
      <c r="D297" s="34" t="s">
        <v>1770</v>
      </c>
      <c r="E297" s="24"/>
      <c r="F297" s="25"/>
      <c r="G297" s="23" t="s">
        <v>18</v>
      </c>
      <c r="H297" s="23" t="s">
        <v>213</v>
      </c>
      <c r="I297" s="2">
        <v>44713.560879629629</v>
      </c>
      <c r="J297" s="24">
        <f>MONTH(Tabla1[[#This Row],[Publicación]])</f>
        <v>6</v>
      </c>
      <c r="K297" s="24">
        <f>YEAR(Tabla1[[#This Row],[Publicación]])</f>
        <v>2022</v>
      </c>
      <c r="L297" s="2">
        <v>44732.642361111109</v>
      </c>
      <c r="M297" s="26">
        <v>44714</v>
      </c>
      <c r="N297" s="25" t="s">
        <v>10</v>
      </c>
      <c r="O297" s="24" t="s">
        <v>25</v>
      </c>
      <c r="P297" s="24" t="s">
        <v>10</v>
      </c>
      <c r="Q297" s="2">
        <v>44721.538194444445</v>
      </c>
      <c r="R297" s="2">
        <v>44727.871527777781</v>
      </c>
      <c r="S297" s="29">
        <v>44741</v>
      </c>
      <c r="T297" s="28">
        <v>0</v>
      </c>
      <c r="U297" s="28">
        <f>Tabla1[[#This Row],[PPTO]]/(1+'Lista Datos'!$B$1)</f>
        <v>0</v>
      </c>
      <c r="V297" s="23"/>
      <c r="W297" s="18" t="s">
        <v>11</v>
      </c>
      <c r="X297" s="102">
        <v>250000</v>
      </c>
      <c r="Y297" s="26">
        <v>44886</v>
      </c>
      <c r="Z297" s="18" t="s">
        <v>11</v>
      </c>
      <c r="AA297" s="23"/>
      <c r="AB297" s="23"/>
      <c r="AC297" s="23"/>
      <c r="AD297" s="23"/>
      <c r="AE297" s="29">
        <f>Tabla1[[#This Row],[Cierre]]+Tabla1[[#This Row],[Vigencia Oferta (días)]]</f>
        <v>44732.642361111109</v>
      </c>
      <c r="AF297" s="87"/>
      <c r="AG297" s="28"/>
      <c r="AH297" s="164">
        <f>Tabla1[[#This Row],[Unidades2]]*Tabla1[[#This Row],[Precio Unitario]]</f>
        <v>0</v>
      </c>
      <c r="AI297" s="23" t="s">
        <v>44</v>
      </c>
      <c r="AJ297" s="26">
        <v>44741</v>
      </c>
      <c r="AK297" s="172">
        <f>Tabla1[[#This Row],[Fecha Vigencia]]-AJ297</f>
        <v>-8.3576388888905058</v>
      </c>
      <c r="AL297" s="23" t="s">
        <v>46</v>
      </c>
      <c r="AM297" s="87">
        <v>70084769</v>
      </c>
      <c r="AN297" s="23"/>
      <c r="AO297" s="29"/>
      <c r="AP297" s="23"/>
      <c r="AQ297" s="34" t="s">
        <v>1230</v>
      </c>
      <c r="AR297" s="23" t="s">
        <v>11</v>
      </c>
      <c r="AS297" s="33">
        <v>0.05</v>
      </c>
      <c r="AT297" s="29">
        <v>45597</v>
      </c>
      <c r="AU297" s="23"/>
      <c r="AV297" s="23"/>
      <c r="AW297" s="23" t="s">
        <v>1231</v>
      </c>
      <c r="AX297" t="s">
        <v>1232</v>
      </c>
      <c r="AY297" s="23"/>
      <c r="AZ297" s="23"/>
      <c r="BA297" s="23"/>
      <c r="BB297" s="32"/>
      <c r="BC297" s="73"/>
    </row>
    <row r="298" spans="1:55" x14ac:dyDescent="0.25">
      <c r="A298" s="22" t="s">
        <v>1771</v>
      </c>
      <c r="B298" s="23" t="s">
        <v>1772</v>
      </c>
      <c r="C298" s="23" t="s">
        <v>1773</v>
      </c>
      <c r="D298" s="34" t="s">
        <v>1774</v>
      </c>
      <c r="E298" s="24"/>
      <c r="F298" s="25"/>
      <c r="G298" s="23" t="s">
        <v>41</v>
      </c>
      <c r="H298" s="23" t="s">
        <v>298</v>
      </c>
      <c r="I298" s="2">
        <v>44719.784722222219</v>
      </c>
      <c r="J298" s="24">
        <f>MONTH(Tabla1[[#This Row],[Publicación]])</f>
        <v>6</v>
      </c>
      <c r="K298" s="24">
        <f>YEAR(Tabla1[[#This Row],[Publicación]])</f>
        <v>2022</v>
      </c>
      <c r="L298" s="2">
        <v>44732.666666666664</v>
      </c>
      <c r="M298" s="26">
        <v>44721</v>
      </c>
      <c r="N298" s="25" t="s">
        <v>10</v>
      </c>
      <c r="O298" s="24" t="s">
        <v>25</v>
      </c>
      <c r="P298" s="24" t="s">
        <v>10</v>
      </c>
      <c r="Q298" s="2">
        <v>44722.5</v>
      </c>
      <c r="R298" s="2">
        <v>44725.5</v>
      </c>
      <c r="S298" s="26">
        <v>44750</v>
      </c>
      <c r="T298" s="28">
        <v>0</v>
      </c>
      <c r="U298" s="28">
        <f>Tabla1[[#This Row],[PPTO]]/(1+'Lista Datos'!$B$1)</f>
        <v>0</v>
      </c>
      <c r="V298" s="23"/>
      <c r="W298" s="18" t="s">
        <v>10</v>
      </c>
      <c r="X298" s="102"/>
      <c r="Y298" s="18" t="s">
        <v>146</v>
      </c>
      <c r="Z298" s="18" t="s">
        <v>10</v>
      </c>
      <c r="AA298" s="23"/>
      <c r="AB298" s="23"/>
      <c r="AC298" s="23"/>
      <c r="AD298" s="23"/>
      <c r="AE298" s="29">
        <f>Tabla1[[#This Row],[Cierre]]+Tabla1[[#This Row],[Vigencia Oferta (días)]]</f>
        <v>44732.666666666664</v>
      </c>
      <c r="AF298" s="87"/>
      <c r="AG298" s="28"/>
      <c r="AH298" s="164">
        <f>Tabla1[[#This Row],[Unidades2]]*Tabla1[[#This Row],[Precio Unitario]]</f>
        <v>0</v>
      </c>
      <c r="AI298" s="23" t="s">
        <v>44</v>
      </c>
      <c r="AJ298" s="26">
        <v>44750</v>
      </c>
      <c r="AK298" s="172">
        <f>Tabla1[[#This Row],[Fecha Vigencia]]-AJ298</f>
        <v>-17.333333333335759</v>
      </c>
      <c r="AL298" s="23" t="s">
        <v>46</v>
      </c>
      <c r="AM298" s="87">
        <v>112487</v>
      </c>
      <c r="AN298" s="23"/>
      <c r="AO298" s="29"/>
      <c r="AP298" s="23"/>
      <c r="AQ298" s="34" t="s">
        <v>1775</v>
      </c>
      <c r="AR298" s="23" t="s">
        <v>10</v>
      </c>
      <c r="AS298" s="23"/>
      <c r="AT298" s="23"/>
      <c r="AU298" s="23"/>
      <c r="AV298" s="23"/>
      <c r="AW298" s="23" t="s">
        <v>1776</v>
      </c>
      <c r="AX298" t="s">
        <v>1777</v>
      </c>
      <c r="AY298" s="23"/>
      <c r="AZ298" s="23"/>
      <c r="BA298" s="23"/>
      <c r="BB298" s="32"/>
      <c r="BC298" s="73"/>
    </row>
    <row r="299" spans="1:55" x14ac:dyDescent="0.25">
      <c r="A299" s="22" t="s">
        <v>1778</v>
      </c>
      <c r="B299" s="23" t="s">
        <v>1779</v>
      </c>
      <c r="C299" s="23" t="s">
        <v>1780</v>
      </c>
      <c r="D299" s="34" t="s">
        <v>1781</v>
      </c>
      <c r="E299" s="24"/>
      <c r="F299" s="25"/>
      <c r="G299" s="23" t="s">
        <v>18</v>
      </c>
      <c r="H299" s="23" t="s">
        <v>145</v>
      </c>
      <c r="I299" s="2">
        <v>44721.680428240739</v>
      </c>
      <c r="J299" s="24">
        <f>MONTH(Tabla1[[#This Row],[Publicación]])</f>
        <v>6</v>
      </c>
      <c r="K299" s="24">
        <f>YEAR(Tabla1[[#This Row],[Publicación]])</f>
        <v>2022</v>
      </c>
      <c r="L299" s="2">
        <v>44732.791666666664</v>
      </c>
      <c r="M299" s="26">
        <v>44725</v>
      </c>
      <c r="N299" s="25" t="s">
        <v>10</v>
      </c>
      <c r="O299" s="24" t="s">
        <v>25</v>
      </c>
      <c r="P299" s="24" t="s">
        <v>10</v>
      </c>
      <c r="Q299" s="2">
        <v>44727.791666666664</v>
      </c>
      <c r="R299" s="2">
        <v>44729.791666666664</v>
      </c>
      <c r="S299" s="26">
        <v>44811.791666666664</v>
      </c>
      <c r="T299" s="28">
        <v>27500000</v>
      </c>
      <c r="U299" s="28">
        <f>Tabla1[[#This Row],[PPTO]]/(1+'Lista Datos'!$B$1)</f>
        <v>23109243.697478991</v>
      </c>
      <c r="V299" s="23"/>
      <c r="W299" s="18" t="s">
        <v>10</v>
      </c>
      <c r="X299" s="102"/>
      <c r="Y299" s="18" t="s">
        <v>146</v>
      </c>
      <c r="Z299" s="18" t="s">
        <v>11</v>
      </c>
      <c r="AA299" s="23" t="s">
        <v>512</v>
      </c>
      <c r="AB299" s="23"/>
      <c r="AC299" s="23"/>
      <c r="AD299" s="23"/>
      <c r="AE299" s="29">
        <f>Tabla1[[#This Row],[Cierre]]+Tabla1[[#This Row],[Vigencia Oferta (días)]]</f>
        <v>44732.791666666664</v>
      </c>
      <c r="AF299" s="87"/>
      <c r="AG299" s="28"/>
      <c r="AH299" s="164">
        <f>Tabla1[[#This Row],[Unidades2]]*Tabla1[[#This Row],[Precio Unitario]]</f>
        <v>0</v>
      </c>
      <c r="AI299" s="23" t="s">
        <v>44</v>
      </c>
      <c r="AJ299" s="26">
        <v>44783.70648148148</v>
      </c>
      <c r="AK299" s="172">
        <f>Tabla1[[#This Row],[Fecha Vigencia]]-AJ299</f>
        <v>-50.914814814816054</v>
      </c>
      <c r="AL299" s="23" t="s">
        <v>46</v>
      </c>
      <c r="AM299" s="87">
        <v>21943175</v>
      </c>
      <c r="AN299" s="23"/>
      <c r="AO299" s="29"/>
      <c r="AP299" s="23" t="s">
        <v>292</v>
      </c>
      <c r="AQ299" s="34" t="s">
        <v>572</v>
      </c>
      <c r="AR299" s="23" t="s">
        <v>10</v>
      </c>
      <c r="AS299" s="23"/>
      <c r="AT299" s="23"/>
      <c r="AU299" s="23"/>
      <c r="AV299" s="23"/>
      <c r="AW299" s="23" t="s">
        <v>1782</v>
      </c>
      <c r="AX299" t="s">
        <v>1783</v>
      </c>
      <c r="AY299" s="23"/>
      <c r="AZ299" s="23"/>
      <c r="BA299" s="23"/>
      <c r="BB299" s="32"/>
      <c r="BC299" s="73"/>
    </row>
    <row r="300" spans="1:55" x14ac:dyDescent="0.25">
      <c r="A300" s="22" t="s">
        <v>1784</v>
      </c>
      <c r="B300" s="23" t="s">
        <v>1658</v>
      </c>
      <c r="C300" s="23" t="s">
        <v>1658</v>
      </c>
      <c r="D300" s="34" t="s">
        <v>1346</v>
      </c>
      <c r="E300" s="24"/>
      <c r="F300" s="25"/>
      <c r="G300" s="23" t="s">
        <v>16</v>
      </c>
      <c r="H300" s="23" t="s">
        <v>345</v>
      </c>
      <c r="I300" s="2">
        <v>44714.733506944445</v>
      </c>
      <c r="J300" s="24">
        <f>MONTH(Tabla1[[#This Row],[Publicación]])</f>
        <v>6</v>
      </c>
      <c r="K300" s="24">
        <f>YEAR(Tabla1[[#This Row],[Publicación]])</f>
        <v>2022</v>
      </c>
      <c r="L300" s="2">
        <v>44734.625694444447</v>
      </c>
      <c r="M300" s="26">
        <v>44719</v>
      </c>
      <c r="N300" s="25" t="s">
        <v>10</v>
      </c>
      <c r="O300" s="24" t="s">
        <v>26</v>
      </c>
      <c r="P300" s="24" t="s">
        <v>10</v>
      </c>
      <c r="Q300" s="2">
        <v>44723.708333333336</v>
      </c>
      <c r="R300" s="2">
        <v>44725.708333333336</v>
      </c>
      <c r="S300" s="26">
        <v>44747</v>
      </c>
      <c r="T300" s="28">
        <v>0</v>
      </c>
      <c r="U300" s="28">
        <f>Tabla1[[#This Row],[PPTO]]/(1+'Lista Datos'!$B$1)</f>
        <v>0</v>
      </c>
      <c r="V300" s="23"/>
      <c r="W300" s="18" t="s">
        <v>11</v>
      </c>
      <c r="X300" s="102">
        <v>500000</v>
      </c>
      <c r="Y300" s="26">
        <v>44795</v>
      </c>
      <c r="Z300" s="18" t="s">
        <v>11</v>
      </c>
      <c r="AA300" s="23"/>
      <c r="AB300" s="23"/>
      <c r="AC300" s="23"/>
      <c r="AD300" s="23"/>
      <c r="AE300" s="29">
        <f>Tabla1[[#This Row],[Cierre]]+Tabla1[[#This Row],[Vigencia Oferta (días)]]</f>
        <v>44734.625694444447</v>
      </c>
      <c r="AF300" s="87"/>
      <c r="AG300" s="28"/>
      <c r="AH300" s="164">
        <f>Tabla1[[#This Row],[Unidades2]]*Tabla1[[#This Row],[Precio Unitario]]</f>
        <v>0</v>
      </c>
      <c r="AI300" s="23" t="s">
        <v>44</v>
      </c>
      <c r="AJ300" s="26">
        <v>44747</v>
      </c>
      <c r="AK300" s="172">
        <f>Tabla1[[#This Row],[Fecha Vigencia]]-AJ300</f>
        <v>-12.374305555553292</v>
      </c>
      <c r="AL300" s="23" t="s">
        <v>191</v>
      </c>
      <c r="AM300" s="87">
        <v>350</v>
      </c>
      <c r="AN300" s="23"/>
      <c r="AO300" s="29"/>
      <c r="AP300" s="23"/>
      <c r="AQ300" s="34" t="s">
        <v>1347</v>
      </c>
      <c r="AR300" s="23" t="s">
        <v>11</v>
      </c>
      <c r="AS300" s="33">
        <v>0.05</v>
      </c>
      <c r="AT300" s="29">
        <v>45199</v>
      </c>
      <c r="AU300" s="23"/>
      <c r="AV300" s="23"/>
      <c r="AW300" s="23" t="s">
        <v>1660</v>
      </c>
      <c r="AX300" t="s">
        <v>1661</v>
      </c>
      <c r="AY300" s="23"/>
      <c r="AZ300" s="23"/>
      <c r="BA300" s="23"/>
      <c r="BB300" s="32"/>
      <c r="BC300" s="73"/>
    </row>
    <row r="301" spans="1:55" x14ac:dyDescent="0.25">
      <c r="A301" s="22" t="s">
        <v>1785</v>
      </c>
      <c r="B301" s="23" t="s">
        <v>1786</v>
      </c>
      <c r="C301" s="23" t="s">
        <v>1787</v>
      </c>
      <c r="D301" s="34" t="s">
        <v>1788</v>
      </c>
      <c r="E301" s="24"/>
      <c r="F301" s="25"/>
      <c r="G301" s="23" t="s">
        <v>19</v>
      </c>
      <c r="H301" s="23" t="s">
        <v>114</v>
      </c>
      <c r="I301" s="2">
        <v>44713.651087962964</v>
      </c>
      <c r="J301" s="24">
        <f>MONTH(Tabla1[[#This Row],[Publicación]])</f>
        <v>6</v>
      </c>
      <c r="K301" s="24">
        <f>YEAR(Tabla1[[#This Row],[Publicación]])</f>
        <v>2022</v>
      </c>
      <c r="L301" s="2">
        <v>44734.666666666664</v>
      </c>
      <c r="M301" s="26">
        <v>44714</v>
      </c>
      <c r="N301" s="25" t="s">
        <v>11</v>
      </c>
      <c r="O301" s="24"/>
      <c r="P301" s="24" t="s">
        <v>11</v>
      </c>
      <c r="Q301" s="2">
        <v>44713.651087962964</v>
      </c>
      <c r="R301" s="2">
        <v>44727.708333333336</v>
      </c>
      <c r="S301" s="26">
        <v>44791.708333333336</v>
      </c>
      <c r="T301" s="28">
        <v>0</v>
      </c>
      <c r="U301" s="28">
        <f>Tabla1[[#This Row],[PPTO]]/(1+'Lista Datos'!$B$1)</f>
        <v>0</v>
      </c>
      <c r="V301" s="23"/>
      <c r="W301" s="18" t="s">
        <v>11</v>
      </c>
      <c r="X301" s="102">
        <v>500000</v>
      </c>
      <c r="Y301" s="26">
        <v>44855</v>
      </c>
      <c r="Z301" s="18" t="s">
        <v>10</v>
      </c>
      <c r="AA301" s="23"/>
      <c r="AB301" s="23">
        <v>24</v>
      </c>
      <c r="AC301" s="23" t="s">
        <v>10</v>
      </c>
      <c r="AD301" s="23"/>
      <c r="AE301" s="29">
        <f>Tabla1[[#This Row],[Cierre]]+Tabla1[[#This Row],[Vigencia Oferta (días)]]</f>
        <v>44734.666666666664</v>
      </c>
      <c r="AF301" s="87"/>
      <c r="AG301" s="28"/>
      <c r="AH301" s="164">
        <f>Tabla1[[#This Row],[Unidades2]]*Tabla1[[#This Row],[Precio Unitario]]</f>
        <v>0</v>
      </c>
      <c r="AI301" s="23" t="s">
        <v>44</v>
      </c>
      <c r="AJ301" s="26">
        <v>44790</v>
      </c>
      <c r="AK301" s="172">
        <f>Tabla1[[#This Row],[Fecha Vigencia]]-AJ301</f>
        <v>-55.333333333335759</v>
      </c>
      <c r="AL301" s="23" t="s">
        <v>115</v>
      </c>
      <c r="AM301" s="87">
        <v>226368542</v>
      </c>
      <c r="AN301" s="29">
        <v>44790</v>
      </c>
      <c r="AO301" s="29">
        <v>45155</v>
      </c>
      <c r="AP301" s="23" t="s">
        <v>177</v>
      </c>
      <c r="AQ301" s="34" t="s">
        <v>1014</v>
      </c>
      <c r="AR301" s="23" t="s">
        <v>11</v>
      </c>
      <c r="AS301" s="33">
        <v>0.05</v>
      </c>
      <c r="AT301" s="29">
        <v>45663</v>
      </c>
      <c r="AU301" s="23" t="s">
        <v>1789</v>
      </c>
      <c r="AV301" t="s">
        <v>1790</v>
      </c>
      <c r="AW301" s="23" t="s">
        <v>1791</v>
      </c>
      <c r="AX301" t="s">
        <v>1792</v>
      </c>
      <c r="AY301" s="23"/>
      <c r="AZ301" s="23"/>
      <c r="BA301" s="23"/>
      <c r="BB301" s="32"/>
      <c r="BC301" s="73"/>
    </row>
    <row r="302" spans="1:55" x14ac:dyDescent="0.25">
      <c r="A302" s="22" t="s">
        <v>1793</v>
      </c>
      <c r="B302" s="23" t="s">
        <v>1794</v>
      </c>
      <c r="C302" s="23" t="s">
        <v>1795</v>
      </c>
      <c r="D302" s="34" t="s">
        <v>136</v>
      </c>
      <c r="E302" s="24"/>
      <c r="F302" s="25"/>
      <c r="G302" s="23" t="s">
        <v>41</v>
      </c>
      <c r="H302" s="23" t="s">
        <v>123</v>
      </c>
      <c r="I302" s="2">
        <v>44728.46597222222</v>
      </c>
      <c r="J302" s="24">
        <f>MONTH(Tabla1[[#This Row],[Publicación]])</f>
        <v>6</v>
      </c>
      <c r="K302" s="24">
        <f>YEAR(Tabla1[[#This Row],[Publicación]])</f>
        <v>2022</v>
      </c>
      <c r="L302" s="2">
        <v>44740.625694444447</v>
      </c>
      <c r="M302" s="26">
        <v>44732</v>
      </c>
      <c r="N302" s="25" t="s">
        <v>11</v>
      </c>
      <c r="O302" s="24"/>
      <c r="P302" s="24" t="s">
        <v>11</v>
      </c>
      <c r="Q302" s="2">
        <v>44732.416666666664</v>
      </c>
      <c r="R302" s="2">
        <v>44734.708333333336</v>
      </c>
      <c r="S302" s="26">
        <v>44770.708333333336</v>
      </c>
      <c r="T302" s="28">
        <v>0</v>
      </c>
      <c r="U302" s="28">
        <f>Tabla1[[#This Row],[PPTO]]/(1+'Lista Datos'!$B$1)</f>
        <v>0</v>
      </c>
      <c r="V302" s="23"/>
      <c r="W302" s="18" t="s">
        <v>10</v>
      </c>
      <c r="X302" s="102"/>
      <c r="Y302" s="18" t="s">
        <v>146</v>
      </c>
      <c r="Z302" s="18" t="s">
        <v>10</v>
      </c>
      <c r="AA302" s="23"/>
      <c r="AB302" s="23"/>
      <c r="AC302" s="23" t="s">
        <v>10</v>
      </c>
      <c r="AD302" s="23"/>
      <c r="AE302" s="29">
        <f>Tabla1[[#This Row],[Cierre]]+Tabla1[[#This Row],[Vigencia Oferta (días)]]</f>
        <v>44740.625694444447</v>
      </c>
      <c r="AF302" s="87"/>
      <c r="AG302" s="28"/>
      <c r="AH302" s="164">
        <f>Tabla1[[#This Row],[Unidades2]]*Tabla1[[#This Row],[Precio Unitario]]</f>
        <v>0</v>
      </c>
      <c r="AI302" s="23" t="s">
        <v>385</v>
      </c>
      <c r="AJ302" s="26"/>
      <c r="AK302" s="172">
        <f>Tabla1[[#This Row],[Fecha Vigencia]]-AJ302</f>
        <v>44740.625694444447</v>
      </c>
      <c r="AL302" s="23"/>
      <c r="AM302" s="87"/>
      <c r="AN302" s="23"/>
      <c r="AO302" s="29"/>
      <c r="AP302" s="23"/>
      <c r="AQ302" s="34" t="s">
        <v>138</v>
      </c>
      <c r="AR302" s="23" t="s">
        <v>10</v>
      </c>
      <c r="AS302" s="23"/>
      <c r="AT302" s="23"/>
      <c r="AU302" s="23"/>
      <c r="AV302" s="23"/>
      <c r="AW302" s="23" t="s">
        <v>1591</v>
      </c>
      <c r="AX302" t="s">
        <v>140</v>
      </c>
      <c r="AY302" s="23"/>
      <c r="AZ302" s="23"/>
      <c r="BA302" s="23"/>
      <c r="BB302" s="32"/>
      <c r="BC302" s="73"/>
    </row>
    <row r="303" spans="1:55" x14ac:dyDescent="0.25">
      <c r="A303" s="22" t="s">
        <v>1796</v>
      </c>
      <c r="B303" s="23" t="s">
        <v>1797</v>
      </c>
      <c r="C303" s="23" t="s">
        <v>1798</v>
      </c>
      <c r="D303" s="34" t="s">
        <v>1770</v>
      </c>
      <c r="E303" s="24"/>
      <c r="F303" s="25"/>
      <c r="G303" s="23" t="s">
        <v>16</v>
      </c>
      <c r="H303" s="23" t="s">
        <v>533</v>
      </c>
      <c r="I303" s="2">
        <v>44718.540023148147</v>
      </c>
      <c r="J303" s="24">
        <f>MONTH(Tabla1[[#This Row],[Publicación]])</f>
        <v>6</v>
      </c>
      <c r="K303" s="24">
        <f>YEAR(Tabla1[[#This Row],[Publicación]])</f>
        <v>2022</v>
      </c>
      <c r="L303" s="2">
        <v>44740.642361111109</v>
      </c>
      <c r="M303" s="26">
        <v>44719</v>
      </c>
      <c r="N303" s="25" t="s">
        <v>10</v>
      </c>
      <c r="O303" s="24" t="s">
        <v>25</v>
      </c>
      <c r="P303" s="24" t="s">
        <v>10</v>
      </c>
      <c r="Q303" s="2">
        <v>44725.5</v>
      </c>
      <c r="R303" s="2">
        <v>44732.712500000001</v>
      </c>
      <c r="S303" s="26">
        <v>44781.701388888891</v>
      </c>
      <c r="T303" s="28">
        <v>150000000</v>
      </c>
      <c r="U303" s="28">
        <f>Tabla1[[#This Row],[PPTO]]/(1+'Lista Datos'!$B$1)</f>
        <v>126050420.16806723</v>
      </c>
      <c r="V303" s="23"/>
      <c r="W303" s="18" t="s">
        <v>11</v>
      </c>
      <c r="X303" s="102">
        <v>250000</v>
      </c>
      <c r="Y303" s="26">
        <v>44923</v>
      </c>
      <c r="Z303" s="18" t="s">
        <v>10</v>
      </c>
      <c r="AA303" s="23" t="s">
        <v>177</v>
      </c>
      <c r="AB303" s="23">
        <v>24</v>
      </c>
      <c r="AC303" s="23"/>
      <c r="AD303" s="23"/>
      <c r="AE303" s="29">
        <f>Tabla1[[#This Row],[Cierre]]+Tabla1[[#This Row],[Vigencia Oferta (días)]]</f>
        <v>44740.642361111109</v>
      </c>
      <c r="AF303" s="87"/>
      <c r="AG303" s="28"/>
      <c r="AH303" s="164">
        <f>Tabla1[[#This Row],[Unidades2]]*Tabla1[[#This Row],[Precio Unitario]]</f>
        <v>0</v>
      </c>
      <c r="AI303" s="23" t="s">
        <v>137</v>
      </c>
      <c r="AJ303" s="26"/>
      <c r="AK303" s="172">
        <f>Tabla1[[#This Row],[Fecha Vigencia]]-AJ303</f>
        <v>44740.642361111109</v>
      </c>
      <c r="AL303" s="23"/>
      <c r="AM303" s="87"/>
      <c r="AN303" s="23"/>
      <c r="AO303" s="29"/>
      <c r="AP303" s="23"/>
      <c r="AQ303" s="34" t="s">
        <v>1230</v>
      </c>
      <c r="AR303" s="23" t="s">
        <v>11</v>
      </c>
      <c r="AS303" s="33">
        <v>0.05</v>
      </c>
      <c r="AT303" s="29">
        <v>45604</v>
      </c>
      <c r="AU303" s="23"/>
      <c r="AV303" s="23"/>
      <c r="AW303" s="23" t="s">
        <v>1231</v>
      </c>
      <c r="AX303" t="s">
        <v>1232</v>
      </c>
      <c r="AY303" s="23"/>
      <c r="AZ303" s="23"/>
      <c r="BA303" s="23"/>
      <c r="BB303" s="32"/>
      <c r="BC303" s="73"/>
    </row>
    <row r="304" spans="1:55" x14ac:dyDescent="0.25">
      <c r="A304" s="22" t="s">
        <v>1799</v>
      </c>
      <c r="B304" s="23" t="s">
        <v>1800</v>
      </c>
      <c r="C304" s="23" t="s">
        <v>1801</v>
      </c>
      <c r="D304" s="34" t="s">
        <v>1802</v>
      </c>
      <c r="E304" s="24"/>
      <c r="F304" s="25"/>
      <c r="G304" s="23" t="s">
        <v>21</v>
      </c>
      <c r="H304" s="23" t="s">
        <v>106</v>
      </c>
      <c r="I304" s="2">
        <v>44720.33457175926</v>
      </c>
      <c r="J304" s="24">
        <f>MONTH(Tabla1[[#This Row],[Publicación]])</f>
        <v>6</v>
      </c>
      <c r="K304" s="24">
        <f>YEAR(Tabla1[[#This Row],[Publicación]])</f>
        <v>2022</v>
      </c>
      <c r="L304" s="2">
        <v>44740.666666666664</v>
      </c>
      <c r="M304" s="26">
        <v>44727</v>
      </c>
      <c r="N304" s="25" t="s">
        <v>10</v>
      </c>
      <c r="O304" s="24" t="s">
        <v>30</v>
      </c>
      <c r="P304" s="24" t="s">
        <v>10</v>
      </c>
      <c r="Q304" s="2">
        <v>44725.999305555553</v>
      </c>
      <c r="R304" s="2">
        <v>44732.666666666664</v>
      </c>
      <c r="S304" s="26">
        <v>44797.708333333336</v>
      </c>
      <c r="T304" s="28">
        <v>127654400</v>
      </c>
      <c r="U304" s="28">
        <f>Tabla1[[#This Row],[PPTO]]/(1+'Lista Datos'!$B$1)</f>
        <v>107272605.0420168</v>
      </c>
      <c r="V304" s="23"/>
      <c r="W304" s="18" t="s">
        <v>11</v>
      </c>
      <c r="X304" s="102">
        <v>100000</v>
      </c>
      <c r="Y304" s="26">
        <v>44861</v>
      </c>
      <c r="Z304" s="18" t="s">
        <v>10</v>
      </c>
      <c r="AA304" s="23" t="s">
        <v>177</v>
      </c>
      <c r="AB304" s="23">
        <v>12</v>
      </c>
      <c r="AC304" s="23"/>
      <c r="AD304" s="23"/>
      <c r="AE304" s="29">
        <f>Tabla1[[#This Row],[Cierre]]+Tabla1[[#This Row],[Vigencia Oferta (días)]]</f>
        <v>44740.666666666664</v>
      </c>
      <c r="AF304" s="87"/>
      <c r="AG304" s="28"/>
      <c r="AH304" s="164">
        <f>Tabla1[[#This Row],[Unidades2]]*Tabla1[[#This Row],[Precio Unitario]]</f>
        <v>0</v>
      </c>
      <c r="AI304" s="23" t="s">
        <v>44</v>
      </c>
      <c r="AJ304" s="26">
        <v>44998.41883101852</v>
      </c>
      <c r="AK304" s="172">
        <f>Tabla1[[#This Row],[Fecha Vigencia]]-AJ304</f>
        <v>-257.75216435185575</v>
      </c>
      <c r="AL304" s="23" t="s">
        <v>46</v>
      </c>
      <c r="AM304" s="87">
        <v>1109800</v>
      </c>
      <c r="AN304" s="29">
        <v>44998</v>
      </c>
      <c r="AO304" s="29">
        <v>45364</v>
      </c>
      <c r="AP304" s="23" t="s">
        <v>177</v>
      </c>
      <c r="AQ304" s="34" t="s">
        <v>1803</v>
      </c>
      <c r="AR304" s="23" t="s">
        <v>11</v>
      </c>
      <c r="AS304" s="33">
        <v>0.1</v>
      </c>
      <c r="AT304" s="29">
        <v>45280</v>
      </c>
      <c r="AU304" s="23"/>
      <c r="AV304" s="23"/>
      <c r="AW304" s="23" t="s">
        <v>1804</v>
      </c>
      <c r="AX304" t="s">
        <v>1805</v>
      </c>
      <c r="AY304" s="23"/>
      <c r="AZ304" s="23"/>
      <c r="BA304" s="23"/>
      <c r="BB304" s="32"/>
      <c r="BC304" s="73"/>
    </row>
    <row r="305" spans="1:55" x14ac:dyDescent="0.25">
      <c r="A305" s="22" t="s">
        <v>1806</v>
      </c>
      <c r="B305" s="23" t="s">
        <v>1807</v>
      </c>
      <c r="C305" s="23" t="s">
        <v>1808</v>
      </c>
      <c r="D305" s="34" t="s">
        <v>331</v>
      </c>
      <c r="E305" s="24"/>
      <c r="F305" s="25"/>
      <c r="G305" s="23" t="s">
        <v>21</v>
      </c>
      <c r="H305" s="23" t="s">
        <v>106</v>
      </c>
      <c r="I305" s="2">
        <v>44719.663298611114</v>
      </c>
      <c r="J305" s="24">
        <f>MONTH(Tabla1[[#This Row],[Publicación]])</f>
        <v>6</v>
      </c>
      <c r="K305" s="24">
        <f>YEAR(Tabla1[[#This Row],[Publicación]])</f>
        <v>2022</v>
      </c>
      <c r="L305" s="2">
        <v>44740.666666666664</v>
      </c>
      <c r="M305" s="26">
        <v>44727</v>
      </c>
      <c r="N305" s="25" t="s">
        <v>10</v>
      </c>
      <c r="O305" s="24" t="s">
        <v>30</v>
      </c>
      <c r="P305" s="24" t="s">
        <v>10</v>
      </c>
      <c r="Q305" s="2">
        <v>44725.666666666664</v>
      </c>
      <c r="R305" s="2">
        <v>44731.833333333336</v>
      </c>
      <c r="S305" s="26">
        <v>44867.833333333336</v>
      </c>
      <c r="T305" s="28">
        <v>70582000</v>
      </c>
      <c r="U305" s="28">
        <f>Tabla1[[#This Row],[PPTO]]/(1+'Lista Datos'!$B$1)</f>
        <v>59312605.042016812</v>
      </c>
      <c r="V305" s="23"/>
      <c r="W305" s="18" t="s">
        <v>11</v>
      </c>
      <c r="X305" s="102">
        <v>200000</v>
      </c>
      <c r="Y305" s="26">
        <v>44926</v>
      </c>
      <c r="Z305" s="18" t="s">
        <v>10</v>
      </c>
      <c r="AA305" s="23" t="s">
        <v>177</v>
      </c>
      <c r="AB305" s="23">
        <v>16</v>
      </c>
      <c r="AC305" s="23"/>
      <c r="AD305" s="23"/>
      <c r="AE305" s="29">
        <f>Tabla1[[#This Row],[Cierre]]+Tabla1[[#This Row],[Vigencia Oferta (días)]]</f>
        <v>44740.666666666664</v>
      </c>
      <c r="AF305" s="87"/>
      <c r="AG305" s="28"/>
      <c r="AH305" s="164">
        <f>Tabla1[[#This Row],[Unidades2]]*Tabla1[[#This Row],[Precio Unitario]]</f>
        <v>0</v>
      </c>
      <c r="AI305" s="23" t="s">
        <v>44</v>
      </c>
      <c r="AJ305" s="26">
        <v>45198</v>
      </c>
      <c r="AK305" s="172">
        <f>Tabla1[[#This Row],[Fecha Vigencia]]-AJ305</f>
        <v>-457.33333333333576</v>
      </c>
      <c r="AL305" s="23" t="s">
        <v>46</v>
      </c>
      <c r="AM305" s="87">
        <v>6294000</v>
      </c>
      <c r="AN305" s="29">
        <v>45198</v>
      </c>
      <c r="AO305" s="29">
        <v>45686</v>
      </c>
      <c r="AP305" s="23" t="s">
        <v>177</v>
      </c>
      <c r="AQ305" s="34" t="s">
        <v>332</v>
      </c>
      <c r="AR305" s="23" t="s">
        <v>11</v>
      </c>
      <c r="AS305" s="33">
        <v>0.05</v>
      </c>
      <c r="AT305" s="29">
        <v>45474</v>
      </c>
      <c r="AU305" s="23"/>
      <c r="AV305" s="23"/>
      <c r="AW305" s="23" t="s">
        <v>1809</v>
      </c>
      <c r="AX305" t="s">
        <v>1810</v>
      </c>
      <c r="AY305" s="23"/>
      <c r="AZ305" s="23"/>
      <c r="BA305" s="23"/>
      <c r="BB305" s="32"/>
      <c r="BC305" s="73"/>
    </row>
    <row r="306" spans="1:55" x14ac:dyDescent="0.25">
      <c r="A306" s="22" t="s">
        <v>1811</v>
      </c>
      <c r="B306" s="23" t="s">
        <v>1812</v>
      </c>
      <c r="C306" s="23" t="s">
        <v>1812</v>
      </c>
      <c r="D306" s="34" t="s">
        <v>1813</v>
      </c>
      <c r="E306" s="24"/>
      <c r="F306" s="25"/>
      <c r="G306" s="23" t="s">
        <v>20</v>
      </c>
      <c r="H306" s="23" t="s">
        <v>176</v>
      </c>
      <c r="I306" s="2">
        <v>44729.662731481483</v>
      </c>
      <c r="J306" s="24">
        <f>MONTH(Tabla1[[#This Row],[Publicación]])</f>
        <v>6</v>
      </c>
      <c r="K306" s="24">
        <f>YEAR(Tabla1[[#This Row],[Publicación]])</f>
        <v>2022</v>
      </c>
      <c r="L306" s="2">
        <v>44740.75</v>
      </c>
      <c r="M306" s="26">
        <v>44732</v>
      </c>
      <c r="N306" s="25" t="s">
        <v>10</v>
      </c>
      <c r="O306" s="24" t="s">
        <v>33</v>
      </c>
      <c r="P306" s="24" t="s">
        <v>10</v>
      </c>
      <c r="Q306" s="2">
        <v>44734.541666666664</v>
      </c>
      <c r="R306" s="2">
        <v>44735.770833333336</v>
      </c>
      <c r="S306" s="26">
        <v>44770</v>
      </c>
      <c r="T306" s="28">
        <v>0</v>
      </c>
      <c r="U306" s="28">
        <f>Tabla1[[#This Row],[PPTO]]/(1+'Lista Datos'!$B$1)</f>
        <v>0</v>
      </c>
      <c r="V306" s="23"/>
      <c r="W306" s="18" t="s">
        <v>11</v>
      </c>
      <c r="X306" s="102">
        <v>300000</v>
      </c>
      <c r="Y306" s="26">
        <v>44832</v>
      </c>
      <c r="Z306" s="18" t="s">
        <v>10</v>
      </c>
      <c r="AA306" s="23" t="s">
        <v>177</v>
      </c>
      <c r="AB306" s="23">
        <v>24</v>
      </c>
      <c r="AC306" s="23" t="s">
        <v>10</v>
      </c>
      <c r="AD306" s="23"/>
      <c r="AE306" s="29">
        <f>Tabla1[[#This Row],[Cierre]]+Tabla1[[#This Row],[Vigencia Oferta (días)]]</f>
        <v>44740.75</v>
      </c>
      <c r="AF306" s="87"/>
      <c r="AG306" s="28"/>
      <c r="AH306" s="164">
        <f>Tabla1[[#This Row],[Unidades2]]*Tabla1[[#This Row],[Precio Unitario]]</f>
        <v>0</v>
      </c>
      <c r="AI306" s="23" t="s">
        <v>137</v>
      </c>
      <c r="AJ306" s="26"/>
      <c r="AK306" s="172">
        <f>Tabla1[[#This Row],[Fecha Vigencia]]-AJ306</f>
        <v>44740.75</v>
      </c>
      <c r="AL306" s="23"/>
      <c r="AM306" s="87"/>
      <c r="AN306" s="23"/>
      <c r="AO306" s="29"/>
      <c r="AP306" s="23"/>
      <c r="AQ306" s="34" t="s">
        <v>1814</v>
      </c>
      <c r="AR306" s="23" t="s">
        <v>11</v>
      </c>
      <c r="AS306" s="33">
        <v>0.05</v>
      </c>
      <c r="AT306" s="29">
        <v>45595</v>
      </c>
      <c r="AU306" s="23"/>
      <c r="AV306" s="23"/>
      <c r="AW306" s="23" t="s">
        <v>1815</v>
      </c>
      <c r="AX306" t="s">
        <v>459</v>
      </c>
      <c r="AY306" s="23"/>
      <c r="AZ306" s="23"/>
      <c r="BA306" s="23"/>
      <c r="BB306" s="32"/>
      <c r="BC306" s="73"/>
    </row>
    <row r="307" spans="1:55" x14ac:dyDescent="0.25">
      <c r="A307" s="22" t="s">
        <v>1816</v>
      </c>
      <c r="B307" s="23" t="s">
        <v>1817</v>
      </c>
      <c r="C307" s="23" t="s">
        <v>1817</v>
      </c>
      <c r="D307" s="34" t="s">
        <v>337</v>
      </c>
      <c r="E307" s="24"/>
      <c r="F307" s="25"/>
      <c r="G307" s="23" t="s">
        <v>16</v>
      </c>
      <c r="H307" s="23" t="s">
        <v>1596</v>
      </c>
      <c r="I307" s="2">
        <v>44733.785243055558</v>
      </c>
      <c r="J307" s="24">
        <f>MONTH(Tabla1[[#This Row],[Publicación]])</f>
        <v>6</v>
      </c>
      <c r="K307" s="24">
        <f>YEAR(Tabla1[[#This Row],[Publicación]])</f>
        <v>2022</v>
      </c>
      <c r="L307" s="2">
        <v>44740.791666666664</v>
      </c>
      <c r="M307" s="26">
        <v>44735</v>
      </c>
      <c r="N307" s="25" t="s">
        <v>10</v>
      </c>
      <c r="O307" s="24" t="s">
        <v>25</v>
      </c>
      <c r="P307" s="24" t="s">
        <v>10</v>
      </c>
      <c r="Q307" s="2">
        <v>44736.886805555558</v>
      </c>
      <c r="R307" s="2">
        <v>44737.886805555558</v>
      </c>
      <c r="S307" s="26">
        <v>44740.804166666669</v>
      </c>
      <c r="T307" s="28">
        <v>0</v>
      </c>
      <c r="U307" s="28">
        <f>Tabla1[[#This Row],[PPTO]]/(1+'Lista Datos'!$B$1)</f>
        <v>0</v>
      </c>
      <c r="V307" s="23"/>
      <c r="W307" s="18" t="s">
        <v>10</v>
      </c>
      <c r="X307" s="102"/>
      <c r="Y307" s="18" t="s">
        <v>146</v>
      </c>
      <c r="Z307" s="18" t="s">
        <v>10</v>
      </c>
      <c r="AA307" s="23"/>
      <c r="AB307" s="23"/>
      <c r="AC307" s="23"/>
      <c r="AD307" s="23"/>
      <c r="AE307" s="29">
        <f>Tabla1[[#This Row],[Cierre]]+Tabla1[[#This Row],[Vigencia Oferta (días)]]</f>
        <v>44740.791666666664</v>
      </c>
      <c r="AF307" s="87"/>
      <c r="AG307" s="28"/>
      <c r="AH307" s="164">
        <f>Tabla1[[#This Row],[Unidades2]]*Tabla1[[#This Row],[Precio Unitario]]</f>
        <v>0</v>
      </c>
      <c r="AI307" s="23" t="s">
        <v>137</v>
      </c>
      <c r="AJ307" s="26"/>
      <c r="AK307" s="172">
        <f>Tabla1[[#This Row],[Fecha Vigencia]]-AJ307</f>
        <v>44740.791666666664</v>
      </c>
      <c r="AL307" s="23"/>
      <c r="AM307" s="87"/>
      <c r="AN307" s="23"/>
      <c r="AO307" s="29"/>
      <c r="AP307" s="23"/>
      <c r="AQ307" s="34" t="s">
        <v>338</v>
      </c>
      <c r="AR307" s="23" t="s">
        <v>10</v>
      </c>
      <c r="AS307" s="23"/>
      <c r="AT307" s="23"/>
      <c r="AU307" s="23"/>
      <c r="AV307" s="23"/>
      <c r="AW307" s="23" t="s">
        <v>339</v>
      </c>
      <c r="AX307" t="s">
        <v>340</v>
      </c>
      <c r="AY307" s="23"/>
      <c r="AZ307" s="23"/>
      <c r="BA307" s="23"/>
      <c r="BB307" s="32"/>
      <c r="BC307" s="73"/>
    </row>
    <row r="308" spans="1:55" x14ac:dyDescent="0.25">
      <c r="A308" s="22" t="s">
        <v>1818</v>
      </c>
      <c r="B308" s="23" t="s">
        <v>1819</v>
      </c>
      <c r="C308" s="23" t="s">
        <v>1820</v>
      </c>
      <c r="D308" s="34" t="s">
        <v>1821</v>
      </c>
      <c r="E308" s="24"/>
      <c r="F308" s="25"/>
      <c r="G308" s="23" t="s">
        <v>16</v>
      </c>
      <c r="H308" s="23" t="s">
        <v>145</v>
      </c>
      <c r="I308" s="2">
        <v>44734.4609375</v>
      </c>
      <c r="J308" s="24">
        <f>MONTH(Tabla1[[#This Row],[Publicación]])</f>
        <v>6</v>
      </c>
      <c r="K308" s="24">
        <f>YEAR(Tabla1[[#This Row],[Publicación]])</f>
        <v>2022</v>
      </c>
      <c r="L308" s="2">
        <v>44742.625694444447</v>
      </c>
      <c r="M308" s="26">
        <v>44736</v>
      </c>
      <c r="N308" s="25" t="s">
        <v>10</v>
      </c>
      <c r="O308" s="24" t="s">
        <v>25</v>
      </c>
      <c r="P308" s="24" t="s">
        <v>10</v>
      </c>
      <c r="Q308" s="2">
        <v>44737.625</v>
      </c>
      <c r="R308" s="2">
        <v>44740.6875</v>
      </c>
      <c r="S308" s="26">
        <v>44754.648981481485</v>
      </c>
      <c r="T308" s="28">
        <v>0</v>
      </c>
      <c r="U308" s="28">
        <f>Tabla1[[#This Row],[PPTO]]/(1+'Lista Datos'!$B$1)</f>
        <v>0</v>
      </c>
      <c r="V308" s="23"/>
      <c r="W308" s="18" t="s">
        <v>11</v>
      </c>
      <c r="X308" s="102">
        <v>100000</v>
      </c>
      <c r="Y308" s="26">
        <v>44799</v>
      </c>
      <c r="Z308" s="18" t="s">
        <v>10</v>
      </c>
      <c r="AA308" s="23"/>
      <c r="AB308" s="23"/>
      <c r="AC308" s="23"/>
      <c r="AD308" s="23"/>
      <c r="AE308" s="29">
        <f>Tabla1[[#This Row],[Cierre]]+Tabla1[[#This Row],[Vigencia Oferta (días)]]</f>
        <v>44742.625694444447</v>
      </c>
      <c r="AF308" s="87"/>
      <c r="AG308" s="28"/>
      <c r="AH308" s="164">
        <f>Tabla1[[#This Row],[Unidades2]]*Tabla1[[#This Row],[Precio Unitario]]</f>
        <v>0</v>
      </c>
      <c r="AI308" s="23" t="s">
        <v>44</v>
      </c>
      <c r="AJ308" s="26">
        <v>44754.648981481485</v>
      </c>
      <c r="AK308" s="172">
        <f>Tabla1[[#This Row],[Fecha Vigencia]]-AJ308</f>
        <v>-12.023287037038244</v>
      </c>
      <c r="AL308" s="23" t="s">
        <v>45</v>
      </c>
      <c r="AM308" s="87">
        <v>33059</v>
      </c>
      <c r="AN308" s="23"/>
      <c r="AO308" s="29"/>
      <c r="AP308" s="23"/>
      <c r="AQ308" s="34" t="s">
        <v>1822</v>
      </c>
      <c r="AR308" s="23" t="s">
        <v>11</v>
      </c>
      <c r="AS308" s="33">
        <v>0.05</v>
      </c>
      <c r="AT308" s="29">
        <v>45548</v>
      </c>
      <c r="AU308" s="23"/>
      <c r="AV308" s="23"/>
      <c r="AW308" s="23" t="s">
        <v>1823</v>
      </c>
      <c r="AX308" t="s">
        <v>1824</v>
      </c>
      <c r="AY308" s="23"/>
      <c r="AZ308" s="23"/>
      <c r="BA308" s="23"/>
      <c r="BB308" s="32"/>
      <c r="BC308" s="73"/>
    </row>
    <row r="309" spans="1:55" x14ac:dyDescent="0.25">
      <c r="A309" s="22" t="s">
        <v>1825</v>
      </c>
      <c r="B309" s="23" t="s">
        <v>1826</v>
      </c>
      <c r="C309" s="23" t="s">
        <v>1827</v>
      </c>
      <c r="D309" s="34" t="s">
        <v>1828</v>
      </c>
      <c r="E309" s="24"/>
      <c r="F309" s="25"/>
      <c r="G309" s="23" t="s">
        <v>21</v>
      </c>
      <c r="H309" s="23" t="s">
        <v>106</v>
      </c>
      <c r="I309" s="2">
        <v>44734.417696759258</v>
      </c>
      <c r="J309" s="24">
        <f>MONTH(Tabla1[[#This Row],[Publicación]])</f>
        <v>6</v>
      </c>
      <c r="K309" s="24">
        <f>YEAR(Tabla1[[#This Row],[Publicación]])</f>
        <v>2022</v>
      </c>
      <c r="L309" s="2">
        <v>44746.625</v>
      </c>
      <c r="M309" s="26">
        <v>44742</v>
      </c>
      <c r="N309" s="25" t="s">
        <v>11</v>
      </c>
      <c r="O309" s="24"/>
      <c r="P309" s="24" t="s">
        <v>11</v>
      </c>
      <c r="Q309" s="2">
        <v>44739.80972222222</v>
      </c>
      <c r="R309" s="2">
        <v>44741.80972222222</v>
      </c>
      <c r="S309" s="26">
        <v>44771</v>
      </c>
      <c r="T309" s="28">
        <v>36000000</v>
      </c>
      <c r="U309" s="28">
        <f>Tabla1[[#This Row],[PPTO]]/(1+'Lista Datos'!$B$1)</f>
        <v>30252100.840336137</v>
      </c>
      <c r="V309" s="23">
        <v>45</v>
      </c>
      <c r="W309" s="18" t="s">
        <v>10</v>
      </c>
      <c r="X309" s="102"/>
      <c r="Y309" s="18" t="s">
        <v>146</v>
      </c>
      <c r="Z309" s="18" t="s">
        <v>10</v>
      </c>
      <c r="AA309" s="23" t="s">
        <v>512</v>
      </c>
      <c r="AB309" s="23"/>
      <c r="AC309" s="23" t="s">
        <v>10</v>
      </c>
      <c r="AD309" s="23">
        <v>120</v>
      </c>
      <c r="AE309" s="29">
        <f>Tabla1[[#This Row],[Cierre]]+Tabla1[[#This Row],[Vigencia Oferta (días)]]</f>
        <v>44866.625</v>
      </c>
      <c r="AF309" s="87">
        <v>2</v>
      </c>
      <c r="AG309" s="28">
        <v>987413</v>
      </c>
      <c r="AH309" s="164">
        <f>Tabla1[[#This Row],[Unidades2]]*Tabla1[[#This Row],[Precio Unitario]]</f>
        <v>1974826</v>
      </c>
      <c r="AI309" s="23" t="s">
        <v>137</v>
      </c>
      <c r="AJ309" s="26"/>
      <c r="AK309" s="172">
        <f>Tabla1[[#This Row],[Fecha Vigencia]]-AJ309</f>
        <v>44866.625</v>
      </c>
      <c r="AL309" s="23"/>
      <c r="AM309" s="87"/>
      <c r="AN309" s="23"/>
      <c r="AO309" s="29"/>
      <c r="AP309" s="23"/>
      <c r="AQ309" s="34" t="s">
        <v>995</v>
      </c>
      <c r="AR309" s="23" t="s">
        <v>10</v>
      </c>
      <c r="AS309" s="23"/>
      <c r="AT309" s="23"/>
      <c r="AU309" s="23"/>
      <c r="AV309" s="23"/>
      <c r="AW309" s="23" t="s">
        <v>996</v>
      </c>
      <c r="AX309" t="s">
        <v>997</v>
      </c>
      <c r="AY309" s="23"/>
      <c r="AZ309" s="23"/>
      <c r="BA309" s="23"/>
      <c r="BB309" s="32"/>
      <c r="BC309" s="73"/>
    </row>
    <row r="310" spans="1:55" x14ac:dyDescent="0.25">
      <c r="A310" s="22" t="s">
        <v>1825</v>
      </c>
      <c r="B310" s="23" t="s">
        <v>1826</v>
      </c>
      <c r="C310" s="23" t="s">
        <v>1827</v>
      </c>
      <c r="D310" s="34" t="s">
        <v>1828</v>
      </c>
      <c r="E310" s="24"/>
      <c r="F310" s="25"/>
      <c r="G310" s="23" t="s">
        <v>21</v>
      </c>
      <c r="H310" s="23" t="s">
        <v>106</v>
      </c>
      <c r="I310" s="2">
        <v>44734.417696759258</v>
      </c>
      <c r="J310" s="24">
        <f>MONTH(Tabla1[[#This Row],[Publicación]])</f>
        <v>6</v>
      </c>
      <c r="K310" s="24">
        <f>YEAR(Tabla1[[#This Row],[Publicación]])</f>
        <v>2022</v>
      </c>
      <c r="L310" s="2">
        <v>44746.625</v>
      </c>
      <c r="M310" s="26">
        <v>44742</v>
      </c>
      <c r="N310" s="25" t="s">
        <v>11</v>
      </c>
      <c r="O310" s="24"/>
      <c r="P310" s="24" t="s">
        <v>11</v>
      </c>
      <c r="Q310" s="2">
        <v>44739.80972222222</v>
      </c>
      <c r="R310" s="2">
        <v>44741.80972222222</v>
      </c>
      <c r="S310" s="26">
        <v>44771</v>
      </c>
      <c r="T310" s="28">
        <v>36000000</v>
      </c>
      <c r="U310" s="28">
        <f>Tabla1[[#This Row],[PPTO]]/(1+'Lista Datos'!$B$1)</f>
        <v>30252100.840336137</v>
      </c>
      <c r="V310" s="23">
        <v>45</v>
      </c>
      <c r="W310" s="18" t="s">
        <v>10</v>
      </c>
      <c r="X310" s="102"/>
      <c r="Y310" s="18" t="s">
        <v>146</v>
      </c>
      <c r="Z310" s="18" t="s">
        <v>10</v>
      </c>
      <c r="AA310" s="23" t="s">
        <v>512</v>
      </c>
      <c r="AB310" s="23"/>
      <c r="AC310" s="23" t="s">
        <v>10</v>
      </c>
      <c r="AD310" s="23">
        <v>120</v>
      </c>
      <c r="AE310" s="29">
        <f>Tabla1[[#This Row],[Cierre]]+Tabla1[[#This Row],[Vigencia Oferta (días)]]</f>
        <v>44866.625</v>
      </c>
      <c r="AF310" s="87">
        <v>3</v>
      </c>
      <c r="AG310" s="28">
        <v>1659551</v>
      </c>
      <c r="AH310" s="164">
        <f>Tabla1[[#This Row],[Unidades2]]*Tabla1[[#This Row],[Precio Unitario]]</f>
        <v>4978653</v>
      </c>
      <c r="AI310" s="23" t="s">
        <v>44</v>
      </c>
      <c r="AJ310" s="26">
        <v>44775</v>
      </c>
      <c r="AK310" s="172">
        <f>Tabla1[[#This Row],[Fecha Vigencia]]-AJ310</f>
        <v>91.625</v>
      </c>
      <c r="AL310" s="23" t="s">
        <v>115</v>
      </c>
      <c r="AM310" s="87"/>
      <c r="AN310" s="23"/>
      <c r="AO310" s="29"/>
      <c r="AP310" s="23" t="s">
        <v>292</v>
      </c>
      <c r="AQ310" s="34" t="s">
        <v>995</v>
      </c>
      <c r="AR310" s="23" t="s">
        <v>10</v>
      </c>
      <c r="AS310" s="23"/>
      <c r="AT310" s="23"/>
      <c r="AU310" s="23"/>
      <c r="AV310" s="23"/>
      <c r="AW310" s="23" t="s">
        <v>996</v>
      </c>
      <c r="AX310" t="s">
        <v>997</v>
      </c>
      <c r="AY310" s="23"/>
      <c r="AZ310" s="23"/>
      <c r="BA310" s="23"/>
      <c r="BB310" s="32"/>
      <c r="BC310" s="73"/>
    </row>
    <row r="311" spans="1:55" x14ac:dyDescent="0.25">
      <c r="A311" s="22" t="s">
        <v>1825</v>
      </c>
      <c r="B311" s="23" t="s">
        <v>1826</v>
      </c>
      <c r="C311" s="23" t="s">
        <v>1827</v>
      </c>
      <c r="D311" s="34" t="s">
        <v>1828</v>
      </c>
      <c r="E311" s="24"/>
      <c r="F311" s="25"/>
      <c r="G311" s="23" t="s">
        <v>21</v>
      </c>
      <c r="H311" s="23" t="s">
        <v>106</v>
      </c>
      <c r="I311" s="2">
        <v>44734.417696759258</v>
      </c>
      <c r="J311" s="24">
        <f>MONTH(Tabla1[[#This Row],[Publicación]])</f>
        <v>6</v>
      </c>
      <c r="K311" s="24">
        <f>YEAR(Tabla1[[#This Row],[Publicación]])</f>
        <v>2022</v>
      </c>
      <c r="L311" s="2">
        <v>44746.625</v>
      </c>
      <c r="M311" s="26">
        <v>44742</v>
      </c>
      <c r="N311" s="25" t="s">
        <v>11</v>
      </c>
      <c r="O311" s="24"/>
      <c r="P311" s="24" t="s">
        <v>11</v>
      </c>
      <c r="Q311" s="2">
        <v>44739.80972222222</v>
      </c>
      <c r="R311" s="2">
        <v>44741.80972222222</v>
      </c>
      <c r="S311" s="26">
        <v>44771</v>
      </c>
      <c r="T311" s="28">
        <v>36000000</v>
      </c>
      <c r="U311" s="28">
        <f>Tabla1[[#This Row],[PPTO]]/(1+'Lista Datos'!$B$1)</f>
        <v>30252100.840336137</v>
      </c>
      <c r="V311" s="23">
        <v>45</v>
      </c>
      <c r="W311" s="18" t="s">
        <v>10</v>
      </c>
      <c r="X311" s="102"/>
      <c r="Y311" s="18" t="s">
        <v>146</v>
      </c>
      <c r="Z311" s="18" t="s">
        <v>10</v>
      </c>
      <c r="AA311" s="23" t="s">
        <v>512</v>
      </c>
      <c r="AB311" s="23"/>
      <c r="AC311" s="23" t="s">
        <v>10</v>
      </c>
      <c r="AD311" s="23">
        <v>120</v>
      </c>
      <c r="AE311" s="29">
        <f>Tabla1[[#This Row],[Cierre]]+Tabla1[[#This Row],[Vigencia Oferta (días)]]</f>
        <v>44866.625</v>
      </c>
      <c r="AF311" s="87">
        <v>1</v>
      </c>
      <c r="AG311" s="28">
        <v>2931037</v>
      </c>
      <c r="AH311" s="164">
        <f>Tabla1[[#This Row],[Unidades2]]*Tabla1[[#This Row],[Precio Unitario]]</f>
        <v>2931037</v>
      </c>
      <c r="AI311" s="23" t="s">
        <v>137</v>
      </c>
      <c r="AJ311" s="26"/>
      <c r="AK311" s="172">
        <f>Tabla1[[#This Row],[Fecha Vigencia]]-AJ311</f>
        <v>44866.625</v>
      </c>
      <c r="AL311" s="23"/>
      <c r="AM311" s="87"/>
      <c r="AN311" s="23"/>
      <c r="AO311" s="29"/>
      <c r="AP311" s="23"/>
      <c r="AQ311" s="34" t="s">
        <v>995</v>
      </c>
      <c r="AR311" s="23" t="s">
        <v>10</v>
      </c>
      <c r="AS311" s="23"/>
      <c r="AT311" s="23"/>
      <c r="AU311" s="23"/>
      <c r="AV311" s="23"/>
      <c r="AW311" s="23" t="s">
        <v>996</v>
      </c>
      <c r="AX311" t="s">
        <v>997</v>
      </c>
      <c r="AY311" s="23"/>
      <c r="AZ311" s="23"/>
      <c r="BA311" s="23"/>
      <c r="BB311" s="32"/>
      <c r="BC311" s="73"/>
    </row>
    <row r="312" spans="1:55" x14ac:dyDescent="0.25">
      <c r="A312" s="22" t="s">
        <v>1825</v>
      </c>
      <c r="B312" s="23" t="s">
        <v>1826</v>
      </c>
      <c r="C312" s="23" t="s">
        <v>1827</v>
      </c>
      <c r="D312" s="34" t="s">
        <v>1828</v>
      </c>
      <c r="E312" s="24"/>
      <c r="F312" s="25"/>
      <c r="G312" s="23" t="s">
        <v>21</v>
      </c>
      <c r="H312" s="23" t="s">
        <v>106</v>
      </c>
      <c r="I312" s="2">
        <v>44734.417696759258</v>
      </c>
      <c r="J312" s="24">
        <f>MONTH(Tabla1[[#This Row],[Publicación]])</f>
        <v>6</v>
      </c>
      <c r="K312" s="24">
        <f>YEAR(Tabla1[[#This Row],[Publicación]])</f>
        <v>2022</v>
      </c>
      <c r="L312" s="2">
        <v>44746.625</v>
      </c>
      <c r="M312" s="26">
        <v>44742</v>
      </c>
      <c r="N312" s="25" t="s">
        <v>11</v>
      </c>
      <c r="O312" s="24"/>
      <c r="P312" s="24" t="s">
        <v>11</v>
      </c>
      <c r="Q312" s="2">
        <v>44739.80972222222</v>
      </c>
      <c r="R312" s="2">
        <v>44741.80972222222</v>
      </c>
      <c r="S312" s="26">
        <v>44771</v>
      </c>
      <c r="T312" s="28">
        <v>36000000</v>
      </c>
      <c r="U312" s="28">
        <f>Tabla1[[#This Row],[PPTO]]/(1+'Lista Datos'!$B$1)</f>
        <v>30252100.840336137</v>
      </c>
      <c r="V312" s="23">
        <v>45</v>
      </c>
      <c r="W312" s="18" t="s">
        <v>10</v>
      </c>
      <c r="X312" s="102"/>
      <c r="Y312" s="18" t="s">
        <v>146</v>
      </c>
      <c r="Z312" s="18" t="s">
        <v>10</v>
      </c>
      <c r="AA312" s="23" t="s">
        <v>512</v>
      </c>
      <c r="AB312" s="23"/>
      <c r="AC312" s="23" t="s">
        <v>10</v>
      </c>
      <c r="AD312" s="23">
        <v>120</v>
      </c>
      <c r="AE312" s="29">
        <f>Tabla1[[#This Row],[Cierre]]+Tabla1[[#This Row],[Vigencia Oferta (días)]]</f>
        <v>44866.625</v>
      </c>
      <c r="AF312" s="87">
        <v>2</v>
      </c>
      <c r="AG312" s="28">
        <v>749824</v>
      </c>
      <c r="AH312" s="164">
        <f>Tabla1[[#This Row],[Unidades2]]*Tabla1[[#This Row],[Precio Unitario]]</f>
        <v>1499648</v>
      </c>
      <c r="AI312" s="23" t="s">
        <v>137</v>
      </c>
      <c r="AJ312" s="26"/>
      <c r="AK312" s="172">
        <f>Tabla1[[#This Row],[Fecha Vigencia]]-AJ312</f>
        <v>44866.625</v>
      </c>
      <c r="AL312" s="23"/>
      <c r="AM312" s="87"/>
      <c r="AN312" s="23"/>
      <c r="AO312" s="29"/>
      <c r="AP312" s="23"/>
      <c r="AQ312" s="34" t="s">
        <v>995</v>
      </c>
      <c r="AR312" s="23" t="s">
        <v>10</v>
      </c>
      <c r="AS312" s="23"/>
      <c r="AT312" s="23"/>
      <c r="AU312" s="23"/>
      <c r="AV312" s="23"/>
      <c r="AW312" s="23" t="s">
        <v>996</v>
      </c>
      <c r="AX312" t="s">
        <v>997</v>
      </c>
      <c r="AY312" s="23"/>
      <c r="AZ312" s="23"/>
      <c r="BA312" s="23"/>
      <c r="BB312" s="32"/>
      <c r="BC312" s="73"/>
    </row>
    <row r="313" spans="1:55" x14ac:dyDescent="0.25">
      <c r="A313" s="35" t="s">
        <v>1829</v>
      </c>
      <c r="B313" s="57" t="s">
        <v>1830</v>
      </c>
      <c r="C313" s="57" t="s">
        <v>1831</v>
      </c>
      <c r="D313" s="58" t="s">
        <v>344</v>
      </c>
      <c r="E313" s="24"/>
      <c r="F313" s="25"/>
      <c r="G313" s="23" t="s">
        <v>16</v>
      </c>
      <c r="H313" s="23" t="s">
        <v>345</v>
      </c>
      <c r="I313" s="2">
        <v>44734.349444444444</v>
      </c>
      <c r="J313" s="24">
        <f>MONTH(Tabla1[[#This Row],[Publicación]])</f>
        <v>6</v>
      </c>
      <c r="K313" s="24">
        <f>YEAR(Tabla1[[#This Row],[Publicación]])</f>
        <v>2022</v>
      </c>
      <c r="L313" s="2">
        <v>44746.833333333336</v>
      </c>
      <c r="M313" s="26">
        <v>44735</v>
      </c>
      <c r="N313" s="25" t="s">
        <v>10</v>
      </c>
      <c r="O313" s="24" t="s">
        <v>25</v>
      </c>
      <c r="P313" s="24" t="s">
        <v>10</v>
      </c>
      <c r="Q313" s="2">
        <v>44739.333333333336</v>
      </c>
      <c r="R313" s="2">
        <v>44740.833333333336</v>
      </c>
      <c r="S313" s="26">
        <v>44778.708333333336</v>
      </c>
      <c r="T313" s="28">
        <v>7229250</v>
      </c>
      <c r="U313" s="28">
        <f>Tabla1[[#This Row],[PPTO]]/(1+'Lista Datos'!$B$1)</f>
        <v>6075000</v>
      </c>
      <c r="V313" s="23"/>
      <c r="W313" s="18" t="s">
        <v>11</v>
      </c>
      <c r="X313" s="102">
        <v>200000</v>
      </c>
      <c r="Y313" s="26">
        <v>44661</v>
      </c>
      <c r="Z313" s="18" t="s">
        <v>10</v>
      </c>
      <c r="AA313" s="23" t="s">
        <v>512</v>
      </c>
      <c r="AB313" s="23"/>
      <c r="AC313" s="23"/>
      <c r="AD313" s="23"/>
      <c r="AE313" s="29">
        <f>Tabla1[[#This Row],[Cierre]]+Tabla1[[#This Row],[Vigencia Oferta (días)]]</f>
        <v>44746.833333333336</v>
      </c>
      <c r="AF313" s="87"/>
      <c r="AG313" s="28"/>
      <c r="AH313" s="164">
        <f>Tabla1[[#This Row],[Unidades2]]*Tabla1[[#This Row],[Precio Unitario]]</f>
        <v>0</v>
      </c>
      <c r="AI313" s="23" t="s">
        <v>44</v>
      </c>
      <c r="AJ313" s="26">
        <v>44778</v>
      </c>
      <c r="AK313" s="172">
        <f>Tabla1[[#This Row],[Fecha Vigencia]]-AJ313</f>
        <v>-31.166666666664241</v>
      </c>
      <c r="AL313" s="23" t="s">
        <v>46</v>
      </c>
      <c r="AM313" s="87">
        <v>6075000</v>
      </c>
      <c r="AN313" s="23"/>
      <c r="AO313" s="29"/>
      <c r="AP313" s="23" t="s">
        <v>292</v>
      </c>
      <c r="AQ313" s="34" t="s">
        <v>346</v>
      </c>
      <c r="AR313" s="23" t="s">
        <v>11</v>
      </c>
      <c r="AS313" s="33">
        <v>0.05</v>
      </c>
      <c r="AT313" s="29">
        <v>44862</v>
      </c>
      <c r="AU313" s="23"/>
      <c r="AV313" s="23"/>
      <c r="AW313" s="23" t="s">
        <v>1832</v>
      </c>
      <c r="AX313" t="s">
        <v>1833</v>
      </c>
      <c r="AY313" s="23"/>
      <c r="AZ313" s="23"/>
      <c r="BA313" s="23"/>
      <c r="BB313" s="32"/>
      <c r="BC313" s="73"/>
    </row>
    <row r="314" spans="1:55" x14ac:dyDescent="0.25">
      <c r="A314" s="22" t="s">
        <v>1834</v>
      </c>
      <c r="B314" s="23" t="s">
        <v>1835</v>
      </c>
      <c r="C314" s="23" t="s">
        <v>1835</v>
      </c>
      <c r="D314" s="34" t="s">
        <v>1836</v>
      </c>
      <c r="E314" s="24"/>
      <c r="F314" s="25"/>
      <c r="G314" s="23" t="s">
        <v>21</v>
      </c>
      <c r="H314" s="23" t="s">
        <v>106</v>
      </c>
      <c r="I314" s="2">
        <v>44735.668182870373</v>
      </c>
      <c r="J314" s="24">
        <f>MONTH(Tabla1[[#This Row],[Publicación]])</f>
        <v>6</v>
      </c>
      <c r="K314" s="24">
        <f>YEAR(Tabla1[[#This Row],[Publicación]])</f>
        <v>2022</v>
      </c>
      <c r="L314" s="2">
        <v>44747.71597222222</v>
      </c>
      <c r="M314" s="26">
        <v>44742</v>
      </c>
      <c r="N314" s="25" t="s">
        <v>11</v>
      </c>
      <c r="O314" s="24"/>
      <c r="P314" s="24" t="s">
        <v>11</v>
      </c>
      <c r="Q314" s="2">
        <v>44737.709027777775</v>
      </c>
      <c r="R314" s="2">
        <v>44740.709027777775</v>
      </c>
      <c r="S314" s="26">
        <v>44778.633333333331</v>
      </c>
      <c r="T314" s="28">
        <v>17500000</v>
      </c>
      <c r="U314" s="28">
        <f>Tabla1[[#This Row],[PPTO]]/(1+'Lista Datos'!$B$1)</f>
        <v>14705882.352941178</v>
      </c>
      <c r="V314" s="23"/>
      <c r="W314" s="18" t="s">
        <v>10</v>
      </c>
      <c r="X314" s="102"/>
      <c r="Y314" s="18" t="s">
        <v>146</v>
      </c>
      <c r="Z314" s="18" t="s">
        <v>10</v>
      </c>
      <c r="AA314" s="23"/>
      <c r="AB314" s="23"/>
      <c r="AC314" s="23" t="s">
        <v>10</v>
      </c>
      <c r="AD314" s="23">
        <v>120</v>
      </c>
      <c r="AE314" s="29">
        <f>Tabla1[[#This Row],[Cierre]]+Tabla1[[#This Row],[Vigencia Oferta (días)]]</f>
        <v>44867.71597222222</v>
      </c>
      <c r="AF314" s="87"/>
      <c r="AG314" s="28"/>
      <c r="AH314" s="164">
        <f>Tabla1[[#This Row],[Unidades2]]*Tabla1[[#This Row],[Precio Unitario]]</f>
        <v>0</v>
      </c>
      <c r="AI314" s="23" t="s">
        <v>44</v>
      </c>
      <c r="AJ314" s="26">
        <v>44874.551898148151</v>
      </c>
      <c r="AK314" s="172">
        <f>Tabla1[[#This Row],[Fecha Vigencia]]-AJ314</f>
        <v>-6.8359259259304963</v>
      </c>
      <c r="AL314" s="23" t="s">
        <v>205</v>
      </c>
      <c r="AM314" s="87">
        <v>2398500</v>
      </c>
      <c r="AN314" s="23"/>
      <c r="AO314" s="29"/>
      <c r="AP314" s="23"/>
      <c r="AQ314" s="34" t="s">
        <v>1837</v>
      </c>
      <c r="AR314" s="23" t="s">
        <v>11</v>
      </c>
      <c r="AS314" s="33">
        <v>0.05</v>
      </c>
      <c r="AT314" s="29">
        <v>44895</v>
      </c>
      <c r="AU314" s="23"/>
      <c r="AV314" s="23"/>
      <c r="AW314" s="23" t="s">
        <v>1838</v>
      </c>
      <c r="AX314" t="s">
        <v>1839</v>
      </c>
      <c r="AY314" s="23"/>
      <c r="AZ314" s="23"/>
      <c r="BA314" s="23"/>
      <c r="BB314" s="32"/>
      <c r="BC314" s="73"/>
    </row>
    <row r="315" spans="1:55" x14ac:dyDescent="0.25">
      <c r="A315" s="22" t="s">
        <v>1840</v>
      </c>
      <c r="B315" s="23" t="s">
        <v>1841</v>
      </c>
      <c r="C315" s="23" t="s">
        <v>1842</v>
      </c>
      <c r="D315" s="34" t="s">
        <v>1843</v>
      </c>
      <c r="E315" s="24"/>
      <c r="F315" s="25"/>
      <c r="G315" s="23" t="s">
        <v>16</v>
      </c>
      <c r="H315" s="23" t="s">
        <v>533</v>
      </c>
      <c r="I315" s="2">
        <v>44728.593252314815</v>
      </c>
      <c r="J315" s="24">
        <f>MONTH(Tabla1[[#This Row],[Publicación]])</f>
        <v>6</v>
      </c>
      <c r="K315" s="24">
        <f>YEAR(Tabla1[[#This Row],[Publicación]])</f>
        <v>2022</v>
      </c>
      <c r="L315" s="2">
        <v>44748.625694444447</v>
      </c>
      <c r="M315" s="26">
        <v>44732</v>
      </c>
      <c r="N315" s="25" t="s">
        <v>10</v>
      </c>
      <c r="O315" s="24" t="s">
        <v>25</v>
      </c>
      <c r="P315" s="24" t="s">
        <v>10</v>
      </c>
      <c r="Q315" s="2">
        <v>44740.666666666664</v>
      </c>
      <c r="R315" s="2">
        <v>44742.791666666664</v>
      </c>
      <c r="S315" s="26">
        <v>44778.645833333336</v>
      </c>
      <c r="T315" s="28">
        <v>0</v>
      </c>
      <c r="U315" s="28">
        <f>Tabla1[[#This Row],[PPTO]]/(1+'Lista Datos'!$B$1)</f>
        <v>0</v>
      </c>
      <c r="V315" s="23"/>
      <c r="W315" s="18" t="s">
        <v>10</v>
      </c>
      <c r="X315" s="102"/>
      <c r="Y315" s="18" t="s">
        <v>146</v>
      </c>
      <c r="Z315" s="18" t="s">
        <v>10</v>
      </c>
      <c r="AA315" s="23" t="s">
        <v>177</v>
      </c>
      <c r="AB315" s="23">
        <v>36</v>
      </c>
      <c r="AC315" s="23"/>
      <c r="AD315" s="23"/>
      <c r="AE315" s="29">
        <f>Tabla1[[#This Row],[Cierre]]+Tabla1[[#This Row],[Vigencia Oferta (días)]]</f>
        <v>44748.625694444447</v>
      </c>
      <c r="AF315" s="87"/>
      <c r="AG315" s="28"/>
      <c r="AH315" s="164">
        <f>Tabla1[[#This Row],[Unidades2]]*Tabla1[[#This Row],[Precio Unitario]]</f>
        <v>0</v>
      </c>
      <c r="AI315" s="23" t="s">
        <v>137</v>
      </c>
      <c r="AJ315" s="26"/>
      <c r="AK315" s="172">
        <f>Tabla1[[#This Row],[Fecha Vigencia]]-AJ315</f>
        <v>44748.625694444447</v>
      </c>
      <c r="AL315" s="23"/>
      <c r="AM315" s="87"/>
      <c r="AN315" s="23"/>
      <c r="AO315" s="29"/>
      <c r="AP315" s="23"/>
      <c r="AQ315" s="34" t="s">
        <v>1844</v>
      </c>
      <c r="AR315" s="23" t="s">
        <v>11</v>
      </c>
      <c r="AS315" s="33">
        <v>0.05</v>
      </c>
      <c r="AT315" s="29">
        <v>46038</v>
      </c>
      <c r="AU315" s="23"/>
      <c r="AV315" s="23"/>
      <c r="AW315" s="23" t="s">
        <v>1845</v>
      </c>
      <c r="AX315" t="s">
        <v>1846</v>
      </c>
      <c r="AY315" s="23"/>
      <c r="AZ315" s="23"/>
      <c r="BA315" s="23"/>
      <c r="BB315" s="32"/>
      <c r="BC315" s="73"/>
    </row>
    <row r="316" spans="1:55" x14ac:dyDescent="0.25">
      <c r="A316" s="22" t="s">
        <v>1847</v>
      </c>
      <c r="B316" s="23" t="s">
        <v>1848</v>
      </c>
      <c r="C316" s="23" t="s">
        <v>1849</v>
      </c>
      <c r="D316" s="34" t="s">
        <v>1850</v>
      </c>
      <c r="E316" s="24"/>
      <c r="F316" s="25"/>
      <c r="G316" s="23" t="s">
        <v>20</v>
      </c>
      <c r="H316" s="23" t="s">
        <v>176</v>
      </c>
      <c r="I316" s="2">
        <v>44743.697245370371</v>
      </c>
      <c r="J316" s="24">
        <f>MONTH(Tabla1[[#This Row],[Publicación]])</f>
        <v>7</v>
      </c>
      <c r="K316" s="24">
        <f>YEAR(Tabla1[[#This Row],[Publicación]])</f>
        <v>2022</v>
      </c>
      <c r="L316" s="2">
        <v>44749.427083333336</v>
      </c>
      <c r="M316" s="26">
        <v>44746</v>
      </c>
      <c r="N316" s="25" t="s">
        <v>11</v>
      </c>
      <c r="O316" s="24"/>
      <c r="P316" s="24" t="s">
        <v>11</v>
      </c>
      <c r="Q316" s="2">
        <v>44746.375</v>
      </c>
      <c r="R316" s="2">
        <v>44747.832638888889</v>
      </c>
      <c r="S316" s="26">
        <v>44804</v>
      </c>
      <c r="T316" s="28">
        <v>50000000</v>
      </c>
      <c r="U316" s="28">
        <f>Tabla1[[#This Row],[PPTO]]/(1+'Lista Datos'!$B$1)</f>
        <v>42016806.722689077</v>
      </c>
      <c r="V316" s="23">
        <v>30</v>
      </c>
      <c r="W316" s="18" t="s">
        <v>10</v>
      </c>
      <c r="X316" s="102"/>
      <c r="Y316" s="18" t="s">
        <v>146</v>
      </c>
      <c r="Z316" s="18" t="s">
        <v>10</v>
      </c>
      <c r="AA316" s="23" t="s">
        <v>177</v>
      </c>
      <c r="AB316" s="23">
        <v>8</v>
      </c>
      <c r="AC316" s="23" t="s">
        <v>10</v>
      </c>
      <c r="AD316" s="23"/>
      <c r="AE316" s="29">
        <f>Tabla1[[#This Row],[Cierre]]+Tabla1[[#This Row],[Vigencia Oferta (días)]]</f>
        <v>44749.427083333336</v>
      </c>
      <c r="AF316" s="87"/>
      <c r="AG316" s="28"/>
      <c r="AH316" s="164">
        <f>Tabla1[[#This Row],[Unidades2]]*Tabla1[[#This Row],[Precio Unitario]]</f>
        <v>0</v>
      </c>
      <c r="AI316" s="23" t="s">
        <v>44</v>
      </c>
      <c r="AJ316" s="26">
        <v>44568</v>
      </c>
      <c r="AK316" s="172">
        <f>Tabla1[[#This Row],[Fecha Vigencia]]-AJ316</f>
        <v>181.42708333333576</v>
      </c>
      <c r="AL316" s="23" t="s">
        <v>115</v>
      </c>
      <c r="AM316" s="87">
        <v>1193785</v>
      </c>
      <c r="AN316" s="29">
        <v>44743</v>
      </c>
      <c r="AO316" s="29">
        <v>44986</v>
      </c>
      <c r="AP316" s="23"/>
      <c r="AQ316" s="34" t="s">
        <v>572</v>
      </c>
      <c r="AR316" s="23" t="s">
        <v>10</v>
      </c>
      <c r="AS316" s="23"/>
      <c r="AT316" s="23"/>
      <c r="AU316" s="23"/>
      <c r="AV316" s="23"/>
      <c r="AW316" s="23" t="s">
        <v>1851</v>
      </c>
      <c r="AX316" t="s">
        <v>1783</v>
      </c>
      <c r="AY316" s="23"/>
      <c r="AZ316" s="23"/>
      <c r="BA316" s="23"/>
      <c r="BB316" s="32"/>
      <c r="BC316" s="73"/>
    </row>
    <row r="317" spans="1:55" x14ac:dyDescent="0.25">
      <c r="A317" s="22" t="s">
        <v>1852</v>
      </c>
      <c r="B317" s="23" t="s">
        <v>1853</v>
      </c>
      <c r="C317" s="23" t="s">
        <v>1854</v>
      </c>
      <c r="D317" s="34" t="s">
        <v>113</v>
      </c>
      <c r="E317" s="24"/>
      <c r="F317" s="25"/>
      <c r="G317" s="23" t="s">
        <v>18</v>
      </c>
      <c r="H317" s="23" t="s">
        <v>213</v>
      </c>
      <c r="I317" s="2">
        <v>44728.544131944444</v>
      </c>
      <c r="J317" s="24">
        <f>MONTH(Tabla1[[#This Row],[Publicación]])</f>
        <v>6</v>
      </c>
      <c r="K317" s="24">
        <f>YEAR(Tabla1[[#This Row],[Publicación]])</f>
        <v>2022</v>
      </c>
      <c r="L317" s="2">
        <v>44749.666666666664</v>
      </c>
      <c r="M317" s="26">
        <v>44732</v>
      </c>
      <c r="N317" s="25" t="s">
        <v>10</v>
      </c>
      <c r="O317" s="24" t="s">
        <v>25</v>
      </c>
      <c r="P317" s="24" t="s">
        <v>10</v>
      </c>
      <c r="Q317" s="2">
        <v>44740.416666666664</v>
      </c>
      <c r="R317" s="2">
        <v>44742.75</v>
      </c>
      <c r="S317" s="26">
        <v>44869.75</v>
      </c>
      <c r="T317" s="28">
        <v>0</v>
      </c>
      <c r="U317" s="28">
        <f>Tabla1[[#This Row],[PPTO]]/(1+'Lista Datos'!$B$1)</f>
        <v>0</v>
      </c>
      <c r="V317" s="23"/>
      <c r="W317" s="18" t="s">
        <v>11</v>
      </c>
      <c r="X317" s="102">
        <v>500000</v>
      </c>
      <c r="Y317" s="26">
        <v>45012</v>
      </c>
      <c r="Z317" s="18" t="s">
        <v>10</v>
      </c>
      <c r="AA317" s="23" t="s">
        <v>177</v>
      </c>
      <c r="AB317" s="23">
        <v>24</v>
      </c>
      <c r="AC317" s="23"/>
      <c r="AD317" s="23"/>
      <c r="AE317" s="29">
        <f>Tabla1[[#This Row],[Cierre]]+Tabla1[[#This Row],[Vigencia Oferta (días)]]</f>
        <v>44749.666666666664</v>
      </c>
      <c r="AF317" s="87"/>
      <c r="AG317" s="28"/>
      <c r="AH317" s="164">
        <f>Tabla1[[#This Row],[Unidades2]]*Tabla1[[#This Row],[Precio Unitario]]</f>
        <v>0</v>
      </c>
      <c r="AI317" s="23" t="s">
        <v>137</v>
      </c>
      <c r="AJ317" s="26"/>
      <c r="AK317" s="172">
        <f>Tabla1[[#This Row],[Fecha Vigencia]]-AJ317</f>
        <v>44749.666666666664</v>
      </c>
      <c r="AL317" s="23"/>
      <c r="AM317" s="87"/>
      <c r="AN317" s="23"/>
      <c r="AO317" s="29"/>
      <c r="AP317" s="23"/>
      <c r="AQ317" s="34" t="s">
        <v>116</v>
      </c>
      <c r="AR317" s="23" t="s">
        <v>11</v>
      </c>
      <c r="AS317" s="33">
        <v>0.05</v>
      </c>
      <c r="AT317" s="29">
        <v>46097</v>
      </c>
      <c r="AU317" s="23"/>
      <c r="AV317" s="23"/>
      <c r="AW317" s="23" t="s">
        <v>1855</v>
      </c>
      <c r="AX317" t="s">
        <v>118</v>
      </c>
      <c r="AY317" s="23"/>
      <c r="AZ317" s="23"/>
      <c r="BA317" s="23"/>
      <c r="BB317" s="32"/>
      <c r="BC317" s="73"/>
    </row>
    <row r="318" spans="1:55" x14ac:dyDescent="0.25">
      <c r="A318" s="22" t="s">
        <v>1856</v>
      </c>
      <c r="B318" s="23" t="s">
        <v>1857</v>
      </c>
      <c r="C318" s="23" t="s">
        <v>1858</v>
      </c>
      <c r="D318" s="34" t="s">
        <v>1813</v>
      </c>
      <c r="E318" s="24"/>
      <c r="F318" s="25"/>
      <c r="G318" s="23" t="s">
        <v>21</v>
      </c>
      <c r="H318" s="23" t="s">
        <v>106</v>
      </c>
      <c r="I318" s="2">
        <v>44740.396678240744</v>
      </c>
      <c r="J318" s="24">
        <f>MONTH(Tabla1[[#This Row],[Publicación]])</f>
        <v>6</v>
      </c>
      <c r="K318" s="24">
        <f>YEAR(Tabla1[[#This Row],[Publicación]])</f>
        <v>2022</v>
      </c>
      <c r="L318" s="2">
        <v>44750.625</v>
      </c>
      <c r="M318" s="26">
        <v>44742</v>
      </c>
      <c r="N318" s="25" t="s">
        <v>11</v>
      </c>
      <c r="O318" s="24"/>
      <c r="P318" s="24" t="s">
        <v>11</v>
      </c>
      <c r="Q318" s="2">
        <v>44741.625</v>
      </c>
      <c r="R318" s="2">
        <v>44743.625</v>
      </c>
      <c r="S318" s="26">
        <v>44781</v>
      </c>
      <c r="T318" s="28">
        <v>7616000</v>
      </c>
      <c r="U318" s="28">
        <f>Tabla1[[#This Row],[PPTO]]/(1+'Lista Datos'!$B$1)</f>
        <v>6400000</v>
      </c>
      <c r="V318" s="23">
        <v>30</v>
      </c>
      <c r="W318" s="18" t="s">
        <v>10</v>
      </c>
      <c r="X318" s="102"/>
      <c r="Y318" s="18" t="s">
        <v>146</v>
      </c>
      <c r="Z318" s="18" t="s">
        <v>10</v>
      </c>
      <c r="AA318" s="23" t="s">
        <v>512</v>
      </c>
      <c r="AB318" s="23"/>
      <c r="AC318" s="23" t="s">
        <v>10</v>
      </c>
      <c r="AD318" s="23"/>
      <c r="AE318" s="29">
        <f>Tabla1[[#This Row],[Cierre]]+Tabla1[[#This Row],[Vigencia Oferta (días)]]</f>
        <v>44750.625</v>
      </c>
      <c r="AF318" s="87">
        <v>4</v>
      </c>
      <c r="AG318" s="28">
        <v>24415</v>
      </c>
      <c r="AH318" s="164">
        <f>Tabla1[[#This Row],[Unidades2]]*Tabla1[[#This Row],[Precio Unitario]]</f>
        <v>97660</v>
      </c>
      <c r="AI318" s="23" t="s">
        <v>44</v>
      </c>
      <c r="AJ318" s="26">
        <v>44824.689803240741</v>
      </c>
      <c r="AK318" s="172">
        <f>Tabla1[[#This Row],[Fecha Vigencia]]-AJ318</f>
        <v>-74.06480324074073</v>
      </c>
      <c r="AL318" s="23" t="s">
        <v>115</v>
      </c>
      <c r="AM318" s="87">
        <v>97660</v>
      </c>
      <c r="AN318" s="23"/>
      <c r="AO318" s="29"/>
      <c r="AP318" s="23" t="s">
        <v>292</v>
      </c>
      <c r="AQ318" s="34" t="s">
        <v>1814</v>
      </c>
      <c r="AR318" s="23" t="s">
        <v>10</v>
      </c>
      <c r="AS318" s="23"/>
      <c r="AT318" s="23"/>
      <c r="AU318" s="23" t="s">
        <v>1859</v>
      </c>
      <c r="AV318" t="s">
        <v>1860</v>
      </c>
      <c r="AW318" s="23" t="s">
        <v>1861</v>
      </c>
      <c r="AX318" t="s">
        <v>459</v>
      </c>
      <c r="AY318" s="23"/>
      <c r="AZ318" s="23"/>
      <c r="BA318" s="23"/>
      <c r="BB318" s="32"/>
      <c r="BC318" s="73"/>
    </row>
    <row r="319" spans="1:55" x14ac:dyDescent="0.25">
      <c r="A319" s="22" t="s">
        <v>1856</v>
      </c>
      <c r="B319" s="23" t="s">
        <v>1857</v>
      </c>
      <c r="C319" s="23" t="s">
        <v>1858</v>
      </c>
      <c r="D319" s="34" t="s">
        <v>1813</v>
      </c>
      <c r="E319" s="24"/>
      <c r="F319" s="25"/>
      <c r="G319" s="23" t="s">
        <v>21</v>
      </c>
      <c r="H319" s="23" t="s">
        <v>106</v>
      </c>
      <c r="I319" s="2">
        <v>44740.396678240744</v>
      </c>
      <c r="J319" s="24">
        <f>MONTH(Tabla1[[#This Row],[Publicación]])</f>
        <v>6</v>
      </c>
      <c r="K319" s="24">
        <f>YEAR(Tabla1[[#This Row],[Publicación]])</f>
        <v>2022</v>
      </c>
      <c r="L319" s="2">
        <v>44750.625</v>
      </c>
      <c r="M319" s="26">
        <v>44742</v>
      </c>
      <c r="N319" s="25" t="s">
        <v>11</v>
      </c>
      <c r="O319" s="24"/>
      <c r="P319" s="24" t="s">
        <v>11</v>
      </c>
      <c r="Q319" s="2">
        <v>44741.625</v>
      </c>
      <c r="R319" s="2">
        <v>44743.625</v>
      </c>
      <c r="S319" s="26">
        <v>44781</v>
      </c>
      <c r="T319" s="28">
        <v>7616000</v>
      </c>
      <c r="U319" s="28">
        <f>Tabla1[[#This Row],[PPTO]]/(1+'Lista Datos'!$B$1)</f>
        <v>6400000</v>
      </c>
      <c r="V319" s="23">
        <v>30</v>
      </c>
      <c r="W319" s="18" t="s">
        <v>10</v>
      </c>
      <c r="X319" s="102"/>
      <c r="Y319" s="18" t="s">
        <v>146</v>
      </c>
      <c r="Z319" s="18" t="s">
        <v>10</v>
      </c>
      <c r="AA319" s="23" t="s">
        <v>512</v>
      </c>
      <c r="AB319" s="23"/>
      <c r="AC319" s="23" t="s">
        <v>10</v>
      </c>
      <c r="AD319" s="23"/>
      <c r="AE319" s="29">
        <f>Tabla1[[#This Row],[Cierre]]+Tabla1[[#This Row],[Vigencia Oferta (días)]]</f>
        <v>44750.625</v>
      </c>
      <c r="AF319" s="87">
        <v>10</v>
      </c>
      <c r="AG319" s="28">
        <v>11655</v>
      </c>
      <c r="AH319" s="164">
        <f>Tabla1[[#This Row],[Unidades2]]*Tabla1[[#This Row],[Precio Unitario]]</f>
        <v>116550</v>
      </c>
      <c r="AI319" s="23" t="s">
        <v>44</v>
      </c>
      <c r="AJ319" s="26">
        <v>44824</v>
      </c>
      <c r="AK319" s="172">
        <f>Tabla1[[#This Row],[Fecha Vigencia]]-AJ319</f>
        <v>-73.375</v>
      </c>
      <c r="AL319" s="23" t="s">
        <v>115</v>
      </c>
      <c r="AM319" s="87">
        <v>116550</v>
      </c>
      <c r="AN319" s="23"/>
      <c r="AO319" s="29"/>
      <c r="AP319" s="23" t="s">
        <v>292</v>
      </c>
      <c r="AQ319" s="34" t="s">
        <v>1814</v>
      </c>
      <c r="AR319" s="23" t="s">
        <v>10</v>
      </c>
      <c r="AS319" s="23"/>
      <c r="AT319" s="23"/>
      <c r="AU319" s="23" t="s">
        <v>1859</v>
      </c>
      <c r="AV319" t="s">
        <v>1860</v>
      </c>
      <c r="AW319" s="23" t="s">
        <v>1861</v>
      </c>
      <c r="AX319" t="s">
        <v>459</v>
      </c>
      <c r="AY319" s="23"/>
      <c r="AZ319" s="23"/>
      <c r="BA319" s="23"/>
      <c r="BB319" s="32"/>
      <c r="BC319" s="73"/>
    </row>
    <row r="320" spans="1:55" x14ac:dyDescent="0.25">
      <c r="A320" s="22" t="s">
        <v>1862</v>
      </c>
      <c r="B320" s="23" t="s">
        <v>1863</v>
      </c>
      <c r="C320" s="23" t="s">
        <v>1864</v>
      </c>
      <c r="D320" s="34" t="s">
        <v>1346</v>
      </c>
      <c r="E320" s="24"/>
      <c r="F320" s="25"/>
      <c r="G320" s="23" t="s">
        <v>18</v>
      </c>
      <c r="H320" s="23" t="s">
        <v>213</v>
      </c>
      <c r="I320" s="2">
        <v>44742.723865740743</v>
      </c>
      <c r="J320" s="24">
        <f>MONTH(Tabla1[[#This Row],[Publicación]])</f>
        <v>6</v>
      </c>
      <c r="K320" s="24">
        <f>YEAR(Tabla1[[#This Row],[Publicación]])</f>
        <v>2022</v>
      </c>
      <c r="L320" s="2">
        <v>44753.625</v>
      </c>
      <c r="M320" s="26">
        <v>44743</v>
      </c>
      <c r="N320" s="25" t="s">
        <v>10</v>
      </c>
      <c r="O320" s="24" t="s">
        <v>25</v>
      </c>
      <c r="P320" s="24" t="s">
        <v>10</v>
      </c>
      <c r="Q320" s="2">
        <v>44748.625</v>
      </c>
      <c r="R320" s="2">
        <v>44749.625</v>
      </c>
      <c r="S320" s="26">
        <v>44804.833333333336</v>
      </c>
      <c r="T320" s="28">
        <v>12000000</v>
      </c>
      <c r="U320" s="28">
        <f>Tabla1[[#This Row],[PPTO]]/(1+'Lista Datos'!$B$1)</f>
        <v>10084033.613445379</v>
      </c>
      <c r="V320" s="23"/>
      <c r="W320" s="18" t="s">
        <v>11</v>
      </c>
      <c r="X320" s="102">
        <v>500000</v>
      </c>
      <c r="Y320" s="26">
        <v>44803</v>
      </c>
      <c r="Z320" s="18" t="s">
        <v>11</v>
      </c>
      <c r="AA320" s="23" t="s">
        <v>177</v>
      </c>
      <c r="AB320" s="23">
        <v>12</v>
      </c>
      <c r="AC320" s="23"/>
      <c r="AD320" s="23"/>
      <c r="AE320" s="29">
        <f>Tabla1[[#This Row],[Cierre]]+Tabla1[[#This Row],[Vigencia Oferta (días)]]</f>
        <v>44753.625</v>
      </c>
      <c r="AF320" s="87"/>
      <c r="AG320" s="28"/>
      <c r="AH320" s="164">
        <f>Tabla1[[#This Row],[Unidades2]]*Tabla1[[#This Row],[Precio Unitario]]</f>
        <v>0</v>
      </c>
      <c r="AI320" s="23" t="s">
        <v>44</v>
      </c>
      <c r="AJ320" s="26">
        <v>44795.462708333333</v>
      </c>
      <c r="AK320" s="172">
        <f>Tabla1[[#This Row],[Fecha Vigencia]]-AJ320</f>
        <v>-41.837708333332557</v>
      </c>
      <c r="AL320" s="23" t="s">
        <v>46</v>
      </c>
      <c r="AM320" s="87">
        <v>12000000</v>
      </c>
      <c r="AN320" s="29">
        <v>44795</v>
      </c>
      <c r="AO320" s="29">
        <v>45526</v>
      </c>
      <c r="AP320" s="23" t="s">
        <v>177</v>
      </c>
      <c r="AQ320" s="34" t="s">
        <v>1347</v>
      </c>
      <c r="AR320" s="23" t="s">
        <v>11</v>
      </c>
      <c r="AS320" s="33">
        <v>0.05</v>
      </c>
      <c r="AT320" s="29">
        <v>45229</v>
      </c>
      <c r="AU320" s="23"/>
      <c r="AV320" s="23"/>
      <c r="AW320" s="23" t="s">
        <v>1660</v>
      </c>
      <c r="AX320" t="s">
        <v>1350</v>
      </c>
      <c r="AY320" s="23"/>
      <c r="AZ320" s="23"/>
      <c r="BA320" s="23"/>
      <c r="BB320" s="32"/>
      <c r="BC320" s="73"/>
    </row>
    <row r="321" spans="1:55" x14ac:dyDescent="0.25">
      <c r="A321" s="22" t="s">
        <v>1865</v>
      </c>
      <c r="B321" s="23" t="s">
        <v>1439</v>
      </c>
      <c r="C321" s="23" t="s">
        <v>1439</v>
      </c>
      <c r="D321" s="34" t="s">
        <v>1866</v>
      </c>
      <c r="E321" s="24" t="s">
        <v>1867</v>
      </c>
      <c r="F321" s="25"/>
      <c r="G321" s="23" t="s">
        <v>21</v>
      </c>
      <c r="H321" s="23" t="s">
        <v>106</v>
      </c>
      <c r="I321" s="2">
        <v>44740.61513888889</v>
      </c>
      <c r="J321" s="24">
        <f>MONTH(Tabla1[[#This Row],[Publicación]])</f>
        <v>6</v>
      </c>
      <c r="K321" s="24">
        <f>YEAR(Tabla1[[#This Row],[Publicación]])</f>
        <v>2022</v>
      </c>
      <c r="L321" s="2">
        <v>44753.693055555559</v>
      </c>
      <c r="M321" s="26">
        <v>44742</v>
      </c>
      <c r="N321" s="25" t="s">
        <v>10</v>
      </c>
      <c r="O321" s="24" t="s">
        <v>27</v>
      </c>
      <c r="P321" s="24" t="s">
        <v>10</v>
      </c>
      <c r="Q321" s="2">
        <v>44743.770138888889</v>
      </c>
      <c r="R321" s="2">
        <v>44746.770138888889</v>
      </c>
      <c r="S321" s="26">
        <v>44816.693749999999</v>
      </c>
      <c r="T321" s="28">
        <v>8386628</v>
      </c>
      <c r="U321" s="28">
        <f>Tabla1[[#This Row],[PPTO]]/(1+'Lista Datos'!$B$1)</f>
        <v>7047586.5546218492</v>
      </c>
      <c r="V321" s="23"/>
      <c r="W321" s="18" t="s">
        <v>10</v>
      </c>
      <c r="X321" s="102"/>
      <c r="Y321" s="18" t="s">
        <v>146</v>
      </c>
      <c r="Z321" s="18" t="s">
        <v>10</v>
      </c>
      <c r="AA321" s="23" t="s">
        <v>177</v>
      </c>
      <c r="AB321" s="23"/>
      <c r="AC321" s="23"/>
      <c r="AD321" s="23"/>
      <c r="AE321" s="29">
        <f>Tabla1[[#This Row],[Cierre]]+Tabla1[[#This Row],[Vigencia Oferta (días)]]</f>
        <v>44753.693055555559</v>
      </c>
      <c r="AF321" s="87"/>
      <c r="AG321" s="28"/>
      <c r="AH321" s="164">
        <f>Tabla1[[#This Row],[Unidades2]]*Tabla1[[#This Row],[Precio Unitario]]</f>
        <v>0</v>
      </c>
      <c r="AI321" s="23" t="s">
        <v>44</v>
      </c>
      <c r="AJ321" s="26">
        <v>44775</v>
      </c>
      <c r="AK321" s="172">
        <f>Tabla1[[#This Row],[Fecha Vigencia]]-AJ321</f>
        <v>-21.306944444440887</v>
      </c>
      <c r="AL321" s="23" t="s">
        <v>46</v>
      </c>
      <c r="AM321" s="87">
        <v>220000</v>
      </c>
      <c r="AN321" s="23"/>
      <c r="AO321" s="29"/>
      <c r="AP321" s="23"/>
      <c r="AQ321" s="34" t="s">
        <v>1442</v>
      </c>
      <c r="AR321" s="23" t="s">
        <v>10</v>
      </c>
      <c r="AS321" s="23"/>
      <c r="AT321" s="23"/>
      <c r="AU321" s="23"/>
      <c r="AV321" s="23"/>
      <c r="AW321" s="23" t="s">
        <v>1443</v>
      </c>
      <c r="AX321" t="s">
        <v>1444</v>
      </c>
      <c r="AY321" s="23"/>
      <c r="AZ321" s="23"/>
      <c r="BA321" s="23"/>
      <c r="BB321" s="32"/>
      <c r="BC321" s="73"/>
    </row>
    <row r="322" spans="1:55" x14ac:dyDescent="0.25">
      <c r="A322" s="22" t="s">
        <v>1868</v>
      </c>
      <c r="B322" s="23" t="s">
        <v>1869</v>
      </c>
      <c r="C322" s="23" t="s">
        <v>1870</v>
      </c>
      <c r="D322" s="34" t="s">
        <v>113</v>
      </c>
      <c r="E322" s="24"/>
      <c r="F322" s="25"/>
      <c r="G322" s="23" t="s">
        <v>16</v>
      </c>
      <c r="H322" s="23" t="s">
        <v>1871</v>
      </c>
      <c r="I322" s="2">
        <v>44743.440717592595</v>
      </c>
      <c r="J322" s="24">
        <f>MONTH(Tabla1[[#This Row],[Publicación]])</f>
        <v>7</v>
      </c>
      <c r="K322" s="24">
        <f>YEAR(Tabla1[[#This Row],[Publicación]])</f>
        <v>2022</v>
      </c>
      <c r="L322" s="2">
        <v>44754.791666666664</v>
      </c>
      <c r="M322" s="26">
        <v>44749</v>
      </c>
      <c r="N322" s="25" t="s">
        <v>10</v>
      </c>
      <c r="O322" s="24" t="s">
        <v>25</v>
      </c>
      <c r="P322" s="24" t="s">
        <v>10</v>
      </c>
      <c r="Q322" s="2">
        <v>44747.75</v>
      </c>
      <c r="R322" s="2">
        <v>44750.75</v>
      </c>
      <c r="S322" s="26">
        <v>44876.777777777781</v>
      </c>
      <c r="T322" s="28">
        <v>0</v>
      </c>
      <c r="U322" s="28">
        <f>Tabla1[[#This Row],[PPTO]]/(1+'Lista Datos'!$B$1)</f>
        <v>0</v>
      </c>
      <c r="V322" s="23"/>
      <c r="W322" s="18" t="s">
        <v>10</v>
      </c>
      <c r="X322" s="102"/>
      <c r="Y322" s="18" t="s">
        <v>146</v>
      </c>
      <c r="Z322" s="18" t="s">
        <v>10</v>
      </c>
      <c r="AA322" s="23"/>
      <c r="AB322" s="23"/>
      <c r="AC322" s="23"/>
      <c r="AD322" s="23"/>
      <c r="AE322" s="29">
        <f>Tabla1[[#This Row],[Cierre]]+Tabla1[[#This Row],[Vigencia Oferta (días)]]</f>
        <v>44754.791666666664</v>
      </c>
      <c r="AF322" s="87"/>
      <c r="AG322" s="28"/>
      <c r="AH322" s="164">
        <f>Tabla1[[#This Row],[Unidades2]]*Tabla1[[#This Row],[Precio Unitario]]</f>
        <v>0</v>
      </c>
      <c r="AI322" s="23" t="s">
        <v>137</v>
      </c>
      <c r="AJ322" s="26"/>
      <c r="AK322" s="172">
        <f>Tabla1[[#This Row],[Fecha Vigencia]]-AJ322</f>
        <v>44754.791666666664</v>
      </c>
      <c r="AL322" s="23"/>
      <c r="AM322" s="87"/>
      <c r="AN322" s="23"/>
      <c r="AO322" s="29"/>
      <c r="AP322" s="23"/>
      <c r="AQ322" s="34" t="s">
        <v>116</v>
      </c>
      <c r="AR322" s="23" t="s">
        <v>10</v>
      </c>
      <c r="AS322" s="23"/>
      <c r="AT322" s="23"/>
      <c r="AU322" s="23"/>
      <c r="AV322" s="23"/>
      <c r="AW322" s="23" t="s">
        <v>1872</v>
      </c>
      <c r="AX322" t="s">
        <v>766</v>
      </c>
      <c r="AY322" s="23"/>
      <c r="AZ322" s="23"/>
      <c r="BA322" s="23"/>
      <c r="BB322" s="32"/>
      <c r="BC322" s="73"/>
    </row>
    <row r="323" spans="1:55" x14ac:dyDescent="0.25">
      <c r="A323" s="22" t="s">
        <v>1873</v>
      </c>
      <c r="B323" s="23" t="s">
        <v>1874</v>
      </c>
      <c r="C323" s="23" t="s">
        <v>1875</v>
      </c>
      <c r="D323" s="34" t="s">
        <v>1876</v>
      </c>
      <c r="E323" s="24"/>
      <c r="F323" s="25"/>
      <c r="G323" s="23" t="s">
        <v>20</v>
      </c>
      <c r="H323" s="23" t="s">
        <v>176</v>
      </c>
      <c r="I323" s="2">
        <v>44747.346087962964</v>
      </c>
      <c r="J323" s="24">
        <f>MONTH(Tabla1[[#This Row],[Publicación]])</f>
        <v>7</v>
      </c>
      <c r="K323" s="24">
        <f>YEAR(Tabla1[[#This Row],[Publicación]])</f>
        <v>2022</v>
      </c>
      <c r="L323" s="2">
        <v>44760.625</v>
      </c>
      <c r="M323" s="26">
        <v>44748</v>
      </c>
      <c r="N323" s="25" t="s">
        <v>11</v>
      </c>
      <c r="O323" s="24"/>
      <c r="P323" s="24" t="s">
        <v>11</v>
      </c>
      <c r="Q323" s="2">
        <v>44751.666666666664</v>
      </c>
      <c r="R323" s="2">
        <v>44753.75</v>
      </c>
      <c r="S323" s="26">
        <v>44789.75</v>
      </c>
      <c r="T323" s="28">
        <v>97000000</v>
      </c>
      <c r="U323" s="28">
        <f>Tabla1[[#This Row],[PPTO]]/(1+'Lista Datos'!$B$1)</f>
        <v>81512605.042016804</v>
      </c>
      <c r="V323" s="23"/>
      <c r="W323" s="18" t="s">
        <v>10</v>
      </c>
      <c r="X323" s="102"/>
      <c r="Y323" s="18" t="s">
        <v>146</v>
      </c>
      <c r="Z323" s="18" t="s">
        <v>10</v>
      </c>
      <c r="AA323" s="23" t="s">
        <v>177</v>
      </c>
      <c r="AB323" s="23">
        <v>24</v>
      </c>
      <c r="AC323" s="23" t="s">
        <v>10</v>
      </c>
      <c r="AD323" s="23">
        <v>120</v>
      </c>
      <c r="AE323" s="29">
        <f>Tabla1[[#This Row],[Cierre]]+Tabla1[[#This Row],[Vigencia Oferta (días)]]</f>
        <v>44880.625</v>
      </c>
      <c r="AF323" s="87"/>
      <c r="AG323" s="28"/>
      <c r="AH323" s="164">
        <f>Tabla1[[#This Row],[Unidades2]]*Tabla1[[#This Row],[Precio Unitario]]</f>
        <v>0</v>
      </c>
      <c r="AI323" s="23" t="s">
        <v>44</v>
      </c>
      <c r="AJ323" s="26"/>
      <c r="AK323" s="172">
        <f>Tabla1[[#This Row],[Fecha Vigencia]]-AJ323</f>
        <v>44880.625</v>
      </c>
      <c r="AL323" s="23"/>
      <c r="AM323" s="87"/>
      <c r="AN323" s="23"/>
      <c r="AO323" s="29"/>
      <c r="AP323" s="23"/>
      <c r="AQ323" s="34" t="s">
        <v>995</v>
      </c>
      <c r="AR323" s="23" t="s">
        <v>11</v>
      </c>
      <c r="AS323" s="33">
        <v>0.1</v>
      </c>
      <c r="AT323" s="29">
        <v>45677</v>
      </c>
      <c r="AU323" s="23"/>
      <c r="AV323" s="23"/>
      <c r="AW323" s="23" t="s">
        <v>996</v>
      </c>
      <c r="AX323" t="s">
        <v>997</v>
      </c>
      <c r="AY323" s="23"/>
      <c r="AZ323" s="23"/>
      <c r="BA323" s="23"/>
      <c r="BB323" s="32"/>
      <c r="BC323" s="73"/>
    </row>
    <row r="324" spans="1:55" x14ac:dyDescent="0.25">
      <c r="A324" s="22" t="s">
        <v>1877</v>
      </c>
      <c r="B324" s="23" t="s">
        <v>1878</v>
      </c>
      <c r="C324" s="23" t="s">
        <v>1879</v>
      </c>
      <c r="D324" s="34" t="s">
        <v>1880</v>
      </c>
      <c r="E324" s="24"/>
      <c r="F324" s="25"/>
      <c r="G324" s="23" t="s">
        <v>20</v>
      </c>
      <c r="H324" s="23" t="s">
        <v>176</v>
      </c>
      <c r="I324" s="2">
        <v>44748.687835648147</v>
      </c>
      <c r="J324" s="24">
        <f>MONTH(Tabla1[[#This Row],[Publicación]])</f>
        <v>7</v>
      </c>
      <c r="K324" s="24">
        <f>YEAR(Tabla1[[#This Row],[Publicación]])</f>
        <v>2022</v>
      </c>
      <c r="L324" s="2">
        <v>44760.666666666664</v>
      </c>
      <c r="M324" s="26">
        <v>44749</v>
      </c>
      <c r="N324" s="25" t="s">
        <v>11</v>
      </c>
      <c r="O324" s="24"/>
      <c r="P324" s="24" t="s">
        <v>11</v>
      </c>
      <c r="Q324" s="2">
        <v>44751.666666666664</v>
      </c>
      <c r="R324" s="2">
        <v>44754.666666666664</v>
      </c>
      <c r="S324" s="26">
        <v>44775.511805555558</v>
      </c>
      <c r="T324" s="28">
        <v>116000000</v>
      </c>
      <c r="U324" s="28">
        <f>Tabla1[[#This Row],[PPTO]]/(1+'Lista Datos'!$B$1)</f>
        <v>97478991.596638665</v>
      </c>
      <c r="V324" s="23"/>
      <c r="W324" s="18" t="s">
        <v>11</v>
      </c>
      <c r="X324" s="102">
        <v>200000</v>
      </c>
      <c r="Y324" s="26">
        <v>44886</v>
      </c>
      <c r="Z324" s="18" t="s">
        <v>10</v>
      </c>
      <c r="AA324" s="23" t="s">
        <v>177</v>
      </c>
      <c r="AB324" s="23">
        <v>24</v>
      </c>
      <c r="AC324" s="23" t="s">
        <v>10</v>
      </c>
      <c r="AD324" s="23">
        <v>120</v>
      </c>
      <c r="AE324" s="29">
        <f>Tabla1[[#This Row],[Cierre]]+Tabla1[[#This Row],[Vigencia Oferta (días)]]</f>
        <v>44880.666666666664</v>
      </c>
      <c r="AF324" s="87"/>
      <c r="AG324" s="28"/>
      <c r="AH324" s="164">
        <f>Tabla1[[#This Row],[Unidades2]]*Tabla1[[#This Row],[Precio Unitario]]</f>
        <v>0</v>
      </c>
      <c r="AI324" s="23" t="s">
        <v>44</v>
      </c>
      <c r="AJ324" s="26">
        <v>44805.489675925928</v>
      </c>
      <c r="AK324" s="172">
        <f>Tabla1[[#This Row],[Fecha Vigencia]]-AJ324</f>
        <v>75.176990740736073</v>
      </c>
      <c r="AL324" s="23" t="s">
        <v>45</v>
      </c>
      <c r="AM324" s="87">
        <v>117544000</v>
      </c>
      <c r="AN324" s="23"/>
      <c r="AO324" s="29"/>
      <c r="AP324" s="23"/>
      <c r="AQ324" s="34" t="s">
        <v>1881</v>
      </c>
      <c r="AR324" s="23" t="s">
        <v>11</v>
      </c>
      <c r="AS324" s="33">
        <v>0.05</v>
      </c>
      <c r="AT324" s="29">
        <v>45593</v>
      </c>
      <c r="AU324" s="23"/>
      <c r="AV324" s="23"/>
      <c r="AW324" s="23" t="s">
        <v>1882</v>
      </c>
      <c r="AX324" t="s">
        <v>1883</v>
      </c>
      <c r="AY324" s="23"/>
      <c r="AZ324" s="23"/>
      <c r="BA324" s="23"/>
      <c r="BB324" s="32"/>
      <c r="BC324" s="73"/>
    </row>
    <row r="325" spans="1:55" x14ac:dyDescent="0.25">
      <c r="A325" s="22" t="s">
        <v>1884</v>
      </c>
      <c r="B325" s="23" t="s">
        <v>1885</v>
      </c>
      <c r="C325" s="23" t="s">
        <v>1886</v>
      </c>
      <c r="D325" s="34" t="s">
        <v>787</v>
      </c>
      <c r="E325" s="24"/>
      <c r="F325" s="25"/>
      <c r="G325" s="23" t="s">
        <v>16</v>
      </c>
      <c r="H325" s="23" t="s">
        <v>123</v>
      </c>
      <c r="I325" s="2">
        <v>44755.683113425926</v>
      </c>
      <c r="J325" s="24">
        <f>MONTH(Tabla1[[#This Row],[Publicación]])</f>
        <v>7</v>
      </c>
      <c r="K325" s="24">
        <f>YEAR(Tabla1[[#This Row],[Publicación]])</f>
        <v>2022</v>
      </c>
      <c r="L325" s="2">
        <v>44761.625</v>
      </c>
      <c r="M325" s="26"/>
      <c r="N325" s="25" t="s">
        <v>10</v>
      </c>
      <c r="O325" s="24" t="s">
        <v>35</v>
      </c>
      <c r="P325" s="24" t="s">
        <v>10</v>
      </c>
      <c r="Q325" s="2">
        <v>44758.791666666664</v>
      </c>
      <c r="R325" s="2">
        <v>44760.583333333336</v>
      </c>
      <c r="S325" s="26">
        <v>44804.742361111108</v>
      </c>
      <c r="T325" s="28">
        <v>270000000</v>
      </c>
      <c r="U325" s="28">
        <f>Tabla1[[#This Row],[PPTO]]/(1+'Lista Datos'!$B$1)</f>
        <v>226890756.30252102</v>
      </c>
      <c r="V325" s="23"/>
      <c r="W325" s="18" t="s">
        <v>10</v>
      </c>
      <c r="X325" s="102"/>
      <c r="Y325" s="18" t="s">
        <v>146</v>
      </c>
      <c r="Z325" s="18" t="s">
        <v>10</v>
      </c>
      <c r="AA325" s="23" t="s">
        <v>177</v>
      </c>
      <c r="AB325" s="23">
        <v>12</v>
      </c>
      <c r="AC325" s="23" t="s">
        <v>10</v>
      </c>
      <c r="AD325" s="23"/>
      <c r="AE325" s="29">
        <f>Tabla1[[#This Row],[Cierre]]+Tabla1[[#This Row],[Vigencia Oferta (días)]]</f>
        <v>44761.625</v>
      </c>
      <c r="AF325" s="87"/>
      <c r="AG325" s="28"/>
      <c r="AH325" s="164">
        <f>Tabla1[[#This Row],[Unidades2]]*Tabla1[[#This Row],[Precio Unitario]]</f>
        <v>0</v>
      </c>
      <c r="AI325" s="23" t="s">
        <v>44</v>
      </c>
      <c r="AJ325" s="26">
        <v>44770</v>
      </c>
      <c r="AK325" s="172">
        <f>Tabla1[[#This Row],[Fecha Vigencia]]-AJ325</f>
        <v>-8.375</v>
      </c>
      <c r="AL325" s="23" t="s">
        <v>46</v>
      </c>
      <c r="AM325" s="87">
        <v>153800</v>
      </c>
      <c r="AN325" s="23"/>
      <c r="AO325" s="29"/>
      <c r="AP325" s="23"/>
      <c r="AQ325" s="34" t="s">
        <v>788</v>
      </c>
      <c r="AR325" s="23" t="s">
        <v>10</v>
      </c>
      <c r="AS325" s="23"/>
      <c r="AT325" s="23"/>
      <c r="AU325" s="23"/>
      <c r="AV325" s="23"/>
      <c r="AW325" s="23" t="s">
        <v>789</v>
      </c>
      <c r="AX325" t="s">
        <v>790</v>
      </c>
      <c r="AY325" s="23"/>
      <c r="AZ325" s="23"/>
      <c r="BA325" s="23"/>
      <c r="BB325" s="32"/>
      <c r="BC325" s="73"/>
    </row>
    <row r="326" spans="1:55" x14ac:dyDescent="0.25">
      <c r="A326" s="22" t="s">
        <v>1887</v>
      </c>
      <c r="B326" s="23" t="s">
        <v>1888</v>
      </c>
      <c r="C326" s="23" t="s">
        <v>1889</v>
      </c>
      <c r="D326" s="34" t="s">
        <v>770</v>
      </c>
      <c r="E326" s="24"/>
      <c r="F326" s="25"/>
      <c r="G326" s="23" t="s">
        <v>20</v>
      </c>
      <c r="H326" s="23" t="s">
        <v>176</v>
      </c>
      <c r="I326" s="2">
        <v>44734.62771990741</v>
      </c>
      <c r="J326" s="24">
        <f>MONTH(Tabla1[[#This Row],[Publicación]])</f>
        <v>6</v>
      </c>
      <c r="K326" s="24">
        <f>YEAR(Tabla1[[#This Row],[Publicación]])</f>
        <v>2022</v>
      </c>
      <c r="L326" s="2">
        <v>44764.679861111108</v>
      </c>
      <c r="M326" s="26">
        <v>44735</v>
      </c>
      <c r="N326" s="25" t="s">
        <v>11</v>
      </c>
      <c r="O326" s="24"/>
      <c r="P326" s="24" t="s">
        <v>11</v>
      </c>
      <c r="Q326" s="2">
        <v>44741.663888888892</v>
      </c>
      <c r="R326" s="2">
        <v>44748.663888888892</v>
      </c>
      <c r="S326" s="26">
        <v>44839</v>
      </c>
      <c r="T326" s="28">
        <v>633127000</v>
      </c>
      <c r="U326" s="28">
        <f>Tabla1[[#This Row],[PPTO]]/(1+'Lista Datos'!$B$1)</f>
        <v>532039495.79831934</v>
      </c>
      <c r="V326" s="23"/>
      <c r="W326" s="18" t="s">
        <v>11</v>
      </c>
      <c r="X326" s="102">
        <v>500000</v>
      </c>
      <c r="Y326" s="26">
        <v>44872</v>
      </c>
      <c r="Z326" s="18" t="s">
        <v>10</v>
      </c>
      <c r="AA326" s="23" t="s">
        <v>177</v>
      </c>
      <c r="AB326" s="23">
        <v>36</v>
      </c>
      <c r="AC326" s="23" t="s">
        <v>10</v>
      </c>
      <c r="AD326" s="23"/>
      <c r="AE326" s="29">
        <f>Tabla1[[#This Row],[Cierre]]+Tabla1[[#This Row],[Vigencia Oferta (días)]]</f>
        <v>44764.679861111108</v>
      </c>
      <c r="AF326" s="87"/>
      <c r="AG326" s="28"/>
      <c r="AH326" s="164">
        <f>Tabla1[[#This Row],[Unidades2]]*Tabla1[[#This Row],[Precio Unitario]]</f>
        <v>0</v>
      </c>
      <c r="AI326" s="23" t="s">
        <v>44</v>
      </c>
      <c r="AJ326" s="26">
        <v>44893.448912037034</v>
      </c>
      <c r="AK326" s="172">
        <f>Tabla1[[#This Row],[Fecha Vigencia]]-AJ326</f>
        <v>-128.76905092592642</v>
      </c>
      <c r="AL326" s="23" t="s">
        <v>45</v>
      </c>
      <c r="AM326" s="87">
        <v>598862000</v>
      </c>
      <c r="AN326" s="23"/>
      <c r="AO326" s="29"/>
      <c r="AP326" s="23"/>
      <c r="AQ326" s="34" t="s">
        <v>771</v>
      </c>
      <c r="AR326" s="23" t="s">
        <v>11</v>
      </c>
      <c r="AS326" s="33">
        <v>0.1</v>
      </c>
      <c r="AT326" s="29">
        <v>46026</v>
      </c>
      <c r="AU326" s="23"/>
      <c r="AV326" s="23"/>
      <c r="AW326" s="23" t="s">
        <v>1890</v>
      </c>
      <c r="AX326" t="s">
        <v>773</v>
      </c>
      <c r="AY326" s="23"/>
      <c r="AZ326" s="23"/>
      <c r="BA326" s="23"/>
      <c r="BB326" s="32"/>
      <c r="BC326" s="73"/>
    </row>
    <row r="327" spans="1:55" x14ac:dyDescent="0.25">
      <c r="A327" s="22" t="s">
        <v>1891</v>
      </c>
      <c r="B327" s="23" t="s">
        <v>1892</v>
      </c>
      <c r="C327" s="23" t="s">
        <v>1893</v>
      </c>
      <c r="D327" s="34" t="s">
        <v>153</v>
      </c>
      <c r="E327" s="24"/>
      <c r="F327" s="25"/>
      <c r="G327" s="23" t="s">
        <v>16</v>
      </c>
      <c r="H327" s="23" t="s">
        <v>145</v>
      </c>
      <c r="I327" s="2">
        <v>44747.627766203703</v>
      </c>
      <c r="J327" s="24">
        <f>MONTH(Tabla1[[#This Row],[Publicación]])</f>
        <v>7</v>
      </c>
      <c r="K327" s="24">
        <f>YEAR(Tabla1[[#This Row],[Publicación]])</f>
        <v>2022</v>
      </c>
      <c r="L327" s="2">
        <v>44767.675694444442</v>
      </c>
      <c r="M327" s="26">
        <v>44749</v>
      </c>
      <c r="N327" s="25" t="s">
        <v>11</v>
      </c>
      <c r="O327" s="24"/>
      <c r="P327" s="24" t="s">
        <v>11</v>
      </c>
      <c r="Q327" s="2">
        <v>44757.782638888886</v>
      </c>
      <c r="R327" s="2">
        <v>44762.782638888886</v>
      </c>
      <c r="S327" s="26">
        <v>44860.676388888889</v>
      </c>
      <c r="T327" s="28">
        <v>0</v>
      </c>
      <c r="U327" s="28">
        <f>Tabla1[[#This Row],[PPTO]]/(1+'Lista Datos'!$B$1)</f>
        <v>0</v>
      </c>
      <c r="V327" s="23"/>
      <c r="W327" s="18" t="s">
        <v>11</v>
      </c>
      <c r="X327" s="102">
        <v>200000</v>
      </c>
      <c r="Y327" s="26">
        <v>44868</v>
      </c>
      <c r="Z327" s="18" t="s">
        <v>10</v>
      </c>
      <c r="AA327" s="23"/>
      <c r="AB327" s="23"/>
      <c r="AC327" s="23" t="s">
        <v>10</v>
      </c>
      <c r="AD327" s="23"/>
      <c r="AE327" s="29">
        <f>Tabla1[[#This Row],[Cierre]]+Tabla1[[#This Row],[Vigencia Oferta (días)]]</f>
        <v>44767.675694444442</v>
      </c>
      <c r="AF327" s="87"/>
      <c r="AG327" s="28"/>
      <c r="AH327" s="164">
        <f>Tabla1[[#This Row],[Unidades2]]*Tabla1[[#This Row],[Precio Unitario]]</f>
        <v>0</v>
      </c>
      <c r="AI327" s="23" t="s">
        <v>137</v>
      </c>
      <c r="AJ327" s="26">
        <v>44812</v>
      </c>
      <c r="AK327" s="172">
        <f>Tabla1[[#This Row],[Fecha Vigencia]]-AJ327</f>
        <v>-44.324305555557657</v>
      </c>
      <c r="AL327" s="23"/>
      <c r="AM327" s="87"/>
      <c r="AN327" s="23"/>
      <c r="AO327" s="29"/>
      <c r="AP327" s="23"/>
      <c r="AQ327" s="34" t="s">
        <v>154</v>
      </c>
      <c r="AR327" s="23" t="s">
        <v>11</v>
      </c>
      <c r="AS327" s="33">
        <v>0.1</v>
      </c>
      <c r="AT327" s="29">
        <v>46027</v>
      </c>
      <c r="AU327" s="23"/>
      <c r="AV327" s="23"/>
      <c r="AW327" s="23" t="s">
        <v>1894</v>
      </c>
      <c r="AX327" t="s">
        <v>1895</v>
      </c>
      <c r="AY327" s="23"/>
      <c r="AZ327" s="23"/>
      <c r="BA327" s="23"/>
      <c r="BB327" s="32"/>
      <c r="BC327" s="73"/>
    </row>
    <row r="328" spans="1:55" x14ac:dyDescent="0.25">
      <c r="A328" s="22" t="s">
        <v>1896</v>
      </c>
      <c r="B328" s="23" t="s">
        <v>1897</v>
      </c>
      <c r="C328" s="23" t="s">
        <v>1897</v>
      </c>
      <c r="D328" s="34" t="s">
        <v>1898</v>
      </c>
      <c r="E328" s="24"/>
      <c r="F328" s="25"/>
      <c r="G328" s="23" t="s">
        <v>20</v>
      </c>
      <c r="H328" s="23" t="s">
        <v>176</v>
      </c>
      <c r="I328" s="2">
        <v>44734.532210648147</v>
      </c>
      <c r="J328" s="24">
        <f>MONTH(Tabla1[[#This Row],[Publicación]])</f>
        <v>6</v>
      </c>
      <c r="K328" s="24">
        <f>YEAR(Tabla1[[#This Row],[Publicación]])</f>
        <v>2022</v>
      </c>
      <c r="L328" s="2">
        <v>44767.75</v>
      </c>
      <c r="M328" s="26">
        <v>44734</v>
      </c>
      <c r="N328" s="25" t="s">
        <v>11</v>
      </c>
      <c r="O328" s="24"/>
      <c r="P328" s="24" t="s">
        <v>11</v>
      </c>
      <c r="Q328" s="2">
        <v>44744.625</v>
      </c>
      <c r="R328" s="2">
        <v>44748.666666666664</v>
      </c>
      <c r="S328" s="26">
        <v>44817</v>
      </c>
      <c r="T328" s="28">
        <v>300890556</v>
      </c>
      <c r="U328" s="28">
        <f>Tabla1[[#This Row],[PPTO]]/(1+'Lista Datos'!$B$1)</f>
        <v>252849206.72268909</v>
      </c>
      <c r="V328" s="23"/>
      <c r="W328" s="18" t="s">
        <v>11</v>
      </c>
      <c r="X328" s="102">
        <v>500000</v>
      </c>
      <c r="Y328" s="26">
        <v>44947</v>
      </c>
      <c r="Z328" s="18" t="s">
        <v>10</v>
      </c>
      <c r="AA328" s="23" t="s">
        <v>177</v>
      </c>
      <c r="AB328" s="23">
        <v>36</v>
      </c>
      <c r="AC328" s="23" t="s">
        <v>10</v>
      </c>
      <c r="AD328" s="23"/>
      <c r="AE328" s="29">
        <f>Tabla1[[#This Row],[Cierre]]+Tabla1[[#This Row],[Vigencia Oferta (días)]]</f>
        <v>44767.75</v>
      </c>
      <c r="AF328" s="87"/>
      <c r="AG328" s="28"/>
      <c r="AH328" s="164">
        <f>Tabla1[[#This Row],[Unidades2]]*Tabla1[[#This Row],[Precio Unitario]]</f>
        <v>0</v>
      </c>
      <c r="AI328" s="23" t="s">
        <v>44</v>
      </c>
      <c r="AJ328" s="26">
        <v>44868.65797453704</v>
      </c>
      <c r="AK328" s="172">
        <f>Tabla1[[#This Row],[Fecha Vigencia]]-AJ328</f>
        <v>-100.90797453703999</v>
      </c>
      <c r="AL328" s="23" t="s">
        <v>45</v>
      </c>
      <c r="AM328" s="87">
        <v>300890556</v>
      </c>
      <c r="AN328" s="23"/>
      <c r="AO328" s="29"/>
      <c r="AP328" s="23"/>
      <c r="AQ328" s="34" t="s">
        <v>1899</v>
      </c>
      <c r="AR328" s="23" t="s">
        <v>11</v>
      </c>
      <c r="AS328" s="33">
        <v>0.05</v>
      </c>
      <c r="AT328" s="29">
        <v>46000</v>
      </c>
      <c r="AU328" s="23"/>
      <c r="AV328" s="23"/>
      <c r="AW328" s="23" t="s">
        <v>1900</v>
      </c>
      <c r="AX328" t="s">
        <v>1901</v>
      </c>
      <c r="AY328" s="23"/>
      <c r="AZ328" s="23"/>
      <c r="BA328" s="23"/>
      <c r="BB328" s="32"/>
      <c r="BC328" s="73"/>
    </row>
    <row r="329" spans="1:55" x14ac:dyDescent="0.25">
      <c r="A329" s="22" t="s">
        <v>1902</v>
      </c>
      <c r="B329" s="23" t="s">
        <v>1903</v>
      </c>
      <c r="C329" s="23" t="s">
        <v>1904</v>
      </c>
      <c r="D329" s="34" t="s">
        <v>1718</v>
      </c>
      <c r="E329" s="24"/>
      <c r="F329" s="25"/>
      <c r="G329" s="23" t="s">
        <v>20</v>
      </c>
      <c r="H329" s="23" t="s">
        <v>176</v>
      </c>
      <c r="I329" s="2">
        <v>44757.435879629629</v>
      </c>
      <c r="J329" s="24">
        <f>MONTH(Tabla1[[#This Row],[Publicación]])</f>
        <v>7</v>
      </c>
      <c r="K329" s="24">
        <f>YEAR(Tabla1[[#This Row],[Publicación]])</f>
        <v>2022</v>
      </c>
      <c r="L329" s="2">
        <v>44769.666666666664</v>
      </c>
      <c r="M329" s="26"/>
      <c r="N329" s="25" t="s">
        <v>11</v>
      </c>
      <c r="O329" s="24"/>
      <c r="P329" s="24" t="s">
        <v>11</v>
      </c>
      <c r="Q329" s="2">
        <v>44761.416666666664</v>
      </c>
      <c r="R329" s="2">
        <v>44764.416666666664</v>
      </c>
      <c r="S329" s="26">
        <v>44798</v>
      </c>
      <c r="T329" s="28">
        <v>40361056</v>
      </c>
      <c r="U329" s="28">
        <f>Tabla1[[#This Row],[PPTO]]/(1+'Lista Datos'!$B$1)</f>
        <v>33916853.781512603</v>
      </c>
      <c r="V329" s="23"/>
      <c r="W329" s="18" t="s">
        <v>10</v>
      </c>
      <c r="X329" s="102"/>
      <c r="Y329" s="18" t="s">
        <v>146</v>
      </c>
      <c r="Z329" s="18" t="s">
        <v>10</v>
      </c>
      <c r="AA329" s="23" t="s">
        <v>177</v>
      </c>
      <c r="AB329" s="23">
        <v>36</v>
      </c>
      <c r="AC329" s="23" t="s">
        <v>10</v>
      </c>
      <c r="AD329" s="23"/>
      <c r="AE329" s="29">
        <f>Tabla1[[#This Row],[Cierre]]+Tabla1[[#This Row],[Vigencia Oferta (días)]]</f>
        <v>44769.666666666664</v>
      </c>
      <c r="AF329" s="87"/>
      <c r="AG329" s="28"/>
      <c r="AH329" s="164">
        <f>Tabla1[[#This Row],[Unidades2]]*Tabla1[[#This Row],[Precio Unitario]]</f>
        <v>0</v>
      </c>
      <c r="AI329" s="23" t="s">
        <v>44</v>
      </c>
      <c r="AJ329" s="26">
        <v>44831</v>
      </c>
      <c r="AK329" s="172">
        <f>Tabla1[[#This Row],[Fecha Vigencia]]-AJ329</f>
        <v>-61.333333333335759</v>
      </c>
      <c r="AL329" s="23" t="s">
        <v>1905</v>
      </c>
      <c r="AM329" s="87">
        <v>40361056</v>
      </c>
      <c r="AN329" s="23"/>
      <c r="AO329" s="29"/>
      <c r="AP329" s="23"/>
      <c r="AQ329" s="34" t="s">
        <v>1719</v>
      </c>
      <c r="AR329" s="23" t="s">
        <v>11</v>
      </c>
      <c r="AS329" s="33">
        <v>0.05</v>
      </c>
      <c r="AT329" s="29">
        <v>45955</v>
      </c>
      <c r="AU329" s="23"/>
      <c r="AV329" s="23"/>
      <c r="AW329" s="23" t="s">
        <v>1720</v>
      </c>
      <c r="AX329" t="s">
        <v>1721</v>
      </c>
      <c r="AY329" s="23"/>
      <c r="AZ329" s="23"/>
      <c r="BA329" s="23"/>
      <c r="BB329" s="32"/>
      <c r="BC329" s="73"/>
    </row>
    <row r="330" spans="1:55" x14ac:dyDescent="0.25">
      <c r="A330" s="22" t="s">
        <v>1906</v>
      </c>
      <c r="B330" s="23" t="s">
        <v>1907</v>
      </c>
      <c r="C330" s="23" t="s">
        <v>1908</v>
      </c>
      <c r="D330" s="34" t="s">
        <v>1909</v>
      </c>
      <c r="E330" s="24"/>
      <c r="F330" s="25"/>
      <c r="G330" s="23" t="s">
        <v>20</v>
      </c>
      <c r="H330" s="23" t="s">
        <v>176</v>
      </c>
      <c r="I330" s="2">
        <v>44755.683113425926</v>
      </c>
      <c r="J330" s="24">
        <f>MONTH(Tabla1[[#This Row],[Publicación]])</f>
        <v>7</v>
      </c>
      <c r="K330" s="24">
        <f>YEAR(Tabla1[[#This Row],[Publicación]])</f>
        <v>2022</v>
      </c>
      <c r="L330" s="2">
        <v>44770.823611111111</v>
      </c>
      <c r="M330" s="26"/>
      <c r="N330" s="25" t="s">
        <v>10</v>
      </c>
      <c r="O330" s="24" t="s">
        <v>27</v>
      </c>
      <c r="P330" s="24" t="s">
        <v>10</v>
      </c>
      <c r="Q330" s="2">
        <v>44758.791666666664</v>
      </c>
      <c r="R330" s="2">
        <v>44767.84652777778</v>
      </c>
      <c r="S330" s="26">
        <v>44831.824305555558</v>
      </c>
      <c r="T330" s="28">
        <v>270000000</v>
      </c>
      <c r="U330" s="28">
        <f>Tabla1[[#This Row],[PPTO]]/(1+'Lista Datos'!$B$1)</f>
        <v>226890756.30252102</v>
      </c>
      <c r="V330" s="23"/>
      <c r="W330" s="18" t="s">
        <v>11</v>
      </c>
      <c r="X330" s="102">
        <v>1000000</v>
      </c>
      <c r="Y330" s="26">
        <v>44920</v>
      </c>
      <c r="Z330" s="18" t="s">
        <v>10</v>
      </c>
      <c r="AA330" s="23" t="s">
        <v>177</v>
      </c>
      <c r="AB330" s="23">
        <v>12</v>
      </c>
      <c r="AC330" s="23" t="s">
        <v>10</v>
      </c>
      <c r="AD330" s="23"/>
      <c r="AE330" s="29">
        <f>Tabla1[[#This Row],[Cierre]]+Tabla1[[#This Row],[Vigencia Oferta (días)]]</f>
        <v>44770.823611111111</v>
      </c>
      <c r="AF330" s="87"/>
      <c r="AG330" s="28"/>
      <c r="AH330" s="164">
        <f>Tabla1[[#This Row],[Unidades2]]*Tabla1[[#This Row],[Precio Unitario]]</f>
        <v>0</v>
      </c>
      <c r="AI330" s="23" t="s">
        <v>137</v>
      </c>
      <c r="AJ330" s="26"/>
      <c r="AK330" s="172">
        <f>Tabla1[[#This Row],[Fecha Vigencia]]-AJ330</f>
        <v>44770.823611111111</v>
      </c>
      <c r="AL330" s="23"/>
      <c r="AM330" s="87"/>
      <c r="AN330" s="23"/>
      <c r="AO330" s="29"/>
      <c r="AP330" s="23"/>
      <c r="AQ330" s="34" t="s">
        <v>1910</v>
      </c>
      <c r="AR330" s="23" t="s">
        <v>11</v>
      </c>
      <c r="AS330" s="33">
        <v>0.05</v>
      </c>
      <c r="AT330" s="29">
        <v>45286</v>
      </c>
      <c r="AU330" s="23"/>
      <c r="AV330" s="23"/>
      <c r="AW330" s="23" t="s">
        <v>1911</v>
      </c>
      <c r="AX330" t="s">
        <v>1912</v>
      </c>
      <c r="AY330" s="23"/>
      <c r="AZ330" s="23"/>
      <c r="BA330" s="23"/>
      <c r="BB330" s="32"/>
      <c r="BC330" s="73"/>
    </row>
    <row r="331" spans="1:55" x14ac:dyDescent="0.25">
      <c r="A331" s="22" t="s">
        <v>1913</v>
      </c>
      <c r="B331" s="23" t="s">
        <v>1344</v>
      </c>
      <c r="C331" s="23" t="s">
        <v>1345</v>
      </c>
      <c r="D331" s="34" t="s">
        <v>1346</v>
      </c>
      <c r="E331" s="24"/>
      <c r="F331" s="25"/>
      <c r="G331" s="23" t="s">
        <v>16</v>
      </c>
      <c r="H331" s="23" t="s">
        <v>345</v>
      </c>
      <c r="I331" s="2">
        <v>44743.704618055555</v>
      </c>
      <c r="J331" s="24">
        <f>MONTH(Tabla1[[#This Row],[Publicación]])</f>
        <v>7</v>
      </c>
      <c r="K331" s="24">
        <f>YEAR(Tabla1[[#This Row],[Publicación]])</f>
        <v>2022</v>
      </c>
      <c r="L331" s="2">
        <v>44774.635416666664</v>
      </c>
      <c r="M331" s="26">
        <v>44746</v>
      </c>
      <c r="N331" s="25" t="s">
        <v>10</v>
      </c>
      <c r="O331" s="24" t="s">
        <v>35</v>
      </c>
      <c r="P331" s="24" t="s">
        <v>10</v>
      </c>
      <c r="Q331" s="2">
        <v>44758.790972222225</v>
      </c>
      <c r="R331" s="2">
        <v>44763.790972222225</v>
      </c>
      <c r="S331" s="26">
        <v>44804.824999999997</v>
      </c>
      <c r="T331" s="28">
        <v>0</v>
      </c>
      <c r="U331" s="28">
        <f>Tabla1[[#This Row],[PPTO]]/(1+'Lista Datos'!$B$1)</f>
        <v>0</v>
      </c>
      <c r="V331" s="23"/>
      <c r="W331" s="18" t="s">
        <v>11</v>
      </c>
      <c r="X331" s="102">
        <v>500000</v>
      </c>
      <c r="Y331" s="26">
        <v>44894</v>
      </c>
      <c r="Z331" s="18" t="s">
        <v>11</v>
      </c>
      <c r="AA331" s="23"/>
      <c r="AB331" s="23"/>
      <c r="AC331" s="23"/>
      <c r="AD331" s="23"/>
      <c r="AE331" s="29">
        <f>Tabla1[[#This Row],[Cierre]]+Tabla1[[#This Row],[Vigencia Oferta (días)]]</f>
        <v>44774.635416666664</v>
      </c>
      <c r="AF331" s="87"/>
      <c r="AG331" s="28"/>
      <c r="AH331" s="164">
        <f>Tabla1[[#This Row],[Unidades2]]*Tabla1[[#This Row],[Precio Unitario]]</f>
        <v>0</v>
      </c>
      <c r="AI331" s="23" t="s">
        <v>137</v>
      </c>
      <c r="AJ331" s="26"/>
      <c r="AK331" s="172">
        <f>Tabla1[[#This Row],[Fecha Vigencia]]-AJ331</f>
        <v>44774.635416666664</v>
      </c>
      <c r="AL331" s="23"/>
      <c r="AM331" s="87"/>
      <c r="AN331" s="23"/>
      <c r="AO331" s="29"/>
      <c r="AP331" s="23"/>
      <c r="AQ331" s="34" t="s">
        <v>1347</v>
      </c>
      <c r="AR331" s="23" t="s">
        <v>11</v>
      </c>
      <c r="AS331" s="33">
        <v>0.1</v>
      </c>
      <c r="AT331" s="29">
        <v>46106</v>
      </c>
      <c r="AU331" s="23"/>
      <c r="AV331" s="23"/>
      <c r="AW331" s="23" t="s">
        <v>1349</v>
      </c>
      <c r="AX331" t="s">
        <v>1350</v>
      </c>
      <c r="AY331" s="23"/>
      <c r="AZ331" s="23"/>
      <c r="BA331" s="23"/>
      <c r="BB331" s="32"/>
      <c r="BC331" s="73"/>
    </row>
    <row r="332" spans="1:55" x14ac:dyDescent="0.25">
      <c r="A332" s="22" t="s">
        <v>1914</v>
      </c>
      <c r="B332" s="23" t="s">
        <v>1915</v>
      </c>
      <c r="C332" s="23" t="s">
        <v>1916</v>
      </c>
      <c r="D332" s="34" t="s">
        <v>1917</v>
      </c>
      <c r="E332" s="24"/>
      <c r="F332" s="25"/>
      <c r="G332" s="23" t="s">
        <v>21</v>
      </c>
      <c r="H332" s="23" t="s">
        <v>106</v>
      </c>
      <c r="I332" s="2">
        <v>44741.434884259259</v>
      </c>
      <c r="J332" s="24">
        <f>MONTH(Tabla1[[#This Row],[Publicación]])</f>
        <v>6</v>
      </c>
      <c r="K332" s="24">
        <f>YEAR(Tabla1[[#This Row],[Publicación]])</f>
        <v>2022</v>
      </c>
      <c r="L332" s="2">
        <v>44775.625</v>
      </c>
      <c r="M332" s="26">
        <v>44756</v>
      </c>
      <c r="N332" s="25" t="s">
        <v>10</v>
      </c>
      <c r="O332" s="24" t="s">
        <v>29</v>
      </c>
      <c r="P332" s="24" t="s">
        <v>10</v>
      </c>
      <c r="Q332" s="2">
        <v>44757.625</v>
      </c>
      <c r="R332" s="2">
        <v>44760.579861111109</v>
      </c>
      <c r="S332" s="26">
        <v>44802.625</v>
      </c>
      <c r="T332" s="28">
        <v>374500000</v>
      </c>
      <c r="U332" s="28">
        <f>Tabla1[[#This Row],[PPTO]]/(1+'Lista Datos'!$B$1)</f>
        <v>314705882.35294122</v>
      </c>
      <c r="V332" s="23">
        <v>45</v>
      </c>
      <c r="W332" s="18" t="s">
        <v>11</v>
      </c>
      <c r="X332" s="102">
        <v>200000</v>
      </c>
      <c r="Y332" s="26">
        <v>44951</v>
      </c>
      <c r="Z332" s="18" t="s">
        <v>10</v>
      </c>
      <c r="AA332" s="23" t="s">
        <v>177</v>
      </c>
      <c r="AB332" s="23">
        <v>36</v>
      </c>
      <c r="AC332" s="23" t="s">
        <v>10</v>
      </c>
      <c r="AD332" s="23">
        <v>180</v>
      </c>
      <c r="AE332" s="29">
        <f>Tabla1[[#This Row],[Cierre]]+Tabla1[[#This Row],[Vigencia Oferta (días)]]</f>
        <v>44955.625</v>
      </c>
      <c r="AF332" s="87"/>
      <c r="AG332" s="28"/>
      <c r="AH332" s="164">
        <f>Tabla1[[#This Row],[Unidades2]]*Tabla1[[#This Row],[Precio Unitario]]</f>
        <v>0</v>
      </c>
      <c r="AI332" s="23" t="s">
        <v>137</v>
      </c>
      <c r="AJ332" s="26"/>
      <c r="AK332" s="172">
        <f>Tabla1[[#This Row],[Fecha Vigencia]]-AJ332</f>
        <v>44955.625</v>
      </c>
      <c r="AL332" s="23"/>
      <c r="AM332" s="87"/>
      <c r="AN332" s="23"/>
      <c r="AO332" s="29"/>
      <c r="AP332" s="23"/>
      <c r="AQ332" s="34" t="s">
        <v>1918</v>
      </c>
      <c r="AR332" s="23" t="s">
        <v>11</v>
      </c>
      <c r="AS332" s="33">
        <v>0.05</v>
      </c>
      <c r="AT332" s="29">
        <v>46047</v>
      </c>
      <c r="AU332" s="23"/>
      <c r="AV332" s="23"/>
      <c r="AW332" s="23" t="s">
        <v>1919</v>
      </c>
      <c r="AX332" t="s">
        <v>1920</v>
      </c>
      <c r="AY332" s="23"/>
      <c r="AZ332" s="23"/>
      <c r="BA332" s="23"/>
      <c r="BB332" s="32"/>
      <c r="BC332" s="73"/>
    </row>
    <row r="333" spans="1:55" x14ac:dyDescent="0.25">
      <c r="A333" s="22" t="s">
        <v>1921</v>
      </c>
      <c r="B333" s="23" t="s">
        <v>1922</v>
      </c>
      <c r="C333" s="23" t="s">
        <v>1923</v>
      </c>
      <c r="D333" s="34" t="s">
        <v>1924</v>
      </c>
      <c r="E333" s="24"/>
      <c r="F333" s="25"/>
      <c r="G333" s="23" t="s">
        <v>18</v>
      </c>
      <c r="H333" s="23" t="s">
        <v>213</v>
      </c>
      <c r="I333" s="2">
        <v>44767.477118055554</v>
      </c>
      <c r="J333" s="24">
        <f>MONTH(Tabla1[[#This Row],[Publicación]])</f>
        <v>7</v>
      </c>
      <c r="K333" s="24">
        <f>YEAR(Tabla1[[#This Row],[Publicación]])</f>
        <v>2022</v>
      </c>
      <c r="L333" s="2">
        <v>44777.625</v>
      </c>
      <c r="M333" s="26">
        <v>44775</v>
      </c>
      <c r="N333" s="25" t="s">
        <v>10</v>
      </c>
      <c r="O333" s="24" t="s">
        <v>29</v>
      </c>
      <c r="P333" s="24" t="s">
        <v>10</v>
      </c>
      <c r="Q333" s="2">
        <v>44770.75</v>
      </c>
      <c r="R333" s="2">
        <v>44774.833333333336</v>
      </c>
      <c r="S333" s="26">
        <v>44797.75</v>
      </c>
      <c r="T333" s="28">
        <v>0</v>
      </c>
      <c r="U333" s="28">
        <f>Tabla1[[#This Row],[PPTO]]/(1+'Lista Datos'!$B$1)</f>
        <v>0</v>
      </c>
      <c r="V333" s="23"/>
      <c r="W333" s="18" t="s">
        <v>10</v>
      </c>
      <c r="X333" s="102"/>
      <c r="Y333" s="18" t="s">
        <v>146</v>
      </c>
      <c r="Z333" s="18" t="s">
        <v>10</v>
      </c>
      <c r="AA333" s="23"/>
      <c r="AB333" s="23"/>
      <c r="AC333" s="23"/>
      <c r="AD333" s="23"/>
      <c r="AE333" s="29">
        <f>Tabla1[[#This Row],[Cierre]]+Tabla1[[#This Row],[Vigencia Oferta (días)]]</f>
        <v>44777.625</v>
      </c>
      <c r="AF333" s="87"/>
      <c r="AG333" s="28"/>
      <c r="AH333" s="164">
        <f>Tabla1[[#This Row],[Unidades2]]*Tabla1[[#This Row],[Precio Unitario]]</f>
        <v>0</v>
      </c>
      <c r="AI333" s="23" t="s">
        <v>44</v>
      </c>
      <c r="AJ333" s="26">
        <v>44802</v>
      </c>
      <c r="AK333" s="172">
        <f>Tabla1[[#This Row],[Fecha Vigencia]]-AJ333</f>
        <v>-24.375</v>
      </c>
      <c r="AL333" s="23" t="s">
        <v>46</v>
      </c>
      <c r="AM333" s="87">
        <v>3413791</v>
      </c>
      <c r="AN333" s="23"/>
      <c r="AO333" s="29"/>
      <c r="AP333" s="23"/>
      <c r="AQ333" s="34" t="s">
        <v>1925</v>
      </c>
      <c r="AR333" s="23" t="s">
        <v>11</v>
      </c>
      <c r="AS333" s="33">
        <v>0.05</v>
      </c>
      <c r="AT333" s="29">
        <v>46350</v>
      </c>
      <c r="AU333" s="23"/>
      <c r="AV333" s="23"/>
      <c r="AW333" s="23" t="s">
        <v>1926</v>
      </c>
      <c r="AX333" t="s">
        <v>1927</v>
      </c>
      <c r="AY333" s="23"/>
      <c r="AZ333" s="23"/>
      <c r="BA333" s="23"/>
      <c r="BB333" s="32"/>
      <c r="BC333" s="73"/>
    </row>
    <row r="334" spans="1:55" x14ac:dyDescent="0.25">
      <c r="A334" s="22" t="s">
        <v>1928</v>
      </c>
      <c r="B334" s="23" t="s">
        <v>1929</v>
      </c>
      <c r="C334" s="23" t="s">
        <v>1930</v>
      </c>
      <c r="D334" s="34" t="s">
        <v>153</v>
      </c>
      <c r="E334" s="24"/>
      <c r="F334" s="25"/>
      <c r="G334" s="23" t="s">
        <v>16</v>
      </c>
      <c r="H334" s="23" t="s">
        <v>145</v>
      </c>
      <c r="I334" s="2">
        <v>44747.594814814816</v>
      </c>
      <c r="J334" s="24">
        <f>MONTH(Tabla1[[#This Row],[Publicación]])</f>
        <v>7</v>
      </c>
      <c r="K334" s="24">
        <f>YEAR(Tabla1[[#This Row],[Publicación]])</f>
        <v>2022</v>
      </c>
      <c r="L334" s="2">
        <v>44778.463888888888</v>
      </c>
      <c r="M334" s="26">
        <v>44749</v>
      </c>
      <c r="N334" s="25" t="s">
        <v>11</v>
      </c>
      <c r="O334" s="24"/>
      <c r="P334" s="24" t="s">
        <v>11</v>
      </c>
      <c r="Q334" s="2">
        <v>44767.738194444442</v>
      </c>
      <c r="R334" s="2">
        <v>44774.738194444442</v>
      </c>
      <c r="S334" s="26">
        <v>44873.464583333334</v>
      </c>
      <c r="T334" s="28">
        <v>0</v>
      </c>
      <c r="U334" s="28">
        <f>Tabla1[[#This Row],[PPTO]]/(1+'Lista Datos'!$B$1)</f>
        <v>0</v>
      </c>
      <c r="V334" s="23"/>
      <c r="W334" s="18" t="s">
        <v>11</v>
      </c>
      <c r="X334" s="102">
        <v>200000</v>
      </c>
      <c r="Y334" s="26">
        <v>44868</v>
      </c>
      <c r="Z334" s="18" t="s">
        <v>10</v>
      </c>
      <c r="AA334" s="23" t="s">
        <v>177</v>
      </c>
      <c r="AB334" s="23">
        <v>24</v>
      </c>
      <c r="AC334" s="23" t="s">
        <v>10</v>
      </c>
      <c r="AD334" s="23"/>
      <c r="AE334" s="29">
        <f>Tabla1[[#This Row],[Cierre]]+Tabla1[[#This Row],[Vigencia Oferta (días)]]</f>
        <v>44778.463888888888</v>
      </c>
      <c r="AF334" s="87"/>
      <c r="AG334" s="28"/>
      <c r="AH334" s="164">
        <f>Tabla1[[#This Row],[Unidades2]]*Tabla1[[#This Row],[Precio Unitario]]</f>
        <v>0</v>
      </c>
      <c r="AI334" s="23" t="s">
        <v>44</v>
      </c>
      <c r="AJ334" s="26">
        <v>44824</v>
      </c>
      <c r="AK334" s="172">
        <f>Tabla1[[#This Row],[Fecha Vigencia]]-AJ334</f>
        <v>-45.536111111112405</v>
      </c>
      <c r="AL334" s="23" t="s">
        <v>45</v>
      </c>
      <c r="AM334" s="87">
        <v>324260567</v>
      </c>
      <c r="AN334" s="29">
        <v>44824</v>
      </c>
      <c r="AO334" s="29">
        <v>45555</v>
      </c>
      <c r="AP334" s="23" t="s">
        <v>177</v>
      </c>
      <c r="AQ334" s="34" t="s">
        <v>154</v>
      </c>
      <c r="AR334" s="23" t="s">
        <v>11</v>
      </c>
      <c r="AS334" s="33">
        <v>0.1</v>
      </c>
      <c r="AT334" s="29">
        <v>45701</v>
      </c>
      <c r="AU334" s="23"/>
      <c r="AV334" s="23"/>
      <c r="AW334" s="23" t="s">
        <v>1515</v>
      </c>
      <c r="AX334" t="s">
        <v>1931</v>
      </c>
      <c r="AY334" s="23"/>
      <c r="AZ334" s="23"/>
      <c r="BA334" s="23"/>
      <c r="BB334" s="32"/>
      <c r="BC334" s="73"/>
    </row>
    <row r="335" spans="1:55" x14ac:dyDescent="0.25">
      <c r="A335" s="22" t="s">
        <v>1932</v>
      </c>
      <c r="B335" s="23" t="s">
        <v>1933</v>
      </c>
      <c r="C335" s="23" t="s">
        <v>1934</v>
      </c>
      <c r="D335" s="34" t="s">
        <v>153</v>
      </c>
      <c r="E335" s="24"/>
      <c r="F335" s="25"/>
      <c r="G335" s="23" t="s">
        <v>16</v>
      </c>
      <c r="H335" s="23" t="s">
        <v>145</v>
      </c>
      <c r="I335" s="2">
        <v>44761.728356481479</v>
      </c>
      <c r="J335" s="24">
        <f>MONTH(Tabla1[[#This Row],[Publicación]])</f>
        <v>7</v>
      </c>
      <c r="K335" s="24">
        <f>YEAR(Tabla1[[#This Row],[Publicación]])</f>
        <v>2022</v>
      </c>
      <c r="L335" s="2">
        <v>44781.627083333333</v>
      </c>
      <c r="M335" s="26">
        <v>44767</v>
      </c>
      <c r="N335" s="25" t="s">
        <v>11</v>
      </c>
      <c r="O335" s="24"/>
      <c r="P335" s="24" t="s">
        <v>11</v>
      </c>
      <c r="Q335" s="2">
        <v>44771.886111111111</v>
      </c>
      <c r="R335" s="2">
        <v>44776.886111111111</v>
      </c>
      <c r="S335" s="26">
        <v>44860.62777777778</v>
      </c>
      <c r="T335" s="28">
        <v>0</v>
      </c>
      <c r="U335" s="28">
        <f>Tabla1[[#This Row],[PPTO]]/(1+'Lista Datos'!$B$1)</f>
        <v>0</v>
      </c>
      <c r="V335" s="23"/>
      <c r="W335" s="18" t="s">
        <v>11</v>
      </c>
      <c r="X335" s="102">
        <v>200000</v>
      </c>
      <c r="Y335" s="26">
        <v>44872</v>
      </c>
      <c r="Z335" s="18" t="s">
        <v>10</v>
      </c>
      <c r="AA335" s="23" t="s">
        <v>177</v>
      </c>
      <c r="AB335" s="23">
        <v>36</v>
      </c>
      <c r="AC335" s="23" t="s">
        <v>10</v>
      </c>
      <c r="AD335" s="23"/>
      <c r="AE335" s="29">
        <f>Tabla1[[#This Row],[Cierre]]+Tabla1[[#This Row],[Vigencia Oferta (días)]]</f>
        <v>44781.627083333333</v>
      </c>
      <c r="AF335" s="87"/>
      <c r="AG335" s="28"/>
      <c r="AH335" s="164">
        <f>Tabla1[[#This Row],[Unidades2]]*Tabla1[[#This Row],[Precio Unitario]]</f>
        <v>0</v>
      </c>
      <c r="AI335" s="23" t="s">
        <v>44</v>
      </c>
      <c r="AJ335" s="26">
        <v>44848.37091435185</v>
      </c>
      <c r="AK335" s="172">
        <f>Tabla1[[#This Row],[Fecha Vigencia]]-AJ335</f>
        <v>-66.743831018517085</v>
      </c>
      <c r="AL335" s="23" t="s">
        <v>45</v>
      </c>
      <c r="AM335" s="87">
        <v>313521491</v>
      </c>
      <c r="AN335" s="29">
        <v>44848</v>
      </c>
      <c r="AO335" s="29">
        <v>45944</v>
      </c>
      <c r="AP335" s="23" t="s">
        <v>177</v>
      </c>
      <c r="AQ335" s="34" t="s">
        <v>154</v>
      </c>
      <c r="AR335" s="23" t="s">
        <v>11</v>
      </c>
      <c r="AS335" s="33">
        <v>0.1</v>
      </c>
      <c r="AT335" s="29">
        <v>46032</v>
      </c>
      <c r="AU335" s="23"/>
      <c r="AV335" s="23"/>
      <c r="AW335" s="23" t="s">
        <v>1935</v>
      </c>
      <c r="AX335" t="s">
        <v>1931</v>
      </c>
      <c r="AY335" s="23"/>
      <c r="AZ335" s="23"/>
      <c r="BA335" s="23"/>
      <c r="BB335" s="32"/>
      <c r="BC335" s="73"/>
    </row>
    <row r="336" spans="1:55" x14ac:dyDescent="0.25">
      <c r="A336" s="22" t="s">
        <v>1936</v>
      </c>
      <c r="B336" s="23" t="s">
        <v>1937</v>
      </c>
      <c r="C336" s="23" t="s">
        <v>1938</v>
      </c>
      <c r="D336" s="34" t="s">
        <v>897</v>
      </c>
      <c r="E336" s="24"/>
      <c r="F336" s="25"/>
      <c r="G336" s="23" t="s">
        <v>21</v>
      </c>
      <c r="H336" s="23" t="s">
        <v>106</v>
      </c>
      <c r="I336" s="2">
        <v>44774.510347222225</v>
      </c>
      <c r="J336" s="24">
        <f>MONTH(Tabla1[[#This Row],[Publicación]])</f>
        <v>8</v>
      </c>
      <c r="K336" s="24">
        <f>YEAR(Tabla1[[#This Row],[Publicación]])</f>
        <v>2022</v>
      </c>
      <c r="L336" s="2">
        <v>44781.65</v>
      </c>
      <c r="M336" s="26">
        <v>44777</v>
      </c>
      <c r="N336" s="25" t="s">
        <v>10</v>
      </c>
      <c r="O336" s="24" t="s">
        <v>35</v>
      </c>
      <c r="P336" s="24" t="s">
        <v>10</v>
      </c>
      <c r="Q336" s="2">
        <v>44777.65</v>
      </c>
      <c r="R336" s="2">
        <v>44778.65</v>
      </c>
      <c r="S336" s="26">
        <v>44782.650694444441</v>
      </c>
      <c r="T336" s="28">
        <v>0</v>
      </c>
      <c r="U336" s="28">
        <f>Tabla1[[#This Row],[PPTO]]/(1+'Lista Datos'!$B$1)</f>
        <v>0</v>
      </c>
      <c r="V336" s="23"/>
      <c r="W336" s="18" t="s">
        <v>10</v>
      </c>
      <c r="X336" s="102"/>
      <c r="Y336" s="18" t="s">
        <v>146</v>
      </c>
      <c r="Z336" s="18" t="s">
        <v>10</v>
      </c>
      <c r="AA336" s="23"/>
      <c r="AB336" s="23"/>
      <c r="AC336" s="23"/>
      <c r="AD336" s="23"/>
      <c r="AE336" s="29">
        <f>Tabla1[[#This Row],[Cierre]]+Tabla1[[#This Row],[Vigencia Oferta (días)]]</f>
        <v>44781.65</v>
      </c>
      <c r="AF336" s="87"/>
      <c r="AG336" s="28"/>
      <c r="AH336" s="164">
        <f>Tabla1[[#This Row],[Unidades2]]*Tabla1[[#This Row],[Precio Unitario]]</f>
        <v>0</v>
      </c>
      <c r="AI336" s="23" t="s">
        <v>44</v>
      </c>
      <c r="AJ336" s="26">
        <v>44790.344375000001</v>
      </c>
      <c r="AK336" s="172">
        <f>Tabla1[[#This Row],[Fecha Vigencia]]-AJ336</f>
        <v>-8.6943749999991269</v>
      </c>
      <c r="AL336" s="23" t="s">
        <v>46</v>
      </c>
      <c r="AM336" s="87">
        <v>199200</v>
      </c>
      <c r="AN336" s="23"/>
      <c r="AO336" s="29"/>
      <c r="AP336" s="23"/>
      <c r="AQ336" s="34" t="s">
        <v>898</v>
      </c>
      <c r="AR336" s="23" t="s">
        <v>10</v>
      </c>
      <c r="AS336" s="23"/>
      <c r="AT336" s="23"/>
      <c r="AU336" s="23"/>
      <c r="AV336" s="23"/>
      <c r="AW336" s="23" t="s">
        <v>901</v>
      </c>
      <c r="AX336" t="s">
        <v>902</v>
      </c>
      <c r="AY336" s="23"/>
      <c r="AZ336" s="23"/>
      <c r="BA336" s="23"/>
      <c r="BB336" s="32"/>
      <c r="BC336" s="73"/>
    </row>
    <row r="337" spans="1:55" x14ac:dyDescent="0.25">
      <c r="A337" s="22" t="s">
        <v>1939</v>
      </c>
      <c r="B337" s="23" t="s">
        <v>1940</v>
      </c>
      <c r="C337" s="23" t="s">
        <v>1941</v>
      </c>
      <c r="D337" s="34" t="s">
        <v>113</v>
      </c>
      <c r="E337" s="24"/>
      <c r="F337" s="25"/>
      <c r="G337" s="23" t="s">
        <v>41</v>
      </c>
      <c r="H337" s="23" t="s">
        <v>298</v>
      </c>
      <c r="I337" s="2">
        <v>44769.459421296298</v>
      </c>
      <c r="J337" s="24">
        <f>MONTH(Tabla1[[#This Row],[Publicación]])</f>
        <v>7</v>
      </c>
      <c r="K337" s="24">
        <f>YEAR(Tabla1[[#This Row],[Publicación]])</f>
        <v>2022</v>
      </c>
      <c r="L337" s="2">
        <v>44782.708333333336</v>
      </c>
      <c r="M337" s="26">
        <v>44775</v>
      </c>
      <c r="N337" s="25" t="s">
        <v>10</v>
      </c>
      <c r="O337" s="24" t="s">
        <v>35</v>
      </c>
      <c r="P337" s="24" t="s">
        <v>10</v>
      </c>
      <c r="Q337" s="2">
        <v>44769.581250000003</v>
      </c>
      <c r="R337" s="2">
        <v>44777.581250000003</v>
      </c>
      <c r="S337" s="26">
        <v>44907.780555555553</v>
      </c>
      <c r="T337" s="28">
        <v>0</v>
      </c>
      <c r="U337" s="28">
        <f>Tabla1[[#This Row],[PPTO]]/(1+'Lista Datos'!$B$1)</f>
        <v>0</v>
      </c>
      <c r="V337" s="23"/>
      <c r="W337" s="18" t="s">
        <v>10</v>
      </c>
      <c r="X337" s="102"/>
      <c r="Y337" s="18" t="s">
        <v>146</v>
      </c>
      <c r="Z337" s="18" t="s">
        <v>10</v>
      </c>
      <c r="AA337" s="23"/>
      <c r="AB337" s="23"/>
      <c r="AC337" s="23"/>
      <c r="AD337" s="23"/>
      <c r="AE337" s="29">
        <f>Tabla1[[#This Row],[Cierre]]+Tabla1[[#This Row],[Vigencia Oferta (días)]]</f>
        <v>44782.708333333336</v>
      </c>
      <c r="AF337" s="87"/>
      <c r="AG337" s="28"/>
      <c r="AH337" s="164">
        <f>Tabla1[[#This Row],[Unidades2]]*Tabla1[[#This Row],[Precio Unitario]]</f>
        <v>0</v>
      </c>
      <c r="AI337" s="23" t="s">
        <v>137</v>
      </c>
      <c r="AJ337" s="26"/>
      <c r="AK337" s="172">
        <f>Tabla1[[#This Row],[Fecha Vigencia]]-AJ337</f>
        <v>44782.708333333336</v>
      </c>
      <c r="AL337" s="23"/>
      <c r="AM337" s="87"/>
      <c r="AN337" s="23"/>
      <c r="AO337" s="29"/>
      <c r="AP337" s="23"/>
      <c r="AQ337" s="34" t="s">
        <v>116</v>
      </c>
      <c r="AR337" s="23" t="s">
        <v>10</v>
      </c>
      <c r="AS337" s="23"/>
      <c r="AT337" s="23"/>
      <c r="AU337" s="23"/>
      <c r="AV337" s="23"/>
      <c r="AW337" s="23" t="s">
        <v>765</v>
      </c>
      <c r="AX337" t="s">
        <v>766</v>
      </c>
      <c r="AY337" s="23"/>
      <c r="AZ337" s="23"/>
      <c r="BA337" s="23"/>
      <c r="BB337" s="32"/>
      <c r="BC337" s="73"/>
    </row>
    <row r="338" spans="1:55" x14ac:dyDescent="0.25">
      <c r="A338" s="22" t="s">
        <v>1942</v>
      </c>
      <c r="B338" s="23" t="s">
        <v>1812</v>
      </c>
      <c r="C338" s="23" t="s">
        <v>1943</v>
      </c>
      <c r="D338" s="34" t="s">
        <v>1813</v>
      </c>
      <c r="E338" s="24"/>
      <c r="F338" s="25"/>
      <c r="G338" s="23" t="s">
        <v>20</v>
      </c>
      <c r="H338" s="23" t="s">
        <v>176</v>
      </c>
      <c r="I338" s="2">
        <v>44774.547175925924</v>
      </c>
      <c r="J338" s="24">
        <f>MONTH(Tabla1[[#This Row],[Publicación]])</f>
        <v>8</v>
      </c>
      <c r="K338" s="24">
        <f>YEAR(Tabla1[[#This Row],[Publicación]])</f>
        <v>2022</v>
      </c>
      <c r="L338" s="2">
        <v>44784.777777777781</v>
      </c>
      <c r="M338" s="26">
        <v>44775</v>
      </c>
      <c r="N338" s="25" t="s">
        <v>10</v>
      </c>
      <c r="O338" s="24" t="s">
        <v>33</v>
      </c>
      <c r="P338" s="24" t="s">
        <v>10</v>
      </c>
      <c r="Q338" s="2">
        <v>44777.75</v>
      </c>
      <c r="R338" s="2">
        <v>44778.75</v>
      </c>
      <c r="S338" s="26">
        <v>44827.77847222222</v>
      </c>
      <c r="T338" s="28">
        <v>177205090</v>
      </c>
      <c r="U338" s="28">
        <f>Tabla1[[#This Row],[PPTO]]/(1+'Lista Datos'!$B$1)</f>
        <v>148911840.33613446</v>
      </c>
      <c r="V338" s="23"/>
      <c r="W338" s="18" t="s">
        <v>11</v>
      </c>
      <c r="X338" s="102">
        <v>300000</v>
      </c>
      <c r="Y338" s="26">
        <v>44895</v>
      </c>
      <c r="Z338" s="18" t="s">
        <v>10</v>
      </c>
      <c r="AA338" s="23" t="s">
        <v>177</v>
      </c>
      <c r="AB338" s="23">
        <v>24</v>
      </c>
      <c r="AC338" s="23" t="s">
        <v>10</v>
      </c>
      <c r="AD338" s="23"/>
      <c r="AE338" s="29">
        <f>Tabla1[[#This Row],[Cierre]]+Tabla1[[#This Row],[Vigencia Oferta (días)]]</f>
        <v>44784.777777777781</v>
      </c>
      <c r="AF338" s="87"/>
      <c r="AG338" s="28"/>
      <c r="AH338" s="164">
        <f>Tabla1[[#This Row],[Unidades2]]*Tabla1[[#This Row],[Precio Unitario]]</f>
        <v>0</v>
      </c>
      <c r="AI338" s="23" t="s">
        <v>44</v>
      </c>
      <c r="AJ338" s="26">
        <v>44798</v>
      </c>
      <c r="AK338" s="172">
        <f>Tabla1[[#This Row],[Fecha Vigencia]]-AJ338</f>
        <v>-13.222222222218988</v>
      </c>
      <c r="AL338" s="23" t="s">
        <v>472</v>
      </c>
      <c r="AM338" s="87">
        <v>580580</v>
      </c>
      <c r="AN338" s="23"/>
      <c r="AO338" s="29"/>
      <c r="AP338" s="23"/>
      <c r="AQ338" s="34" t="s">
        <v>1814</v>
      </c>
      <c r="AR338" s="23" t="s">
        <v>11</v>
      </c>
      <c r="AS338" s="33">
        <v>0.05</v>
      </c>
      <c r="AT338" s="29">
        <v>45626</v>
      </c>
      <c r="AU338" s="23"/>
      <c r="AV338" s="23"/>
      <c r="AW338" s="23" t="s">
        <v>1815</v>
      </c>
      <c r="AX338" t="s">
        <v>459</v>
      </c>
      <c r="AY338" s="23"/>
      <c r="AZ338" s="23"/>
      <c r="BA338" s="23"/>
      <c r="BB338" s="32"/>
      <c r="BC338" s="73"/>
    </row>
    <row r="339" spans="1:55" x14ac:dyDescent="0.25">
      <c r="A339" s="22" t="s">
        <v>1944</v>
      </c>
      <c r="B339" s="23" t="s">
        <v>1945</v>
      </c>
      <c r="C339" s="23" t="s">
        <v>1946</v>
      </c>
      <c r="D339" s="34" t="s">
        <v>1698</v>
      </c>
      <c r="E339" s="24"/>
      <c r="F339" s="25"/>
      <c r="G339" s="23" t="s">
        <v>20</v>
      </c>
      <c r="H339" s="23" t="s">
        <v>176</v>
      </c>
      <c r="I339" s="2">
        <v>44767.425694444442</v>
      </c>
      <c r="J339" s="24">
        <f>MONTH(Tabla1[[#This Row],[Publicación]])</f>
        <v>7</v>
      </c>
      <c r="K339" s="24">
        <f>YEAR(Tabla1[[#This Row],[Publicación]])</f>
        <v>2022</v>
      </c>
      <c r="L339" s="2">
        <v>44790.6875</v>
      </c>
      <c r="M339" s="26">
        <v>44767</v>
      </c>
      <c r="N339" s="25" t="s">
        <v>11</v>
      </c>
      <c r="O339" s="24"/>
      <c r="P339" s="24" t="s">
        <v>11</v>
      </c>
      <c r="Q339" s="2">
        <v>44772.4375</v>
      </c>
      <c r="R339" s="2">
        <v>44777.6875</v>
      </c>
      <c r="S339" s="26">
        <v>44826.831250000003</v>
      </c>
      <c r="T339" s="28">
        <v>50000000</v>
      </c>
      <c r="U339" s="28">
        <f>Tabla1[[#This Row],[PPTO]]/(1+'Lista Datos'!$B$1)</f>
        <v>42016806.722689077</v>
      </c>
      <c r="V339" s="23"/>
      <c r="W339" s="18" t="s">
        <v>10</v>
      </c>
      <c r="X339" s="102"/>
      <c r="Y339" s="18"/>
      <c r="Z339" s="18" t="s">
        <v>10</v>
      </c>
      <c r="AA339" s="23" t="s">
        <v>177</v>
      </c>
      <c r="AB339" s="23">
        <v>24</v>
      </c>
      <c r="AC339" s="23" t="s">
        <v>10</v>
      </c>
      <c r="AD339" s="23">
        <v>60</v>
      </c>
      <c r="AE339" s="29">
        <f>Tabla1[[#This Row],[Cierre]]+Tabla1[[#This Row],[Vigencia Oferta (días)]]</f>
        <v>44850.6875</v>
      </c>
      <c r="AF339" s="87"/>
      <c r="AG339" s="28"/>
      <c r="AH339" s="164">
        <f>Tabla1[[#This Row],[Unidades2]]*Tabla1[[#This Row],[Precio Unitario]]</f>
        <v>0</v>
      </c>
      <c r="AI339" s="23" t="s">
        <v>44</v>
      </c>
      <c r="AJ339" s="26">
        <v>44816</v>
      </c>
      <c r="AK339" s="172">
        <f>Tabla1[[#This Row],[Fecha Vigencia]]-AJ339</f>
        <v>34.6875</v>
      </c>
      <c r="AL339" s="23" t="s">
        <v>45</v>
      </c>
      <c r="AM339" s="87">
        <v>49999800</v>
      </c>
      <c r="AN339" s="23"/>
      <c r="AO339" s="29"/>
      <c r="AP339" s="23"/>
      <c r="AQ339" s="34" t="s">
        <v>178</v>
      </c>
      <c r="AR339" s="23" t="s">
        <v>11</v>
      </c>
      <c r="AS339" s="33">
        <v>0.05</v>
      </c>
      <c r="AT339" s="29">
        <v>45671</v>
      </c>
      <c r="AU339" s="23"/>
      <c r="AV339" s="23"/>
      <c r="AW339" s="23" t="s">
        <v>1947</v>
      </c>
      <c r="AX339" t="s">
        <v>1948</v>
      </c>
      <c r="AY339" s="23"/>
      <c r="AZ339" s="23"/>
      <c r="BA339" s="23"/>
      <c r="BB339" s="32"/>
      <c r="BC339" s="73"/>
    </row>
    <row r="340" spans="1:55" x14ac:dyDescent="0.25">
      <c r="A340" s="22" t="s">
        <v>1949</v>
      </c>
      <c r="B340" s="23" t="s">
        <v>1950</v>
      </c>
      <c r="C340" s="23" t="s">
        <v>1951</v>
      </c>
      <c r="D340" s="34" t="s">
        <v>153</v>
      </c>
      <c r="E340" s="24"/>
      <c r="F340" s="25"/>
      <c r="G340" s="23" t="s">
        <v>16</v>
      </c>
      <c r="H340" s="23" t="s">
        <v>145</v>
      </c>
      <c r="I340" s="2">
        <v>44776.462060185186</v>
      </c>
      <c r="J340" s="24">
        <f>MONTH(Tabla1[[#This Row],[Publicación]])</f>
        <v>8</v>
      </c>
      <c r="K340" s="24">
        <f>YEAR(Tabla1[[#This Row],[Publicación]])</f>
        <v>2022</v>
      </c>
      <c r="L340" s="2">
        <v>44789.625694444447</v>
      </c>
      <c r="M340" s="26">
        <v>44781</v>
      </c>
      <c r="N340" s="25" t="s">
        <v>11</v>
      </c>
      <c r="O340" s="24"/>
      <c r="P340" s="24" t="s">
        <v>11</v>
      </c>
      <c r="Q340" s="2">
        <v>44782.375</v>
      </c>
      <c r="R340" s="2">
        <v>44784.832638888889</v>
      </c>
      <c r="S340" s="26">
        <v>44846.832638888889</v>
      </c>
      <c r="T340" s="28">
        <v>0</v>
      </c>
      <c r="U340" s="28">
        <f>Tabla1[[#This Row],[PPTO]]/(1+'Lista Datos'!$B$1)</f>
        <v>0</v>
      </c>
      <c r="V340" s="23"/>
      <c r="W340" s="18" t="s">
        <v>10</v>
      </c>
      <c r="X340" s="102"/>
      <c r="Y340" s="18" t="s">
        <v>146</v>
      </c>
      <c r="Z340" s="18" t="s">
        <v>10</v>
      </c>
      <c r="AA340" s="23" t="s">
        <v>177</v>
      </c>
      <c r="AB340" s="23">
        <v>3</v>
      </c>
      <c r="AC340" s="23" t="s">
        <v>10</v>
      </c>
      <c r="AD340" s="23"/>
      <c r="AE340" s="29">
        <f>Tabla1[[#This Row],[Cierre]]+Tabla1[[#This Row],[Vigencia Oferta (días)]]</f>
        <v>44789.625694444447</v>
      </c>
      <c r="AF340" s="87"/>
      <c r="AG340" s="28"/>
      <c r="AH340" s="164">
        <f>Tabla1[[#This Row],[Unidades2]]*Tabla1[[#This Row],[Precio Unitario]]</f>
        <v>0</v>
      </c>
      <c r="AI340" s="23" t="s">
        <v>44</v>
      </c>
      <c r="AJ340" s="26">
        <v>44816.663032407407</v>
      </c>
      <c r="AK340" s="172">
        <f>Tabla1[[#This Row],[Fecha Vigencia]]-AJ340</f>
        <v>-27.037337962960009</v>
      </c>
      <c r="AL340" s="23" t="s">
        <v>46</v>
      </c>
      <c r="AM340" s="87">
        <v>8000000</v>
      </c>
      <c r="AN340" s="29">
        <v>44816</v>
      </c>
      <c r="AO340" s="29">
        <v>44907</v>
      </c>
      <c r="AP340" s="23" t="s">
        <v>292</v>
      </c>
      <c r="AQ340" s="34" t="s">
        <v>572</v>
      </c>
      <c r="AR340" s="23" t="s">
        <v>10</v>
      </c>
      <c r="AS340" s="23"/>
      <c r="AT340" s="23"/>
      <c r="AU340" s="23"/>
      <c r="AV340" s="23"/>
      <c r="AW340" s="23" t="s">
        <v>1782</v>
      </c>
      <c r="AX340" t="s">
        <v>1783</v>
      </c>
      <c r="AY340" s="23"/>
      <c r="AZ340" s="23"/>
      <c r="BA340" s="23"/>
      <c r="BB340" s="32"/>
      <c r="BC340" s="73"/>
    </row>
    <row r="341" spans="1:55" x14ac:dyDescent="0.25">
      <c r="A341" s="22" t="s">
        <v>1952</v>
      </c>
      <c r="B341" s="23" t="s">
        <v>1953</v>
      </c>
      <c r="C341" s="23" t="s">
        <v>861</v>
      </c>
      <c r="D341" s="34" t="s">
        <v>862</v>
      </c>
      <c r="E341" s="24"/>
      <c r="F341" s="25"/>
      <c r="G341" s="23" t="s">
        <v>21</v>
      </c>
      <c r="H341" s="23" t="s">
        <v>106</v>
      </c>
      <c r="I341" s="2">
        <v>44755.66138888889</v>
      </c>
      <c r="J341" s="24">
        <f>MONTH(Tabla1[[#This Row],[Publicación]])</f>
        <v>7</v>
      </c>
      <c r="K341" s="24">
        <f>YEAR(Tabla1[[#This Row],[Publicación]])</f>
        <v>2022</v>
      </c>
      <c r="L341" s="2">
        <v>44789.666666666664</v>
      </c>
      <c r="M341" s="26"/>
      <c r="N341" s="25" t="s">
        <v>10</v>
      </c>
      <c r="O341" s="24" t="s">
        <v>1954</v>
      </c>
      <c r="P341" s="24" t="s">
        <v>10</v>
      </c>
      <c r="Q341" s="2">
        <v>44767.729166666664</v>
      </c>
      <c r="R341" s="2">
        <v>44770.729166666664</v>
      </c>
      <c r="S341" s="26">
        <v>44852.729166666664</v>
      </c>
      <c r="T341" s="28">
        <v>713960302</v>
      </c>
      <c r="U341" s="28">
        <f>Tabla1[[#This Row],[PPTO]]/(1+'Lista Datos'!$B$1)</f>
        <v>599966640.33613443</v>
      </c>
      <c r="V341" s="23"/>
      <c r="W341" s="18" t="s">
        <v>11</v>
      </c>
      <c r="X341" s="102">
        <v>10000000</v>
      </c>
      <c r="Y341" s="26">
        <v>44905</v>
      </c>
      <c r="Z341" s="18" t="s">
        <v>10</v>
      </c>
      <c r="AA341" s="23" t="s">
        <v>177</v>
      </c>
      <c r="AB341" s="23">
        <v>24</v>
      </c>
      <c r="AC341" s="23"/>
      <c r="AD341" s="23"/>
      <c r="AE341" s="29">
        <f>Tabla1[[#This Row],[Cierre]]+Tabla1[[#This Row],[Vigencia Oferta (días)]]</f>
        <v>44789.666666666664</v>
      </c>
      <c r="AF341" s="87"/>
      <c r="AG341" s="28"/>
      <c r="AH341" s="164">
        <f>Tabla1[[#This Row],[Unidades2]]*Tabla1[[#This Row],[Precio Unitario]]</f>
        <v>0</v>
      </c>
      <c r="AI341" s="23" t="s">
        <v>44</v>
      </c>
      <c r="AJ341" s="26">
        <v>44900.461458333331</v>
      </c>
      <c r="AK341" s="172">
        <f>Tabla1[[#This Row],[Fecha Vigencia]]-AJ341</f>
        <v>-110.79479166666715</v>
      </c>
      <c r="AL341" s="23" t="s">
        <v>1905</v>
      </c>
      <c r="AM341" s="87">
        <v>708326220</v>
      </c>
      <c r="AN341" s="234">
        <v>44900.461458333331</v>
      </c>
      <c r="AO341" s="29">
        <v>45631</v>
      </c>
      <c r="AP341" s="23" t="s">
        <v>177</v>
      </c>
      <c r="AQ341" s="34" t="s">
        <v>863</v>
      </c>
      <c r="AR341" s="23" t="s">
        <v>11</v>
      </c>
      <c r="AS341" s="33">
        <v>0.1</v>
      </c>
      <c r="AT341" s="29">
        <v>45715</v>
      </c>
      <c r="AU341" s="23"/>
      <c r="AV341" s="23"/>
      <c r="AW341" s="23" t="s">
        <v>952</v>
      </c>
      <c r="AX341" t="s">
        <v>865</v>
      </c>
      <c r="AY341" s="23"/>
      <c r="AZ341" s="23"/>
      <c r="BA341" s="23"/>
      <c r="BB341" s="32"/>
      <c r="BC341" s="73"/>
    </row>
    <row r="342" spans="1:55" x14ac:dyDescent="0.25">
      <c r="A342" s="22" t="s">
        <v>1955</v>
      </c>
      <c r="B342" s="23" t="s">
        <v>1956</v>
      </c>
      <c r="C342" s="23" t="s">
        <v>1957</v>
      </c>
      <c r="D342" s="34" t="s">
        <v>1958</v>
      </c>
      <c r="E342" s="24"/>
      <c r="F342" s="25"/>
      <c r="G342" s="23" t="s">
        <v>21</v>
      </c>
      <c r="H342" s="23" t="s">
        <v>106</v>
      </c>
      <c r="I342" s="2">
        <v>44767.587060185186</v>
      </c>
      <c r="J342" s="24">
        <f>MONTH(Tabla1[[#This Row],[Publicación]])</f>
        <v>7</v>
      </c>
      <c r="K342" s="24">
        <f>YEAR(Tabla1[[#This Row],[Publicación]])</f>
        <v>2022</v>
      </c>
      <c r="L342" s="2">
        <v>44798.555555555555</v>
      </c>
      <c r="M342" s="26">
        <v>44771</v>
      </c>
      <c r="N342" s="25" t="s">
        <v>11</v>
      </c>
      <c r="O342" s="24"/>
      <c r="P342" s="24" t="s">
        <v>11</v>
      </c>
      <c r="Q342" s="2">
        <v>44782.645138888889</v>
      </c>
      <c r="R342" s="2">
        <v>44792.645138888889</v>
      </c>
      <c r="S342" s="26">
        <v>44860.556250000001</v>
      </c>
      <c r="T342" s="28">
        <v>400000000</v>
      </c>
      <c r="U342" s="28">
        <f>Tabla1[[#This Row],[PPTO]]/(1+'Lista Datos'!$B$1)</f>
        <v>336134453.78151262</v>
      </c>
      <c r="V342" s="23">
        <v>30</v>
      </c>
      <c r="W342" s="18" t="s">
        <v>11</v>
      </c>
      <c r="X342" s="102">
        <v>2000000</v>
      </c>
      <c r="Y342" s="26">
        <v>44949</v>
      </c>
      <c r="Z342" s="18" t="s">
        <v>10</v>
      </c>
      <c r="AA342" s="23" t="s">
        <v>177</v>
      </c>
      <c r="AB342" s="23">
        <v>24</v>
      </c>
      <c r="AC342" s="23" t="s">
        <v>10</v>
      </c>
      <c r="AD342" s="23">
        <v>150</v>
      </c>
      <c r="AE342" s="29">
        <f>Tabla1[[#This Row],[Cierre]]+Tabla1[[#This Row],[Vigencia Oferta (días)]]</f>
        <v>44948.555555555555</v>
      </c>
      <c r="AF342" s="87">
        <v>300</v>
      </c>
      <c r="AG342" s="28">
        <v>17180</v>
      </c>
      <c r="AH342" s="164">
        <f>Tabla1[[#This Row],[Unidades2]]*Tabla1[[#This Row],[Precio Unitario]]</f>
        <v>5154000</v>
      </c>
      <c r="AI342" s="23" t="s">
        <v>44</v>
      </c>
      <c r="AJ342" s="26"/>
      <c r="AK342" s="172">
        <f>Tabla1[[#This Row],[Fecha Vigencia]]-AJ342</f>
        <v>44948.555555555555</v>
      </c>
      <c r="AL342" s="23" t="s">
        <v>115</v>
      </c>
      <c r="AM342" s="87"/>
      <c r="AN342" s="23"/>
      <c r="AO342" s="29"/>
      <c r="AP342" s="23"/>
      <c r="AQ342" s="34" t="s">
        <v>1910</v>
      </c>
      <c r="AR342" s="23" t="s">
        <v>11</v>
      </c>
      <c r="AS342" s="33">
        <v>0.05</v>
      </c>
      <c r="AT342" s="29">
        <v>45674</v>
      </c>
      <c r="AU342" s="23"/>
      <c r="AV342" s="23"/>
      <c r="AW342" s="23" t="s">
        <v>1959</v>
      </c>
      <c r="AX342" t="s">
        <v>1912</v>
      </c>
      <c r="AY342" s="23"/>
      <c r="AZ342" s="23"/>
      <c r="BA342" s="23"/>
      <c r="BB342" s="32"/>
      <c r="BC342" s="73"/>
    </row>
    <row r="343" spans="1:55" x14ac:dyDescent="0.25">
      <c r="A343" s="22" t="s">
        <v>1955</v>
      </c>
      <c r="B343" s="23" t="s">
        <v>1956</v>
      </c>
      <c r="C343" s="23" t="s">
        <v>1957</v>
      </c>
      <c r="D343" s="34" t="s">
        <v>1958</v>
      </c>
      <c r="E343" s="24"/>
      <c r="F343" s="25"/>
      <c r="G343" s="23" t="s">
        <v>21</v>
      </c>
      <c r="H343" s="23" t="s">
        <v>106</v>
      </c>
      <c r="I343" s="2">
        <v>44767.587060185186</v>
      </c>
      <c r="J343" s="24">
        <f>MONTH(Tabla1[[#This Row],[Publicación]])</f>
        <v>7</v>
      </c>
      <c r="K343" s="24">
        <f>YEAR(Tabla1[[#This Row],[Publicación]])</f>
        <v>2022</v>
      </c>
      <c r="L343" s="2">
        <v>44798.555555555555</v>
      </c>
      <c r="M343" s="26">
        <v>44771</v>
      </c>
      <c r="N343" s="25" t="s">
        <v>11</v>
      </c>
      <c r="O343" s="24"/>
      <c r="P343" s="24" t="s">
        <v>11</v>
      </c>
      <c r="Q343" s="2">
        <v>44782.645138888889</v>
      </c>
      <c r="R343" s="2">
        <v>44792.645138888889</v>
      </c>
      <c r="S343" s="26">
        <v>44860.556250000001</v>
      </c>
      <c r="T343" s="28">
        <v>400000000</v>
      </c>
      <c r="U343" s="28">
        <f>Tabla1[[#This Row],[PPTO]]/(1+'Lista Datos'!$B$1)</f>
        <v>336134453.78151262</v>
      </c>
      <c r="V343" s="23">
        <v>30</v>
      </c>
      <c r="W343" s="18" t="s">
        <v>11</v>
      </c>
      <c r="X343" s="102">
        <v>2000000</v>
      </c>
      <c r="Y343" s="26">
        <v>44949</v>
      </c>
      <c r="Z343" s="18" t="s">
        <v>10</v>
      </c>
      <c r="AA343" s="23" t="s">
        <v>177</v>
      </c>
      <c r="AB343" s="23">
        <v>24</v>
      </c>
      <c r="AC343" s="23" t="s">
        <v>10</v>
      </c>
      <c r="AD343" s="23">
        <v>150</v>
      </c>
      <c r="AE343" s="29">
        <f>Tabla1[[#This Row],[Cierre]]+Tabla1[[#This Row],[Vigencia Oferta (días)]]</f>
        <v>44948.555555555555</v>
      </c>
      <c r="AF343" s="87">
        <v>300</v>
      </c>
      <c r="AG343" s="28">
        <v>19034</v>
      </c>
      <c r="AH343" s="164">
        <f>Tabla1[[#This Row],[Unidades2]]*Tabla1[[#This Row],[Precio Unitario]]</f>
        <v>5710200</v>
      </c>
      <c r="AI343" s="23" t="s">
        <v>44</v>
      </c>
      <c r="AJ343" s="26">
        <v>44860.662488425929</v>
      </c>
      <c r="AK343" s="172">
        <f>Tabla1[[#This Row],[Fecha Vigencia]]-AJ343</f>
        <v>87.893067129625706</v>
      </c>
      <c r="AL343" s="23" t="s">
        <v>115</v>
      </c>
      <c r="AM343" s="87">
        <v>12674900</v>
      </c>
      <c r="AN343" s="29">
        <v>44860</v>
      </c>
      <c r="AO343" s="29">
        <v>45591</v>
      </c>
      <c r="AP343" s="23" t="s">
        <v>292</v>
      </c>
      <c r="AQ343" s="34" t="s">
        <v>1910</v>
      </c>
      <c r="AR343" s="23" t="s">
        <v>11</v>
      </c>
      <c r="AS343" s="33">
        <v>0.05</v>
      </c>
      <c r="AT343" s="29">
        <v>45674</v>
      </c>
      <c r="AU343" s="23" t="s">
        <v>1960</v>
      </c>
      <c r="AV343" t="s">
        <v>1961</v>
      </c>
      <c r="AW343" s="23" t="s">
        <v>1959</v>
      </c>
      <c r="AX343" t="s">
        <v>1912</v>
      </c>
      <c r="AY343" s="23"/>
      <c r="AZ343" s="23"/>
      <c r="BA343" s="23"/>
      <c r="BB343" s="32"/>
      <c r="BC343" s="73"/>
    </row>
    <row r="344" spans="1:55" x14ac:dyDescent="0.25">
      <c r="A344" s="22" t="s">
        <v>1962</v>
      </c>
      <c r="B344" s="23" t="s">
        <v>1963</v>
      </c>
      <c r="C344" s="23" t="s">
        <v>1964</v>
      </c>
      <c r="D344" s="34" t="s">
        <v>1965</v>
      </c>
      <c r="E344" s="24" t="s">
        <v>1867</v>
      </c>
      <c r="F344" s="25"/>
      <c r="G344" s="23" t="s">
        <v>21</v>
      </c>
      <c r="H344" s="23" t="s">
        <v>106</v>
      </c>
      <c r="I344" s="6">
        <v>44774.467199074075</v>
      </c>
      <c r="J344" s="24">
        <f>MONTH(Tabla1[[#This Row],[Publicación]])</f>
        <v>8</v>
      </c>
      <c r="K344" s="24">
        <f>YEAR(Tabla1[[#This Row],[Publicación]])</f>
        <v>2022</v>
      </c>
      <c r="L344" s="2">
        <v>44804.708333333336</v>
      </c>
      <c r="M344" s="26">
        <v>44777</v>
      </c>
      <c r="N344" s="25" t="s">
        <v>10</v>
      </c>
      <c r="O344" s="24" t="s">
        <v>1954</v>
      </c>
      <c r="P344" s="24" t="s">
        <v>10</v>
      </c>
      <c r="Q344" s="2">
        <v>44789.708333333336</v>
      </c>
      <c r="R344" s="2">
        <v>44795.708333333336</v>
      </c>
      <c r="S344" s="26">
        <v>44824.708333333336</v>
      </c>
      <c r="T344" s="28">
        <v>300000000</v>
      </c>
      <c r="U344" s="28">
        <f>Tabla1[[#This Row],[PPTO]]/(1+'Lista Datos'!$B$1)</f>
        <v>252100840.33613446</v>
      </c>
      <c r="V344" s="23"/>
      <c r="W344" s="18" t="s">
        <v>11</v>
      </c>
      <c r="X344" s="102">
        <v>100000</v>
      </c>
      <c r="Y344" s="26">
        <v>44896</v>
      </c>
      <c r="Z344" s="18" t="s">
        <v>10</v>
      </c>
      <c r="AA344" s="23" t="s">
        <v>177</v>
      </c>
      <c r="AB344" s="23">
        <v>24</v>
      </c>
      <c r="AC344" s="23"/>
      <c r="AD344" s="23"/>
      <c r="AE344" s="29">
        <f>Tabla1[[#This Row],[Cierre]]+Tabla1[[#This Row],[Vigencia Oferta (días)]]</f>
        <v>44804.708333333336</v>
      </c>
      <c r="AF344" s="89"/>
      <c r="AG344" s="59"/>
      <c r="AH344" s="164">
        <f>Tabla1[[#This Row],[Unidades2]]*Tabla1[[#This Row],[Precio Unitario]]</f>
        <v>0</v>
      </c>
      <c r="AI344" s="23" t="s">
        <v>44</v>
      </c>
      <c r="AJ344" s="26">
        <v>44965.554895833331</v>
      </c>
      <c r="AK344" s="172">
        <f>Tabla1[[#This Row],[Fecha Vigencia]]-AJ344</f>
        <v>-160.84656249999534</v>
      </c>
      <c r="AL344" s="23" t="s">
        <v>46</v>
      </c>
      <c r="AM344" s="89">
        <v>2129487</v>
      </c>
      <c r="AN344" s="234">
        <v>44965.554895833331</v>
      </c>
      <c r="AO344" s="29">
        <v>45696</v>
      </c>
      <c r="AP344" s="23" t="s">
        <v>177</v>
      </c>
      <c r="AQ344" s="34" t="s">
        <v>1966</v>
      </c>
      <c r="AR344" s="23" t="s">
        <v>11</v>
      </c>
      <c r="AS344" s="33">
        <v>0.05</v>
      </c>
      <c r="AT344" s="29">
        <v>45505</v>
      </c>
      <c r="AU344" s="23"/>
      <c r="AV344" s="23"/>
      <c r="AW344" s="23" t="s">
        <v>1809</v>
      </c>
      <c r="AX344" t="s">
        <v>1967</v>
      </c>
      <c r="AY344" s="23"/>
      <c r="AZ344" s="23"/>
      <c r="BA344" s="23"/>
      <c r="BB344" s="32"/>
      <c r="BC344" s="73"/>
    </row>
    <row r="345" spans="1:55" ht="11.25" x14ac:dyDescent="0.2">
      <c r="A345" s="22" t="s">
        <v>1968</v>
      </c>
      <c r="B345" s="24" t="s">
        <v>1023</v>
      </c>
      <c r="C345" s="23" t="s">
        <v>1969</v>
      </c>
      <c r="D345" s="34" t="s">
        <v>955</v>
      </c>
      <c r="E345" s="24"/>
      <c r="F345" s="25"/>
      <c r="G345" s="23" t="s">
        <v>20</v>
      </c>
      <c r="H345" s="23" t="s">
        <v>176</v>
      </c>
      <c r="I345" s="2">
        <v>44678.342546296299</v>
      </c>
      <c r="J345" s="24">
        <f>MONTH(Tabla1[[#This Row],[Publicación]])</f>
        <v>4</v>
      </c>
      <c r="K345" s="24">
        <f>YEAR(Tabla1[[#This Row],[Publicación]])</f>
        <v>2022</v>
      </c>
      <c r="L345" s="2">
        <v>44785.6875</v>
      </c>
      <c r="M345" s="26">
        <v>44678</v>
      </c>
      <c r="N345" s="25" t="s">
        <v>11</v>
      </c>
      <c r="O345" s="24"/>
      <c r="P345" s="24" t="s">
        <v>11</v>
      </c>
      <c r="Q345" s="2">
        <v>44686.625</v>
      </c>
      <c r="R345" s="2">
        <v>44690.833333333336</v>
      </c>
      <c r="S345" s="26">
        <v>44740.690532407411</v>
      </c>
      <c r="T345" s="28">
        <v>61500000</v>
      </c>
      <c r="U345" s="28">
        <f>Tabla1[[#This Row],[PPTO]]/(1+'Lista Datos'!$B$1)</f>
        <v>51680672.268907562</v>
      </c>
      <c r="V345" s="23"/>
      <c r="W345" s="18" t="s">
        <v>11</v>
      </c>
      <c r="X345" s="102">
        <v>500000</v>
      </c>
      <c r="Y345" s="26">
        <v>44789</v>
      </c>
      <c r="Z345" s="18" t="s">
        <v>10</v>
      </c>
      <c r="AA345" s="23" t="s">
        <v>177</v>
      </c>
      <c r="AB345" s="23">
        <v>36</v>
      </c>
      <c r="AC345" s="23" t="s">
        <v>10</v>
      </c>
      <c r="AD345" s="23">
        <v>90</v>
      </c>
      <c r="AE345" s="29">
        <f>Tabla1[[#This Row],[Cierre]]+Tabla1[[#This Row],[Vigencia Oferta (días)]]</f>
        <v>44875.6875</v>
      </c>
      <c r="AF345" s="87"/>
      <c r="AG345" s="28"/>
      <c r="AH345" s="164">
        <f>Tabla1[[#This Row],[Unidades2]]*Tabla1[[#This Row],[Precio Unitario]]</f>
        <v>0</v>
      </c>
      <c r="AI345" s="23" t="s">
        <v>137</v>
      </c>
      <c r="AJ345" s="26"/>
      <c r="AK345" s="172">
        <f>Tabla1[[#This Row],[Fecha Vigencia]]-AJ345</f>
        <v>44875.6875</v>
      </c>
      <c r="AL345" s="23"/>
      <c r="AM345" s="87"/>
      <c r="AN345" s="23"/>
      <c r="AO345" s="29"/>
      <c r="AP345" s="23"/>
      <c r="AQ345" s="34" t="s">
        <v>399</v>
      </c>
      <c r="AR345" s="23" t="s">
        <v>11</v>
      </c>
      <c r="AS345" s="33">
        <v>0.05</v>
      </c>
      <c r="AT345" s="29">
        <v>45947</v>
      </c>
      <c r="AU345" s="23"/>
      <c r="AV345" s="23"/>
      <c r="AW345" s="23"/>
      <c r="AX345" s="23"/>
      <c r="AY345" s="23"/>
      <c r="AZ345" s="23"/>
      <c r="BA345" s="23"/>
      <c r="BB345" s="32"/>
      <c r="BC345" s="73"/>
    </row>
    <row r="346" spans="1:55" x14ac:dyDescent="0.25">
      <c r="A346" s="22" t="s">
        <v>1970</v>
      </c>
      <c r="B346" s="23" t="s">
        <v>1971</v>
      </c>
      <c r="C346" s="23" t="s">
        <v>1972</v>
      </c>
      <c r="D346" s="23" t="s">
        <v>1973</v>
      </c>
      <c r="E346" s="24"/>
      <c r="F346" s="25"/>
      <c r="G346" s="23" t="s">
        <v>16</v>
      </c>
      <c r="H346" s="23" t="s">
        <v>533</v>
      </c>
      <c r="I346" s="2">
        <v>44580.526145833333</v>
      </c>
      <c r="J346" s="24">
        <f>MONTH(Tabla1[[#This Row],[Publicación]])</f>
        <v>1</v>
      </c>
      <c r="K346" s="24">
        <f>YEAR(Tabla1[[#This Row],[Publicación]])</f>
        <v>2022</v>
      </c>
      <c r="L346" s="2">
        <v>44592.679166666669</v>
      </c>
      <c r="M346" s="26">
        <v>44582</v>
      </c>
      <c r="N346" s="25" t="s">
        <v>10</v>
      </c>
      <c r="O346" s="24" t="s">
        <v>25</v>
      </c>
      <c r="P346" s="24" t="s">
        <v>10</v>
      </c>
      <c r="Q346" s="2">
        <v>44583.679861111108</v>
      </c>
      <c r="R346" s="2">
        <v>44584.679861111108</v>
      </c>
      <c r="S346" s="26">
        <v>44594.679861111108</v>
      </c>
      <c r="T346" s="28">
        <v>0</v>
      </c>
      <c r="U346" s="28">
        <f>Tabla1[[#This Row],[PPTO]]/(1+'Lista Datos'!$B$1)</f>
        <v>0</v>
      </c>
      <c r="V346" s="23"/>
      <c r="W346" s="18" t="s">
        <v>10</v>
      </c>
      <c r="X346" s="102"/>
      <c r="Y346" s="18" t="s">
        <v>146</v>
      </c>
      <c r="Z346" s="18" t="s">
        <v>10</v>
      </c>
      <c r="AA346" s="23"/>
      <c r="AB346" s="23"/>
      <c r="AC346" s="23"/>
      <c r="AD346" s="23"/>
      <c r="AE346" s="29">
        <f>Tabla1[[#This Row],[Cierre]]+Tabla1[[#This Row],[Vigencia Oferta (días)]]</f>
        <v>44592.679166666669</v>
      </c>
      <c r="AF346" s="87"/>
      <c r="AG346" s="28"/>
      <c r="AH346" s="164">
        <f>Tabla1[[#This Row],[Unidades2]]*Tabla1[[#This Row],[Precio Unitario]]</f>
        <v>0</v>
      </c>
      <c r="AI346" s="23" t="s">
        <v>270</v>
      </c>
      <c r="AJ346" s="26"/>
      <c r="AK346" s="172">
        <f>Tabla1[[#This Row],[Fecha Vigencia]]-AJ346</f>
        <v>44592.679166666669</v>
      </c>
      <c r="AL346" s="23"/>
      <c r="AM346" s="87"/>
      <c r="AN346" s="23"/>
      <c r="AO346" s="29"/>
      <c r="AP346" s="23"/>
      <c r="AQ346" s="23" t="s">
        <v>1974</v>
      </c>
      <c r="AR346" s="23" t="s">
        <v>10</v>
      </c>
      <c r="AS346" s="23"/>
      <c r="AT346" s="23"/>
      <c r="AU346" s="23"/>
      <c r="AV346" s="23"/>
      <c r="AW346" s="23" t="s">
        <v>1975</v>
      </c>
      <c r="AX346" t="s">
        <v>1976</v>
      </c>
      <c r="AY346" s="23"/>
      <c r="AZ346" s="23"/>
      <c r="BA346" s="23"/>
      <c r="BB346" s="32"/>
      <c r="BC346" s="73"/>
    </row>
    <row r="347" spans="1:55" x14ac:dyDescent="0.25">
      <c r="A347" s="22" t="s">
        <v>1977</v>
      </c>
      <c r="B347" s="23" t="s">
        <v>1978</v>
      </c>
      <c r="C347" s="23" t="s">
        <v>1979</v>
      </c>
      <c r="D347" s="34" t="s">
        <v>770</v>
      </c>
      <c r="E347" s="24"/>
      <c r="F347" s="25"/>
      <c r="G347" s="23" t="s">
        <v>16</v>
      </c>
      <c r="H347" s="23" t="s">
        <v>123</v>
      </c>
      <c r="I347" s="2">
        <v>44775.538136574076</v>
      </c>
      <c r="J347" s="24">
        <f>MONTH(Tabla1[[#This Row],[Publicación]])</f>
        <v>8</v>
      </c>
      <c r="K347" s="24">
        <f>YEAR(Tabla1[[#This Row],[Publicación]])</f>
        <v>2022</v>
      </c>
      <c r="L347" s="2">
        <v>44804.708333333336</v>
      </c>
      <c r="M347" s="26">
        <v>44775</v>
      </c>
      <c r="N347" s="25" t="s">
        <v>11</v>
      </c>
      <c r="O347" s="24"/>
      <c r="P347" s="24" t="s">
        <v>11</v>
      </c>
      <c r="Q347" s="2">
        <v>44778.614583333336</v>
      </c>
      <c r="R347" s="2">
        <v>44781.614583333336</v>
      </c>
      <c r="S347" s="26">
        <v>44834.463888888888</v>
      </c>
      <c r="T347" s="28">
        <v>0</v>
      </c>
      <c r="U347" s="28">
        <f>Tabla1[[#This Row],[PPTO]]/(1+'Lista Datos'!$B$1)</f>
        <v>0</v>
      </c>
      <c r="V347" s="23"/>
      <c r="W347" s="18" t="s">
        <v>11</v>
      </c>
      <c r="X347" s="102">
        <v>1000000</v>
      </c>
      <c r="Y347" s="26">
        <v>44923</v>
      </c>
      <c r="Z347" s="18" t="s">
        <v>10</v>
      </c>
      <c r="AA347" s="23"/>
      <c r="AB347" s="23"/>
      <c r="AC347" s="23" t="s">
        <v>10</v>
      </c>
      <c r="AD347" s="23"/>
      <c r="AE347" s="29">
        <f>Tabla1[[#This Row],[Cierre]]+Tabla1[[#This Row],[Vigencia Oferta (días)]]</f>
        <v>44804.708333333336</v>
      </c>
      <c r="AF347" s="87"/>
      <c r="AG347" s="28"/>
      <c r="AH347" s="164">
        <f>Tabla1[[#This Row],[Unidades2]]*Tabla1[[#This Row],[Precio Unitario]]</f>
        <v>0</v>
      </c>
      <c r="AI347" s="23" t="s">
        <v>385</v>
      </c>
      <c r="AJ347" s="26"/>
      <c r="AK347" s="172">
        <f>Tabla1[[#This Row],[Fecha Vigencia]]-AJ347</f>
        <v>44804.708333333336</v>
      </c>
      <c r="AL347" s="23"/>
      <c r="AM347" s="87"/>
      <c r="AN347" s="23"/>
      <c r="AO347" s="29"/>
      <c r="AP347" s="23"/>
      <c r="AQ347" s="34" t="s">
        <v>771</v>
      </c>
      <c r="AR347" s="23" t="s">
        <v>11</v>
      </c>
      <c r="AS347" s="33">
        <v>0.05</v>
      </c>
      <c r="AT347" s="29">
        <v>46042</v>
      </c>
      <c r="AU347" s="23"/>
      <c r="AV347" s="23"/>
      <c r="AW347" s="23" t="s">
        <v>1890</v>
      </c>
      <c r="AX347" t="s">
        <v>773</v>
      </c>
      <c r="AY347" s="23"/>
      <c r="AZ347" s="23"/>
      <c r="BA347" s="23"/>
      <c r="BB347" s="32"/>
      <c r="BC347" s="73"/>
    </row>
    <row r="348" spans="1:55" x14ac:dyDescent="0.25">
      <c r="A348" s="22" t="s">
        <v>1980</v>
      </c>
      <c r="B348" s="23" t="s">
        <v>1981</v>
      </c>
      <c r="C348" s="23" t="s">
        <v>1982</v>
      </c>
      <c r="D348" s="34" t="s">
        <v>136</v>
      </c>
      <c r="E348" s="24"/>
      <c r="F348" s="25"/>
      <c r="G348" s="23" t="s">
        <v>16</v>
      </c>
      <c r="H348" s="23" t="s">
        <v>1983</v>
      </c>
      <c r="I348" s="2">
        <v>44781.4919212963</v>
      </c>
      <c r="J348" s="24">
        <f>MONTH(Tabla1[[#This Row],[Publicación]])</f>
        <v>8</v>
      </c>
      <c r="K348" s="24">
        <f>YEAR(Tabla1[[#This Row],[Publicación]])</f>
        <v>2022</v>
      </c>
      <c r="L348" s="2">
        <v>44791.708333333336</v>
      </c>
      <c r="M348" s="26">
        <v>44782</v>
      </c>
      <c r="N348" s="25" t="s">
        <v>11</v>
      </c>
      <c r="O348" s="24"/>
      <c r="P348" s="24" t="s">
        <v>11</v>
      </c>
      <c r="Q348" s="2">
        <v>44784.5</v>
      </c>
      <c r="R348" s="2">
        <v>44788.708333333336</v>
      </c>
      <c r="S348" s="26">
        <v>44813.708333333336</v>
      </c>
      <c r="T348" s="28">
        <v>0</v>
      </c>
      <c r="U348" s="28">
        <f>Tabla1[[#This Row],[PPTO]]/(1+'Lista Datos'!$B$1)</f>
        <v>0</v>
      </c>
      <c r="V348" s="23"/>
      <c r="W348" s="18" t="s">
        <v>10</v>
      </c>
      <c r="X348" s="102"/>
      <c r="Y348" s="18" t="s">
        <v>146</v>
      </c>
      <c r="Z348" s="18" t="s">
        <v>10</v>
      </c>
      <c r="AA348" s="23"/>
      <c r="AB348" s="23"/>
      <c r="AC348" s="23" t="s">
        <v>10</v>
      </c>
      <c r="AD348" s="23"/>
      <c r="AE348" s="29">
        <f>Tabla1[[#This Row],[Cierre]]+Tabla1[[#This Row],[Vigencia Oferta (días)]]</f>
        <v>44791.708333333336</v>
      </c>
      <c r="AF348" s="87"/>
      <c r="AG348" s="28"/>
      <c r="AH348" s="164">
        <f>Tabla1[[#This Row],[Unidades2]]*Tabla1[[#This Row],[Precio Unitario]]</f>
        <v>0</v>
      </c>
      <c r="AI348" s="23" t="s">
        <v>137</v>
      </c>
      <c r="AJ348" s="26"/>
      <c r="AK348" s="172">
        <f>Tabla1[[#This Row],[Fecha Vigencia]]-AJ348</f>
        <v>44791.708333333336</v>
      </c>
      <c r="AL348" s="23"/>
      <c r="AM348" s="87"/>
      <c r="AN348" s="23"/>
      <c r="AO348" s="29"/>
      <c r="AP348" s="23"/>
      <c r="AQ348" s="34" t="s">
        <v>138</v>
      </c>
      <c r="AR348" s="23" t="s">
        <v>10</v>
      </c>
      <c r="AS348" s="23"/>
      <c r="AT348" s="23"/>
      <c r="AU348" s="23"/>
      <c r="AV348" s="23"/>
      <c r="AW348" s="23" t="s">
        <v>1591</v>
      </c>
      <c r="AX348" t="s">
        <v>140</v>
      </c>
      <c r="AY348" s="23"/>
      <c r="AZ348" s="23"/>
      <c r="BA348" s="23"/>
      <c r="BB348" s="32"/>
      <c r="BC348" s="73"/>
    </row>
    <row r="349" spans="1:55" x14ac:dyDescent="0.25">
      <c r="A349" s="22" t="s">
        <v>1984</v>
      </c>
      <c r="B349" s="23" t="s">
        <v>1985</v>
      </c>
      <c r="C349" s="23" t="s">
        <v>1986</v>
      </c>
      <c r="D349" s="34" t="s">
        <v>1987</v>
      </c>
      <c r="E349" s="24"/>
      <c r="F349" s="25"/>
      <c r="G349" s="23" t="s">
        <v>16</v>
      </c>
      <c r="H349" s="23" t="s">
        <v>910</v>
      </c>
      <c r="I349" s="2">
        <v>44777.510092592594</v>
      </c>
      <c r="J349" s="24">
        <f>MONTH(Tabla1[[#This Row],[Publicación]])</f>
        <v>8</v>
      </c>
      <c r="K349" s="24">
        <f>YEAR(Tabla1[[#This Row],[Publicación]])</f>
        <v>2022</v>
      </c>
      <c r="L349" s="2">
        <v>44789.628472222219</v>
      </c>
      <c r="M349" s="26">
        <v>44782</v>
      </c>
      <c r="N349" s="25" t="s">
        <v>11</v>
      </c>
      <c r="O349" s="24"/>
      <c r="P349" s="23" t="s">
        <v>11</v>
      </c>
      <c r="Q349" s="2">
        <v>44780.668749999997</v>
      </c>
      <c r="R349" s="2">
        <v>44781.668749999997</v>
      </c>
      <c r="S349" s="26">
        <v>44790.629166666666</v>
      </c>
      <c r="T349" s="28">
        <v>0</v>
      </c>
      <c r="U349" s="28">
        <f>Tabla1[[#This Row],[PPTO]]/(1+'Lista Datos'!$B$1)</f>
        <v>0</v>
      </c>
      <c r="V349" s="23"/>
      <c r="W349" s="18" t="s">
        <v>10</v>
      </c>
      <c r="X349" s="102"/>
      <c r="Y349" s="18" t="s">
        <v>146</v>
      </c>
      <c r="Z349" s="18" t="s">
        <v>10</v>
      </c>
      <c r="AA349" s="23" t="s">
        <v>512</v>
      </c>
      <c r="AB349" s="23"/>
      <c r="AC349" s="23" t="s">
        <v>10</v>
      </c>
      <c r="AD349" s="23"/>
      <c r="AE349" s="29">
        <f>Tabla1[[#This Row],[Cierre]]+Tabla1[[#This Row],[Vigencia Oferta (días)]]</f>
        <v>44789.628472222219</v>
      </c>
      <c r="AF349" s="87"/>
      <c r="AG349" s="28"/>
      <c r="AH349" s="164">
        <f>Tabla1[[#This Row],[Unidades2]]*Tabla1[[#This Row],[Precio Unitario]]</f>
        <v>0</v>
      </c>
      <c r="AI349" s="23" t="s">
        <v>270</v>
      </c>
      <c r="AJ349" s="26"/>
      <c r="AK349" s="172">
        <f>Tabla1[[#This Row],[Fecha Vigencia]]-AJ349</f>
        <v>44789.628472222219</v>
      </c>
      <c r="AL349" s="23"/>
      <c r="AM349" s="87"/>
      <c r="AN349" s="23"/>
      <c r="AO349" s="29"/>
      <c r="AP349" s="23"/>
      <c r="AQ349" s="34" t="s">
        <v>1988</v>
      </c>
      <c r="AR349" s="23" t="s">
        <v>10</v>
      </c>
      <c r="AS349" s="23"/>
      <c r="AT349" s="23"/>
      <c r="AU349" s="23"/>
      <c r="AV349" s="23"/>
      <c r="AW349" s="23" t="s">
        <v>1989</v>
      </c>
      <c r="AX349" t="s">
        <v>1990</v>
      </c>
      <c r="AY349" s="23"/>
      <c r="AZ349" s="23"/>
      <c r="BA349" s="23"/>
      <c r="BB349" s="32"/>
      <c r="BC349" s="73"/>
    </row>
    <row r="350" spans="1:55" x14ac:dyDescent="0.25">
      <c r="A350" s="22" t="s">
        <v>1991</v>
      </c>
      <c r="B350" s="23" t="s">
        <v>1992</v>
      </c>
      <c r="C350" s="23" t="s">
        <v>1993</v>
      </c>
      <c r="D350" s="34" t="s">
        <v>1595</v>
      </c>
      <c r="E350" s="24"/>
      <c r="F350" s="25"/>
      <c r="G350" s="23" t="s">
        <v>16</v>
      </c>
      <c r="H350" s="23" t="s">
        <v>1596</v>
      </c>
      <c r="I350" s="2">
        <v>44774.596087962964</v>
      </c>
      <c r="J350" s="24">
        <f>MONTH(Tabla1[[#This Row],[Publicación]])</f>
        <v>8</v>
      </c>
      <c r="K350" s="24">
        <f>YEAR(Tabla1[[#This Row],[Publicación]])</f>
        <v>2022</v>
      </c>
      <c r="L350" s="2">
        <v>44784.831250000003</v>
      </c>
      <c r="M350" s="26">
        <v>44782</v>
      </c>
      <c r="N350" s="25" t="s">
        <v>11</v>
      </c>
      <c r="O350" s="24"/>
      <c r="P350" s="24" t="s">
        <v>11</v>
      </c>
      <c r="Q350" s="2">
        <v>44778.742361111108</v>
      </c>
      <c r="R350" s="2">
        <v>44782.742361111108</v>
      </c>
      <c r="S350" s="26">
        <v>44789.831944444442</v>
      </c>
      <c r="T350" s="28">
        <v>0</v>
      </c>
      <c r="U350" s="28">
        <f>Tabla1[[#This Row],[PPTO]]/(1+'Lista Datos'!$B$1)</f>
        <v>0</v>
      </c>
      <c r="V350" s="23"/>
      <c r="W350" s="18" t="s">
        <v>10</v>
      </c>
      <c r="X350" s="102"/>
      <c r="Y350" s="18" t="s">
        <v>146</v>
      </c>
      <c r="Z350" s="18" t="s">
        <v>10</v>
      </c>
      <c r="AA350" s="23" t="s">
        <v>177</v>
      </c>
      <c r="AB350" s="23">
        <v>6</v>
      </c>
      <c r="AC350" s="23" t="s">
        <v>10</v>
      </c>
      <c r="AD350" s="23"/>
      <c r="AE350" s="29">
        <f>Tabla1[[#This Row],[Cierre]]+Tabla1[[#This Row],[Vigencia Oferta (días)]]</f>
        <v>44784.831250000003</v>
      </c>
      <c r="AF350" s="87"/>
      <c r="AG350" s="28"/>
      <c r="AH350" s="164">
        <f>Tabla1[[#This Row],[Unidades2]]*Tabla1[[#This Row],[Precio Unitario]]</f>
        <v>0</v>
      </c>
      <c r="AI350" s="23" t="s">
        <v>44</v>
      </c>
      <c r="AJ350" s="26">
        <v>44791.708587962959</v>
      </c>
      <c r="AK350" s="172">
        <f>Tabla1[[#This Row],[Fecha Vigencia]]-AJ350</f>
        <v>-6.877337962956517</v>
      </c>
      <c r="AL350" s="23" t="s">
        <v>115</v>
      </c>
      <c r="AM350" s="87">
        <v>54441236</v>
      </c>
      <c r="AN350" s="29">
        <v>44791</v>
      </c>
      <c r="AO350" s="29">
        <v>44975</v>
      </c>
      <c r="AP350" s="23" t="s">
        <v>292</v>
      </c>
      <c r="AQ350" s="34" t="s">
        <v>365</v>
      </c>
      <c r="AR350" s="23" t="s">
        <v>10</v>
      </c>
      <c r="AS350" s="23"/>
      <c r="AT350" s="23"/>
      <c r="AU350" s="23" t="s">
        <v>1994</v>
      </c>
      <c r="AV350" s="23" t="s">
        <v>1995</v>
      </c>
      <c r="AW350" s="23" t="s">
        <v>1599</v>
      </c>
      <c r="AX350" t="s">
        <v>1600</v>
      </c>
      <c r="AY350" s="23"/>
      <c r="AZ350" s="23"/>
      <c r="BA350" s="23"/>
      <c r="BB350" s="32"/>
      <c r="BC350" s="73"/>
    </row>
    <row r="351" spans="1:55" ht="11.25" x14ac:dyDescent="0.2">
      <c r="A351" s="22" t="s">
        <v>1996</v>
      </c>
      <c r="B351" s="23" t="s">
        <v>1997</v>
      </c>
      <c r="C351" s="23" t="s">
        <v>1998</v>
      </c>
      <c r="D351" s="34"/>
      <c r="E351" s="24"/>
      <c r="F351" s="25"/>
      <c r="G351" s="23" t="s">
        <v>16</v>
      </c>
      <c r="H351" s="23" t="s">
        <v>123</v>
      </c>
      <c r="I351" s="2">
        <v>44781.376863425925</v>
      </c>
      <c r="J351" s="24">
        <f>MONTH(Tabla1[[#This Row],[Publicación]])</f>
        <v>8</v>
      </c>
      <c r="K351" s="24">
        <f>YEAR(Tabla1[[#This Row],[Publicación]])</f>
        <v>2022</v>
      </c>
      <c r="L351" s="2">
        <v>44789.833333333336</v>
      </c>
      <c r="M351" s="26">
        <v>44782</v>
      </c>
      <c r="N351" s="25" t="s">
        <v>10</v>
      </c>
      <c r="O351" s="24" t="s">
        <v>27</v>
      </c>
      <c r="P351" s="24" t="s">
        <v>10</v>
      </c>
      <c r="Q351" s="2">
        <v>44782.708333333336</v>
      </c>
      <c r="R351" s="2">
        <v>44784.729166666664</v>
      </c>
      <c r="S351" s="26">
        <v>44818.729166666664</v>
      </c>
      <c r="T351" s="28">
        <v>0</v>
      </c>
      <c r="U351" s="28">
        <f>Tabla1[[#This Row],[PPTO]]/(1+'Lista Datos'!$B$1)</f>
        <v>0</v>
      </c>
      <c r="V351" s="23"/>
      <c r="W351" s="18" t="s">
        <v>10</v>
      </c>
      <c r="X351" s="102"/>
      <c r="Y351" s="18" t="s">
        <v>146</v>
      </c>
      <c r="Z351" s="18" t="s">
        <v>10</v>
      </c>
      <c r="AA351" s="23"/>
      <c r="AB351" s="23"/>
      <c r="AC351" s="23"/>
      <c r="AD351" s="23"/>
      <c r="AE351" s="29">
        <f>Tabla1[[#This Row],[Cierre]]+Tabla1[[#This Row],[Vigencia Oferta (días)]]</f>
        <v>44789.833333333336</v>
      </c>
      <c r="AF351" s="87"/>
      <c r="AG351" s="28"/>
      <c r="AH351" s="164">
        <f>Tabla1[[#This Row],[Unidades2]]*Tabla1[[#This Row],[Precio Unitario]]</f>
        <v>0</v>
      </c>
      <c r="AI351" s="23" t="s">
        <v>44</v>
      </c>
      <c r="AJ351" s="26">
        <v>44818</v>
      </c>
      <c r="AK351" s="172">
        <f>Tabla1[[#This Row],[Fecha Vigencia]]-AJ351</f>
        <v>-28.166666666664241</v>
      </c>
      <c r="AL351" s="23" t="s">
        <v>45</v>
      </c>
      <c r="AM351" s="87">
        <v>2945048</v>
      </c>
      <c r="AN351" s="23"/>
      <c r="AO351" s="29"/>
      <c r="AP351" s="23"/>
      <c r="AQ351" s="34" t="s">
        <v>1999</v>
      </c>
      <c r="AR351" s="23" t="s">
        <v>10</v>
      </c>
      <c r="AS351" s="23"/>
      <c r="AT351" s="23"/>
      <c r="AU351" s="23"/>
      <c r="AV351" s="23"/>
      <c r="AW351" s="23"/>
      <c r="AX351" s="23"/>
      <c r="AY351" s="23"/>
      <c r="AZ351" s="23"/>
      <c r="BA351" s="23"/>
      <c r="BB351" s="32"/>
      <c r="BC351" s="73"/>
    </row>
    <row r="352" spans="1:55" x14ac:dyDescent="0.25">
      <c r="A352" s="22" t="s">
        <v>2000</v>
      </c>
      <c r="B352" s="23" t="s">
        <v>2001</v>
      </c>
      <c r="C352" s="23" t="s">
        <v>2002</v>
      </c>
      <c r="D352" s="34" t="s">
        <v>2003</v>
      </c>
      <c r="E352" s="24"/>
      <c r="F352" s="25"/>
      <c r="G352" s="23" t="s">
        <v>16</v>
      </c>
      <c r="H352" s="23" t="s">
        <v>123</v>
      </c>
      <c r="I352" s="2">
        <v>44781.65525462963</v>
      </c>
      <c r="J352" s="24">
        <f>MONTH(Tabla1[[#This Row],[Publicación]])</f>
        <v>8</v>
      </c>
      <c r="K352" s="24">
        <f>YEAR(Tabla1[[#This Row],[Publicación]])</f>
        <v>2022</v>
      </c>
      <c r="L352" s="2">
        <v>44811.666666666664</v>
      </c>
      <c r="M352" s="26">
        <v>44781</v>
      </c>
      <c r="N352" s="25" t="s">
        <v>10</v>
      </c>
      <c r="O352" s="24" t="s">
        <v>34</v>
      </c>
      <c r="P352" s="24" t="s">
        <v>10</v>
      </c>
      <c r="Q352" s="2">
        <v>44791.729166666664</v>
      </c>
      <c r="R352" s="2">
        <v>44799.729166666664</v>
      </c>
      <c r="S352" s="26">
        <v>44845.729166666664</v>
      </c>
      <c r="T352" s="27">
        <v>0</v>
      </c>
      <c r="U352" s="28">
        <f>Tabla1[[#This Row],[PPTO]]/(1+'Lista Datos'!$B$1)</f>
        <v>0</v>
      </c>
      <c r="V352" s="23"/>
      <c r="W352" s="18" t="s">
        <v>11</v>
      </c>
      <c r="X352" s="102">
        <v>9000000</v>
      </c>
      <c r="Y352" s="26">
        <v>44972</v>
      </c>
      <c r="Z352" s="18" t="s">
        <v>10</v>
      </c>
      <c r="AA352" s="23"/>
      <c r="AB352" s="23"/>
      <c r="AC352" s="23"/>
      <c r="AD352" s="23"/>
      <c r="AE352" s="29">
        <f>Tabla1[[#This Row],[Cierre]]+Tabla1[[#This Row],[Vigencia Oferta (días)]]</f>
        <v>44811.666666666664</v>
      </c>
      <c r="AF352" s="87"/>
      <c r="AG352" s="28"/>
      <c r="AH352" s="164">
        <f>Tabla1[[#This Row],[Unidades2]]*Tabla1[[#This Row],[Precio Unitario]]</f>
        <v>0</v>
      </c>
      <c r="AI352" s="23" t="s">
        <v>44</v>
      </c>
      <c r="AJ352" s="26">
        <v>44858</v>
      </c>
      <c r="AK352" s="172">
        <f>Tabla1[[#This Row],[Fecha Vigencia]]-AJ352</f>
        <v>-46.333333333335759</v>
      </c>
      <c r="AL352" s="23" t="s">
        <v>472</v>
      </c>
      <c r="AM352" s="87">
        <v>167992550</v>
      </c>
      <c r="AN352" s="23"/>
      <c r="AO352" s="29"/>
      <c r="AP352" s="23" t="s">
        <v>177</v>
      </c>
      <c r="AQ352" s="34" t="s">
        <v>2004</v>
      </c>
      <c r="AR352" s="23" t="s">
        <v>11</v>
      </c>
      <c r="AS352" s="33">
        <v>0.1</v>
      </c>
      <c r="AT352" s="29">
        <v>45664</v>
      </c>
      <c r="AU352" s="23"/>
      <c r="AV352" s="23"/>
      <c r="AW352" s="23" t="s">
        <v>2005</v>
      </c>
      <c r="AX352" t="s">
        <v>2006</v>
      </c>
      <c r="AY352" s="23"/>
      <c r="AZ352" s="23"/>
      <c r="BA352" s="23"/>
      <c r="BB352" s="32"/>
      <c r="BC352" s="73"/>
    </row>
    <row r="353" spans="1:55" x14ac:dyDescent="0.25">
      <c r="A353" s="22" t="s">
        <v>2007</v>
      </c>
      <c r="B353" s="23" t="s">
        <v>2008</v>
      </c>
      <c r="C353" s="23" t="s">
        <v>2009</v>
      </c>
      <c r="D353" s="34" t="s">
        <v>2010</v>
      </c>
      <c r="E353" s="24"/>
      <c r="F353" s="25"/>
      <c r="G353" s="23" t="s">
        <v>15</v>
      </c>
      <c r="H353" s="23" t="s">
        <v>114</v>
      </c>
      <c r="I353" s="2">
        <v>44784.436284722222</v>
      </c>
      <c r="J353" s="24">
        <f>MONTH(Tabla1[[#This Row],[Publicación]])</f>
        <v>8</v>
      </c>
      <c r="K353" s="24">
        <f>YEAR(Tabla1[[#This Row],[Publicación]])</f>
        <v>2022</v>
      </c>
      <c r="L353" s="2">
        <v>44790.760416666664</v>
      </c>
      <c r="M353" s="26">
        <v>44785</v>
      </c>
      <c r="N353" s="25" t="s">
        <v>11</v>
      </c>
      <c r="O353" s="24"/>
      <c r="P353" s="24" t="s">
        <v>11</v>
      </c>
      <c r="Q353" s="2">
        <v>44786.708333333336</v>
      </c>
      <c r="R353" s="2">
        <v>44789.75</v>
      </c>
      <c r="S353" s="26">
        <v>44824.75</v>
      </c>
      <c r="T353" s="28">
        <v>0</v>
      </c>
      <c r="U353" s="28">
        <f>Tabla1[[#This Row],[PPTO]]/(1+'Lista Datos'!$B$1)</f>
        <v>0</v>
      </c>
      <c r="V353" s="23"/>
      <c r="W353" s="18" t="s">
        <v>10</v>
      </c>
      <c r="X353" s="102"/>
      <c r="Y353" s="18" t="s">
        <v>146</v>
      </c>
      <c r="Z353" s="18" t="s">
        <v>10</v>
      </c>
      <c r="AA353" s="23"/>
      <c r="AB353" s="23"/>
      <c r="AC353" s="23" t="s">
        <v>10</v>
      </c>
      <c r="AD353" s="23"/>
      <c r="AE353" s="29">
        <f>Tabla1[[#This Row],[Cierre]]+Tabla1[[#This Row],[Vigencia Oferta (días)]]</f>
        <v>44790.760416666664</v>
      </c>
      <c r="AF353" s="87"/>
      <c r="AG353" s="28"/>
      <c r="AH353" s="164">
        <f>Tabla1[[#This Row],[Unidades2]]*Tabla1[[#This Row],[Precio Unitario]]</f>
        <v>0</v>
      </c>
      <c r="AI353" s="23" t="s">
        <v>44</v>
      </c>
      <c r="AJ353" s="26">
        <v>44804.550208333334</v>
      </c>
      <c r="AK353" s="172">
        <f>Tabla1[[#This Row],[Fecha Vigencia]]-AJ353</f>
        <v>-13.789791666669771</v>
      </c>
      <c r="AL353" s="23" t="s">
        <v>46</v>
      </c>
      <c r="AM353" s="87">
        <v>38700000</v>
      </c>
      <c r="AN353" s="23"/>
      <c r="AO353" s="29"/>
      <c r="AP353" s="23"/>
      <c r="AQ353" s="34" t="s">
        <v>2011</v>
      </c>
      <c r="AR353" s="23" t="s">
        <v>10</v>
      </c>
      <c r="AS353" s="23"/>
      <c r="AT353" s="23"/>
      <c r="AU353" s="23"/>
      <c r="AV353" s="23"/>
      <c r="AW353" s="23" t="s">
        <v>333</v>
      </c>
      <c r="AX353" t="s">
        <v>2012</v>
      </c>
      <c r="AY353" s="23"/>
      <c r="AZ353" s="23"/>
      <c r="BA353" s="23"/>
      <c r="BB353" s="32"/>
      <c r="BC353" s="73"/>
    </row>
    <row r="354" spans="1:55" x14ac:dyDescent="0.25">
      <c r="A354" s="22" t="s">
        <v>2013</v>
      </c>
      <c r="B354" s="23" t="s">
        <v>2014</v>
      </c>
      <c r="C354" s="23" t="s">
        <v>2015</v>
      </c>
      <c r="D354" s="34" t="s">
        <v>1178</v>
      </c>
      <c r="E354" s="24"/>
      <c r="F354" s="25"/>
      <c r="G354" s="23" t="s">
        <v>16</v>
      </c>
      <c r="H354" s="23" t="s">
        <v>123</v>
      </c>
      <c r="I354" s="2">
        <v>44785.416446759256</v>
      </c>
      <c r="J354" s="24">
        <f>MONTH(Tabla1[[#This Row],[Publicación]])</f>
        <v>8</v>
      </c>
      <c r="K354" s="24">
        <f>YEAR(Tabla1[[#This Row],[Publicación]])</f>
        <v>2022</v>
      </c>
      <c r="L354" s="2">
        <v>44797.666666666664</v>
      </c>
      <c r="M354" s="26">
        <v>44789</v>
      </c>
      <c r="N354" s="25" t="s">
        <v>10</v>
      </c>
      <c r="O354" s="24" t="s">
        <v>25</v>
      </c>
      <c r="P354" s="24" t="s">
        <v>10</v>
      </c>
      <c r="Q354" s="2">
        <v>44792.625</v>
      </c>
      <c r="R354" s="2">
        <v>44796.625</v>
      </c>
      <c r="S354" s="26">
        <v>44855.75</v>
      </c>
      <c r="T354" s="28">
        <v>0</v>
      </c>
      <c r="U354" s="28">
        <f>Tabla1[[#This Row],[PPTO]]/(1+'Lista Datos'!$B$1)</f>
        <v>0</v>
      </c>
      <c r="V354" s="23"/>
      <c r="W354" s="18" t="s">
        <v>10</v>
      </c>
      <c r="X354" s="102"/>
      <c r="Y354" s="18" t="s">
        <v>146</v>
      </c>
      <c r="Z354" s="18" t="s">
        <v>11</v>
      </c>
      <c r="AA354" s="23"/>
      <c r="AB354" s="23"/>
      <c r="AC354" s="23"/>
      <c r="AD354" s="23"/>
      <c r="AE354" s="29">
        <f>Tabla1[[#This Row],[Cierre]]+Tabla1[[#This Row],[Vigencia Oferta (días)]]</f>
        <v>44797.666666666664</v>
      </c>
      <c r="AF354" s="87"/>
      <c r="AG354" s="28"/>
      <c r="AH354" s="164">
        <f>Tabla1[[#This Row],[Unidades2]]*Tabla1[[#This Row],[Precio Unitario]]</f>
        <v>0</v>
      </c>
      <c r="AI354" s="23" t="s">
        <v>44</v>
      </c>
      <c r="AJ354" s="26">
        <v>44826</v>
      </c>
      <c r="AK354" s="172">
        <f>Tabla1[[#This Row],[Fecha Vigencia]]-AJ354</f>
        <v>-28.333333333335759</v>
      </c>
      <c r="AL354" s="23" t="s">
        <v>46</v>
      </c>
      <c r="AM354" s="87">
        <v>7600000</v>
      </c>
      <c r="AN354" s="23"/>
      <c r="AO354" s="29"/>
      <c r="AP354" s="23"/>
      <c r="AQ354" s="34" t="s">
        <v>192</v>
      </c>
      <c r="AR354" s="23" t="s">
        <v>10</v>
      </c>
      <c r="AS354" s="23"/>
      <c r="AT354" s="23"/>
      <c r="AU354" s="23"/>
      <c r="AV354" s="23"/>
      <c r="AW354" s="23" t="s">
        <v>2016</v>
      </c>
      <c r="AX354" t="s">
        <v>2017</v>
      </c>
      <c r="AY354" s="23"/>
      <c r="AZ354" s="23"/>
      <c r="BA354" s="23"/>
      <c r="BB354" s="32"/>
      <c r="BC354" s="73"/>
    </row>
    <row r="355" spans="1:55" x14ac:dyDescent="0.25">
      <c r="A355" s="22" t="s">
        <v>2018</v>
      </c>
      <c r="B355" s="23" t="s">
        <v>2019</v>
      </c>
      <c r="C355" s="23" t="s">
        <v>2020</v>
      </c>
      <c r="D355" s="34" t="s">
        <v>2021</v>
      </c>
      <c r="E355" s="24"/>
      <c r="F355" s="25"/>
      <c r="G355" s="23" t="s">
        <v>18</v>
      </c>
      <c r="H355" s="23" t="s">
        <v>213</v>
      </c>
      <c r="I355" s="2">
        <v>44785.478125000001</v>
      </c>
      <c r="J355" s="24">
        <f>MONTH(Tabla1[[#This Row],[Publicación]])</f>
        <v>8</v>
      </c>
      <c r="K355" s="24">
        <f>YEAR(Tabla1[[#This Row],[Publicación]])</f>
        <v>2022</v>
      </c>
      <c r="L355" s="2">
        <v>44796.6875</v>
      </c>
      <c r="M355" s="26">
        <v>44789</v>
      </c>
      <c r="N355" s="25" t="s">
        <v>10</v>
      </c>
      <c r="O355" s="24" t="s">
        <v>29</v>
      </c>
      <c r="P355" s="24" t="s">
        <v>10</v>
      </c>
      <c r="Q355" s="2">
        <v>44791.6875</v>
      </c>
      <c r="R355" s="2">
        <v>44795.5</v>
      </c>
      <c r="S355" s="26">
        <v>44816.708333333336</v>
      </c>
      <c r="T355" s="28">
        <v>0</v>
      </c>
      <c r="U355" s="28">
        <f>Tabla1[[#This Row],[PPTO]]/(1+'Lista Datos'!$B$1)</f>
        <v>0</v>
      </c>
      <c r="V355" s="23"/>
      <c r="W355" s="18"/>
      <c r="X355" s="102"/>
      <c r="Y355" s="18" t="s">
        <v>146</v>
      </c>
      <c r="Z355" s="18" t="s">
        <v>11</v>
      </c>
      <c r="AA355" s="23"/>
      <c r="AB355" s="23"/>
      <c r="AC355" s="23"/>
      <c r="AD355" s="23"/>
      <c r="AE355" s="29">
        <f>Tabla1[[#This Row],[Cierre]]+Tabla1[[#This Row],[Vigencia Oferta (días)]]</f>
        <v>44796.6875</v>
      </c>
      <c r="AF355" s="87"/>
      <c r="AG355" s="28"/>
      <c r="AH355" s="164">
        <f>Tabla1[[#This Row],[Unidades2]]*Tabla1[[#This Row],[Precio Unitario]]</f>
        <v>0</v>
      </c>
      <c r="AI355" s="23" t="s">
        <v>137</v>
      </c>
      <c r="AJ355" s="26"/>
      <c r="AK355" s="172">
        <f>Tabla1[[#This Row],[Fecha Vigencia]]-AJ355</f>
        <v>44796.6875</v>
      </c>
      <c r="AL355" s="23"/>
      <c r="AM355" s="87"/>
      <c r="AN355" s="23"/>
      <c r="AO355" s="29"/>
      <c r="AP355" s="23" t="s">
        <v>177</v>
      </c>
      <c r="AQ355" s="34" t="s">
        <v>2022</v>
      </c>
      <c r="AR355" s="23" t="s">
        <v>11</v>
      </c>
      <c r="AS355" s="33">
        <v>0.1</v>
      </c>
      <c r="AT355" s="29">
        <v>45625</v>
      </c>
      <c r="AU355" s="23"/>
      <c r="AV355" s="23"/>
      <c r="AW355" s="23" t="s">
        <v>2023</v>
      </c>
      <c r="AX355" t="s">
        <v>2024</v>
      </c>
      <c r="AY355" s="23"/>
      <c r="AZ355" s="23"/>
      <c r="BA355" s="23"/>
      <c r="BB355" s="32"/>
      <c r="BC355" s="73"/>
    </row>
    <row r="356" spans="1:55" ht="11.25" x14ac:dyDescent="0.2">
      <c r="A356" s="22" t="s">
        <v>2025</v>
      </c>
      <c r="B356" s="23" t="s">
        <v>2026</v>
      </c>
      <c r="C356" s="23"/>
      <c r="D356" s="34" t="s">
        <v>291</v>
      </c>
      <c r="E356" s="24"/>
      <c r="F356" s="25"/>
      <c r="G356" s="23" t="s">
        <v>17</v>
      </c>
      <c r="H356" s="23" t="s">
        <v>213</v>
      </c>
      <c r="I356" s="2">
        <v>44785.608460648145</v>
      </c>
      <c r="J356" s="24">
        <f>MONTH(Tabla1[[#This Row],[Publicación]])</f>
        <v>8</v>
      </c>
      <c r="K356" s="24">
        <f>YEAR(Tabla1[[#This Row],[Publicación]])</f>
        <v>2022</v>
      </c>
      <c r="L356" s="2">
        <v>44797.625</v>
      </c>
      <c r="M356" s="26">
        <v>44790</v>
      </c>
      <c r="N356" s="25" t="s">
        <v>10</v>
      </c>
      <c r="O356" s="24" t="s">
        <v>29</v>
      </c>
      <c r="P356" s="24" t="s">
        <v>10</v>
      </c>
      <c r="Q356" s="2">
        <v>44795.5</v>
      </c>
      <c r="R356" s="2">
        <v>44796.75</v>
      </c>
      <c r="S356" s="26">
        <v>44818.543055555558</v>
      </c>
      <c r="T356" s="28">
        <v>0</v>
      </c>
      <c r="U356" s="28">
        <f>Tabla1[[#This Row],[PPTO]]/(1+'Lista Datos'!$B$1)</f>
        <v>0</v>
      </c>
      <c r="V356" s="23"/>
      <c r="W356" s="18" t="s">
        <v>10</v>
      </c>
      <c r="X356" s="102"/>
      <c r="Y356" s="18" t="s">
        <v>146</v>
      </c>
      <c r="Z356" s="18" t="s">
        <v>11</v>
      </c>
      <c r="AA356" s="23"/>
      <c r="AB356" s="23"/>
      <c r="AC356" s="23"/>
      <c r="AD356" s="23"/>
      <c r="AE356" s="29">
        <f>Tabla1[[#This Row],[Cierre]]+Tabla1[[#This Row],[Vigencia Oferta (días)]]</f>
        <v>44797.625</v>
      </c>
      <c r="AF356" s="87"/>
      <c r="AG356" s="28"/>
      <c r="AH356" s="164">
        <f>Tabla1[[#This Row],[Unidades2]]*Tabla1[[#This Row],[Precio Unitario]]</f>
        <v>0</v>
      </c>
      <c r="AI356" s="23" t="s">
        <v>44</v>
      </c>
      <c r="AJ356" s="26">
        <v>44811</v>
      </c>
      <c r="AK356" s="172">
        <f>Tabla1[[#This Row],[Fecha Vigencia]]-AJ356</f>
        <v>-13.375</v>
      </c>
      <c r="AL356" s="23" t="s">
        <v>46</v>
      </c>
      <c r="AM356" s="87">
        <v>4700000</v>
      </c>
      <c r="AN356" s="23"/>
      <c r="AO356" s="29"/>
      <c r="AP356" s="23" t="s">
        <v>292</v>
      </c>
      <c r="AQ356" s="34" t="s">
        <v>293</v>
      </c>
      <c r="AR356" s="23" t="s">
        <v>10</v>
      </c>
      <c r="AS356" s="23"/>
      <c r="AT356" s="23"/>
      <c r="AU356" s="23"/>
      <c r="AV356" s="23"/>
      <c r="AW356" s="23"/>
      <c r="AX356" s="23"/>
      <c r="AY356" s="23"/>
      <c r="AZ356" s="23"/>
      <c r="BA356" s="23"/>
      <c r="BB356" s="32"/>
      <c r="BC356" s="73"/>
    </row>
    <row r="357" spans="1:55" x14ac:dyDescent="0.25">
      <c r="A357" s="22" t="s">
        <v>2027</v>
      </c>
      <c r="B357" s="23" t="s">
        <v>2028</v>
      </c>
      <c r="C357" s="23" t="s">
        <v>2029</v>
      </c>
      <c r="D357" s="34" t="s">
        <v>2030</v>
      </c>
      <c r="E357" s="24"/>
      <c r="F357" s="25"/>
      <c r="G357" s="23" t="s">
        <v>20</v>
      </c>
      <c r="H357" s="23" t="s">
        <v>176</v>
      </c>
      <c r="I357" s="2">
        <v>44785.669502314813</v>
      </c>
      <c r="J357" s="24">
        <f>MONTH(Tabla1[[#This Row],[Publicación]])</f>
        <v>8</v>
      </c>
      <c r="K357" s="24">
        <f>YEAR(Tabla1[[#This Row],[Publicación]])</f>
        <v>2022</v>
      </c>
      <c r="L357" s="2">
        <v>44805.556944444441</v>
      </c>
      <c r="M357" s="26">
        <v>44790</v>
      </c>
      <c r="N357" s="25" t="s">
        <v>11</v>
      </c>
      <c r="O357" s="24"/>
      <c r="P357" s="24" t="s">
        <v>11</v>
      </c>
      <c r="Q357" s="2">
        <v>44792.6875</v>
      </c>
      <c r="R357" s="2">
        <v>44795.705555555556</v>
      </c>
      <c r="S357" s="26">
        <v>44834.807638888888</v>
      </c>
      <c r="T357" s="28">
        <v>80000000</v>
      </c>
      <c r="U357" s="28">
        <f>Tabla1[[#This Row],[PPTO]]/(1+'Lista Datos'!$B$1)</f>
        <v>67226890.756302521</v>
      </c>
      <c r="V357" s="23"/>
      <c r="W357" s="18" t="s">
        <v>10</v>
      </c>
      <c r="X357" s="102"/>
      <c r="Y357" s="18" t="s">
        <v>146</v>
      </c>
      <c r="Z357" s="18" t="s">
        <v>10</v>
      </c>
      <c r="AA357" s="23" t="s">
        <v>177</v>
      </c>
      <c r="AB357" s="23">
        <v>24</v>
      </c>
      <c r="AC357" s="23" t="s">
        <v>10</v>
      </c>
      <c r="AD357" s="23"/>
      <c r="AE357" s="29">
        <f>Tabla1[[#This Row],[Cierre]]+Tabla1[[#This Row],[Vigencia Oferta (días)]]</f>
        <v>44805.556944444441</v>
      </c>
      <c r="AF357" s="87"/>
      <c r="AG357" s="28"/>
      <c r="AH357" s="164">
        <f>Tabla1[[#This Row],[Unidades2]]*Tabla1[[#This Row],[Precio Unitario]]</f>
        <v>0</v>
      </c>
      <c r="AI357" s="23" t="s">
        <v>44</v>
      </c>
      <c r="AJ357" s="26">
        <v>44826</v>
      </c>
      <c r="AK357" s="172">
        <f>Tabla1[[#This Row],[Fecha Vigencia]]-AJ357</f>
        <v>-20.443055555559113</v>
      </c>
      <c r="AL357" s="23" t="s">
        <v>45</v>
      </c>
      <c r="AM357" s="87">
        <v>62161280</v>
      </c>
      <c r="AN357" s="23"/>
      <c r="AO357" s="29"/>
      <c r="AP357" s="23" t="s">
        <v>177</v>
      </c>
      <c r="AQ357" s="34" t="s">
        <v>1520</v>
      </c>
      <c r="AR357" s="23" t="s">
        <v>11</v>
      </c>
      <c r="AS357" s="33">
        <v>0.1</v>
      </c>
      <c r="AT357" s="29">
        <v>45672</v>
      </c>
      <c r="AU357" s="23"/>
      <c r="AV357" s="23"/>
      <c r="AW357" s="23" t="s">
        <v>1521</v>
      </c>
      <c r="AX357" t="s">
        <v>1522</v>
      </c>
      <c r="AY357" s="23"/>
      <c r="AZ357" s="23"/>
      <c r="BA357" s="23"/>
      <c r="BB357" s="32"/>
      <c r="BC357" s="73"/>
    </row>
    <row r="358" spans="1:55" x14ac:dyDescent="0.25">
      <c r="A358" s="22" t="s">
        <v>2031</v>
      </c>
      <c r="B358" s="23" t="s">
        <v>2032</v>
      </c>
      <c r="C358" s="23" t="s">
        <v>2033</v>
      </c>
      <c r="D358" s="34" t="s">
        <v>2034</v>
      </c>
      <c r="E358" s="24"/>
      <c r="F358" s="25"/>
      <c r="G358" s="23" t="s">
        <v>16</v>
      </c>
      <c r="H358" s="23" t="s">
        <v>520</v>
      </c>
      <c r="I358" s="2">
        <v>44785.459930555553</v>
      </c>
      <c r="J358" s="24">
        <f>MONTH(Tabla1[[#This Row],[Publicación]])</f>
        <v>8</v>
      </c>
      <c r="K358" s="24">
        <f>YEAR(Tabla1[[#This Row],[Publicación]])</f>
        <v>2022</v>
      </c>
      <c r="L358" s="2">
        <v>44795.729166666664</v>
      </c>
      <c r="M358" s="26">
        <v>44790</v>
      </c>
      <c r="N358" s="25" t="s">
        <v>10</v>
      </c>
      <c r="O358" s="24" t="s">
        <v>27</v>
      </c>
      <c r="P358" s="24" t="s">
        <v>10</v>
      </c>
      <c r="Q358" s="2">
        <v>44790.729166666664</v>
      </c>
      <c r="R358" s="2">
        <v>44792.729166666664</v>
      </c>
      <c r="S358" s="26">
        <v>44816.75</v>
      </c>
      <c r="T358" s="28">
        <v>0</v>
      </c>
      <c r="U358" s="28">
        <f>Tabla1[[#This Row],[PPTO]]/(1+'Lista Datos'!$B$1)</f>
        <v>0</v>
      </c>
      <c r="V358" s="23"/>
      <c r="W358" s="18" t="s">
        <v>10</v>
      </c>
      <c r="X358" s="102"/>
      <c r="Y358" s="18" t="s">
        <v>146</v>
      </c>
      <c r="Z358" s="18" t="s">
        <v>10</v>
      </c>
      <c r="AA358" s="23"/>
      <c r="AB358" s="23"/>
      <c r="AC358" s="23"/>
      <c r="AD358" s="23"/>
      <c r="AE358" s="29">
        <f>Tabla1[[#This Row],[Cierre]]+Tabla1[[#This Row],[Vigencia Oferta (días)]]</f>
        <v>44795.729166666664</v>
      </c>
      <c r="AF358" s="87"/>
      <c r="AG358" s="28"/>
      <c r="AH358" s="164">
        <f>Tabla1[[#This Row],[Unidades2]]*Tabla1[[#This Row],[Precio Unitario]]</f>
        <v>0</v>
      </c>
      <c r="AI358" s="23" t="s">
        <v>44</v>
      </c>
      <c r="AJ358" s="26">
        <v>44818</v>
      </c>
      <c r="AK358" s="172">
        <f>Tabla1[[#This Row],[Fecha Vigencia]]-AJ358</f>
        <v>-22.270833333335759</v>
      </c>
      <c r="AL358" s="23" t="s">
        <v>472</v>
      </c>
      <c r="AM358" s="87">
        <v>11646410</v>
      </c>
      <c r="AN358" s="23"/>
      <c r="AO358" s="29"/>
      <c r="AP358" s="23" t="s">
        <v>177</v>
      </c>
      <c r="AQ358" s="34" t="s">
        <v>2035</v>
      </c>
      <c r="AR358" s="23" t="s">
        <v>10</v>
      </c>
      <c r="AS358" s="23"/>
      <c r="AT358" s="23"/>
      <c r="AU358" s="23"/>
      <c r="AV358" s="23"/>
      <c r="AW358" s="23" t="s">
        <v>2036</v>
      </c>
      <c r="AX358" t="s">
        <v>2037</v>
      </c>
      <c r="AY358" s="23"/>
      <c r="AZ358" s="23"/>
      <c r="BA358" s="23"/>
      <c r="BB358" s="32"/>
      <c r="BC358" s="73"/>
    </row>
    <row r="359" spans="1:55" x14ac:dyDescent="0.25">
      <c r="A359" s="22" t="s">
        <v>2038</v>
      </c>
      <c r="B359" s="23" t="s">
        <v>2039</v>
      </c>
      <c r="C359" s="23" t="s">
        <v>2040</v>
      </c>
      <c r="D359" s="34" t="s">
        <v>1604</v>
      </c>
      <c r="E359" s="24"/>
      <c r="F359" s="25"/>
      <c r="G359" s="23" t="s">
        <v>18</v>
      </c>
      <c r="H359" s="23" t="s">
        <v>533</v>
      </c>
      <c r="I359" s="2">
        <v>44783.721585648149</v>
      </c>
      <c r="J359" s="24">
        <f>MONTH(Tabla1[[#This Row],[Publicación]])</f>
        <v>8</v>
      </c>
      <c r="K359" s="24">
        <f>YEAR(Tabla1[[#This Row],[Publicación]])</f>
        <v>2022</v>
      </c>
      <c r="L359" s="2">
        <v>44803.833333333336</v>
      </c>
      <c r="M359" s="26">
        <v>44790</v>
      </c>
      <c r="N359" s="25" t="s">
        <v>10</v>
      </c>
      <c r="O359" s="24" t="s">
        <v>25</v>
      </c>
      <c r="P359" s="24" t="s">
        <v>10</v>
      </c>
      <c r="Q359" s="2">
        <v>44797.833333333336</v>
      </c>
      <c r="R359" s="2">
        <v>44799.333333333336</v>
      </c>
      <c r="S359" s="26">
        <v>44834.625</v>
      </c>
      <c r="T359" s="28">
        <v>0</v>
      </c>
      <c r="U359" s="28">
        <f>Tabla1[[#This Row],[PPTO]]/(1+'Lista Datos'!$B$1)</f>
        <v>0</v>
      </c>
      <c r="V359" s="23"/>
      <c r="W359" s="18" t="s">
        <v>11</v>
      </c>
      <c r="X359" s="102">
        <v>300000</v>
      </c>
      <c r="Y359" s="26">
        <v>44924</v>
      </c>
      <c r="Z359" s="18" t="s">
        <v>11</v>
      </c>
      <c r="AA359" s="23"/>
      <c r="AB359" s="23"/>
      <c r="AC359" s="23"/>
      <c r="AD359" s="23"/>
      <c r="AE359" s="29">
        <f>Tabla1[[#This Row],[Cierre]]+Tabla1[[#This Row],[Vigencia Oferta (días)]]</f>
        <v>44803.833333333336</v>
      </c>
      <c r="AF359" s="87"/>
      <c r="AG359" s="28"/>
      <c r="AH359" s="164">
        <f>Tabla1[[#This Row],[Unidades2]]*Tabla1[[#This Row],[Precio Unitario]]</f>
        <v>0</v>
      </c>
      <c r="AI359" s="23" t="s">
        <v>320</v>
      </c>
      <c r="AJ359" s="26"/>
      <c r="AK359" s="172">
        <f>Tabla1[[#This Row],[Fecha Vigencia]]-AJ359</f>
        <v>44803.833333333336</v>
      </c>
      <c r="AL359" s="23"/>
      <c r="AM359" s="87"/>
      <c r="AN359" s="23"/>
      <c r="AO359" s="29"/>
      <c r="AP359" s="23"/>
      <c r="AQ359" s="34" t="s">
        <v>1369</v>
      </c>
      <c r="AR359" s="23" t="s">
        <v>11</v>
      </c>
      <c r="AS359" s="33">
        <v>0.05</v>
      </c>
      <c r="AT359" s="29">
        <v>45627</v>
      </c>
      <c r="AU359" s="23"/>
      <c r="AV359" s="23"/>
      <c r="AW359" s="23" t="s">
        <v>1605</v>
      </c>
      <c r="AX359" t="s">
        <v>1606</v>
      </c>
      <c r="AY359" s="23"/>
      <c r="AZ359" s="23"/>
      <c r="BA359" s="23"/>
      <c r="BB359" s="32"/>
      <c r="BC359" s="73"/>
    </row>
    <row r="360" spans="1:55" x14ac:dyDescent="0.25">
      <c r="A360" s="22" t="s">
        <v>2041</v>
      </c>
      <c r="B360" s="23" t="s">
        <v>2042</v>
      </c>
      <c r="C360" s="23" t="s">
        <v>2043</v>
      </c>
      <c r="D360" s="34" t="s">
        <v>970</v>
      </c>
      <c r="E360" s="24"/>
      <c r="F360" s="25"/>
      <c r="G360" s="23" t="s">
        <v>21</v>
      </c>
      <c r="H360" s="23" t="s">
        <v>106</v>
      </c>
      <c r="I360" s="2">
        <v>44789.519293981481</v>
      </c>
      <c r="J360" s="24">
        <f>MONTH(Tabla1[[#This Row],[Publicación]])</f>
        <v>8</v>
      </c>
      <c r="K360" s="24">
        <f>YEAR(Tabla1[[#This Row],[Publicación]])</f>
        <v>2022</v>
      </c>
      <c r="L360" s="2">
        <v>44795.625</v>
      </c>
      <c r="M360" s="26">
        <v>44791</v>
      </c>
      <c r="N360" s="25" t="s">
        <v>10</v>
      </c>
      <c r="O360" s="24" t="s">
        <v>35</v>
      </c>
      <c r="P360" s="24" t="s">
        <v>10</v>
      </c>
      <c r="Q360" s="2">
        <v>44791.5</v>
      </c>
      <c r="R360" s="2">
        <v>44792.5</v>
      </c>
      <c r="S360" s="26">
        <v>44806.708333333336</v>
      </c>
      <c r="T360" s="28">
        <v>0</v>
      </c>
      <c r="U360" s="28">
        <f>Tabla1[[#This Row],[PPTO]]/(1+'Lista Datos'!$B$1)</f>
        <v>0</v>
      </c>
      <c r="V360" s="23"/>
      <c r="W360" s="18" t="s">
        <v>10</v>
      </c>
      <c r="X360" s="102"/>
      <c r="Y360" s="18" t="s">
        <v>146</v>
      </c>
      <c r="Z360" s="18" t="s">
        <v>10</v>
      </c>
      <c r="AA360" s="23"/>
      <c r="AB360" s="23"/>
      <c r="AC360" s="23"/>
      <c r="AD360" s="23"/>
      <c r="AE360" s="29">
        <f>Tabla1[[#This Row],[Cierre]]+Tabla1[[#This Row],[Vigencia Oferta (días)]]</f>
        <v>44795.625</v>
      </c>
      <c r="AF360" s="87"/>
      <c r="AG360" s="28"/>
      <c r="AH360" s="164">
        <f>Tabla1[[#This Row],[Unidades2]]*Tabla1[[#This Row],[Precio Unitario]]</f>
        <v>0</v>
      </c>
      <c r="AI360" s="23" t="s">
        <v>44</v>
      </c>
      <c r="AJ360" s="26">
        <v>44818</v>
      </c>
      <c r="AK360" s="172">
        <f>Tabla1[[#This Row],[Fecha Vigencia]]-AJ360</f>
        <v>-22.375</v>
      </c>
      <c r="AL360" s="23" t="s">
        <v>46</v>
      </c>
      <c r="AM360" s="87">
        <v>1169000</v>
      </c>
      <c r="AN360" s="23"/>
      <c r="AO360" s="29"/>
      <c r="AP360" s="23" t="s">
        <v>292</v>
      </c>
      <c r="AQ360" s="34" t="s">
        <v>971</v>
      </c>
      <c r="AR360" s="23" t="s">
        <v>10</v>
      </c>
      <c r="AS360" s="23"/>
      <c r="AT360" s="23"/>
      <c r="AU360" s="23"/>
      <c r="AV360" s="23"/>
      <c r="AW360" s="23" t="s">
        <v>2044</v>
      </c>
      <c r="AX360" t="s">
        <v>2045</v>
      </c>
      <c r="AY360" s="23"/>
      <c r="AZ360" s="23"/>
      <c r="BA360" s="23"/>
      <c r="BB360" s="32"/>
      <c r="BC360" s="73"/>
    </row>
    <row r="361" spans="1:55" x14ac:dyDescent="0.25">
      <c r="A361" s="22" t="s">
        <v>2046</v>
      </c>
      <c r="B361" s="23" t="s">
        <v>2047</v>
      </c>
      <c r="C361" s="23" t="s">
        <v>2048</v>
      </c>
      <c r="D361" s="34" t="s">
        <v>337</v>
      </c>
      <c r="E361" s="24"/>
      <c r="F361" s="25"/>
      <c r="G361" s="23" t="s">
        <v>21</v>
      </c>
      <c r="H361" s="23" t="s">
        <v>106</v>
      </c>
      <c r="I361" s="2">
        <v>44790.013483796298</v>
      </c>
      <c r="J361" s="24">
        <f>MONTH(Tabla1[[#This Row],[Publicación]])</f>
        <v>8</v>
      </c>
      <c r="K361" s="24">
        <f>YEAR(Tabla1[[#This Row],[Publicación]])</f>
        <v>2022</v>
      </c>
      <c r="L361" s="2">
        <v>44796.625</v>
      </c>
      <c r="M361" s="26">
        <v>44791</v>
      </c>
      <c r="N361" s="25" t="s">
        <v>10</v>
      </c>
      <c r="O361" s="24" t="s">
        <v>35</v>
      </c>
      <c r="P361" s="24" t="s">
        <v>10</v>
      </c>
      <c r="Q361" s="2">
        <v>44793.999305555553</v>
      </c>
      <c r="R361" s="2">
        <v>44794.999305555553</v>
      </c>
      <c r="S361" s="26">
        <v>44796.6875</v>
      </c>
      <c r="T361" s="28">
        <v>0</v>
      </c>
      <c r="U361" s="28">
        <f>Tabla1[[#This Row],[PPTO]]/(1+'Lista Datos'!$B$1)</f>
        <v>0</v>
      </c>
      <c r="V361" s="23"/>
      <c r="W361" s="18" t="s">
        <v>10</v>
      </c>
      <c r="X361" s="102"/>
      <c r="Y361" s="18" t="s">
        <v>146</v>
      </c>
      <c r="Z361" s="18" t="s">
        <v>10</v>
      </c>
      <c r="AA361" s="23"/>
      <c r="AB361" s="23"/>
      <c r="AC361" s="23"/>
      <c r="AD361" s="23"/>
      <c r="AE361" s="29">
        <f>Tabla1[[#This Row],[Cierre]]+Tabla1[[#This Row],[Vigencia Oferta (días)]]</f>
        <v>44796.625</v>
      </c>
      <c r="AF361" s="87"/>
      <c r="AG361" s="28"/>
      <c r="AH361" s="164">
        <f>Tabla1[[#This Row],[Unidades2]]*Tabla1[[#This Row],[Precio Unitario]]</f>
        <v>0</v>
      </c>
      <c r="AI361" s="23" t="s">
        <v>137</v>
      </c>
      <c r="AJ361" s="26">
        <v>44838</v>
      </c>
      <c r="AK361" s="172">
        <f>Tabla1[[#This Row],[Fecha Vigencia]]-AJ361</f>
        <v>-41.375</v>
      </c>
      <c r="AL361" s="23"/>
      <c r="AM361" s="87"/>
      <c r="AN361" s="23"/>
      <c r="AO361" s="29"/>
      <c r="AP361" s="23"/>
      <c r="AQ361" s="34" t="s">
        <v>338</v>
      </c>
      <c r="AR361" s="23" t="s">
        <v>10</v>
      </c>
      <c r="AS361" s="23"/>
      <c r="AT361" s="23"/>
      <c r="AU361" s="23"/>
      <c r="AV361" s="23"/>
      <c r="AW361" s="23" t="s">
        <v>339</v>
      </c>
      <c r="AX361" t="s">
        <v>340</v>
      </c>
      <c r="AY361" s="23"/>
      <c r="AZ361" s="23"/>
      <c r="BA361" s="23"/>
      <c r="BB361" s="32"/>
      <c r="BC361" s="73"/>
    </row>
    <row r="362" spans="1:55" x14ac:dyDescent="0.25">
      <c r="A362" s="22" t="s">
        <v>2049</v>
      </c>
      <c r="B362" s="23" t="s">
        <v>2050</v>
      </c>
      <c r="C362" s="23" t="s">
        <v>2051</v>
      </c>
      <c r="D362" s="34" t="s">
        <v>2052</v>
      </c>
      <c r="E362" s="24"/>
      <c r="F362" s="25"/>
      <c r="G362" s="23" t="s">
        <v>21</v>
      </c>
      <c r="H362" s="23" t="s">
        <v>106</v>
      </c>
      <c r="I362" s="2">
        <v>44789.649097222224</v>
      </c>
      <c r="J362" s="24">
        <f>MONTH(Tabla1[[#This Row],[Publicación]])</f>
        <v>8</v>
      </c>
      <c r="K362" s="24">
        <f>YEAR(Tabla1[[#This Row],[Publicación]])</f>
        <v>2022</v>
      </c>
      <c r="L362" s="2">
        <v>44802.625</v>
      </c>
      <c r="M362" s="26">
        <v>44791</v>
      </c>
      <c r="N362" s="25" t="s">
        <v>10</v>
      </c>
      <c r="O362" s="24" t="s">
        <v>27</v>
      </c>
      <c r="P362" s="24" t="s">
        <v>10</v>
      </c>
      <c r="Q362" s="2">
        <v>44795.5</v>
      </c>
      <c r="R362" s="2">
        <v>44797.833333333336</v>
      </c>
      <c r="S362" s="26">
        <v>44943.416666666664</v>
      </c>
      <c r="T362" s="28">
        <v>0</v>
      </c>
      <c r="U362" s="28">
        <f>Tabla1[[#This Row],[PPTO]]/(1+'Lista Datos'!$B$1)</f>
        <v>0</v>
      </c>
      <c r="V362" s="23"/>
      <c r="W362" s="18" t="s">
        <v>10</v>
      </c>
      <c r="X362" s="102"/>
      <c r="Y362" s="18" t="s">
        <v>146</v>
      </c>
      <c r="Z362" s="18" t="s">
        <v>10</v>
      </c>
      <c r="AA362" s="23"/>
      <c r="AB362" s="23"/>
      <c r="AC362" s="23"/>
      <c r="AD362" s="23"/>
      <c r="AE362" s="29">
        <f>Tabla1[[#This Row],[Cierre]]+Tabla1[[#This Row],[Vigencia Oferta (días)]]</f>
        <v>44802.625</v>
      </c>
      <c r="AF362" s="87"/>
      <c r="AG362" s="28"/>
      <c r="AH362" s="164">
        <f>Tabla1[[#This Row],[Unidades2]]*Tabla1[[#This Row],[Precio Unitario]]</f>
        <v>0</v>
      </c>
      <c r="AI362" s="23" t="s">
        <v>44</v>
      </c>
      <c r="AJ362" s="26">
        <v>44848</v>
      </c>
      <c r="AK362" s="172">
        <f>Tabla1[[#This Row],[Fecha Vigencia]]-AJ362</f>
        <v>-45.375</v>
      </c>
      <c r="AL362" s="23" t="s">
        <v>46</v>
      </c>
      <c r="AM362" s="87">
        <v>97000</v>
      </c>
      <c r="AN362" s="23"/>
      <c r="AO362" s="29"/>
      <c r="AP362" s="23" t="s">
        <v>292</v>
      </c>
      <c r="AQ362" s="34" t="s">
        <v>2053</v>
      </c>
      <c r="AR362" s="23" t="s">
        <v>10</v>
      </c>
      <c r="AS362" s="23"/>
      <c r="AT362" s="23"/>
      <c r="AU362" s="23"/>
      <c r="AV362" s="23"/>
      <c r="AW362" s="23" t="s">
        <v>2054</v>
      </c>
      <c r="AX362" t="s">
        <v>2055</v>
      </c>
      <c r="AY362" s="23"/>
      <c r="AZ362" s="23"/>
      <c r="BA362" s="23"/>
      <c r="BB362" s="32"/>
      <c r="BC362" s="73"/>
    </row>
    <row r="363" spans="1:55" x14ac:dyDescent="0.25">
      <c r="A363" s="22" t="s">
        <v>2056</v>
      </c>
      <c r="B363" s="23" t="s">
        <v>2057</v>
      </c>
      <c r="C363" s="23" t="s">
        <v>2058</v>
      </c>
      <c r="D363" s="34" t="s">
        <v>1299</v>
      </c>
      <c r="E363" s="24"/>
      <c r="F363" s="25"/>
      <c r="G363" s="23" t="s">
        <v>21</v>
      </c>
      <c r="H363" s="23" t="s">
        <v>106</v>
      </c>
      <c r="I363" s="2">
        <v>44792.646805555552</v>
      </c>
      <c r="J363" s="24">
        <f>MONTH(Tabla1[[#This Row],[Publicación]])</f>
        <v>8</v>
      </c>
      <c r="K363" s="24">
        <f>YEAR(Tabla1[[#This Row],[Publicación]])</f>
        <v>2022</v>
      </c>
      <c r="L363" s="2">
        <v>44802.666666666664</v>
      </c>
      <c r="M363" s="26">
        <v>44795</v>
      </c>
      <c r="N363" s="25" t="s">
        <v>10</v>
      </c>
      <c r="O363" s="24" t="s">
        <v>34</v>
      </c>
      <c r="P363" s="24" t="s">
        <v>10</v>
      </c>
      <c r="Q363" s="2">
        <v>44796.5</v>
      </c>
      <c r="R363" s="2">
        <v>44798.708333333336</v>
      </c>
      <c r="S363" s="26">
        <v>44834.708333333336</v>
      </c>
      <c r="T363" s="28">
        <v>0</v>
      </c>
      <c r="U363" s="28">
        <f>Tabla1[[#This Row],[PPTO]]/(1+'Lista Datos'!$B$1)</f>
        <v>0</v>
      </c>
      <c r="V363" s="23"/>
      <c r="W363" s="18" t="s">
        <v>11</v>
      </c>
      <c r="X363" s="102">
        <v>1000000</v>
      </c>
      <c r="Y363" s="26">
        <v>44894</v>
      </c>
      <c r="Z363" s="18" t="s">
        <v>10</v>
      </c>
      <c r="AA363" s="23"/>
      <c r="AB363" s="23"/>
      <c r="AC363" s="23"/>
      <c r="AD363" s="23"/>
      <c r="AE363" s="29">
        <f>Tabla1[[#This Row],[Cierre]]+Tabla1[[#This Row],[Vigencia Oferta (días)]]</f>
        <v>44802.666666666664</v>
      </c>
      <c r="AF363" s="87"/>
      <c r="AG363" s="28"/>
      <c r="AH363" s="164">
        <f>Tabla1[[#This Row],[Unidades2]]*Tabla1[[#This Row],[Precio Unitario]]</f>
        <v>0</v>
      </c>
      <c r="AI363" s="23" t="s">
        <v>44</v>
      </c>
      <c r="AJ363" s="26">
        <v>44862</v>
      </c>
      <c r="AK363" s="172">
        <f>Tabla1[[#This Row],[Fecha Vigencia]]-AJ363</f>
        <v>-59.333333333335759</v>
      </c>
      <c r="AL363" s="23" t="s">
        <v>46</v>
      </c>
      <c r="AM363" s="87">
        <v>3500</v>
      </c>
      <c r="AN363" s="23"/>
      <c r="AO363" s="29"/>
      <c r="AP363" s="23" t="s">
        <v>177</v>
      </c>
      <c r="AQ363" s="34" t="s">
        <v>1300</v>
      </c>
      <c r="AR363" s="23" t="s">
        <v>11</v>
      </c>
      <c r="AS363" s="33">
        <v>0.05</v>
      </c>
      <c r="AT363" s="29">
        <v>45289</v>
      </c>
      <c r="AU363" s="23"/>
      <c r="AV363" s="23"/>
      <c r="AW363" s="23" t="s">
        <v>2059</v>
      </c>
      <c r="AX363" t="s">
        <v>2060</v>
      </c>
      <c r="AY363" s="23"/>
      <c r="AZ363" s="23"/>
      <c r="BA363" s="23"/>
      <c r="BB363" s="32"/>
      <c r="BC363" s="73"/>
    </row>
    <row r="364" spans="1:55" x14ac:dyDescent="0.25">
      <c r="A364" s="22" t="s">
        <v>2061</v>
      </c>
      <c r="B364" s="23" t="s">
        <v>2062</v>
      </c>
      <c r="C364" s="23" t="s">
        <v>2063</v>
      </c>
      <c r="D364" s="34" t="s">
        <v>1020</v>
      </c>
      <c r="E364" s="24"/>
      <c r="F364" s="25"/>
      <c r="G364" s="23" t="s">
        <v>21</v>
      </c>
      <c r="H364" s="23" t="s">
        <v>106</v>
      </c>
      <c r="I364" s="2">
        <v>44792.531828703701</v>
      </c>
      <c r="J364" s="24">
        <f>MONTH(Tabla1[[#This Row],[Publicación]])</f>
        <v>8</v>
      </c>
      <c r="K364" s="24">
        <f>YEAR(Tabla1[[#This Row],[Publicación]])</f>
        <v>2022</v>
      </c>
      <c r="L364" s="2">
        <v>44799.375</v>
      </c>
      <c r="M364" s="26">
        <v>44795</v>
      </c>
      <c r="N364" s="25" t="s">
        <v>10</v>
      </c>
      <c r="O364" s="24" t="s">
        <v>27</v>
      </c>
      <c r="P364" s="24" t="s">
        <v>10</v>
      </c>
      <c r="Q364" s="2">
        <v>44795.395833333336</v>
      </c>
      <c r="R364" s="2">
        <v>44797.395833333336</v>
      </c>
      <c r="S364" s="26">
        <v>44827.574999999997</v>
      </c>
      <c r="T364" s="28">
        <v>0</v>
      </c>
      <c r="U364" s="28">
        <f>Tabla1[[#This Row],[PPTO]]/(1+'Lista Datos'!$B$1)</f>
        <v>0</v>
      </c>
      <c r="V364" s="23"/>
      <c r="W364" s="18" t="s">
        <v>10</v>
      </c>
      <c r="X364" s="102"/>
      <c r="Y364" s="18" t="s">
        <v>146</v>
      </c>
      <c r="Z364" s="18" t="s">
        <v>10</v>
      </c>
      <c r="AA364" s="23"/>
      <c r="AB364" s="23"/>
      <c r="AC364" s="23"/>
      <c r="AD364" s="23"/>
      <c r="AE364" s="29">
        <f>Tabla1[[#This Row],[Cierre]]+Tabla1[[#This Row],[Vigencia Oferta (días)]]</f>
        <v>44799.375</v>
      </c>
      <c r="AF364" s="87"/>
      <c r="AG364" s="28"/>
      <c r="AH364" s="164">
        <f>Tabla1[[#This Row],[Unidades2]]*Tabla1[[#This Row],[Precio Unitario]]</f>
        <v>0</v>
      </c>
      <c r="AI364" s="23" t="s">
        <v>137</v>
      </c>
      <c r="AJ364" s="26">
        <v>44852</v>
      </c>
      <c r="AK364" s="172">
        <f>Tabla1[[#This Row],[Fecha Vigencia]]-AJ364</f>
        <v>-52.625</v>
      </c>
      <c r="AL364" s="23"/>
      <c r="AM364" s="87"/>
      <c r="AN364" s="23"/>
      <c r="AO364" s="29"/>
      <c r="AP364" s="23" t="s">
        <v>292</v>
      </c>
      <c r="AQ364" s="34" t="s">
        <v>1021</v>
      </c>
      <c r="AR364" s="23" t="s">
        <v>10</v>
      </c>
      <c r="AS364" s="23"/>
      <c r="AT364" s="23"/>
      <c r="AU364" s="23"/>
      <c r="AV364" s="23"/>
      <c r="AW364" s="23" t="s">
        <v>2064</v>
      </c>
      <c r="AX364" t="s">
        <v>2065</v>
      </c>
      <c r="AY364" s="23"/>
      <c r="AZ364" s="23"/>
      <c r="BA364" s="23"/>
      <c r="BB364" s="32"/>
      <c r="BC364" s="73"/>
    </row>
    <row r="365" spans="1:55" x14ac:dyDescent="0.25">
      <c r="A365" s="22" t="s">
        <v>2066</v>
      </c>
      <c r="B365" s="23" t="s">
        <v>2067</v>
      </c>
      <c r="C365" s="23" t="s">
        <v>2068</v>
      </c>
      <c r="D365" s="34" t="s">
        <v>1092</v>
      </c>
      <c r="E365" s="24"/>
      <c r="F365" s="25"/>
      <c r="G365" s="23" t="s">
        <v>21</v>
      </c>
      <c r="H365" s="23" t="s">
        <v>106</v>
      </c>
      <c r="I365" s="2">
        <v>44791.709201388891</v>
      </c>
      <c r="J365" s="24">
        <f>MONTH(Tabla1[[#This Row],[Publicación]])</f>
        <v>8</v>
      </c>
      <c r="K365" s="24">
        <f>YEAR(Tabla1[[#This Row],[Publicación]])</f>
        <v>2022</v>
      </c>
      <c r="L365" s="2">
        <v>44798.583333333336</v>
      </c>
      <c r="M365" s="26">
        <v>44795</v>
      </c>
      <c r="N365" s="25" t="s">
        <v>11</v>
      </c>
      <c r="O365" s="24"/>
      <c r="P365" s="24" t="s">
        <v>11</v>
      </c>
      <c r="Q365" s="2">
        <v>44796.5</v>
      </c>
      <c r="R365" s="2">
        <v>44797.541666666664</v>
      </c>
      <c r="S365" s="26">
        <v>44806.666666666664</v>
      </c>
      <c r="T365" s="28">
        <v>10000000</v>
      </c>
      <c r="U365" s="28">
        <f>Tabla1[[#This Row],[PPTO]]/(1+'Lista Datos'!$B$1)</f>
        <v>8403361.3445378151</v>
      </c>
      <c r="V365" s="23">
        <v>30</v>
      </c>
      <c r="W365" s="18" t="s">
        <v>10</v>
      </c>
      <c r="X365" s="102"/>
      <c r="Y365" s="18" t="s">
        <v>146</v>
      </c>
      <c r="Z365" s="18" t="s">
        <v>10</v>
      </c>
      <c r="AA365" s="23"/>
      <c r="AB365" s="23"/>
      <c r="AC365" s="23" t="s">
        <v>10</v>
      </c>
      <c r="AD365" s="23"/>
      <c r="AE365" s="29">
        <f>Tabla1[[#This Row],[Cierre]]+Tabla1[[#This Row],[Vigencia Oferta (días)]]</f>
        <v>44798.583333333336</v>
      </c>
      <c r="AF365" s="87">
        <v>10</v>
      </c>
      <c r="AG365" s="28">
        <v>23438</v>
      </c>
      <c r="AH365" s="164">
        <f>Tabla1[[#This Row],[Unidades2]]*Tabla1[[#This Row],[Precio Unitario]]</f>
        <v>234380</v>
      </c>
      <c r="AI365" s="23" t="s">
        <v>44</v>
      </c>
      <c r="AJ365" s="26">
        <v>44802</v>
      </c>
      <c r="AK365" s="172">
        <f>Tabla1[[#This Row],[Fecha Vigencia]]-AJ365</f>
        <v>-3.4166666666642413</v>
      </c>
      <c r="AL365" s="23" t="s">
        <v>115</v>
      </c>
      <c r="AM365" s="87">
        <v>29900</v>
      </c>
      <c r="AN365" s="23"/>
      <c r="AO365" s="29"/>
      <c r="AP365" s="23" t="s">
        <v>292</v>
      </c>
      <c r="AQ365" s="34" t="s">
        <v>1093</v>
      </c>
      <c r="AR365" s="23" t="s">
        <v>10</v>
      </c>
      <c r="AS365" s="23"/>
      <c r="AT365" s="23"/>
      <c r="AU365" s="23" t="s">
        <v>459</v>
      </c>
      <c r="AV365" s="23"/>
      <c r="AW365" s="23" t="s">
        <v>2069</v>
      </c>
      <c r="AX365" t="s">
        <v>1095</v>
      </c>
      <c r="AY365" s="23"/>
      <c r="AZ365" s="23"/>
      <c r="BA365" s="23"/>
      <c r="BB365" s="32"/>
      <c r="BC365" s="73"/>
    </row>
    <row r="366" spans="1:55" x14ac:dyDescent="0.25">
      <c r="A366" s="22" t="s">
        <v>2070</v>
      </c>
      <c r="B366" s="23" t="s">
        <v>2071</v>
      </c>
      <c r="C366" s="23" t="s">
        <v>2072</v>
      </c>
      <c r="D366" s="34" t="s">
        <v>2073</v>
      </c>
      <c r="E366" s="24"/>
      <c r="F366" s="25"/>
      <c r="G366" s="23" t="s">
        <v>16</v>
      </c>
      <c r="H366" s="23" t="s">
        <v>1983</v>
      </c>
      <c r="I366" s="2">
        <v>44796.405092592591</v>
      </c>
      <c r="J366" s="24">
        <f>MONTH(Tabla1[[#This Row],[Publicación]])</f>
        <v>8</v>
      </c>
      <c r="K366" s="24">
        <f>YEAR(Tabla1[[#This Row],[Publicación]])</f>
        <v>2022</v>
      </c>
      <c r="L366" s="2">
        <v>44817.375</v>
      </c>
      <c r="M366" s="26">
        <v>44796</v>
      </c>
      <c r="N366" s="25" t="s">
        <v>10</v>
      </c>
      <c r="O366" s="24" t="s">
        <v>25</v>
      </c>
      <c r="P366" s="24" t="s">
        <v>10</v>
      </c>
      <c r="Q366" s="2">
        <v>44803.583333333336</v>
      </c>
      <c r="R366" s="2">
        <v>44806.666666666664</v>
      </c>
      <c r="S366" s="26">
        <v>44876.708333333336</v>
      </c>
      <c r="T366" s="28">
        <v>0</v>
      </c>
      <c r="U366" s="28">
        <f>Tabla1[[#This Row],[PPTO]]/(1+'Lista Datos'!$B$1)</f>
        <v>0</v>
      </c>
      <c r="V366" s="23"/>
      <c r="W366" s="18" t="s">
        <v>10</v>
      </c>
      <c r="X366" s="102"/>
      <c r="Y366" s="18" t="s">
        <v>146</v>
      </c>
      <c r="Z366" s="18" t="s">
        <v>10</v>
      </c>
      <c r="AA366" s="23"/>
      <c r="AB366" s="23"/>
      <c r="AC366" s="23"/>
      <c r="AD366" s="23"/>
      <c r="AE366" s="29">
        <f>Tabla1[[#This Row],[Cierre]]+Tabla1[[#This Row],[Vigencia Oferta (días)]]</f>
        <v>44817.375</v>
      </c>
      <c r="AF366" s="87"/>
      <c r="AG366" s="28"/>
      <c r="AH366" s="164">
        <f>Tabla1[[#This Row],[Unidades2]]*Tabla1[[#This Row],[Precio Unitario]]</f>
        <v>0</v>
      </c>
      <c r="AI366" s="23" t="s">
        <v>44</v>
      </c>
      <c r="AJ366" s="26">
        <v>44851</v>
      </c>
      <c r="AK366" s="172">
        <f>Tabla1[[#This Row],[Fecha Vigencia]]-AJ366</f>
        <v>-33.625</v>
      </c>
      <c r="AL366" s="23" t="s">
        <v>46</v>
      </c>
      <c r="AM366" s="87">
        <v>60000000</v>
      </c>
      <c r="AN366" s="23"/>
      <c r="AO366" s="29"/>
      <c r="AP366" s="23" t="s">
        <v>177</v>
      </c>
      <c r="AQ366" s="34" t="s">
        <v>306</v>
      </c>
      <c r="AR366" s="23" t="s">
        <v>11</v>
      </c>
      <c r="AS366" s="33">
        <v>0.05</v>
      </c>
      <c r="AT366" s="29">
        <v>45807</v>
      </c>
      <c r="AU366" s="23"/>
      <c r="AV366" s="23"/>
      <c r="AW366" s="23" t="s">
        <v>2074</v>
      </c>
      <c r="AX366" t="s">
        <v>308</v>
      </c>
      <c r="AY366" s="23"/>
      <c r="AZ366" s="23"/>
      <c r="BA366" s="23"/>
      <c r="BB366" s="32"/>
      <c r="BC366" s="73"/>
    </row>
    <row r="367" spans="1:55" x14ac:dyDescent="0.25">
      <c r="A367" s="22" t="s">
        <v>2075</v>
      </c>
      <c r="B367" s="23" t="s">
        <v>2076</v>
      </c>
      <c r="C367" s="23" t="s">
        <v>2077</v>
      </c>
      <c r="D367" s="34" t="s">
        <v>562</v>
      </c>
      <c r="E367" s="24"/>
      <c r="F367" s="25"/>
      <c r="G367" s="23" t="s">
        <v>21</v>
      </c>
      <c r="H367" s="23" t="s">
        <v>106</v>
      </c>
      <c r="I367" s="2">
        <v>44796.708541666667</v>
      </c>
      <c r="J367" s="24">
        <f>MONTH(Tabla1[[#This Row],[Publicación]])</f>
        <v>8</v>
      </c>
      <c r="K367" s="24">
        <f>YEAR(Tabla1[[#This Row],[Publicación]])</f>
        <v>2022</v>
      </c>
      <c r="L367" s="2">
        <v>44816.625</v>
      </c>
      <c r="M367" s="26">
        <v>44802</v>
      </c>
      <c r="N367" s="25" t="s">
        <v>10</v>
      </c>
      <c r="O367" s="24" t="s">
        <v>28</v>
      </c>
      <c r="P367" s="24" t="s">
        <v>10</v>
      </c>
      <c r="Q367" s="2">
        <v>44803.625</v>
      </c>
      <c r="R367" s="2">
        <v>44806.75</v>
      </c>
      <c r="S367" s="26">
        <v>44879.833333333336</v>
      </c>
      <c r="T367" s="28">
        <v>0</v>
      </c>
      <c r="U367" s="28">
        <f>Tabla1[[#This Row],[PPTO]]/(1+'Lista Datos'!$B$1)</f>
        <v>0</v>
      </c>
      <c r="V367" s="23"/>
      <c r="W367" s="18" t="s">
        <v>11</v>
      </c>
      <c r="X367" s="102">
        <v>200000</v>
      </c>
      <c r="Y367" s="26">
        <v>44907</v>
      </c>
      <c r="Z367" s="18" t="s">
        <v>10</v>
      </c>
      <c r="AA367" s="23"/>
      <c r="AB367" s="23"/>
      <c r="AC367" s="23"/>
      <c r="AD367" s="23"/>
      <c r="AE367" s="29">
        <f>Tabla1[[#This Row],[Cierre]]+Tabla1[[#This Row],[Vigencia Oferta (días)]]</f>
        <v>44816.625</v>
      </c>
      <c r="AF367" s="87"/>
      <c r="AG367" s="28"/>
      <c r="AH367" s="164">
        <f>Tabla1[[#This Row],[Unidades2]]*Tabla1[[#This Row],[Precio Unitario]]</f>
        <v>0</v>
      </c>
      <c r="AI367" s="23" t="s">
        <v>137</v>
      </c>
      <c r="AJ367" s="26">
        <v>44861</v>
      </c>
      <c r="AK367" s="172">
        <f>Tabla1[[#This Row],[Fecha Vigencia]]-AJ367</f>
        <v>-44.375</v>
      </c>
      <c r="AL367" s="23"/>
      <c r="AM367" s="87"/>
      <c r="AN367" s="23"/>
      <c r="AO367" s="29"/>
      <c r="AP367" s="23"/>
      <c r="AQ367" s="34" t="s">
        <v>372</v>
      </c>
      <c r="AR367" s="23" t="s">
        <v>11</v>
      </c>
      <c r="AS367" s="33">
        <v>0.05</v>
      </c>
      <c r="AT367" s="29">
        <v>45517</v>
      </c>
      <c r="AU367" s="23"/>
      <c r="AV367" s="23"/>
      <c r="AW367" s="23" t="s">
        <v>1756</v>
      </c>
      <c r="AX367" t="s">
        <v>374</v>
      </c>
      <c r="AY367" s="23"/>
      <c r="AZ367" s="23"/>
      <c r="BA367" s="23"/>
      <c r="BB367" s="32"/>
      <c r="BC367" s="73"/>
    </row>
    <row r="368" spans="1:55" x14ac:dyDescent="0.25">
      <c r="A368" s="22" t="s">
        <v>2078</v>
      </c>
      <c r="B368" s="23" t="s">
        <v>2079</v>
      </c>
      <c r="C368" s="23" t="s">
        <v>2080</v>
      </c>
      <c r="D368" s="34" t="s">
        <v>562</v>
      </c>
      <c r="E368" s="24"/>
      <c r="F368" s="25"/>
      <c r="G368" s="23" t="s">
        <v>21</v>
      </c>
      <c r="H368" s="23" t="s">
        <v>106</v>
      </c>
      <c r="I368" s="2">
        <v>44796.708831018521</v>
      </c>
      <c r="J368" s="24">
        <f>MONTH(Tabla1[[#This Row],[Publicación]])</f>
        <v>8</v>
      </c>
      <c r="K368" s="24">
        <f>YEAR(Tabla1[[#This Row],[Publicación]])</f>
        <v>2022</v>
      </c>
      <c r="L368" s="2">
        <v>44816.625</v>
      </c>
      <c r="M368" s="26">
        <v>44802</v>
      </c>
      <c r="N368" s="25" t="s">
        <v>10</v>
      </c>
      <c r="O368" s="24" t="s">
        <v>29</v>
      </c>
      <c r="P368" s="24" t="s">
        <v>10</v>
      </c>
      <c r="Q368" s="2">
        <v>44803.625</v>
      </c>
      <c r="R368" s="2">
        <v>44806.75</v>
      </c>
      <c r="S368" s="26">
        <v>44879.833333333336</v>
      </c>
      <c r="T368" s="28">
        <v>180000000</v>
      </c>
      <c r="U368" s="28">
        <f>Tabla1[[#This Row],[PPTO]]/(1+'Lista Datos'!$B$1)</f>
        <v>151260504.20168069</v>
      </c>
      <c r="V368" s="23">
        <v>30</v>
      </c>
      <c r="W368" s="18" t="s">
        <v>11</v>
      </c>
      <c r="X368" s="102">
        <v>200000</v>
      </c>
      <c r="Y368" s="26">
        <v>44907</v>
      </c>
      <c r="Z368" s="18" t="s">
        <v>10</v>
      </c>
      <c r="AA368" s="23" t="s">
        <v>177</v>
      </c>
      <c r="AB368" s="23">
        <v>18</v>
      </c>
      <c r="AC368" s="23" t="s">
        <v>10</v>
      </c>
      <c r="AD368" s="23">
        <v>60</v>
      </c>
      <c r="AE368" s="29">
        <f>Tabla1[[#This Row],[Cierre]]+Tabla1[[#This Row],[Vigencia Oferta (días)]]</f>
        <v>44876.625</v>
      </c>
      <c r="AF368" s="87"/>
      <c r="AG368" s="28"/>
      <c r="AH368" s="164">
        <f>Tabla1[[#This Row],[Unidades2]]*Tabla1[[#This Row],[Precio Unitario]]</f>
        <v>0</v>
      </c>
      <c r="AI368" s="23" t="s">
        <v>137</v>
      </c>
      <c r="AJ368" s="26"/>
      <c r="AK368" s="172">
        <f>Tabla1[[#This Row],[Fecha Vigencia]]-AJ368</f>
        <v>44876.625</v>
      </c>
      <c r="AL368" s="23"/>
      <c r="AM368" s="87"/>
      <c r="AN368" s="23"/>
      <c r="AO368" s="29"/>
      <c r="AP368" s="23" t="s">
        <v>177</v>
      </c>
      <c r="AQ368" s="34" t="s">
        <v>372</v>
      </c>
      <c r="AR368" s="23" t="s">
        <v>11</v>
      </c>
      <c r="AS368" s="33">
        <v>0.05</v>
      </c>
      <c r="AT368" s="29">
        <v>45517</v>
      </c>
      <c r="AU368" s="23"/>
      <c r="AV368" s="23"/>
      <c r="AW368" s="23" t="s">
        <v>1756</v>
      </c>
      <c r="AX368" t="s">
        <v>374</v>
      </c>
      <c r="AY368" s="23"/>
      <c r="AZ368" s="23"/>
      <c r="BA368" s="23"/>
      <c r="BB368" s="32"/>
      <c r="BC368" s="73"/>
    </row>
    <row r="369" spans="1:55" x14ac:dyDescent="0.25">
      <c r="A369" s="22" t="s">
        <v>2081</v>
      </c>
      <c r="B369" s="23" t="s">
        <v>2082</v>
      </c>
      <c r="C369" s="23" t="s">
        <v>2083</v>
      </c>
      <c r="D369" s="34" t="s">
        <v>2084</v>
      </c>
      <c r="E369" s="24"/>
      <c r="F369" s="25"/>
      <c r="G369" s="23" t="s">
        <v>21</v>
      </c>
      <c r="H369" s="23" t="s">
        <v>106</v>
      </c>
      <c r="I369" s="2">
        <v>44799.797523148147</v>
      </c>
      <c r="J369" s="24">
        <f>MONTH(Tabla1[[#This Row],[Publicación]])</f>
        <v>8</v>
      </c>
      <c r="K369" s="24">
        <f>YEAR(Tabla1[[#This Row],[Publicación]])</f>
        <v>2022</v>
      </c>
      <c r="L369" s="2">
        <v>44809.798611111109</v>
      </c>
      <c r="M369" s="26">
        <v>44803</v>
      </c>
      <c r="N369" s="25" t="s">
        <v>11</v>
      </c>
      <c r="O369" s="24"/>
      <c r="P369" s="24" t="s">
        <v>11</v>
      </c>
      <c r="Q369" s="2">
        <v>44804.625</v>
      </c>
      <c r="R369" s="2">
        <v>44806.75</v>
      </c>
      <c r="S369" s="26">
        <v>44867.75</v>
      </c>
      <c r="T369" s="28">
        <v>272209954</v>
      </c>
      <c r="U369" s="28">
        <f>Tabla1[[#This Row],[PPTO]]/(1+'Lista Datos'!$B$1)</f>
        <v>228747860.50420168</v>
      </c>
      <c r="V369" s="23">
        <v>45</v>
      </c>
      <c r="W369" s="18" t="s">
        <v>11</v>
      </c>
      <c r="X369" s="102">
        <v>100000</v>
      </c>
      <c r="Y369" s="26">
        <v>44929</v>
      </c>
      <c r="Z369" s="18" t="s">
        <v>10</v>
      </c>
      <c r="AA369" s="23" t="s">
        <v>177</v>
      </c>
      <c r="AB369" s="23">
        <v>16</v>
      </c>
      <c r="AC369" s="23" t="s">
        <v>10</v>
      </c>
      <c r="AD369" s="23">
        <v>120</v>
      </c>
      <c r="AE369" s="29">
        <f>Tabla1[[#This Row],[Cierre]]+Tabla1[[#This Row],[Vigencia Oferta (días)]]</f>
        <v>44929.798611111109</v>
      </c>
      <c r="AF369" s="87">
        <v>83</v>
      </c>
      <c r="AG369" s="28">
        <v>2628766</v>
      </c>
      <c r="AH369" s="164">
        <f>Tabla1[[#This Row],[Unidades2]]*Tabla1[[#This Row],[Precio Unitario]]</f>
        <v>218187578</v>
      </c>
      <c r="AI369" s="23" t="s">
        <v>44</v>
      </c>
      <c r="AJ369" s="26">
        <v>44834</v>
      </c>
      <c r="AK369" s="172">
        <f>Tabla1[[#This Row],[Fecha Vigencia]]-AJ369</f>
        <v>95.798611111109494</v>
      </c>
      <c r="AL369" s="23" t="s">
        <v>45</v>
      </c>
      <c r="AM369" s="87">
        <v>2280000</v>
      </c>
      <c r="AN369" s="23"/>
      <c r="AO369" s="29"/>
      <c r="AP369" s="23" t="s">
        <v>177</v>
      </c>
      <c r="AQ369" s="34" t="s">
        <v>2085</v>
      </c>
      <c r="AR369" s="23" t="s">
        <v>11</v>
      </c>
      <c r="AS369" s="33">
        <v>0.05</v>
      </c>
      <c r="AT369" s="29">
        <v>45347</v>
      </c>
      <c r="AU369" s="23"/>
      <c r="AV369" s="23"/>
      <c r="AW369" s="23" t="s">
        <v>2086</v>
      </c>
      <c r="AX369" t="s">
        <v>2087</v>
      </c>
      <c r="AY369" s="23"/>
      <c r="AZ369" s="23"/>
      <c r="BA369" s="23"/>
      <c r="BB369" s="32"/>
      <c r="BC369" s="73"/>
    </row>
    <row r="370" spans="1:55" x14ac:dyDescent="0.25">
      <c r="A370" s="22" t="s">
        <v>2088</v>
      </c>
      <c r="B370" s="23" t="s">
        <v>2089</v>
      </c>
      <c r="C370" s="23" t="s">
        <v>2090</v>
      </c>
      <c r="D370" s="34" t="s">
        <v>2010</v>
      </c>
      <c r="E370" s="24"/>
      <c r="F370" s="25"/>
      <c r="G370" s="23" t="s">
        <v>21</v>
      </c>
      <c r="H370" s="23" t="s">
        <v>106</v>
      </c>
      <c r="I370" s="2">
        <v>44803.536956018521</v>
      </c>
      <c r="J370" s="24">
        <f>MONTH(Tabla1[[#This Row],[Publicación]])</f>
        <v>8</v>
      </c>
      <c r="K370" s="24">
        <f>YEAR(Tabla1[[#This Row],[Publicación]])</f>
        <v>2022</v>
      </c>
      <c r="L370" s="2">
        <v>44811.75</v>
      </c>
      <c r="M370" s="26">
        <v>44803</v>
      </c>
      <c r="N370" s="25" t="s">
        <v>11</v>
      </c>
      <c r="O370" s="24"/>
      <c r="P370" s="24" t="s">
        <v>11</v>
      </c>
      <c r="Q370" s="2">
        <v>44806.625</v>
      </c>
      <c r="R370" s="2">
        <v>44809.75</v>
      </c>
      <c r="S370" s="26">
        <v>44841.75</v>
      </c>
      <c r="T370" s="28">
        <v>30000000</v>
      </c>
      <c r="U370" s="28">
        <f>Tabla1[[#This Row],[PPTO]]/(1+'Lista Datos'!$B$1)</f>
        <v>25210084.033613447</v>
      </c>
      <c r="V370" s="23">
        <v>30</v>
      </c>
      <c r="W370" s="18" t="s">
        <v>10</v>
      </c>
      <c r="X370" s="102"/>
      <c r="Y370" s="18" t="s">
        <v>146</v>
      </c>
      <c r="Z370" s="18" t="s">
        <v>10</v>
      </c>
      <c r="AA370" s="23" t="s">
        <v>512</v>
      </c>
      <c r="AB370" s="23"/>
      <c r="AC370" s="23" t="s">
        <v>10</v>
      </c>
      <c r="AD370" s="23">
        <v>120</v>
      </c>
      <c r="AE370" s="29">
        <f>Tabla1[[#This Row],[Cierre]]+Tabla1[[#This Row],[Vigencia Oferta (días)]]</f>
        <v>44931.75</v>
      </c>
      <c r="AF370" s="87">
        <v>20</v>
      </c>
      <c r="AG370" s="28"/>
      <c r="AH370" s="164">
        <f>Tabla1[[#This Row],[Unidades2]]*Tabla1[[#This Row],[Precio Unitario]]</f>
        <v>0</v>
      </c>
      <c r="AI370" s="23" t="s">
        <v>44</v>
      </c>
      <c r="AJ370" s="26">
        <v>44862</v>
      </c>
      <c r="AK370" s="172">
        <f>Tabla1[[#This Row],[Fecha Vigencia]]-AJ370</f>
        <v>69.75</v>
      </c>
      <c r="AL370" s="23" t="s">
        <v>115</v>
      </c>
      <c r="AM370" s="87">
        <v>1040843</v>
      </c>
      <c r="AN370" s="23"/>
      <c r="AO370" s="29"/>
      <c r="AP370" s="23" t="s">
        <v>292</v>
      </c>
      <c r="AQ370" s="34" t="s">
        <v>2011</v>
      </c>
      <c r="AR370" s="23" t="s">
        <v>10</v>
      </c>
      <c r="AS370" s="23"/>
      <c r="AT370" s="23"/>
      <c r="AU370" s="23"/>
      <c r="AV370" s="23"/>
      <c r="AW370" s="23" t="s">
        <v>333</v>
      </c>
      <c r="AX370" t="s">
        <v>2012</v>
      </c>
      <c r="AY370" s="23"/>
      <c r="AZ370" s="23"/>
      <c r="BA370" s="23"/>
      <c r="BB370" s="32"/>
      <c r="BC370" s="73"/>
    </row>
    <row r="371" spans="1:55" x14ac:dyDescent="0.25">
      <c r="A371" s="22" t="s">
        <v>2091</v>
      </c>
      <c r="B371" s="23" t="s">
        <v>2092</v>
      </c>
      <c r="C371" s="23" t="s">
        <v>2092</v>
      </c>
      <c r="D371" s="34" t="s">
        <v>823</v>
      </c>
      <c r="E371" s="24"/>
      <c r="F371" s="25"/>
      <c r="G371" s="23" t="s">
        <v>16</v>
      </c>
      <c r="H371" s="23" t="s">
        <v>1983</v>
      </c>
      <c r="I371" s="2">
        <v>44802.398217592592</v>
      </c>
      <c r="J371" s="24">
        <f>MONTH(Tabla1[[#This Row],[Publicación]])</f>
        <v>8</v>
      </c>
      <c r="K371" s="24">
        <f>YEAR(Tabla1[[#This Row],[Publicación]])</f>
        <v>2022</v>
      </c>
      <c r="L371" s="2">
        <v>44809.645138888889</v>
      </c>
      <c r="M371" s="26">
        <v>44803</v>
      </c>
      <c r="N371" s="25" t="s">
        <v>10</v>
      </c>
      <c r="O371" s="24" t="s">
        <v>25</v>
      </c>
      <c r="P371" s="24" t="s">
        <v>10</v>
      </c>
      <c r="Q371" s="2">
        <v>44805.635416666664</v>
      </c>
      <c r="R371" s="2">
        <v>44806.635416666664</v>
      </c>
      <c r="S371" s="26">
        <v>44810.645833333336</v>
      </c>
      <c r="T371" s="28">
        <v>0</v>
      </c>
      <c r="U371" s="28">
        <f>Tabla1[[#This Row],[PPTO]]/(1+'Lista Datos'!$B$1)</f>
        <v>0</v>
      </c>
      <c r="V371" s="23"/>
      <c r="W371" s="18" t="s">
        <v>10</v>
      </c>
      <c r="X371" s="102"/>
      <c r="Y371" s="18" t="s">
        <v>146</v>
      </c>
      <c r="Z371" s="18" t="s">
        <v>10</v>
      </c>
      <c r="AA371" s="23"/>
      <c r="AB371" s="23"/>
      <c r="AC371" s="23"/>
      <c r="AD371" s="23"/>
      <c r="AE371" s="29">
        <f>Tabla1[[#This Row],[Cierre]]+Tabla1[[#This Row],[Vigencia Oferta (días)]]</f>
        <v>44809.645138888889</v>
      </c>
      <c r="AF371" s="87"/>
      <c r="AG371" s="28"/>
      <c r="AH371" s="164">
        <f>Tabla1[[#This Row],[Unidades2]]*Tabla1[[#This Row],[Precio Unitario]]</f>
        <v>0</v>
      </c>
      <c r="AI371" s="23" t="s">
        <v>44</v>
      </c>
      <c r="AJ371" s="26">
        <v>44881</v>
      </c>
      <c r="AK371" s="172">
        <f>Tabla1[[#This Row],[Fecha Vigencia]]-AJ371</f>
        <v>-71.354861111110949</v>
      </c>
      <c r="AL371" s="23" t="s">
        <v>46</v>
      </c>
      <c r="AM371" s="87">
        <v>251371</v>
      </c>
      <c r="AN371" s="23"/>
      <c r="AO371" s="29"/>
      <c r="AP371" s="23" t="s">
        <v>177</v>
      </c>
      <c r="AQ371" s="34" t="s">
        <v>824</v>
      </c>
      <c r="AR371" s="23" t="s">
        <v>11</v>
      </c>
      <c r="AS371" s="33">
        <v>0.05</v>
      </c>
      <c r="AT371" s="29">
        <v>45199</v>
      </c>
      <c r="AU371" s="23"/>
      <c r="AV371" s="23"/>
      <c r="AW371" s="23" t="s">
        <v>825</v>
      </c>
      <c r="AX371" t="s">
        <v>826</v>
      </c>
      <c r="AY371" s="23"/>
      <c r="AZ371" s="23"/>
      <c r="BA371" s="23"/>
      <c r="BB371" s="32"/>
      <c r="BC371" s="73"/>
    </row>
    <row r="372" spans="1:55" x14ac:dyDescent="0.25">
      <c r="A372" s="22" t="s">
        <v>2093</v>
      </c>
      <c r="B372" s="23" t="s">
        <v>2094</v>
      </c>
      <c r="C372" s="23" t="s">
        <v>2095</v>
      </c>
      <c r="D372" s="34" t="s">
        <v>1346</v>
      </c>
      <c r="E372" s="24"/>
      <c r="F372" s="25"/>
      <c r="G372" s="23" t="s">
        <v>16</v>
      </c>
      <c r="H372" s="23" t="s">
        <v>520</v>
      </c>
      <c r="I372" s="2">
        <v>44806.655370370368</v>
      </c>
      <c r="J372" s="24">
        <f>MONTH(Tabla1[[#This Row],[Publicación]])</f>
        <v>9</v>
      </c>
      <c r="K372" s="24">
        <f>YEAR(Tabla1[[#This Row],[Publicación]])</f>
        <v>2022</v>
      </c>
      <c r="L372" s="2">
        <v>44837.635416666664</v>
      </c>
      <c r="M372" s="26">
        <v>44809</v>
      </c>
      <c r="N372" s="25" t="s">
        <v>11</v>
      </c>
      <c r="O372" s="24"/>
      <c r="P372" s="24" t="s">
        <v>11</v>
      </c>
      <c r="Q372" s="2">
        <v>44821.662499999999</v>
      </c>
      <c r="R372" s="2">
        <v>44826.662499999999</v>
      </c>
      <c r="S372" s="26">
        <v>44867.776388888888</v>
      </c>
      <c r="T372" s="28">
        <v>0</v>
      </c>
      <c r="U372" s="28">
        <f>Tabla1[[#This Row],[PPTO]]/(1+'Lista Datos'!$B$1)</f>
        <v>0</v>
      </c>
      <c r="V372" s="23"/>
      <c r="W372" s="18" t="s">
        <v>11</v>
      </c>
      <c r="X372" s="102">
        <v>500000</v>
      </c>
      <c r="Y372" s="26">
        <v>44929</v>
      </c>
      <c r="Z372" s="18" t="s">
        <v>11</v>
      </c>
      <c r="AA372" s="23" t="s">
        <v>177</v>
      </c>
      <c r="AB372" s="23">
        <v>36</v>
      </c>
      <c r="AC372" s="23" t="s">
        <v>10</v>
      </c>
      <c r="AD372" s="23"/>
      <c r="AE372" s="29">
        <f>Tabla1[[#This Row],[Cierre]]+Tabla1[[#This Row],[Vigencia Oferta (días)]]</f>
        <v>44837.635416666664</v>
      </c>
      <c r="AF372" s="87"/>
      <c r="AG372" s="28"/>
      <c r="AH372" s="164">
        <f>Tabla1[[#This Row],[Unidades2]]*Tabla1[[#This Row],[Precio Unitario]]</f>
        <v>0</v>
      </c>
      <c r="AI372" s="23" t="s">
        <v>44</v>
      </c>
      <c r="AJ372" s="26">
        <v>44851</v>
      </c>
      <c r="AK372" s="172">
        <f>Tabla1[[#This Row],[Fecha Vigencia]]-AJ372</f>
        <v>-13.364583333335759</v>
      </c>
      <c r="AL372" s="23" t="s">
        <v>115</v>
      </c>
      <c r="AM372" s="87">
        <v>453396600</v>
      </c>
      <c r="AN372" s="29">
        <v>44851</v>
      </c>
      <c r="AO372" s="29">
        <v>45947</v>
      </c>
      <c r="AP372" s="23" t="s">
        <v>177</v>
      </c>
      <c r="AQ372" s="34" t="s">
        <v>1347</v>
      </c>
      <c r="AR372" s="23" t="s">
        <v>11</v>
      </c>
      <c r="AS372" s="33">
        <v>0.1</v>
      </c>
      <c r="AT372" s="29">
        <v>46142</v>
      </c>
      <c r="AU372" s="23" t="s">
        <v>2096</v>
      </c>
      <c r="AV372" s="23" t="s">
        <v>2097</v>
      </c>
      <c r="AW372" s="23" t="s">
        <v>1349</v>
      </c>
      <c r="AX372" t="s">
        <v>1350</v>
      </c>
      <c r="AY372" s="23"/>
      <c r="AZ372" s="23"/>
      <c r="BA372" s="23"/>
      <c r="BB372" s="32"/>
      <c r="BC372" s="73"/>
    </row>
    <row r="373" spans="1:55" x14ac:dyDescent="0.25">
      <c r="A373" s="22" t="s">
        <v>2098</v>
      </c>
      <c r="B373" s="23" t="s">
        <v>2099</v>
      </c>
      <c r="C373" s="23" t="s">
        <v>2100</v>
      </c>
      <c r="D373" s="34" t="s">
        <v>2101</v>
      </c>
      <c r="E373" s="24"/>
      <c r="F373" s="25"/>
      <c r="G373" s="23" t="s">
        <v>16</v>
      </c>
      <c r="H373" s="23" t="s">
        <v>520</v>
      </c>
      <c r="I373" s="2">
        <v>44809.577256944445</v>
      </c>
      <c r="J373" s="24">
        <f>MONTH(Tabla1[[#This Row],[Publicación]])</f>
        <v>9</v>
      </c>
      <c r="K373" s="24">
        <f>YEAR(Tabla1[[#This Row],[Publicación]])</f>
        <v>2022</v>
      </c>
      <c r="L373" s="2">
        <v>44816.645833333336</v>
      </c>
      <c r="M373" s="26">
        <v>44810</v>
      </c>
      <c r="N373" s="25" t="s">
        <v>10</v>
      </c>
      <c r="O373" s="24" t="s">
        <v>27</v>
      </c>
      <c r="P373" s="24" t="s">
        <v>10</v>
      </c>
      <c r="Q373" s="2">
        <v>44812.729166666664</v>
      </c>
      <c r="R373" s="2">
        <v>44813.729166666664</v>
      </c>
      <c r="S373" s="26">
        <v>44847.651388888888</v>
      </c>
      <c r="T373" s="27">
        <v>0</v>
      </c>
      <c r="U373" s="28">
        <f>Tabla1[[#This Row],[PPTO]]/(1+'Lista Datos'!$B$1)</f>
        <v>0</v>
      </c>
      <c r="V373" s="23"/>
      <c r="W373" s="18" t="s">
        <v>10</v>
      </c>
      <c r="X373" s="102"/>
      <c r="Y373" s="18"/>
      <c r="Z373" s="18" t="s">
        <v>10</v>
      </c>
      <c r="AA373" s="23"/>
      <c r="AB373" s="23"/>
      <c r="AC373" s="23"/>
      <c r="AD373" s="23"/>
      <c r="AE373" s="29">
        <f>Tabla1[[#This Row],[Cierre]]+Tabla1[[#This Row],[Vigencia Oferta (días)]]</f>
        <v>44816.645833333336</v>
      </c>
      <c r="AF373" s="87"/>
      <c r="AG373" s="28"/>
      <c r="AH373" s="164">
        <f>Tabla1[[#This Row],[Unidades2]]*Tabla1[[#This Row],[Precio Unitario]]</f>
        <v>0</v>
      </c>
      <c r="AI373" s="23" t="s">
        <v>137</v>
      </c>
      <c r="AJ373" s="26"/>
      <c r="AK373" s="172">
        <f>Tabla1[[#This Row],[Fecha Vigencia]]-AJ373</f>
        <v>44816.645833333336</v>
      </c>
      <c r="AL373" s="23"/>
      <c r="AM373" s="87"/>
      <c r="AN373" s="23"/>
      <c r="AO373" s="29"/>
      <c r="AP373" s="23"/>
      <c r="AQ373" s="34" t="s">
        <v>2102</v>
      </c>
      <c r="AR373" s="23" t="s">
        <v>10</v>
      </c>
      <c r="AS373" s="23"/>
      <c r="AT373" s="29"/>
      <c r="AU373" s="23"/>
      <c r="AV373" s="23"/>
      <c r="AW373" s="23" t="s">
        <v>2103</v>
      </c>
      <c r="AX373" t="s">
        <v>2104</v>
      </c>
      <c r="AY373" s="23"/>
      <c r="AZ373" s="23"/>
      <c r="BA373" s="23"/>
      <c r="BB373" s="32"/>
      <c r="BC373" s="73"/>
    </row>
    <row r="374" spans="1:55" x14ac:dyDescent="0.25">
      <c r="A374" s="22" t="s">
        <v>2105</v>
      </c>
      <c r="B374" s="23" t="s">
        <v>2106</v>
      </c>
      <c r="C374" s="23" t="s">
        <v>2107</v>
      </c>
      <c r="D374" s="34" t="s">
        <v>1222</v>
      </c>
      <c r="E374" s="24"/>
      <c r="F374" s="25"/>
      <c r="G374" s="23" t="s">
        <v>16</v>
      </c>
      <c r="H374" s="23" t="s">
        <v>520</v>
      </c>
      <c r="I374" s="2">
        <v>44810.551469907405</v>
      </c>
      <c r="J374" s="24">
        <f>MONTH(Tabla1[[#This Row],[Publicación]])</f>
        <v>9</v>
      </c>
      <c r="K374" s="24">
        <f>YEAR(Tabla1[[#This Row],[Publicación]])</f>
        <v>2022</v>
      </c>
      <c r="L374" s="2">
        <v>44816.75</v>
      </c>
      <c r="M374" s="26">
        <v>44810</v>
      </c>
      <c r="N374" s="25" t="s">
        <v>10</v>
      </c>
      <c r="O374" s="24" t="s">
        <v>34</v>
      </c>
      <c r="P374" s="24" t="s">
        <v>10</v>
      </c>
      <c r="Q374" s="2">
        <v>44812.75</v>
      </c>
      <c r="R374" s="2">
        <v>44813.583333333336</v>
      </c>
      <c r="S374" s="26">
        <v>44847.583333333336</v>
      </c>
      <c r="T374" s="27">
        <v>0</v>
      </c>
      <c r="U374" s="28">
        <f>Tabla1[[#This Row],[PPTO]]/(1+'Lista Datos'!$B$1)</f>
        <v>0</v>
      </c>
      <c r="V374" s="23"/>
      <c r="W374" s="18" t="s">
        <v>10</v>
      </c>
      <c r="X374" s="102"/>
      <c r="Y374" s="18"/>
      <c r="Z374" s="18" t="s">
        <v>10</v>
      </c>
      <c r="AA374" s="23"/>
      <c r="AB374" s="23"/>
      <c r="AC374" s="23"/>
      <c r="AD374" s="23"/>
      <c r="AE374" s="29">
        <f>Tabla1[[#This Row],[Cierre]]+Tabla1[[#This Row],[Vigencia Oferta (días)]]</f>
        <v>44816.75</v>
      </c>
      <c r="AF374" s="87"/>
      <c r="AG374" s="28"/>
      <c r="AH374" s="164">
        <f>Tabla1[[#This Row],[Unidades2]]*Tabla1[[#This Row],[Precio Unitario]]</f>
        <v>0</v>
      </c>
      <c r="AI374" s="23" t="s">
        <v>44</v>
      </c>
      <c r="AJ374" s="26">
        <v>44838</v>
      </c>
      <c r="AK374" s="172">
        <f>Tabla1[[#This Row],[Fecha Vigencia]]-AJ374</f>
        <v>-21.25</v>
      </c>
      <c r="AL374" s="23" t="s">
        <v>46</v>
      </c>
      <c r="AM374" s="87">
        <v>3814100</v>
      </c>
      <c r="AN374" s="23"/>
      <c r="AO374" s="29"/>
      <c r="AP374" s="23" t="s">
        <v>292</v>
      </c>
      <c r="AQ374" s="34" t="s">
        <v>1223</v>
      </c>
      <c r="AR374" s="23" t="s">
        <v>10</v>
      </c>
      <c r="AS374" s="23"/>
      <c r="AT374" s="29"/>
      <c r="AU374" s="23"/>
      <c r="AV374" s="23"/>
      <c r="AW374" s="23" t="s">
        <v>1224</v>
      </c>
      <c r="AX374" t="s">
        <v>1225</v>
      </c>
      <c r="AY374" s="23"/>
      <c r="AZ374" s="23"/>
      <c r="BA374" s="23"/>
      <c r="BB374" s="32"/>
      <c r="BC374" s="73"/>
    </row>
    <row r="375" spans="1:55" x14ac:dyDescent="0.25">
      <c r="A375" s="22" t="s">
        <v>2108</v>
      </c>
      <c r="B375" s="23" t="s">
        <v>2109</v>
      </c>
      <c r="C375" s="23" t="s">
        <v>2110</v>
      </c>
      <c r="D375" s="34" t="s">
        <v>2111</v>
      </c>
      <c r="E375" s="24"/>
      <c r="F375" s="25"/>
      <c r="G375" s="23" t="s">
        <v>16</v>
      </c>
      <c r="H375" s="23" t="s">
        <v>1983</v>
      </c>
      <c r="I375" s="2">
        <v>44806.687442129631</v>
      </c>
      <c r="J375" s="24">
        <f>MONTH(Tabla1[[#This Row],[Publicación]])</f>
        <v>9</v>
      </c>
      <c r="K375" s="24">
        <f>YEAR(Tabla1[[#This Row],[Publicación]])</f>
        <v>2022</v>
      </c>
      <c r="L375" s="2">
        <v>44826.416666666664</v>
      </c>
      <c r="M375" s="26"/>
      <c r="N375" s="25" t="s">
        <v>11</v>
      </c>
      <c r="O375" s="24"/>
      <c r="P375" s="24" t="s">
        <v>11</v>
      </c>
      <c r="Q375" s="2">
        <v>44813.833333333336</v>
      </c>
      <c r="R375" s="2">
        <v>44816.708333333336</v>
      </c>
      <c r="S375" s="26">
        <v>44858.708333333336</v>
      </c>
      <c r="T375" s="27">
        <v>0</v>
      </c>
      <c r="U375" s="28">
        <f>Tabla1[[#This Row],[PPTO]]/(1+'Lista Datos'!$B$1)</f>
        <v>0</v>
      </c>
      <c r="V375" s="23"/>
      <c r="W375" s="18" t="s">
        <v>11</v>
      </c>
      <c r="X375" s="102">
        <v>500000</v>
      </c>
      <c r="Y375" s="26">
        <v>44604</v>
      </c>
      <c r="Z375" s="18" t="s">
        <v>11</v>
      </c>
      <c r="AA375" s="23" t="s">
        <v>177</v>
      </c>
      <c r="AB375" s="23">
        <v>48</v>
      </c>
      <c r="AC375" s="23" t="s">
        <v>10</v>
      </c>
      <c r="AD375" s="23"/>
      <c r="AE375" s="29">
        <f>Tabla1[[#This Row],[Cierre]]+Tabla1[[#This Row],[Vigencia Oferta (días)]]</f>
        <v>44826.416666666664</v>
      </c>
      <c r="AF375" s="87"/>
      <c r="AG375" s="28"/>
      <c r="AH375" s="164">
        <f>Tabla1[[#This Row],[Unidades2]]*Tabla1[[#This Row],[Precio Unitario]]</f>
        <v>0</v>
      </c>
      <c r="AI375" s="23" t="s">
        <v>44</v>
      </c>
      <c r="AJ375" s="26">
        <v>44854</v>
      </c>
      <c r="AK375" s="172">
        <f>Tabla1[[#This Row],[Fecha Vigencia]]-AJ375</f>
        <v>-27.583333333335759</v>
      </c>
      <c r="AL375" s="23" t="s">
        <v>115</v>
      </c>
      <c r="AM375" s="87">
        <v>185799088</v>
      </c>
      <c r="AN375" s="29">
        <v>44854</v>
      </c>
      <c r="AO375" s="29">
        <v>46315</v>
      </c>
      <c r="AP375" s="23" t="s">
        <v>177</v>
      </c>
      <c r="AQ375" s="34" t="s">
        <v>1104</v>
      </c>
      <c r="AR375" s="23" t="s">
        <v>11</v>
      </c>
      <c r="AS375" s="33">
        <v>0.05</v>
      </c>
      <c r="AT375" s="29">
        <v>46420</v>
      </c>
      <c r="AU375" s="23"/>
      <c r="AV375" s="23"/>
      <c r="AW375" s="23" t="s">
        <v>1105</v>
      </c>
      <c r="AX375" t="s">
        <v>1106</v>
      </c>
      <c r="AY375" s="23"/>
      <c r="AZ375" s="23"/>
      <c r="BA375" s="23"/>
      <c r="BB375" s="32"/>
      <c r="BC375" s="73"/>
    </row>
    <row r="376" spans="1:55" ht="11.25" x14ac:dyDescent="0.2">
      <c r="A376" s="22" t="s">
        <v>2112</v>
      </c>
      <c r="B376" s="23" t="s">
        <v>2113</v>
      </c>
      <c r="C376" s="23"/>
      <c r="D376" s="34" t="s">
        <v>212</v>
      </c>
      <c r="E376" s="24"/>
      <c r="F376" s="25"/>
      <c r="G376" s="23" t="s">
        <v>18</v>
      </c>
      <c r="H376" s="23" t="s">
        <v>213</v>
      </c>
      <c r="I376" s="2">
        <v>44811.691666666666</v>
      </c>
      <c r="J376" s="24">
        <f>MONTH(Tabla1[[#This Row],[Publicación]])</f>
        <v>9</v>
      </c>
      <c r="K376" s="24">
        <f>YEAR(Tabla1[[#This Row],[Publicación]])</f>
        <v>2022</v>
      </c>
      <c r="L376" s="2">
        <v>44817.684027777781</v>
      </c>
      <c r="M376" s="26">
        <v>44813</v>
      </c>
      <c r="N376" s="25" t="s">
        <v>10</v>
      </c>
      <c r="O376" s="24" t="s">
        <v>25</v>
      </c>
      <c r="P376" s="24" t="s">
        <v>10</v>
      </c>
      <c r="Q376" s="2">
        <v>44812.771527777775</v>
      </c>
      <c r="R376" s="2">
        <v>44814.684027777781</v>
      </c>
      <c r="S376" s="26">
        <v>44877.684027777781</v>
      </c>
      <c r="T376" s="28">
        <v>0</v>
      </c>
      <c r="U376" s="28">
        <f>Tabla1[[#This Row],[PPTO]]/(1+'Lista Datos'!$B$1)</f>
        <v>0</v>
      </c>
      <c r="V376" s="23"/>
      <c r="W376" s="18" t="s">
        <v>10</v>
      </c>
      <c r="X376" s="102"/>
      <c r="Y376" s="18" t="s">
        <v>146</v>
      </c>
      <c r="Z376" s="18" t="s">
        <v>10</v>
      </c>
      <c r="AA376" s="23"/>
      <c r="AB376" s="23"/>
      <c r="AC376" s="23"/>
      <c r="AD376" s="23"/>
      <c r="AE376" s="29">
        <f>Tabla1[[#This Row],[Cierre]]+Tabla1[[#This Row],[Vigencia Oferta (días)]]</f>
        <v>44817.684027777781</v>
      </c>
      <c r="AF376" s="87"/>
      <c r="AG376" s="28"/>
      <c r="AH376" s="164">
        <f>Tabla1[[#This Row],[Unidades2]]*Tabla1[[#This Row],[Precio Unitario]]</f>
        <v>0</v>
      </c>
      <c r="AI376" s="23" t="s">
        <v>44</v>
      </c>
      <c r="AJ376" s="26">
        <v>44901</v>
      </c>
      <c r="AK376" s="172">
        <f>Tabla1[[#This Row],[Fecha Vigencia]]-AJ376</f>
        <v>-83.315972222218988</v>
      </c>
      <c r="AL376" s="23" t="s">
        <v>46</v>
      </c>
      <c r="AM376" s="87">
        <v>2937494</v>
      </c>
      <c r="AN376" s="23"/>
      <c r="AO376" s="29"/>
      <c r="AP376" s="23" t="s">
        <v>292</v>
      </c>
      <c r="AQ376" s="34" t="s">
        <v>214</v>
      </c>
      <c r="AR376" s="23" t="s">
        <v>10</v>
      </c>
      <c r="AS376" s="23"/>
      <c r="AT376" s="23"/>
      <c r="AU376" s="23"/>
      <c r="AV376" s="23"/>
      <c r="AW376" s="23"/>
      <c r="AX376" s="23"/>
      <c r="AY376" s="23"/>
      <c r="AZ376" s="23"/>
      <c r="BA376" s="23"/>
      <c r="BB376" s="32"/>
      <c r="BC376" s="73"/>
    </row>
    <row r="377" spans="1:55" x14ac:dyDescent="0.25">
      <c r="A377" s="22" t="s">
        <v>2114</v>
      </c>
      <c r="B377" s="23" t="s">
        <v>2115</v>
      </c>
      <c r="C377" s="23" t="s">
        <v>2116</v>
      </c>
      <c r="D377" s="34" t="s">
        <v>2117</v>
      </c>
      <c r="E377" s="24"/>
      <c r="F377" s="25"/>
      <c r="G377" s="23" t="s">
        <v>16</v>
      </c>
      <c r="H377" s="23" t="s">
        <v>145</v>
      </c>
      <c r="I377" s="2">
        <v>44811.726076388892</v>
      </c>
      <c r="J377" s="24">
        <f>MONTH(Tabla1[[#This Row],[Publicación]])</f>
        <v>9</v>
      </c>
      <c r="K377" s="24">
        <f>YEAR(Tabla1[[#This Row],[Publicación]])</f>
        <v>2022</v>
      </c>
      <c r="L377" s="2">
        <v>44848.625</v>
      </c>
      <c r="M377" s="26">
        <v>44813</v>
      </c>
      <c r="N377" s="25" t="s">
        <v>10</v>
      </c>
      <c r="O377" s="24" t="s">
        <v>26</v>
      </c>
      <c r="P377" s="24" t="s">
        <v>10</v>
      </c>
      <c r="Q377" s="2">
        <v>44830.75</v>
      </c>
      <c r="R377" s="2">
        <v>44831.75</v>
      </c>
      <c r="S377" s="26">
        <v>44895.708333333336</v>
      </c>
      <c r="T377" s="28">
        <v>0</v>
      </c>
      <c r="U377" s="28">
        <f>Tabla1[[#This Row],[PPTO]]/(1+'Lista Datos'!$B$1)</f>
        <v>0</v>
      </c>
      <c r="V377" s="23"/>
      <c r="W377" s="18" t="s">
        <v>11</v>
      </c>
      <c r="X377" s="102">
        <v>300000</v>
      </c>
      <c r="Y377" s="26">
        <v>44895</v>
      </c>
      <c r="Z377" s="18" t="s">
        <v>11</v>
      </c>
      <c r="AA377" s="23"/>
      <c r="AB377" s="23"/>
      <c r="AC377" s="23"/>
      <c r="AD377" s="23"/>
      <c r="AE377" s="29">
        <f>Tabla1[[#This Row],[Cierre]]+Tabla1[[#This Row],[Vigencia Oferta (días)]]</f>
        <v>44848.625</v>
      </c>
      <c r="AF377" s="87"/>
      <c r="AG377" s="28"/>
      <c r="AH377" s="164">
        <f>Tabla1[[#This Row],[Unidades2]]*Tabla1[[#This Row],[Precio Unitario]]</f>
        <v>0</v>
      </c>
      <c r="AI377" s="23" t="s">
        <v>44</v>
      </c>
      <c r="AJ377" s="26">
        <v>44921</v>
      </c>
      <c r="AK377" s="172">
        <f>Tabla1[[#This Row],[Fecha Vigencia]]-AJ377</f>
        <v>-72.375</v>
      </c>
      <c r="AL377" s="23" t="s">
        <v>45</v>
      </c>
      <c r="AM377" s="87">
        <v>150426000</v>
      </c>
      <c r="AN377" s="23"/>
      <c r="AO377" s="29"/>
      <c r="AP377" s="23" t="s">
        <v>177</v>
      </c>
      <c r="AQ377" s="34" t="s">
        <v>2118</v>
      </c>
      <c r="AR377" s="23" t="s">
        <v>11</v>
      </c>
      <c r="AS377" s="33">
        <v>0.05</v>
      </c>
      <c r="AT377" s="29">
        <v>45688</v>
      </c>
      <c r="AU377" s="23"/>
      <c r="AV377" s="23"/>
      <c r="AW377" s="23" t="s">
        <v>2119</v>
      </c>
      <c r="AX377" t="s">
        <v>2120</v>
      </c>
      <c r="AY377" s="23"/>
      <c r="AZ377" s="23"/>
      <c r="BA377" s="23"/>
      <c r="BB377" s="32"/>
      <c r="BC377" s="73"/>
    </row>
    <row r="378" spans="1:55" x14ac:dyDescent="0.25">
      <c r="A378" s="22" t="s">
        <v>2121</v>
      </c>
      <c r="B378" s="23" t="s">
        <v>1563</v>
      </c>
      <c r="C378" s="23" t="s">
        <v>2122</v>
      </c>
      <c r="D378" s="34" t="s">
        <v>1565</v>
      </c>
      <c r="E378" s="24"/>
      <c r="F378" s="25"/>
      <c r="G378" s="23" t="s">
        <v>16</v>
      </c>
      <c r="H378" s="23" t="s">
        <v>345</v>
      </c>
      <c r="I378" s="2">
        <v>44812.680208333331</v>
      </c>
      <c r="J378" s="24">
        <f>MONTH(Tabla1[[#This Row],[Publicación]])</f>
        <v>9</v>
      </c>
      <c r="K378" s="24">
        <f>YEAR(Tabla1[[#This Row],[Publicación]])</f>
        <v>2022</v>
      </c>
      <c r="L378" s="2">
        <v>44826.824999999997</v>
      </c>
      <c r="M378" s="26">
        <v>44813</v>
      </c>
      <c r="N378" s="25" t="s">
        <v>10</v>
      </c>
      <c r="O378" s="24" t="s">
        <v>25</v>
      </c>
      <c r="P378" s="24" t="s">
        <v>10</v>
      </c>
      <c r="Q378" s="2">
        <v>44816.5</v>
      </c>
      <c r="R378" s="2">
        <v>44818.818749999999</v>
      </c>
      <c r="S378" s="26">
        <v>44893.825694444444</v>
      </c>
      <c r="T378" s="28">
        <v>0</v>
      </c>
      <c r="U378" s="28">
        <f>Tabla1[[#This Row],[PPTO]]/(1+'Lista Datos'!$B$1)</f>
        <v>0</v>
      </c>
      <c r="V378" s="23"/>
      <c r="W378" s="18" t="s">
        <v>10</v>
      </c>
      <c r="X378" s="102"/>
      <c r="Y378" s="18" t="s">
        <v>146</v>
      </c>
      <c r="Z378" s="18" t="s">
        <v>10</v>
      </c>
      <c r="AA378" s="23"/>
      <c r="AB378" s="23"/>
      <c r="AC378" s="23"/>
      <c r="AD378" s="23"/>
      <c r="AE378" s="29">
        <f>Tabla1[[#This Row],[Cierre]]+Tabla1[[#This Row],[Vigencia Oferta (días)]]</f>
        <v>44826.824999999997</v>
      </c>
      <c r="AF378" s="87"/>
      <c r="AG378" s="28"/>
      <c r="AH378" s="164">
        <f>Tabla1[[#This Row],[Unidades2]]*Tabla1[[#This Row],[Precio Unitario]]</f>
        <v>0</v>
      </c>
      <c r="AI378" s="23" t="s">
        <v>44</v>
      </c>
      <c r="AJ378" s="26">
        <v>44847</v>
      </c>
      <c r="AK378" s="172">
        <f>Tabla1[[#This Row],[Fecha Vigencia]]-AJ378</f>
        <v>-20.17500000000291</v>
      </c>
      <c r="AL378" s="23" t="s">
        <v>45</v>
      </c>
      <c r="AM378" s="87">
        <v>24000000</v>
      </c>
      <c r="AN378" s="23"/>
      <c r="AO378" s="29"/>
      <c r="AP378" s="23" t="s">
        <v>177</v>
      </c>
      <c r="AQ378" s="34" t="s">
        <v>1566</v>
      </c>
      <c r="AR378" s="23" t="s">
        <v>10</v>
      </c>
      <c r="AS378" s="23"/>
      <c r="AT378" s="23"/>
      <c r="AU378" s="23"/>
      <c r="AV378" s="23"/>
      <c r="AW378" s="23" t="s">
        <v>2123</v>
      </c>
      <c r="AX378" t="s">
        <v>2124</v>
      </c>
      <c r="AY378" s="23"/>
      <c r="AZ378" s="23"/>
      <c r="BA378" s="23"/>
      <c r="BB378" s="32"/>
      <c r="BC378" s="73"/>
    </row>
    <row r="379" spans="1:55" x14ac:dyDescent="0.25">
      <c r="A379" s="22" t="s">
        <v>2125</v>
      </c>
      <c r="B379" s="23" t="s">
        <v>1907</v>
      </c>
      <c r="C379" s="23" t="s">
        <v>2126</v>
      </c>
      <c r="D379" s="34" t="s">
        <v>1958</v>
      </c>
      <c r="E379" s="24"/>
      <c r="F379" s="25"/>
      <c r="G379" s="23" t="s">
        <v>20</v>
      </c>
      <c r="H379" s="23" t="s">
        <v>176</v>
      </c>
      <c r="I379" s="2">
        <v>44813.620196759257</v>
      </c>
      <c r="J379" s="24">
        <f>MONTH(Tabla1[[#This Row],[Publicación]])</f>
        <v>9</v>
      </c>
      <c r="K379" s="24">
        <f>YEAR(Tabla1[[#This Row],[Publicación]])</f>
        <v>2022</v>
      </c>
      <c r="L379" s="2">
        <v>44845.645833333336</v>
      </c>
      <c r="M379" s="26">
        <v>44813</v>
      </c>
      <c r="N379" s="25" t="s">
        <v>10</v>
      </c>
      <c r="O379" s="24" t="s">
        <v>33</v>
      </c>
      <c r="P379" s="24" t="s">
        <v>10</v>
      </c>
      <c r="Q379" s="2">
        <v>44828.772916666669</v>
      </c>
      <c r="R379" s="2">
        <v>44838.772916666669</v>
      </c>
      <c r="S379" s="26">
        <v>44904.776388888888</v>
      </c>
      <c r="T379" s="27">
        <v>0</v>
      </c>
      <c r="U379" s="28">
        <f>Tabla1[[#This Row],[PPTO]]/(1+'Lista Datos'!$B$1)</f>
        <v>0</v>
      </c>
      <c r="V379" s="23"/>
      <c r="W379" s="18" t="s">
        <v>11</v>
      </c>
      <c r="X379" s="102">
        <v>2000000</v>
      </c>
      <c r="Y379" s="26">
        <v>45023</v>
      </c>
      <c r="Z379" s="18" t="s">
        <v>10</v>
      </c>
      <c r="AA379" s="23" t="s">
        <v>177</v>
      </c>
      <c r="AB379" s="23">
        <v>12</v>
      </c>
      <c r="AC379" s="23" t="s">
        <v>10</v>
      </c>
      <c r="AD379" s="23"/>
      <c r="AE379" s="29">
        <f>Tabla1[[#This Row],[Cierre]]+Tabla1[[#This Row],[Vigencia Oferta (días)]]</f>
        <v>44845.645833333336</v>
      </c>
      <c r="AF379" s="87"/>
      <c r="AG379" s="28"/>
      <c r="AH379" s="164">
        <f>Tabla1[[#This Row],[Unidades2]]*Tabla1[[#This Row],[Precio Unitario]]</f>
        <v>0</v>
      </c>
      <c r="AI379" s="23" t="s">
        <v>137</v>
      </c>
      <c r="AJ379" s="26"/>
      <c r="AK379" s="172">
        <f>Tabla1[[#This Row],[Fecha Vigencia]]-AJ379</f>
        <v>44845.645833333336</v>
      </c>
      <c r="AL379" s="23"/>
      <c r="AM379" s="87"/>
      <c r="AN379" s="23"/>
      <c r="AO379" s="29"/>
      <c r="AP379" s="23"/>
      <c r="AQ379" s="34" t="s">
        <v>1910</v>
      </c>
      <c r="AR379" s="23" t="s">
        <v>11</v>
      </c>
      <c r="AS379" s="33">
        <v>7.0000000000000007E-2</v>
      </c>
      <c r="AT379" s="29">
        <v>45519</v>
      </c>
      <c r="AU379" s="23"/>
      <c r="AV379" s="23"/>
      <c r="AW379" s="23" t="s">
        <v>1959</v>
      </c>
      <c r="AX379" t="s">
        <v>2127</v>
      </c>
      <c r="AY379" s="23"/>
      <c r="AZ379" s="23"/>
      <c r="BA379" s="23"/>
      <c r="BB379" s="32"/>
      <c r="BC379" s="73"/>
    </row>
    <row r="380" spans="1:55" x14ac:dyDescent="0.25">
      <c r="A380" s="22" t="s">
        <v>2128</v>
      </c>
      <c r="B380" s="23" t="s">
        <v>2129</v>
      </c>
      <c r="C380" s="23" t="s">
        <v>2130</v>
      </c>
      <c r="D380" s="34" t="s">
        <v>1400</v>
      </c>
      <c r="E380" s="24"/>
      <c r="F380" s="25"/>
      <c r="G380" s="23" t="s">
        <v>21</v>
      </c>
      <c r="H380" s="23" t="s">
        <v>106</v>
      </c>
      <c r="I380" s="2">
        <v>44810.682175925926</v>
      </c>
      <c r="J380" s="24">
        <f>MONTH(Tabla1[[#This Row],[Publicación]])</f>
        <v>9</v>
      </c>
      <c r="K380" s="24">
        <f>YEAR(Tabla1[[#This Row],[Publicación]])</f>
        <v>2022</v>
      </c>
      <c r="L380" s="2">
        <v>44824.625694444447</v>
      </c>
      <c r="M380" s="26">
        <v>44816</v>
      </c>
      <c r="N380" s="25" t="s">
        <v>11</v>
      </c>
      <c r="O380" s="24"/>
      <c r="P380" s="24" t="s">
        <v>11</v>
      </c>
      <c r="Q380" s="2">
        <v>44816.5</v>
      </c>
      <c r="R380" s="2">
        <v>44817.75</v>
      </c>
      <c r="S380" s="26">
        <v>44859.75</v>
      </c>
      <c r="T380" s="28">
        <v>135018000</v>
      </c>
      <c r="U380" s="28">
        <f>Tabla1[[#This Row],[PPTO]]/(1+'Lista Datos'!$B$1)</f>
        <v>113460504.20168068</v>
      </c>
      <c r="V380" s="23">
        <v>45</v>
      </c>
      <c r="W380" s="18" t="s">
        <v>11</v>
      </c>
      <c r="X380" s="102">
        <v>200000</v>
      </c>
      <c r="Y380" s="26">
        <v>44945</v>
      </c>
      <c r="Z380" s="18" t="s">
        <v>10</v>
      </c>
      <c r="AA380" s="23"/>
      <c r="AB380" s="23"/>
      <c r="AC380" s="23" t="s">
        <v>10</v>
      </c>
      <c r="AD380" s="23">
        <v>120</v>
      </c>
      <c r="AE380" s="29">
        <f>Tabla1[[#This Row],[Cierre]]+Tabla1[[#This Row],[Vigencia Oferta (días)]]</f>
        <v>44944.625694444447</v>
      </c>
      <c r="AF380" s="87">
        <v>39</v>
      </c>
      <c r="AG380" s="28">
        <v>2599639</v>
      </c>
      <c r="AH380" s="164">
        <f>Tabla1[[#This Row],[Unidades2]]*Tabla1[[#This Row],[Precio Unitario]]</f>
        <v>101385921</v>
      </c>
      <c r="AI380" s="23" t="s">
        <v>44</v>
      </c>
      <c r="AJ380" s="26">
        <v>44840</v>
      </c>
      <c r="AK380" s="172">
        <f>Tabla1[[#This Row],[Fecha Vigencia]]-AJ380</f>
        <v>104.62569444444671</v>
      </c>
      <c r="AL380" s="23" t="s">
        <v>45</v>
      </c>
      <c r="AM380" s="87">
        <v>95940064</v>
      </c>
      <c r="AN380" s="23"/>
      <c r="AO380" s="29"/>
      <c r="AP380" s="23" t="s">
        <v>177</v>
      </c>
      <c r="AQ380" s="34" t="s">
        <v>1401</v>
      </c>
      <c r="AR380" s="23" t="s">
        <v>11</v>
      </c>
      <c r="AS380" s="33">
        <v>0.1</v>
      </c>
      <c r="AT380" s="29">
        <v>45682</v>
      </c>
      <c r="AU380" s="23"/>
      <c r="AV380" s="23"/>
      <c r="AW380" s="23" t="s">
        <v>2131</v>
      </c>
      <c r="AX380" t="s">
        <v>2132</v>
      </c>
      <c r="AY380" s="23"/>
      <c r="AZ380" s="23"/>
      <c r="BA380" s="23"/>
      <c r="BB380" s="32"/>
      <c r="BC380" s="73"/>
    </row>
    <row r="381" spans="1:55" x14ac:dyDescent="0.25">
      <c r="A381" s="22" t="s">
        <v>2133</v>
      </c>
      <c r="B381" s="23" t="s">
        <v>2134</v>
      </c>
      <c r="C381" s="23" t="s">
        <v>2135</v>
      </c>
      <c r="D381" s="34" t="s">
        <v>2136</v>
      </c>
      <c r="E381" s="24"/>
      <c r="F381" s="25"/>
      <c r="G381" s="23" t="s">
        <v>21</v>
      </c>
      <c r="H381" s="23" t="s">
        <v>106</v>
      </c>
      <c r="I381" s="2">
        <v>44816.644282407404</v>
      </c>
      <c r="J381" s="24">
        <f>MONTH(Tabla1[[#This Row],[Publicación]])</f>
        <v>9</v>
      </c>
      <c r="K381" s="24">
        <f>YEAR(Tabla1[[#This Row],[Publicación]])</f>
        <v>2022</v>
      </c>
      <c r="L381" s="2">
        <v>44846.666666666664</v>
      </c>
      <c r="M381" s="26">
        <v>44816</v>
      </c>
      <c r="N381" s="25" t="s">
        <v>11</v>
      </c>
      <c r="O381" s="24"/>
      <c r="P381" s="24" t="s">
        <v>11</v>
      </c>
      <c r="Q381" s="2">
        <v>44823.999305555553</v>
      </c>
      <c r="R381" s="2">
        <v>44830.75</v>
      </c>
      <c r="S381" s="26">
        <v>44876.791666666664</v>
      </c>
      <c r="T381" s="28">
        <v>380820000</v>
      </c>
      <c r="U381" s="28">
        <f>Tabla1[[#This Row],[PPTO]]/(1+'Lista Datos'!$B$1)</f>
        <v>320016806.72268909</v>
      </c>
      <c r="V381" s="23">
        <v>30</v>
      </c>
      <c r="W381" s="18" t="s">
        <v>11</v>
      </c>
      <c r="X381" s="102">
        <v>2000000</v>
      </c>
      <c r="Y381" s="26">
        <v>44936</v>
      </c>
      <c r="Z381" s="18" t="s">
        <v>10</v>
      </c>
      <c r="AA381" s="23" t="s">
        <v>177</v>
      </c>
      <c r="AB381" s="23">
        <v>24</v>
      </c>
      <c r="AC381" s="23" t="s">
        <v>10</v>
      </c>
      <c r="AD381" s="23">
        <v>90</v>
      </c>
      <c r="AE381" s="29">
        <f>Tabla1[[#This Row],[Cierre]]+Tabla1[[#This Row],[Vigencia Oferta (días)]]</f>
        <v>44936.666666666664</v>
      </c>
      <c r="AF381" s="87">
        <v>110</v>
      </c>
      <c r="AG381" s="28">
        <v>2788361</v>
      </c>
      <c r="AH381" s="164">
        <f>Tabla1[[#This Row],[Unidades2]]*Tabla1[[#This Row],[Precio Unitario]]</f>
        <v>306719710</v>
      </c>
      <c r="AI381" s="23" t="s">
        <v>44</v>
      </c>
      <c r="AJ381" s="26">
        <v>44883</v>
      </c>
      <c r="AK381" s="172">
        <f>Tabla1[[#This Row],[Fecha Vigencia]]-AJ381</f>
        <v>53.666666666664241</v>
      </c>
      <c r="AL381" s="23" t="s">
        <v>46</v>
      </c>
      <c r="AM381" s="87">
        <v>2350000</v>
      </c>
      <c r="AN381" s="23"/>
      <c r="AO381" s="29"/>
      <c r="AP381" s="23" t="s">
        <v>292</v>
      </c>
      <c r="AQ381" s="34" t="s">
        <v>473</v>
      </c>
      <c r="AR381" s="23" t="s">
        <v>11</v>
      </c>
      <c r="AS381" s="33">
        <v>0.1</v>
      </c>
      <c r="AT381" s="29">
        <v>46022</v>
      </c>
      <c r="AU381" s="23"/>
      <c r="AV381" s="23"/>
      <c r="AW381" s="23" t="s">
        <v>2137</v>
      </c>
      <c r="AX381" t="s">
        <v>1656</v>
      </c>
      <c r="AY381" s="23"/>
      <c r="AZ381" s="23"/>
      <c r="BA381" s="23"/>
      <c r="BB381" s="32"/>
      <c r="BC381" s="73"/>
    </row>
    <row r="382" spans="1:55" x14ac:dyDescent="0.25">
      <c r="A382" s="22" t="s">
        <v>2138</v>
      </c>
      <c r="B382" s="23" t="s">
        <v>2139</v>
      </c>
      <c r="C382" s="23" t="s">
        <v>2140</v>
      </c>
      <c r="D382" s="34" t="s">
        <v>2141</v>
      </c>
      <c r="E382" s="24"/>
      <c r="F382" s="25"/>
      <c r="G382" s="23" t="s">
        <v>18</v>
      </c>
      <c r="H382" s="23" t="s">
        <v>213</v>
      </c>
      <c r="I382" s="2">
        <v>44813.461712962962</v>
      </c>
      <c r="J382" s="24">
        <f>MONTH(Tabla1[[#This Row],[Publicación]])</f>
        <v>9</v>
      </c>
      <c r="K382" s="24">
        <f>YEAR(Tabla1[[#This Row],[Publicación]])</f>
        <v>2022</v>
      </c>
      <c r="L382" s="2">
        <v>44825.416666666664</v>
      </c>
      <c r="M382" s="26">
        <v>44817</v>
      </c>
      <c r="N382" s="25" t="s">
        <v>10</v>
      </c>
      <c r="O382" s="24" t="s">
        <v>25</v>
      </c>
      <c r="P382" s="24" t="s">
        <v>10</v>
      </c>
      <c r="Q382" s="2">
        <v>44818.416666666664</v>
      </c>
      <c r="R382" s="2">
        <v>44819.583333333336</v>
      </c>
      <c r="S382" s="26">
        <v>44834.666666666664</v>
      </c>
      <c r="T382" s="28">
        <v>0</v>
      </c>
      <c r="U382" s="28">
        <f>Tabla1[[#This Row],[PPTO]]/(1+'Lista Datos'!$B$1)</f>
        <v>0</v>
      </c>
      <c r="V382" s="23"/>
      <c r="W382" s="18" t="s">
        <v>10</v>
      </c>
      <c r="X382" s="102"/>
      <c r="Y382" s="18" t="s">
        <v>146</v>
      </c>
      <c r="Z382" s="18" t="s">
        <v>10</v>
      </c>
      <c r="AA382" s="23"/>
      <c r="AB382" s="23"/>
      <c r="AC382" s="23"/>
      <c r="AD382" s="23"/>
      <c r="AE382" s="29">
        <f>Tabla1[[#This Row],[Cierre]]+Tabla1[[#This Row],[Vigencia Oferta (días)]]</f>
        <v>44825.416666666664</v>
      </c>
      <c r="AF382" s="87"/>
      <c r="AG382" s="28"/>
      <c r="AH382" s="164">
        <f>Tabla1[[#This Row],[Unidades2]]*Tabla1[[#This Row],[Precio Unitario]]</f>
        <v>0</v>
      </c>
      <c r="AI382" s="23" t="s">
        <v>44</v>
      </c>
      <c r="AJ382" s="26">
        <v>44840</v>
      </c>
      <c r="AK382" s="172">
        <f>Tabla1[[#This Row],[Fecha Vigencia]]-AJ382</f>
        <v>-14.583333333335759</v>
      </c>
      <c r="AL382" s="23" t="s">
        <v>46</v>
      </c>
      <c r="AM382" s="87">
        <v>1198000</v>
      </c>
      <c r="AN382" s="23"/>
      <c r="AO382" s="29"/>
      <c r="AP382" s="23" t="s">
        <v>292</v>
      </c>
      <c r="AQ382" s="34" t="s">
        <v>2142</v>
      </c>
      <c r="AR382" s="23" t="s">
        <v>10</v>
      </c>
      <c r="AS382" s="23"/>
      <c r="AT382" s="23"/>
      <c r="AU382" s="23"/>
      <c r="AV382" s="23"/>
      <c r="AW382" s="23" t="s">
        <v>2143</v>
      </c>
      <c r="AX382" t="s">
        <v>2144</v>
      </c>
      <c r="AY382" s="23"/>
      <c r="AZ382" s="23"/>
      <c r="BA382" s="23"/>
      <c r="BB382" s="32"/>
      <c r="BC382" s="73"/>
    </row>
    <row r="383" spans="1:55" x14ac:dyDescent="0.25">
      <c r="A383" s="22" t="s">
        <v>2145</v>
      </c>
      <c r="B383" s="23" t="s">
        <v>2146</v>
      </c>
      <c r="C383" s="23" t="s">
        <v>2147</v>
      </c>
      <c r="D383" s="34" t="s">
        <v>331</v>
      </c>
      <c r="E383" s="24"/>
      <c r="F383" s="25"/>
      <c r="G383" s="23" t="s">
        <v>16</v>
      </c>
      <c r="H383" s="23" t="s">
        <v>778</v>
      </c>
      <c r="I383" s="2">
        <v>44816.593888888892</v>
      </c>
      <c r="J383" s="24">
        <f>MONTH(Tabla1[[#This Row],[Publicación]])</f>
        <v>9</v>
      </c>
      <c r="K383" s="24">
        <f>YEAR(Tabla1[[#This Row],[Publicación]])</f>
        <v>2022</v>
      </c>
      <c r="L383" s="2">
        <v>44837.625</v>
      </c>
      <c r="M383" s="26">
        <v>44817</v>
      </c>
      <c r="N383" s="25" t="s">
        <v>11</v>
      </c>
      <c r="O383" s="24"/>
      <c r="P383" s="24" t="s">
        <v>11</v>
      </c>
      <c r="Q383" s="2">
        <v>44826.625</v>
      </c>
      <c r="R383" s="2">
        <v>44828.75</v>
      </c>
      <c r="S383" s="26">
        <v>44900.625</v>
      </c>
      <c r="T383" s="28">
        <v>0</v>
      </c>
      <c r="U383" s="28">
        <f>Tabla1[[#This Row],[PPTO]]/(1+'Lista Datos'!$B$1)</f>
        <v>0</v>
      </c>
      <c r="V383" s="23"/>
      <c r="W383" s="18" t="s">
        <v>10</v>
      </c>
      <c r="X383" s="102"/>
      <c r="Y383" s="18" t="s">
        <v>146</v>
      </c>
      <c r="Z383" s="18" t="s">
        <v>10</v>
      </c>
      <c r="AA383" s="23" t="s">
        <v>177</v>
      </c>
      <c r="AB383" s="23">
        <v>14</v>
      </c>
      <c r="AC383" s="23" t="s">
        <v>10</v>
      </c>
      <c r="AD383" s="23"/>
      <c r="AE383" s="29">
        <f>Tabla1[[#This Row],[Cierre]]+Tabla1[[#This Row],[Vigencia Oferta (días)]]</f>
        <v>44837.625</v>
      </c>
      <c r="AF383" s="87"/>
      <c r="AG383" s="28"/>
      <c r="AH383" s="164">
        <f>Tabla1[[#This Row],[Unidades2]]*Tabla1[[#This Row],[Precio Unitario]]</f>
        <v>0</v>
      </c>
      <c r="AI383" s="23" t="s">
        <v>44</v>
      </c>
      <c r="AJ383" s="26">
        <v>44902</v>
      </c>
      <c r="AK383" s="172">
        <f>Tabla1[[#This Row],[Fecha Vigencia]]-AJ383</f>
        <v>-64.375</v>
      </c>
      <c r="AL383" s="23" t="s">
        <v>45</v>
      </c>
      <c r="AM383" s="87">
        <v>36307124</v>
      </c>
      <c r="AN383" s="29">
        <v>44902</v>
      </c>
      <c r="AO383" s="29">
        <v>45329</v>
      </c>
      <c r="AP383" s="23" t="s">
        <v>177</v>
      </c>
      <c r="AQ383" s="34" t="s">
        <v>332</v>
      </c>
      <c r="AR383" s="23" t="s">
        <v>11</v>
      </c>
      <c r="AS383" s="33">
        <v>0.05</v>
      </c>
      <c r="AT383" s="29">
        <v>45471</v>
      </c>
      <c r="AU383" s="23"/>
      <c r="AV383" s="23"/>
      <c r="AW383" s="23" t="s">
        <v>1591</v>
      </c>
      <c r="AX383" t="s">
        <v>2148</v>
      </c>
      <c r="AY383" s="23"/>
      <c r="AZ383" s="23"/>
      <c r="BA383" s="23"/>
      <c r="BB383" s="32"/>
      <c r="BC383" s="73"/>
    </row>
    <row r="384" spans="1:55" x14ac:dyDescent="0.25">
      <c r="A384" s="22" t="s">
        <v>2149</v>
      </c>
      <c r="B384" s="23" t="s">
        <v>2150</v>
      </c>
      <c r="C384" s="23" t="s">
        <v>2151</v>
      </c>
      <c r="D384" s="34" t="s">
        <v>1843</v>
      </c>
      <c r="E384" s="24"/>
      <c r="F384" s="25"/>
      <c r="G384" s="23" t="s">
        <v>18</v>
      </c>
      <c r="H384" s="23" t="s">
        <v>213</v>
      </c>
      <c r="I384" s="2">
        <v>44816.728344907409</v>
      </c>
      <c r="J384" s="24">
        <f>MONTH(Tabla1[[#This Row],[Publicación]])</f>
        <v>9</v>
      </c>
      <c r="K384" s="24">
        <f>YEAR(Tabla1[[#This Row],[Publicación]])</f>
        <v>2022</v>
      </c>
      <c r="L384" s="2">
        <v>44831.625694444447</v>
      </c>
      <c r="M384" s="26">
        <v>44819</v>
      </c>
      <c r="N384" s="25" t="s">
        <v>10</v>
      </c>
      <c r="O384" s="24" t="s">
        <v>25</v>
      </c>
      <c r="P384" s="24" t="s">
        <v>10</v>
      </c>
      <c r="Q384" s="2">
        <v>44824.666666666664</v>
      </c>
      <c r="R384" s="2">
        <v>44827.791666666664</v>
      </c>
      <c r="S384" s="26">
        <v>44861.646527777775</v>
      </c>
      <c r="T384" s="28">
        <v>0</v>
      </c>
      <c r="U384" s="28">
        <f>Tabla1[[#This Row],[PPTO]]/(1+'Lista Datos'!$B$1)</f>
        <v>0</v>
      </c>
      <c r="V384" s="23"/>
      <c r="W384" s="18" t="s">
        <v>10</v>
      </c>
      <c r="X384" s="102"/>
      <c r="Y384" s="18" t="s">
        <v>146</v>
      </c>
      <c r="Z384" s="18" t="s">
        <v>10</v>
      </c>
      <c r="AA384" s="23"/>
      <c r="AB384" s="23"/>
      <c r="AC384" s="23"/>
      <c r="AD384" s="23"/>
      <c r="AE384" s="29">
        <f>Tabla1[[#This Row],[Cierre]]+Tabla1[[#This Row],[Vigencia Oferta (días)]]</f>
        <v>44831.625694444447</v>
      </c>
      <c r="AF384" s="87"/>
      <c r="AG384" s="28"/>
      <c r="AH384" s="164">
        <f>Tabla1[[#This Row],[Unidades2]]*Tabla1[[#This Row],[Precio Unitario]]</f>
        <v>0</v>
      </c>
      <c r="AI384" s="23" t="s">
        <v>44</v>
      </c>
      <c r="AJ384" s="26">
        <v>44855</v>
      </c>
      <c r="AK384" s="172">
        <f>Tabla1[[#This Row],[Fecha Vigencia]]-AJ384</f>
        <v>-23.374305555553292</v>
      </c>
      <c r="AL384" s="23" t="s">
        <v>46</v>
      </c>
      <c r="AM384" s="87">
        <v>20665080</v>
      </c>
      <c r="AN384" s="23"/>
      <c r="AO384" s="29"/>
      <c r="AP384" s="23" t="s">
        <v>292</v>
      </c>
      <c r="AQ384" s="34" t="s">
        <v>1844</v>
      </c>
      <c r="AR384" s="23" t="s">
        <v>10</v>
      </c>
      <c r="AS384" s="23"/>
      <c r="AT384" s="23"/>
      <c r="AU384" s="23"/>
      <c r="AV384" s="23"/>
      <c r="AW384" s="23" t="s">
        <v>1845</v>
      </c>
      <c r="AX384" t="s">
        <v>1846</v>
      </c>
      <c r="AY384" s="23"/>
      <c r="AZ384" s="23"/>
      <c r="BA384" s="23"/>
      <c r="BB384" s="32"/>
      <c r="BC384" s="73"/>
    </row>
    <row r="385" spans="1:55" x14ac:dyDescent="0.25">
      <c r="A385" s="22" t="s">
        <v>2152</v>
      </c>
      <c r="B385" s="23" t="s">
        <v>2153</v>
      </c>
      <c r="C385" s="23" t="s">
        <v>2154</v>
      </c>
      <c r="D385" s="34" t="s">
        <v>1898</v>
      </c>
      <c r="E385" s="24"/>
      <c r="F385" s="25"/>
      <c r="G385" s="23" t="s">
        <v>18</v>
      </c>
      <c r="H385" s="23" t="s">
        <v>213</v>
      </c>
      <c r="I385" s="2">
        <v>44817.417754629627</v>
      </c>
      <c r="J385" s="24">
        <f>MONTH(Tabla1[[#This Row],[Publicación]])</f>
        <v>9</v>
      </c>
      <c r="K385" s="24">
        <f>YEAR(Tabla1[[#This Row],[Publicación]])</f>
        <v>2022</v>
      </c>
      <c r="L385" s="2">
        <v>44838.5</v>
      </c>
      <c r="M385" s="26">
        <v>44824</v>
      </c>
      <c r="N385" s="25" t="s">
        <v>10</v>
      </c>
      <c r="O385" s="24" t="s">
        <v>29</v>
      </c>
      <c r="P385" s="24" t="s">
        <v>10</v>
      </c>
      <c r="Q385" s="2">
        <v>44827.583333333336</v>
      </c>
      <c r="R385" s="2">
        <v>44832.666666666664</v>
      </c>
      <c r="S385" s="26">
        <v>44869.708333333336</v>
      </c>
      <c r="T385" s="28">
        <v>0</v>
      </c>
      <c r="U385" s="28">
        <f>Tabla1[[#This Row],[PPTO]]/(1+'Lista Datos'!$B$1)</f>
        <v>0</v>
      </c>
      <c r="V385" s="23"/>
      <c r="W385" s="18" t="s">
        <v>11</v>
      </c>
      <c r="X385" s="102">
        <v>500000</v>
      </c>
      <c r="Y385" s="26">
        <v>44988</v>
      </c>
      <c r="Z385" s="18" t="s">
        <v>11</v>
      </c>
      <c r="AA385" s="23"/>
      <c r="AB385" s="23"/>
      <c r="AC385" s="23"/>
      <c r="AD385" s="23"/>
      <c r="AE385" s="29">
        <f>Tabla1[[#This Row],[Cierre]]+Tabla1[[#This Row],[Vigencia Oferta (días)]]</f>
        <v>44838.5</v>
      </c>
      <c r="AF385" s="87"/>
      <c r="AG385" s="28"/>
      <c r="AH385" s="164">
        <f>Tabla1[[#This Row],[Unidades2]]*Tabla1[[#This Row],[Precio Unitario]]</f>
        <v>0</v>
      </c>
      <c r="AI385" s="23" t="s">
        <v>44</v>
      </c>
      <c r="AJ385" s="26">
        <v>44915</v>
      </c>
      <c r="AK385" s="172">
        <f>Tabla1[[#This Row],[Fecha Vigencia]]-AJ385</f>
        <v>-76.5</v>
      </c>
      <c r="AL385" s="23" t="s">
        <v>46</v>
      </c>
      <c r="AM385" s="87">
        <v>243143438</v>
      </c>
      <c r="AN385" s="23"/>
      <c r="AO385" s="29"/>
      <c r="AP385" s="23" t="s">
        <v>177</v>
      </c>
      <c r="AQ385" s="34" t="s">
        <v>1899</v>
      </c>
      <c r="AR385" s="23" t="s">
        <v>11</v>
      </c>
      <c r="AS385" s="33">
        <v>0.05</v>
      </c>
      <c r="AT385" s="29">
        <v>46082</v>
      </c>
      <c r="AU385" s="23"/>
      <c r="AV385" s="23"/>
      <c r="AW385" s="23" t="s">
        <v>1900</v>
      </c>
      <c r="AX385" t="s">
        <v>1901</v>
      </c>
      <c r="AY385" s="23"/>
      <c r="AZ385" s="23"/>
      <c r="BA385" s="23"/>
      <c r="BB385" s="32"/>
      <c r="BC385" s="73"/>
    </row>
    <row r="386" spans="1:55" x14ac:dyDescent="0.25">
      <c r="A386" s="22" t="s">
        <v>2155</v>
      </c>
      <c r="B386" s="23" t="s">
        <v>2156</v>
      </c>
      <c r="C386" s="23" t="s">
        <v>2157</v>
      </c>
      <c r="D386" s="34" t="s">
        <v>344</v>
      </c>
      <c r="E386" s="24"/>
      <c r="F386" s="25"/>
      <c r="G386" s="23" t="s">
        <v>16</v>
      </c>
      <c r="H386" s="23" t="s">
        <v>345</v>
      </c>
      <c r="I386" s="2">
        <v>44818.500532407408</v>
      </c>
      <c r="J386" s="24">
        <f>MONTH(Tabla1[[#This Row],[Publicación]])</f>
        <v>9</v>
      </c>
      <c r="K386" s="24">
        <f>YEAR(Tabla1[[#This Row],[Publicación]])</f>
        <v>2022</v>
      </c>
      <c r="L386" s="2">
        <v>44831.708333333336</v>
      </c>
      <c r="M386" s="26">
        <v>44824</v>
      </c>
      <c r="N386" s="25" t="s">
        <v>10</v>
      </c>
      <c r="O386" s="24" t="s">
        <v>29</v>
      </c>
      <c r="P386" s="24" t="s">
        <v>10</v>
      </c>
      <c r="Q386" s="2">
        <v>44824.833333333336</v>
      </c>
      <c r="R386" s="2">
        <v>44826.708333333336</v>
      </c>
      <c r="S386" s="26">
        <v>44862.708333333336</v>
      </c>
      <c r="T386" s="27">
        <v>0</v>
      </c>
      <c r="U386" s="28">
        <f>Tabla1[[#This Row],[PPTO]]/(1+'Lista Datos'!$B$1)</f>
        <v>0</v>
      </c>
      <c r="V386" s="23"/>
      <c r="W386" s="18" t="s">
        <v>11</v>
      </c>
      <c r="X386" s="102">
        <v>50000</v>
      </c>
      <c r="Y386" s="26">
        <v>44957</v>
      </c>
      <c r="Z386" s="18" t="s">
        <v>10</v>
      </c>
      <c r="AA386" s="23"/>
      <c r="AB386" s="23"/>
      <c r="AC386" s="23"/>
      <c r="AD386" s="23"/>
      <c r="AE386" s="29">
        <f>Tabla1[[#This Row],[Cierre]]+Tabla1[[#This Row],[Vigencia Oferta (días)]]</f>
        <v>44831.708333333336</v>
      </c>
      <c r="AF386" s="87"/>
      <c r="AG386" s="28"/>
      <c r="AH386" s="164">
        <f>Tabla1[[#This Row],[Unidades2]]*Tabla1[[#This Row],[Precio Unitario]]</f>
        <v>0</v>
      </c>
      <c r="AI386" s="23" t="s">
        <v>44</v>
      </c>
      <c r="AJ386" s="26">
        <v>44872</v>
      </c>
      <c r="AK386" s="172">
        <f>Tabla1[[#This Row],[Fecha Vigencia]]-AJ386</f>
        <v>-40.291666666664241</v>
      </c>
      <c r="AL386" s="23" t="s">
        <v>46</v>
      </c>
      <c r="AM386" s="87">
        <v>49935</v>
      </c>
      <c r="AN386" s="23"/>
      <c r="AO386" s="29"/>
      <c r="AP386" s="23" t="s">
        <v>177</v>
      </c>
      <c r="AQ386" s="34" t="s">
        <v>346</v>
      </c>
      <c r="AR386" s="23" t="s">
        <v>11</v>
      </c>
      <c r="AS386" s="33">
        <v>0.05</v>
      </c>
      <c r="AT386" s="29">
        <v>45716</v>
      </c>
      <c r="AU386" s="23"/>
      <c r="AV386" s="23"/>
      <c r="AW386" s="23" t="s">
        <v>2158</v>
      </c>
      <c r="AX386" t="s">
        <v>1833</v>
      </c>
      <c r="AY386" s="23"/>
      <c r="AZ386" s="23"/>
      <c r="BA386" s="23"/>
      <c r="BB386" s="32"/>
      <c r="BC386" s="73"/>
    </row>
    <row r="387" spans="1:55" x14ac:dyDescent="0.25">
      <c r="A387" s="22" t="s">
        <v>2159</v>
      </c>
      <c r="B387" s="23" t="s">
        <v>2160</v>
      </c>
      <c r="C387" s="23" t="s">
        <v>2161</v>
      </c>
      <c r="D387" s="34" t="s">
        <v>378</v>
      </c>
      <c r="E387" s="24"/>
      <c r="F387" s="25"/>
      <c r="G387" s="23" t="s">
        <v>21</v>
      </c>
      <c r="H387" s="23" t="s">
        <v>106</v>
      </c>
      <c r="I387" s="2">
        <v>44818.817673611113</v>
      </c>
      <c r="J387" s="24">
        <f>MONTH(Tabla1[[#This Row],[Publicación]])</f>
        <v>9</v>
      </c>
      <c r="K387" s="24">
        <f>YEAR(Tabla1[[#This Row],[Publicación]])</f>
        <v>2022</v>
      </c>
      <c r="L387" s="2">
        <v>44838.666666666664</v>
      </c>
      <c r="M387" s="26">
        <v>44824</v>
      </c>
      <c r="N387" s="25" t="s">
        <v>11</v>
      </c>
      <c r="O387" s="24"/>
      <c r="P387" s="24" t="s">
        <v>11</v>
      </c>
      <c r="Q387" s="2">
        <v>44826.625</v>
      </c>
      <c r="R387" s="2">
        <v>44831.625</v>
      </c>
      <c r="S387" s="26">
        <v>44900.666666666664</v>
      </c>
      <c r="T387" s="28">
        <v>169638000</v>
      </c>
      <c r="U387" s="28">
        <f>Tabla1[[#This Row],[PPTO]]/(1+'Lista Datos'!$B$1)</f>
        <v>142552941.17647061</v>
      </c>
      <c r="V387" s="23">
        <v>30</v>
      </c>
      <c r="W387" s="18" t="s">
        <v>11</v>
      </c>
      <c r="X387" s="102">
        <v>2000000</v>
      </c>
      <c r="Y387" s="26">
        <v>44928</v>
      </c>
      <c r="Z387" s="18" t="s">
        <v>10</v>
      </c>
      <c r="AA387" s="23" t="s">
        <v>177</v>
      </c>
      <c r="AB387" s="23">
        <v>24</v>
      </c>
      <c r="AC387" s="23" t="s">
        <v>10</v>
      </c>
      <c r="AD387" s="23">
        <v>120</v>
      </c>
      <c r="AE387" s="29">
        <f>Tabla1[[#This Row],[Cierre]]+Tabla1[[#This Row],[Vigencia Oferta (días)]]</f>
        <v>44958.666666666664</v>
      </c>
      <c r="AF387" s="87">
        <v>49</v>
      </c>
      <c r="AG387" s="28">
        <v>2599639</v>
      </c>
      <c r="AH387" s="164">
        <f>Tabla1[[#This Row],[Unidades2]]*Tabla1[[#This Row],[Precio Unitario]]</f>
        <v>127382311</v>
      </c>
      <c r="AI387" s="23" t="s">
        <v>44</v>
      </c>
      <c r="AJ387" s="26">
        <v>44855</v>
      </c>
      <c r="AK387" s="172">
        <f>Tabla1[[#This Row],[Fecha Vigencia]]-AJ387</f>
        <v>103.66666666666424</v>
      </c>
      <c r="AL387" s="23" t="s">
        <v>46</v>
      </c>
      <c r="AM387" s="87">
        <v>2590000</v>
      </c>
      <c r="AN387" s="23"/>
      <c r="AO387" s="29"/>
      <c r="AP387" s="23" t="s">
        <v>177</v>
      </c>
      <c r="AQ387" s="34" t="s">
        <v>379</v>
      </c>
      <c r="AR387" s="23" t="s">
        <v>11</v>
      </c>
      <c r="AS387" s="33">
        <v>0.1</v>
      </c>
      <c r="AT387" s="29">
        <v>46387</v>
      </c>
      <c r="AU387" s="23"/>
      <c r="AV387" s="23"/>
      <c r="AW387" s="23" t="s">
        <v>2162</v>
      </c>
      <c r="AX387" t="s">
        <v>381</v>
      </c>
      <c r="AY387" s="23"/>
      <c r="AZ387" s="23"/>
      <c r="BA387" s="23"/>
      <c r="BB387" s="32"/>
      <c r="BC387" s="73"/>
    </row>
    <row r="388" spans="1:55" x14ac:dyDescent="0.25">
      <c r="A388" s="22" t="s">
        <v>2163</v>
      </c>
      <c r="B388" s="23" t="s">
        <v>2164</v>
      </c>
      <c r="C388" s="23" t="s">
        <v>2165</v>
      </c>
      <c r="D388" s="34" t="s">
        <v>153</v>
      </c>
      <c r="E388" s="24"/>
      <c r="F388" s="25"/>
      <c r="G388" s="23" t="s">
        <v>16</v>
      </c>
      <c r="H388" s="23" t="s">
        <v>145</v>
      </c>
      <c r="I388" s="2">
        <v>44819.54105324074</v>
      </c>
      <c r="J388" s="24">
        <f>MONTH(Tabla1[[#This Row],[Publicación]])</f>
        <v>9</v>
      </c>
      <c r="K388" s="24">
        <f>YEAR(Tabla1[[#This Row],[Publicación]])</f>
        <v>2022</v>
      </c>
      <c r="L388" s="2">
        <v>44839.509722222225</v>
      </c>
      <c r="M388" s="26">
        <v>44824</v>
      </c>
      <c r="N388" s="25" t="s">
        <v>11</v>
      </c>
      <c r="O388" s="24"/>
      <c r="P388" s="24" t="s">
        <v>11</v>
      </c>
      <c r="Q388" s="2">
        <v>44830.68472222222</v>
      </c>
      <c r="R388" s="2">
        <v>44834.68472222222</v>
      </c>
      <c r="S388" s="26">
        <v>44930.510416666664</v>
      </c>
      <c r="T388" s="28">
        <v>0</v>
      </c>
      <c r="U388" s="28">
        <f>Tabla1[[#This Row],[PPTO]]/(1+'Lista Datos'!$B$1)</f>
        <v>0</v>
      </c>
      <c r="V388" s="23"/>
      <c r="W388" s="18" t="s">
        <v>11</v>
      </c>
      <c r="X388" s="102">
        <v>200000</v>
      </c>
      <c r="Y388" s="26">
        <v>44932</v>
      </c>
      <c r="Z388" s="18" t="s">
        <v>10</v>
      </c>
      <c r="AA388" s="23" t="s">
        <v>177</v>
      </c>
      <c r="AB388" s="23">
        <v>24</v>
      </c>
      <c r="AC388" s="23" t="s">
        <v>10</v>
      </c>
      <c r="AD388" s="23"/>
      <c r="AE388" s="29">
        <f>Tabla1[[#This Row],[Cierre]]+Tabla1[[#This Row],[Vigencia Oferta (días)]]</f>
        <v>44839.509722222225</v>
      </c>
      <c r="AF388" s="87"/>
      <c r="AG388" s="28"/>
      <c r="AH388" s="164">
        <f>Tabla1[[#This Row],[Unidades2]]*Tabla1[[#This Row],[Precio Unitario]]</f>
        <v>0</v>
      </c>
      <c r="AI388" s="23" t="s">
        <v>44</v>
      </c>
      <c r="AJ388" s="26">
        <v>44883</v>
      </c>
      <c r="AK388" s="172">
        <f>Tabla1[[#This Row],[Fecha Vigencia]]-AJ388</f>
        <v>-43.490277777775191</v>
      </c>
      <c r="AL388" s="23" t="s">
        <v>45</v>
      </c>
      <c r="AM388" s="87">
        <v>77846034</v>
      </c>
      <c r="AN388" s="29">
        <v>44883</v>
      </c>
      <c r="AO388" s="29">
        <v>45614</v>
      </c>
      <c r="AP388" s="23" t="s">
        <v>177</v>
      </c>
      <c r="AQ388" s="34" t="s">
        <v>154</v>
      </c>
      <c r="AR388" s="23" t="s">
        <v>11</v>
      </c>
      <c r="AS388" s="33">
        <v>0.1</v>
      </c>
      <c r="AT388" s="29">
        <v>45754</v>
      </c>
      <c r="AU388" s="23"/>
      <c r="AV388" s="23"/>
      <c r="AW388" s="23" t="s">
        <v>155</v>
      </c>
      <c r="AX388" t="s">
        <v>156</v>
      </c>
      <c r="AY388" s="23"/>
      <c r="AZ388" s="23"/>
      <c r="BA388" s="23"/>
      <c r="BB388" s="32"/>
      <c r="BC388" s="73"/>
    </row>
    <row r="389" spans="1:55" x14ac:dyDescent="0.25">
      <c r="A389" s="22" t="s">
        <v>2166</v>
      </c>
      <c r="B389" s="23" t="s">
        <v>2167</v>
      </c>
      <c r="C389" s="23" t="s">
        <v>2168</v>
      </c>
      <c r="D389" s="34" t="s">
        <v>198</v>
      </c>
      <c r="E389" s="24"/>
      <c r="F389" s="25"/>
      <c r="G389" s="23" t="s">
        <v>21</v>
      </c>
      <c r="H389" s="23" t="s">
        <v>106</v>
      </c>
      <c r="I389" s="2">
        <v>44827.700069444443</v>
      </c>
      <c r="J389" s="24">
        <f>MONTH(Tabla1[[#This Row],[Publicación]])</f>
        <v>9</v>
      </c>
      <c r="K389" s="24">
        <f>YEAR(Tabla1[[#This Row],[Publicación]])</f>
        <v>2022</v>
      </c>
      <c r="L389" s="2">
        <v>44838.5</v>
      </c>
      <c r="M389" s="26">
        <v>44830</v>
      </c>
      <c r="N389" s="25" t="s">
        <v>11</v>
      </c>
      <c r="O389" s="24"/>
      <c r="P389" s="24" t="s">
        <v>11</v>
      </c>
      <c r="Q389" s="2">
        <v>44832.5</v>
      </c>
      <c r="R389" s="2">
        <v>44834.75</v>
      </c>
      <c r="S389" s="26">
        <v>44862.5</v>
      </c>
      <c r="T389" s="28">
        <v>131556000</v>
      </c>
      <c r="U389" s="28">
        <f>Tabla1[[#This Row],[PPTO]]/(1+'Lista Datos'!$B$1)</f>
        <v>110551260.50420168</v>
      </c>
      <c r="V389" s="23">
        <v>30</v>
      </c>
      <c r="W389" s="18" t="s">
        <v>11</v>
      </c>
      <c r="X389" s="102">
        <v>200000</v>
      </c>
      <c r="Y389" s="26">
        <v>44988</v>
      </c>
      <c r="Z389" s="18" t="s">
        <v>10</v>
      </c>
      <c r="AA389" s="23" t="s">
        <v>177</v>
      </c>
      <c r="AB389" s="23">
        <v>24</v>
      </c>
      <c r="AC389" s="23" t="s">
        <v>10</v>
      </c>
      <c r="AD389" s="23"/>
      <c r="AE389" s="29">
        <f>Tabla1[[#This Row],[Cierre]]+Tabla1[[#This Row],[Vigencia Oferta (días)]]</f>
        <v>44838.5</v>
      </c>
      <c r="AF389" s="87">
        <v>38</v>
      </c>
      <c r="AG389" s="28">
        <v>2599639</v>
      </c>
      <c r="AH389" s="164">
        <f>Tabla1[[#This Row],[Unidades2]]*Tabla1[[#This Row],[Precio Unitario]]</f>
        <v>98786282</v>
      </c>
      <c r="AI389" s="23" t="s">
        <v>137</v>
      </c>
      <c r="AJ389" s="26">
        <v>44860</v>
      </c>
      <c r="AK389" s="172">
        <f>Tabla1[[#This Row],[Fecha Vigencia]]-AJ389</f>
        <v>-21.5</v>
      </c>
      <c r="AL389" s="23"/>
      <c r="AM389" s="87"/>
      <c r="AN389" s="23"/>
      <c r="AO389" s="29"/>
      <c r="AP389" s="23" t="s">
        <v>177</v>
      </c>
      <c r="AQ389" s="34" t="s">
        <v>199</v>
      </c>
      <c r="AR389" s="23" t="s">
        <v>11</v>
      </c>
      <c r="AS389" s="33">
        <v>0.1</v>
      </c>
      <c r="AT389" s="29">
        <v>45042</v>
      </c>
      <c r="AU389" s="23"/>
      <c r="AV389" s="23"/>
      <c r="AW389" s="23" t="s">
        <v>2169</v>
      </c>
      <c r="AX389" t="s">
        <v>201</v>
      </c>
      <c r="AY389" s="23"/>
      <c r="AZ389" s="23"/>
      <c r="BA389" s="23"/>
      <c r="BB389" s="32"/>
      <c r="BC389" s="73"/>
    </row>
    <row r="390" spans="1:55" x14ac:dyDescent="0.25">
      <c r="A390" s="22" t="s">
        <v>2170</v>
      </c>
      <c r="B390" s="23" t="s">
        <v>2171</v>
      </c>
      <c r="C390" s="23" t="s">
        <v>2172</v>
      </c>
      <c r="D390" s="34" t="s">
        <v>2173</v>
      </c>
      <c r="E390" s="24"/>
      <c r="F390" s="25"/>
      <c r="G390" s="23" t="s">
        <v>21</v>
      </c>
      <c r="H390" s="23" t="s">
        <v>106</v>
      </c>
      <c r="I390" s="2">
        <v>44830.482025462959</v>
      </c>
      <c r="J390" s="24">
        <f>MONTH(Tabla1[[#This Row],[Publicación]])</f>
        <v>9</v>
      </c>
      <c r="K390" s="24">
        <f>YEAR(Tabla1[[#This Row],[Publicación]])</f>
        <v>2022</v>
      </c>
      <c r="L390" s="2">
        <v>44860.625694444447</v>
      </c>
      <c r="M390" s="26">
        <v>44830</v>
      </c>
      <c r="N390" s="25" t="s">
        <v>11</v>
      </c>
      <c r="O390" s="24"/>
      <c r="P390" s="24" t="s">
        <v>11</v>
      </c>
      <c r="Q390" s="2">
        <v>44840.666666666664</v>
      </c>
      <c r="R390" s="2">
        <v>44846.791666666664</v>
      </c>
      <c r="S390" s="26">
        <v>44914.75</v>
      </c>
      <c r="T390" s="28">
        <v>463908000</v>
      </c>
      <c r="U390" s="28">
        <f>Tabla1[[#This Row],[PPTO]]/(1+'Lista Datos'!$B$1)</f>
        <v>389838655.46218491</v>
      </c>
      <c r="V390" s="23">
        <v>30</v>
      </c>
      <c r="W390" s="18" t="s">
        <v>11</v>
      </c>
      <c r="X390" s="102">
        <v>1000000</v>
      </c>
      <c r="Y390" s="26">
        <v>44960</v>
      </c>
      <c r="Z390" s="18" t="s">
        <v>10</v>
      </c>
      <c r="AA390" s="23" t="s">
        <v>177</v>
      </c>
      <c r="AB390" s="23">
        <v>24</v>
      </c>
      <c r="AC390" s="23" t="s">
        <v>10</v>
      </c>
      <c r="AD390" s="23">
        <v>150</v>
      </c>
      <c r="AE390" s="29">
        <f>Tabla1[[#This Row],[Cierre]]+Tabla1[[#This Row],[Vigencia Oferta (días)]]</f>
        <v>45010.625694444447</v>
      </c>
      <c r="AF390" s="87"/>
      <c r="AG390" s="28"/>
      <c r="AH390" s="164">
        <f>Tabla1[[#This Row],[Unidades2]]*Tabla1[[#This Row],[Precio Unitario]]</f>
        <v>0</v>
      </c>
      <c r="AI390" s="23" t="s">
        <v>44</v>
      </c>
      <c r="AJ390" s="26">
        <v>44915</v>
      </c>
      <c r="AK390" s="172">
        <f>Tabla1[[#This Row],[Fecha Vigencia]]-AJ390</f>
        <v>95.625694444446708</v>
      </c>
      <c r="AL390" s="23" t="s">
        <v>45</v>
      </c>
      <c r="AM390" s="87">
        <v>2138900</v>
      </c>
      <c r="AN390" s="23"/>
      <c r="AO390" s="29"/>
      <c r="AP390" s="23"/>
      <c r="AQ390" s="34" t="s">
        <v>2174</v>
      </c>
      <c r="AR390" s="23" t="s">
        <v>11</v>
      </c>
      <c r="AS390" s="33">
        <v>0.1</v>
      </c>
      <c r="AT390" s="29">
        <v>45751</v>
      </c>
      <c r="AU390" s="23"/>
      <c r="AV390" s="23"/>
      <c r="AW390" s="23" t="s">
        <v>2175</v>
      </c>
      <c r="AX390" t="s">
        <v>2176</v>
      </c>
      <c r="AY390" s="23"/>
      <c r="AZ390" s="23"/>
      <c r="BA390" s="23"/>
      <c r="BB390" s="32"/>
      <c r="BC390" s="73"/>
    </row>
    <row r="391" spans="1:55" x14ac:dyDescent="0.25">
      <c r="A391" s="22" t="s">
        <v>2177</v>
      </c>
      <c r="B391" s="23" t="s">
        <v>2178</v>
      </c>
      <c r="C391" s="23" t="s">
        <v>2179</v>
      </c>
      <c r="D391" s="34" t="s">
        <v>2180</v>
      </c>
      <c r="E391" s="24"/>
      <c r="F391" s="25"/>
      <c r="G391" s="23" t="s">
        <v>21</v>
      </c>
      <c r="H391" s="23" t="s">
        <v>106</v>
      </c>
      <c r="I391" s="2">
        <v>44830.506956018522</v>
      </c>
      <c r="J391" s="24">
        <f>MONTH(Tabla1[[#This Row],[Publicación]])</f>
        <v>9</v>
      </c>
      <c r="K391" s="24">
        <f>YEAR(Tabla1[[#This Row],[Publicación]])</f>
        <v>2022</v>
      </c>
      <c r="L391" s="2">
        <v>44851.625694444447</v>
      </c>
      <c r="M391" s="26">
        <v>44830</v>
      </c>
      <c r="N391" s="25" t="s">
        <v>11</v>
      </c>
      <c r="O391" s="24"/>
      <c r="P391" s="24" t="s">
        <v>11</v>
      </c>
      <c r="Q391" s="2">
        <v>44840.625</v>
      </c>
      <c r="R391" s="2">
        <v>44841.625</v>
      </c>
      <c r="S391" s="26">
        <v>44867.626388888886</v>
      </c>
      <c r="T391" s="28">
        <v>193872000</v>
      </c>
      <c r="U391" s="28">
        <f>Tabla1[[#This Row],[PPTO]]/(1+'Lista Datos'!$B$1)</f>
        <v>162917647.05882353</v>
      </c>
      <c r="V391" s="23">
        <v>30</v>
      </c>
      <c r="W391" s="18" t="s">
        <v>11</v>
      </c>
      <c r="X391" s="102">
        <v>200000</v>
      </c>
      <c r="Y391" s="26">
        <v>44971</v>
      </c>
      <c r="Z391" s="18" t="s">
        <v>10</v>
      </c>
      <c r="AA391" s="23" t="s">
        <v>177</v>
      </c>
      <c r="AB391" s="23">
        <v>24</v>
      </c>
      <c r="AC391" s="23" t="s">
        <v>10</v>
      </c>
      <c r="AD391" s="23">
        <v>120</v>
      </c>
      <c r="AE391" s="29">
        <f>Tabla1[[#This Row],[Cierre]]+Tabla1[[#This Row],[Vigencia Oferta (días)]]</f>
        <v>44971.625694444447</v>
      </c>
      <c r="AF391" s="87">
        <v>56</v>
      </c>
      <c r="AG391" s="28"/>
      <c r="AH391" s="164">
        <f>Tabla1[[#This Row],[Unidades2]]*Tabla1[[#This Row],[Precio Unitario]]</f>
        <v>0</v>
      </c>
      <c r="AI391" s="23" t="s">
        <v>44</v>
      </c>
      <c r="AJ391" s="26">
        <v>44869</v>
      </c>
      <c r="AK391" s="172">
        <f>Tabla1[[#This Row],[Fecha Vigencia]]-AJ391</f>
        <v>102.62569444444671</v>
      </c>
      <c r="AL391" s="23" t="s">
        <v>46</v>
      </c>
      <c r="AM391" s="87">
        <v>2140000</v>
      </c>
      <c r="AN391" s="23"/>
      <c r="AO391" s="29"/>
      <c r="AP391" s="23" t="s">
        <v>177</v>
      </c>
      <c r="AQ391" s="34" t="s">
        <v>2181</v>
      </c>
      <c r="AR391" s="23" t="s">
        <v>11</v>
      </c>
      <c r="AS391" s="33">
        <v>0.1</v>
      </c>
      <c r="AT391" s="29">
        <v>45355</v>
      </c>
      <c r="AU391" s="23"/>
      <c r="AV391" s="23"/>
      <c r="AW391" s="23" t="s">
        <v>2182</v>
      </c>
      <c r="AX391" t="s">
        <v>2183</v>
      </c>
      <c r="AY391" s="23"/>
      <c r="AZ391" s="23"/>
      <c r="BA391" s="23"/>
      <c r="BB391" s="32"/>
      <c r="BC391" s="73"/>
    </row>
    <row r="392" spans="1:55" x14ac:dyDescent="0.25">
      <c r="A392" s="22" t="s">
        <v>2184</v>
      </c>
      <c r="B392" s="23" t="s">
        <v>2185</v>
      </c>
      <c r="C392" s="23" t="s">
        <v>2186</v>
      </c>
      <c r="D392" s="34" t="s">
        <v>1114</v>
      </c>
      <c r="E392" s="24"/>
      <c r="F392" s="25"/>
      <c r="G392" s="23" t="s">
        <v>16</v>
      </c>
      <c r="H392" s="23" t="s">
        <v>213</v>
      </c>
      <c r="I392" s="2">
        <v>44825.454131944447</v>
      </c>
      <c r="J392" s="24">
        <f>MONTH(Tabla1[[#This Row],[Publicación]])</f>
        <v>9</v>
      </c>
      <c r="K392" s="24">
        <f>YEAR(Tabla1[[#This Row],[Publicación]])</f>
        <v>2022</v>
      </c>
      <c r="L392" s="2">
        <v>44837.770833333336</v>
      </c>
      <c r="M392" s="26">
        <v>44831</v>
      </c>
      <c r="N392" s="25" t="s">
        <v>10</v>
      </c>
      <c r="O392" s="24" t="s">
        <v>25</v>
      </c>
      <c r="P392" s="24" t="s">
        <v>10</v>
      </c>
      <c r="Q392" s="2">
        <v>44830.770833333336</v>
      </c>
      <c r="R392" s="2">
        <v>44832.770833333336</v>
      </c>
      <c r="S392" s="26">
        <v>44868.75</v>
      </c>
      <c r="T392" s="28">
        <v>0</v>
      </c>
      <c r="U392" s="28">
        <f>Tabla1[[#This Row],[PPTO]]/(1+'Lista Datos'!$B$1)</f>
        <v>0</v>
      </c>
      <c r="V392" s="23"/>
      <c r="W392" s="18" t="s">
        <v>10</v>
      </c>
      <c r="X392" s="102"/>
      <c r="Y392" s="18" t="s">
        <v>146</v>
      </c>
      <c r="Z392" s="18" t="s">
        <v>10</v>
      </c>
      <c r="AA392" s="23"/>
      <c r="AB392" s="23"/>
      <c r="AC392" s="23"/>
      <c r="AD392" s="23"/>
      <c r="AE392" s="29">
        <f>Tabla1[[#This Row],[Cierre]]+Tabla1[[#This Row],[Vigencia Oferta (días)]]</f>
        <v>44837.770833333336</v>
      </c>
      <c r="AF392" s="87"/>
      <c r="AG392" s="28"/>
      <c r="AH392" s="164">
        <f>Tabla1[[#This Row],[Unidades2]]*Tabla1[[#This Row],[Precio Unitario]]</f>
        <v>0</v>
      </c>
      <c r="AI392" s="23" t="s">
        <v>44</v>
      </c>
      <c r="AJ392" s="26">
        <v>44852</v>
      </c>
      <c r="AK392" s="172">
        <f>Tabla1[[#This Row],[Fecha Vigencia]]-AJ392</f>
        <v>-14.229166666664241</v>
      </c>
      <c r="AL392" s="23" t="s">
        <v>46</v>
      </c>
      <c r="AM392" s="87">
        <v>11650000</v>
      </c>
      <c r="AN392" s="23"/>
      <c r="AO392" s="29"/>
      <c r="AP392" s="23" t="s">
        <v>177</v>
      </c>
      <c r="AQ392" s="34" t="s">
        <v>1910</v>
      </c>
      <c r="AR392" s="23" t="s">
        <v>10</v>
      </c>
      <c r="AS392" s="23"/>
      <c r="AT392" s="23"/>
      <c r="AU392" s="23"/>
      <c r="AV392" s="23"/>
      <c r="AW392" s="23" t="s">
        <v>1911</v>
      </c>
      <c r="AX392" t="s">
        <v>1912</v>
      </c>
      <c r="AY392" s="23"/>
      <c r="AZ392" s="23"/>
      <c r="BA392" s="23"/>
      <c r="BB392" s="32"/>
      <c r="BC392" s="73"/>
    </row>
    <row r="393" spans="1:55" x14ac:dyDescent="0.25">
      <c r="A393" s="22" t="s">
        <v>2187</v>
      </c>
      <c r="B393" s="23" t="s">
        <v>2188</v>
      </c>
      <c r="C393" s="23" t="s">
        <v>2189</v>
      </c>
      <c r="D393" s="34" t="s">
        <v>1448</v>
      </c>
      <c r="E393" s="24"/>
      <c r="F393" s="25"/>
      <c r="G393" s="23" t="s">
        <v>18</v>
      </c>
      <c r="H393" s="23" t="s">
        <v>213</v>
      </c>
      <c r="I393" s="2">
        <v>44825.521527777775</v>
      </c>
      <c r="J393" s="24">
        <f>MONTH(Tabla1[[#This Row],[Publicación]])</f>
        <v>9</v>
      </c>
      <c r="K393" s="24">
        <f>YEAR(Tabla1[[#This Row],[Publicación]])</f>
        <v>2022</v>
      </c>
      <c r="L393" s="2">
        <v>44838.709027777775</v>
      </c>
      <c r="M393" s="26">
        <v>44832</v>
      </c>
      <c r="N393" s="25" t="s">
        <v>10</v>
      </c>
      <c r="O393" s="24" t="s">
        <v>25</v>
      </c>
      <c r="P393" s="24" t="s">
        <v>10</v>
      </c>
      <c r="Q393" s="2">
        <v>44834.708333333336</v>
      </c>
      <c r="R393" s="2">
        <v>44837.708333333336</v>
      </c>
      <c r="S393" s="26">
        <v>44900.625694444447</v>
      </c>
      <c r="T393" s="27">
        <v>0</v>
      </c>
      <c r="U393" s="28">
        <f>Tabla1[[#This Row],[PPTO]]/(1+'Lista Datos'!$B$1)</f>
        <v>0</v>
      </c>
      <c r="V393" s="23"/>
      <c r="W393" s="18" t="s">
        <v>10</v>
      </c>
      <c r="X393" s="102"/>
      <c r="Y393" s="18"/>
      <c r="Z393" s="18" t="s">
        <v>11</v>
      </c>
      <c r="AA393" s="23"/>
      <c r="AB393" s="23"/>
      <c r="AC393" s="23"/>
      <c r="AD393" s="23"/>
      <c r="AE393" s="29">
        <f>Tabla1[[#This Row],[Cierre]]+Tabla1[[#This Row],[Vigencia Oferta (días)]]</f>
        <v>44838.709027777775</v>
      </c>
      <c r="AF393" s="87"/>
      <c r="AG393" s="28"/>
      <c r="AH393" s="164">
        <f>Tabla1[[#This Row],[Unidades2]]*Tabla1[[#This Row],[Precio Unitario]]</f>
        <v>0</v>
      </c>
      <c r="AI393" s="23" t="s">
        <v>44</v>
      </c>
      <c r="AJ393" s="26">
        <v>44862</v>
      </c>
      <c r="AK393" s="172">
        <f>Tabla1[[#This Row],[Fecha Vigencia]]-AJ393</f>
        <v>-23.290972222224809</v>
      </c>
      <c r="AL393" s="23" t="s">
        <v>46</v>
      </c>
      <c r="AM393" s="87">
        <v>5175752</v>
      </c>
      <c r="AN393" s="23"/>
      <c r="AO393" s="29"/>
      <c r="AP393" s="23" t="s">
        <v>292</v>
      </c>
      <c r="AQ393" s="34" t="s">
        <v>1449</v>
      </c>
      <c r="AR393" s="23" t="s">
        <v>10</v>
      </c>
      <c r="AS393" s="23"/>
      <c r="AT393" s="23"/>
      <c r="AU393" s="23"/>
      <c r="AV393" s="23"/>
      <c r="AW393" s="23" t="s">
        <v>1578</v>
      </c>
      <c r="AX393" t="s">
        <v>1451</v>
      </c>
      <c r="AY393" s="23"/>
      <c r="AZ393" s="23"/>
      <c r="BA393" s="23"/>
      <c r="BB393" s="32"/>
      <c r="BC393" s="73"/>
    </row>
    <row r="394" spans="1:55" x14ac:dyDescent="0.25">
      <c r="A394" s="22" t="s">
        <v>2190</v>
      </c>
      <c r="B394" s="23" t="s">
        <v>2191</v>
      </c>
      <c r="C394" s="23" t="s">
        <v>2192</v>
      </c>
      <c r="D394" s="34" t="s">
        <v>1429</v>
      </c>
      <c r="E394" s="24"/>
      <c r="F394" s="25"/>
      <c r="G394" s="23" t="s">
        <v>18</v>
      </c>
      <c r="H394" s="23" t="s">
        <v>213</v>
      </c>
      <c r="I394" s="2">
        <v>44830.321400462963</v>
      </c>
      <c r="J394" s="24">
        <f>MONTH(Tabla1[[#This Row],[Publicación]])</f>
        <v>9</v>
      </c>
      <c r="K394" s="24">
        <f>YEAR(Tabla1[[#This Row],[Publicación]])</f>
        <v>2022</v>
      </c>
      <c r="L394" s="2">
        <v>44851.666666666664</v>
      </c>
      <c r="M394" s="26">
        <v>44832</v>
      </c>
      <c r="N394" s="25" t="s">
        <v>10</v>
      </c>
      <c r="O394" s="24" t="s">
        <v>25</v>
      </c>
      <c r="P394" s="24" t="s">
        <v>10</v>
      </c>
      <c r="Q394" s="2">
        <v>44834.666666666664</v>
      </c>
      <c r="R394" s="2">
        <v>44840.666666666664</v>
      </c>
      <c r="S394" s="26">
        <v>44914.737500000003</v>
      </c>
      <c r="T394" s="28">
        <v>0</v>
      </c>
      <c r="U394" s="28">
        <f>Tabla1[[#This Row],[PPTO]]/(1+'Lista Datos'!$B$1)</f>
        <v>0</v>
      </c>
      <c r="V394" s="23"/>
      <c r="W394" s="18" t="s">
        <v>11</v>
      </c>
      <c r="X394" s="102">
        <v>500000</v>
      </c>
      <c r="Y394" s="26">
        <v>44924</v>
      </c>
      <c r="Z394" s="18" t="s">
        <v>11</v>
      </c>
      <c r="AA394" s="23"/>
      <c r="AB394" s="23"/>
      <c r="AC394" s="23"/>
      <c r="AD394" s="23"/>
      <c r="AE394" s="29">
        <f>Tabla1[[#This Row],[Cierre]]+Tabla1[[#This Row],[Vigencia Oferta (días)]]</f>
        <v>44851.666666666664</v>
      </c>
      <c r="AF394" s="87"/>
      <c r="AG394" s="28"/>
      <c r="AH394" s="164">
        <f>Tabla1[[#This Row],[Unidades2]]*Tabla1[[#This Row],[Precio Unitario]]</f>
        <v>0</v>
      </c>
      <c r="AI394" s="23" t="s">
        <v>385</v>
      </c>
      <c r="AJ394" s="26"/>
      <c r="AK394" s="172">
        <f>Tabla1[[#This Row],[Fecha Vigencia]]-AJ394</f>
        <v>44851.666666666664</v>
      </c>
      <c r="AL394" s="23"/>
      <c r="AM394" s="87"/>
      <c r="AN394" s="23"/>
      <c r="AO394" s="29"/>
      <c r="AP394" s="23"/>
      <c r="AQ394" s="34" t="s">
        <v>554</v>
      </c>
      <c r="AR394" s="23" t="s">
        <v>11</v>
      </c>
      <c r="AS394" s="33">
        <v>0.1</v>
      </c>
      <c r="AT394" s="29">
        <v>45835</v>
      </c>
      <c r="AU394" s="23"/>
      <c r="AV394" s="23"/>
      <c r="AW394" s="23" t="s">
        <v>1009</v>
      </c>
      <c r="AX394" t="s">
        <v>2193</v>
      </c>
      <c r="AY394" s="23"/>
      <c r="AZ394" s="23"/>
      <c r="BA394" s="23"/>
      <c r="BB394" s="32"/>
      <c r="BC394" s="73"/>
    </row>
    <row r="395" spans="1:55" x14ac:dyDescent="0.25">
      <c r="A395" s="22" t="s">
        <v>2194</v>
      </c>
      <c r="B395" s="23" t="s">
        <v>2195</v>
      </c>
      <c r="C395" s="23" t="s">
        <v>2196</v>
      </c>
      <c r="D395" s="34" t="s">
        <v>1736</v>
      </c>
      <c r="E395" s="24"/>
      <c r="F395" s="25"/>
      <c r="G395" s="23" t="s">
        <v>16</v>
      </c>
      <c r="H395" s="23" t="s">
        <v>345</v>
      </c>
      <c r="I395" s="2">
        <v>44827.554745370369</v>
      </c>
      <c r="J395" s="24">
        <f>MONTH(Tabla1[[#This Row],[Publicación]])</f>
        <v>9</v>
      </c>
      <c r="K395" s="24">
        <f>YEAR(Tabla1[[#This Row],[Publicación]])</f>
        <v>2022</v>
      </c>
      <c r="L395" s="2">
        <v>44834.524305555555</v>
      </c>
      <c r="M395" s="26">
        <v>44832</v>
      </c>
      <c r="N395" s="25" t="s">
        <v>10</v>
      </c>
      <c r="O395" s="24" t="s">
        <v>25</v>
      </c>
      <c r="P395" s="24" t="s">
        <v>10</v>
      </c>
      <c r="Q395" s="2">
        <v>44830.708333333336</v>
      </c>
      <c r="R395" s="2">
        <v>44831.708333333336</v>
      </c>
      <c r="S395" s="26">
        <v>44841.65</v>
      </c>
      <c r="T395" s="28">
        <v>0</v>
      </c>
      <c r="U395" s="28">
        <f>Tabla1[[#This Row],[PPTO]]/(1+'Lista Datos'!$B$1)</f>
        <v>0</v>
      </c>
      <c r="V395" s="23"/>
      <c r="W395" s="18" t="s">
        <v>10</v>
      </c>
      <c r="X395" s="102"/>
      <c r="Y395" s="18" t="s">
        <v>146</v>
      </c>
      <c r="Z395" s="18" t="s">
        <v>10</v>
      </c>
      <c r="AA395" s="23"/>
      <c r="AB395" s="23"/>
      <c r="AC395" s="23"/>
      <c r="AD395" s="23"/>
      <c r="AE395" s="29">
        <f>Tabla1[[#This Row],[Cierre]]+Tabla1[[#This Row],[Vigencia Oferta (días)]]</f>
        <v>44834.524305555555</v>
      </c>
      <c r="AF395" s="87"/>
      <c r="AG395" s="28"/>
      <c r="AH395" s="164">
        <f>Tabla1[[#This Row],[Unidades2]]*Tabla1[[#This Row],[Precio Unitario]]</f>
        <v>0</v>
      </c>
      <c r="AI395" s="23" t="s">
        <v>44</v>
      </c>
      <c r="AJ395" s="26">
        <v>44846</v>
      </c>
      <c r="AK395" s="172">
        <f>Tabla1[[#This Row],[Fecha Vigencia]]-AJ395</f>
        <v>-11.475694444445253</v>
      </c>
      <c r="AL395" s="23" t="s">
        <v>46</v>
      </c>
      <c r="AM395" s="87">
        <v>6590400</v>
      </c>
      <c r="AN395" s="23"/>
      <c r="AO395" s="29"/>
      <c r="AP395" s="23" t="s">
        <v>177</v>
      </c>
      <c r="AQ395" s="34" t="s">
        <v>1737</v>
      </c>
      <c r="AR395" s="23" t="s">
        <v>11</v>
      </c>
      <c r="AS395" s="33">
        <v>0.05</v>
      </c>
      <c r="AT395" s="29">
        <v>45322</v>
      </c>
      <c r="AU395" s="23"/>
      <c r="AV395" s="23"/>
      <c r="AW395" s="23" t="s">
        <v>1738</v>
      </c>
      <c r="AX395" t="s">
        <v>1739</v>
      </c>
      <c r="AY395" s="23"/>
      <c r="AZ395" s="23"/>
      <c r="BA395" s="23"/>
      <c r="BB395" s="32"/>
      <c r="BC395" s="73"/>
    </row>
    <row r="396" spans="1:55" x14ac:dyDescent="0.25">
      <c r="A396" s="22" t="s">
        <v>2197</v>
      </c>
      <c r="B396" s="23" t="s">
        <v>2198</v>
      </c>
      <c r="C396" s="23" t="s">
        <v>2199</v>
      </c>
      <c r="D396" s="34" t="s">
        <v>2200</v>
      </c>
      <c r="E396" s="24"/>
      <c r="F396" s="25"/>
      <c r="G396" s="23" t="s">
        <v>21</v>
      </c>
      <c r="H396" s="23" t="s">
        <v>106</v>
      </c>
      <c r="I396" s="2">
        <v>44831.682291666664</v>
      </c>
      <c r="J396" s="24">
        <f>MONTH(Tabla1[[#This Row],[Publicación]])</f>
        <v>9</v>
      </c>
      <c r="K396" s="24">
        <f>YEAR(Tabla1[[#This Row],[Publicación]])</f>
        <v>2022</v>
      </c>
      <c r="L396" s="2">
        <v>44851.627083333333</v>
      </c>
      <c r="M396" s="26">
        <v>44833</v>
      </c>
      <c r="N396" s="25" t="s">
        <v>11</v>
      </c>
      <c r="O396" s="24"/>
      <c r="P396" s="24" t="s">
        <v>11</v>
      </c>
      <c r="Q396" s="2">
        <v>44838.520833333336</v>
      </c>
      <c r="R396" s="2">
        <v>44846.820138888892</v>
      </c>
      <c r="S396" s="26">
        <v>44883.775000000001</v>
      </c>
      <c r="T396" s="28">
        <v>0</v>
      </c>
      <c r="U396" s="28">
        <f>Tabla1[[#This Row],[PPTO]]/(1+'Lista Datos'!$B$1)</f>
        <v>0</v>
      </c>
      <c r="V396" s="23"/>
      <c r="W396" s="18" t="s">
        <v>10</v>
      </c>
      <c r="X396" s="102"/>
      <c r="Y396" s="18" t="s">
        <v>146</v>
      </c>
      <c r="Z396" s="18" t="s">
        <v>10</v>
      </c>
      <c r="AA396" s="23"/>
      <c r="AB396" s="23"/>
      <c r="AC396" s="23" t="s">
        <v>10</v>
      </c>
      <c r="AD396" s="23">
        <v>90</v>
      </c>
      <c r="AE396" s="29">
        <f>Tabla1[[#This Row],[Cierre]]+Tabla1[[#This Row],[Vigencia Oferta (días)]]</f>
        <v>44941.627083333333</v>
      </c>
      <c r="AF396" s="87"/>
      <c r="AG396" s="28"/>
      <c r="AH396" s="164">
        <f>Tabla1[[#This Row],[Unidades2]]*Tabla1[[#This Row],[Precio Unitario]]</f>
        <v>0</v>
      </c>
      <c r="AI396" s="23" t="s">
        <v>44</v>
      </c>
      <c r="AJ396" s="26">
        <v>44875</v>
      </c>
      <c r="AK396" s="172">
        <f>Tabla1[[#This Row],[Fecha Vigencia]]-AJ396</f>
        <v>66.627083333332848</v>
      </c>
      <c r="AL396" s="23" t="s">
        <v>46</v>
      </c>
      <c r="AM396" s="87">
        <v>2350000</v>
      </c>
      <c r="AN396" s="23"/>
      <c r="AO396" s="29"/>
      <c r="AP396" s="23" t="s">
        <v>292</v>
      </c>
      <c r="AQ396" s="34" t="s">
        <v>2201</v>
      </c>
      <c r="AR396" s="23" t="s">
        <v>11</v>
      </c>
      <c r="AS396" s="33">
        <v>0.1</v>
      </c>
      <c r="AT396" s="29">
        <v>45744</v>
      </c>
      <c r="AU396" s="23"/>
      <c r="AV396" s="23"/>
      <c r="AW396" s="23" t="s">
        <v>2202</v>
      </c>
      <c r="AX396" t="s">
        <v>2203</v>
      </c>
      <c r="AY396" s="23"/>
      <c r="AZ396" s="23"/>
      <c r="BA396" s="23"/>
      <c r="BB396" s="32"/>
      <c r="BC396" s="73"/>
    </row>
    <row r="397" spans="1:55" x14ac:dyDescent="0.25">
      <c r="A397" s="22" t="s">
        <v>2204</v>
      </c>
      <c r="B397" s="23" t="s">
        <v>2205</v>
      </c>
      <c r="C397" s="23" t="s">
        <v>2206</v>
      </c>
      <c r="D397" s="34" t="s">
        <v>1243</v>
      </c>
      <c r="E397" s="24"/>
      <c r="F397" s="25"/>
      <c r="G397" s="23" t="s">
        <v>16</v>
      </c>
      <c r="H397" s="23" t="s">
        <v>1983</v>
      </c>
      <c r="I397" s="2">
        <v>44830.552719907406</v>
      </c>
      <c r="J397" s="24">
        <f>MONTH(Tabla1[[#This Row],[Publicación]])</f>
        <v>9</v>
      </c>
      <c r="K397" s="24">
        <f>YEAR(Tabla1[[#This Row],[Publicación]])</f>
        <v>2022</v>
      </c>
      <c r="L397" s="2">
        <v>44837.625</v>
      </c>
      <c r="M397" s="26">
        <v>44833</v>
      </c>
      <c r="N397" s="25" t="s">
        <v>11</v>
      </c>
      <c r="O397" s="24"/>
      <c r="P397" s="24" t="s">
        <v>11</v>
      </c>
      <c r="Q397" s="2">
        <v>44832.541666666664</v>
      </c>
      <c r="R397" s="2">
        <v>44833.5625</v>
      </c>
      <c r="S397" s="26">
        <v>44862.833333333336</v>
      </c>
      <c r="T397" s="28">
        <v>0</v>
      </c>
      <c r="U397" s="28">
        <f>Tabla1[[#This Row],[PPTO]]/(1+'Lista Datos'!$B$1)</f>
        <v>0</v>
      </c>
      <c r="V397" s="23"/>
      <c r="W397" s="18" t="s">
        <v>10</v>
      </c>
      <c r="X397" s="102"/>
      <c r="Y397" s="18" t="s">
        <v>146</v>
      </c>
      <c r="Z397" s="18" t="s">
        <v>10</v>
      </c>
      <c r="AA397" s="23" t="s">
        <v>177</v>
      </c>
      <c r="AB397" s="23">
        <v>12</v>
      </c>
      <c r="AC397" s="23" t="s">
        <v>10</v>
      </c>
      <c r="AD397" s="23"/>
      <c r="AE397" s="29">
        <f>Tabla1[[#This Row],[Cierre]]+Tabla1[[#This Row],[Vigencia Oferta (días)]]</f>
        <v>44837.625</v>
      </c>
      <c r="AF397" s="87"/>
      <c r="AG397" s="28"/>
      <c r="AH397" s="164">
        <f>Tabla1[[#This Row],[Unidades2]]*Tabla1[[#This Row],[Precio Unitario]]</f>
        <v>0</v>
      </c>
      <c r="AI397" s="23" t="s">
        <v>44</v>
      </c>
      <c r="AJ397" s="26">
        <v>44855</v>
      </c>
      <c r="AK397" s="172">
        <f>Tabla1[[#This Row],[Fecha Vigencia]]-AJ397</f>
        <v>-17.375</v>
      </c>
      <c r="AL397" s="23" t="s">
        <v>115</v>
      </c>
      <c r="AM397" s="87">
        <v>6000000</v>
      </c>
      <c r="AN397" s="29">
        <v>44855</v>
      </c>
      <c r="AO397" s="29">
        <v>45220</v>
      </c>
      <c r="AP397" s="23" t="s">
        <v>177</v>
      </c>
      <c r="AQ397" s="34" t="s">
        <v>1244</v>
      </c>
      <c r="AR397" s="23" t="s">
        <v>10</v>
      </c>
      <c r="AS397" s="23"/>
      <c r="AT397" s="23"/>
      <c r="AU397" s="23" t="s">
        <v>2207</v>
      </c>
      <c r="AV397" s="23" t="s">
        <v>2208</v>
      </c>
      <c r="AW397" s="23" t="s">
        <v>2209</v>
      </c>
      <c r="AX397" t="s">
        <v>2210</v>
      </c>
      <c r="AY397" s="23"/>
      <c r="AZ397" s="23"/>
      <c r="BA397" s="23"/>
      <c r="BB397" s="32"/>
      <c r="BC397" s="73"/>
    </row>
    <row r="398" spans="1:55" x14ac:dyDescent="0.25">
      <c r="A398" s="22" t="s">
        <v>2211</v>
      </c>
      <c r="B398" s="23" t="s">
        <v>2212</v>
      </c>
      <c r="C398" s="23" t="s">
        <v>2213</v>
      </c>
      <c r="D398" s="34" t="s">
        <v>2214</v>
      </c>
      <c r="E398" s="24"/>
      <c r="F398" s="25"/>
      <c r="G398" s="23" t="s">
        <v>16</v>
      </c>
      <c r="H398" s="23" t="s">
        <v>240</v>
      </c>
      <c r="I398" s="2">
        <v>44832.519849537035</v>
      </c>
      <c r="J398" s="24">
        <f>MONTH(Tabla1[[#This Row],[Publicación]])</f>
        <v>9</v>
      </c>
      <c r="K398" s="24">
        <f>YEAR(Tabla1[[#This Row],[Publicación]])</f>
        <v>2022</v>
      </c>
      <c r="L398" s="2">
        <v>44839.458333333336</v>
      </c>
      <c r="M398" s="26">
        <v>44833</v>
      </c>
      <c r="N398" s="25" t="s">
        <v>10</v>
      </c>
      <c r="O398" s="24" t="s">
        <v>25</v>
      </c>
      <c r="P398" s="24" t="s">
        <v>10</v>
      </c>
      <c r="Q398" s="2">
        <v>44834.458333333336</v>
      </c>
      <c r="R398" s="2">
        <v>44837.416666666664</v>
      </c>
      <c r="S398" s="26">
        <v>44873.458333333336</v>
      </c>
      <c r="T398" s="28">
        <v>0</v>
      </c>
      <c r="U398" s="28">
        <f>Tabla1[[#This Row],[PPTO]]/(1+'Lista Datos'!$B$1)</f>
        <v>0</v>
      </c>
      <c r="V398" s="23"/>
      <c r="W398" s="18" t="s">
        <v>10</v>
      </c>
      <c r="X398" s="102"/>
      <c r="Y398" s="18" t="s">
        <v>146</v>
      </c>
      <c r="Z398" s="18" t="s">
        <v>10</v>
      </c>
      <c r="AA398" s="23"/>
      <c r="AB398" s="23"/>
      <c r="AC398" s="23"/>
      <c r="AD398" s="23"/>
      <c r="AE398" s="29">
        <f>Tabla1[[#This Row],[Cierre]]+Tabla1[[#This Row],[Vigencia Oferta (días)]]</f>
        <v>44839.458333333336</v>
      </c>
      <c r="AF398" s="87"/>
      <c r="AG398" s="28"/>
      <c r="AH398" s="164">
        <f>Tabla1[[#This Row],[Unidades2]]*Tabla1[[#This Row],[Precio Unitario]]</f>
        <v>0</v>
      </c>
      <c r="AI398" s="23" t="s">
        <v>44</v>
      </c>
      <c r="AJ398" s="26">
        <v>44854</v>
      </c>
      <c r="AK398" s="172">
        <f>Tabla1[[#This Row],[Fecha Vigencia]]-AJ398</f>
        <v>-14.541666666664241</v>
      </c>
      <c r="AL398" s="23" t="s">
        <v>45</v>
      </c>
      <c r="AM398" s="87">
        <v>6104224</v>
      </c>
      <c r="AN398" s="23"/>
      <c r="AO398" s="29"/>
      <c r="AP398" s="23" t="s">
        <v>292</v>
      </c>
      <c r="AQ398" s="34" t="s">
        <v>2215</v>
      </c>
      <c r="AR398" s="23" t="s">
        <v>10</v>
      </c>
      <c r="AS398" s="23"/>
      <c r="AT398" s="23"/>
      <c r="AU398" s="23"/>
      <c r="AV398" s="23"/>
      <c r="AW398" s="23" t="s">
        <v>2216</v>
      </c>
      <c r="AX398" t="s">
        <v>2217</v>
      </c>
      <c r="AY398" s="23"/>
      <c r="AZ398" s="23"/>
      <c r="BA398" s="23"/>
      <c r="BB398" s="32"/>
      <c r="BC398" s="73"/>
    </row>
    <row r="399" spans="1:55" x14ac:dyDescent="0.25">
      <c r="A399" s="22" t="s">
        <v>2218</v>
      </c>
      <c r="B399" s="23" t="s">
        <v>2219</v>
      </c>
      <c r="C399" s="23" t="s">
        <v>2220</v>
      </c>
      <c r="D399" s="34" t="s">
        <v>1236</v>
      </c>
      <c r="E399" s="24"/>
      <c r="F399" s="25"/>
      <c r="G399" s="23" t="s">
        <v>20</v>
      </c>
      <c r="H399" s="23" t="s">
        <v>176</v>
      </c>
      <c r="I399" s="2">
        <v>44832.634375000001</v>
      </c>
      <c r="J399" s="24">
        <f>MONTH(Tabla1[[#This Row],[Publicación]])</f>
        <v>9</v>
      </c>
      <c r="K399" s="24">
        <f>YEAR(Tabla1[[#This Row],[Publicación]])</f>
        <v>2022</v>
      </c>
      <c r="L399" s="2">
        <v>44862.666666666664</v>
      </c>
      <c r="M399" s="26">
        <v>44833</v>
      </c>
      <c r="N399" s="25" t="s">
        <v>11</v>
      </c>
      <c r="O399" s="24"/>
      <c r="P399" s="24" t="s">
        <v>11</v>
      </c>
      <c r="Q399" s="2">
        <v>44841.666666666664</v>
      </c>
      <c r="R399" s="2">
        <v>44846.666666666664</v>
      </c>
      <c r="S399" s="26">
        <v>45041.666666666664</v>
      </c>
      <c r="T399" s="28">
        <v>0</v>
      </c>
      <c r="U399" s="28">
        <f>Tabla1[[#This Row],[PPTO]]/(1+'Lista Datos'!$B$1)</f>
        <v>0</v>
      </c>
      <c r="V399" s="23"/>
      <c r="W399" s="18" t="s">
        <v>11</v>
      </c>
      <c r="X399" s="102">
        <v>2000000</v>
      </c>
      <c r="Y399" s="26">
        <v>45041</v>
      </c>
      <c r="Z399" s="18" t="s">
        <v>10</v>
      </c>
      <c r="AA399" s="23" t="s">
        <v>177</v>
      </c>
      <c r="AB399" s="23">
        <v>36</v>
      </c>
      <c r="AC399" s="23" t="s">
        <v>10</v>
      </c>
      <c r="AD399" s="23"/>
      <c r="AE399" s="29">
        <f>Tabla1[[#This Row],[Cierre]]+Tabla1[[#This Row],[Vigencia Oferta (días)]]</f>
        <v>44862.666666666664</v>
      </c>
      <c r="AF399" s="87"/>
      <c r="AG399" s="28"/>
      <c r="AH399" s="164">
        <f>Tabla1[[#This Row],[Unidades2]]*Tabla1[[#This Row],[Precio Unitario]]</f>
        <v>0</v>
      </c>
      <c r="AI399" s="23" t="s">
        <v>44</v>
      </c>
      <c r="AJ399" s="26">
        <v>44888</v>
      </c>
      <c r="AK399" s="172">
        <f>Tabla1[[#This Row],[Fecha Vigencia]]-AJ399</f>
        <v>-25.333333333335759</v>
      </c>
      <c r="AL399" s="23" t="s">
        <v>115</v>
      </c>
      <c r="AM399" s="87">
        <v>686243698</v>
      </c>
      <c r="AN399" s="23"/>
      <c r="AO399" s="29"/>
      <c r="AP399" s="23" t="s">
        <v>177</v>
      </c>
      <c r="AQ399" s="34" t="s">
        <v>1237</v>
      </c>
      <c r="AR399" s="23" t="s">
        <v>11</v>
      </c>
      <c r="AS399" s="33">
        <v>0.05</v>
      </c>
      <c r="AT399" s="29">
        <v>46239</v>
      </c>
      <c r="AU399" s="23"/>
      <c r="AV399" s="23"/>
      <c r="AW399" s="23" t="s">
        <v>2221</v>
      </c>
      <c r="AX399" t="s">
        <v>1587</v>
      </c>
      <c r="AY399" s="23"/>
      <c r="AZ399" s="23"/>
      <c r="BA399" s="23"/>
      <c r="BB399" s="32"/>
      <c r="BC399" s="73"/>
    </row>
    <row r="400" spans="1:55" x14ac:dyDescent="0.25">
      <c r="A400" s="22" t="s">
        <v>2222</v>
      </c>
      <c r="B400" s="23" t="s">
        <v>2223</v>
      </c>
      <c r="C400" s="23" t="s">
        <v>2224</v>
      </c>
      <c r="D400" s="34" t="s">
        <v>405</v>
      </c>
      <c r="E400" s="24"/>
      <c r="F400" s="25"/>
      <c r="G400" s="23" t="s">
        <v>21</v>
      </c>
      <c r="H400" s="23" t="s">
        <v>106</v>
      </c>
      <c r="I400" s="2">
        <v>44837.724328703705</v>
      </c>
      <c r="J400" s="24">
        <f>MONTH(Tabla1[[#This Row],[Publicación]])</f>
        <v>10</v>
      </c>
      <c r="K400" s="24">
        <f>YEAR(Tabla1[[#This Row],[Publicación]])</f>
        <v>2022</v>
      </c>
      <c r="L400" s="2">
        <v>44858.625</v>
      </c>
      <c r="M400" s="26">
        <v>44839</v>
      </c>
      <c r="N400" s="25" t="s">
        <v>11</v>
      </c>
      <c r="O400" s="24"/>
      <c r="P400" s="24" t="s">
        <v>11</v>
      </c>
      <c r="Q400" s="2">
        <v>44844.708333333336</v>
      </c>
      <c r="R400" s="2">
        <v>44851.75</v>
      </c>
      <c r="S400" s="26">
        <v>44879.75</v>
      </c>
      <c r="T400" s="28">
        <v>0</v>
      </c>
      <c r="U400" s="28">
        <f>Tabla1[[#This Row],[PPTO]]/(1+'Lista Datos'!$B$1)</f>
        <v>0</v>
      </c>
      <c r="V400" s="23">
        <v>30</v>
      </c>
      <c r="W400" s="18" t="s">
        <v>11</v>
      </c>
      <c r="X400" s="102">
        <v>1000000</v>
      </c>
      <c r="Y400" s="26">
        <v>44950</v>
      </c>
      <c r="Z400" s="18" t="s">
        <v>10</v>
      </c>
      <c r="AA400" s="23" t="s">
        <v>177</v>
      </c>
      <c r="AB400" s="23">
        <v>24</v>
      </c>
      <c r="AC400" s="23" t="s">
        <v>10</v>
      </c>
      <c r="AD400" s="23">
        <v>90</v>
      </c>
      <c r="AE400" s="29">
        <f>Tabla1[[#This Row],[Cierre]]+Tabla1[[#This Row],[Vigencia Oferta (días)]]</f>
        <v>44948.625</v>
      </c>
      <c r="AF400" s="87">
        <v>55</v>
      </c>
      <c r="AG400" s="28"/>
      <c r="AH400" s="164">
        <f>Tabla1[[#This Row],[Unidades2]]*Tabla1[[#This Row],[Precio Unitario]]</f>
        <v>0</v>
      </c>
      <c r="AI400" s="23" t="s">
        <v>44</v>
      </c>
      <c r="AJ400" s="26">
        <v>44900</v>
      </c>
      <c r="AK400" s="172">
        <f>Tabla1[[#This Row],[Fecha Vigencia]]-AJ400</f>
        <v>48.625</v>
      </c>
      <c r="AL400" s="23" t="s">
        <v>46</v>
      </c>
      <c r="AM400" s="87">
        <v>2290000</v>
      </c>
      <c r="AN400" s="23"/>
      <c r="AO400" s="29"/>
      <c r="AP400" s="23" t="s">
        <v>177</v>
      </c>
      <c r="AQ400" s="34" t="s">
        <v>406</v>
      </c>
      <c r="AR400" s="23" t="s">
        <v>11</v>
      </c>
      <c r="AS400" s="33">
        <v>0.15</v>
      </c>
      <c r="AT400" s="29">
        <v>45626</v>
      </c>
      <c r="AU400" s="23"/>
      <c r="AV400" s="23"/>
      <c r="AW400" s="23" t="s">
        <v>2225</v>
      </c>
      <c r="AX400" t="s">
        <v>2226</v>
      </c>
      <c r="AY400" s="23"/>
      <c r="AZ400" s="23"/>
      <c r="BA400" s="23"/>
      <c r="BB400" s="32"/>
      <c r="BC400" s="73"/>
    </row>
    <row r="401" spans="1:55" x14ac:dyDescent="0.25">
      <c r="A401" s="22" t="s">
        <v>2227</v>
      </c>
      <c r="B401" s="23" t="s">
        <v>2228</v>
      </c>
      <c r="C401" s="23" t="s">
        <v>2229</v>
      </c>
      <c r="D401" s="34" t="s">
        <v>2230</v>
      </c>
      <c r="E401" s="24"/>
      <c r="F401" s="25"/>
      <c r="G401" s="23" t="s">
        <v>16</v>
      </c>
      <c r="H401" s="23" t="s">
        <v>123</v>
      </c>
      <c r="I401" s="2">
        <v>44834.363043981481</v>
      </c>
      <c r="J401" s="24">
        <f>MONTH(Tabla1[[#This Row],[Publicación]])</f>
        <v>9</v>
      </c>
      <c r="K401" s="24">
        <f>YEAR(Tabla1[[#This Row],[Publicación]])</f>
        <v>2022</v>
      </c>
      <c r="L401" s="2">
        <v>44854.666666666664</v>
      </c>
      <c r="M401" s="26">
        <v>44838</v>
      </c>
      <c r="N401" s="25" t="s">
        <v>10</v>
      </c>
      <c r="O401" s="24" t="s">
        <v>35</v>
      </c>
      <c r="P401" s="24" t="s">
        <v>10</v>
      </c>
      <c r="Q401" s="2">
        <v>44841.625</v>
      </c>
      <c r="R401" s="2">
        <v>44847.708333333336</v>
      </c>
      <c r="S401" s="26">
        <v>44876.666666666664</v>
      </c>
      <c r="T401" s="28">
        <v>0</v>
      </c>
      <c r="U401" s="28">
        <f>Tabla1[[#This Row],[PPTO]]/(1+'Lista Datos'!$B$1)</f>
        <v>0</v>
      </c>
      <c r="V401" s="23"/>
      <c r="W401" s="18" t="s">
        <v>11</v>
      </c>
      <c r="X401" s="102">
        <v>500000</v>
      </c>
      <c r="Y401" s="26">
        <v>44974</v>
      </c>
      <c r="Z401" s="18" t="s">
        <v>11</v>
      </c>
      <c r="AA401" s="23"/>
      <c r="AB401" s="23"/>
      <c r="AC401" s="23"/>
      <c r="AD401" s="23"/>
      <c r="AE401" s="29">
        <f>Tabla1[[#This Row],[Cierre]]+Tabla1[[#This Row],[Vigencia Oferta (días)]]</f>
        <v>44854.666666666664</v>
      </c>
      <c r="AF401" s="87"/>
      <c r="AG401" s="28"/>
      <c r="AH401" s="164">
        <f>Tabla1[[#This Row],[Unidades2]]*Tabla1[[#This Row],[Precio Unitario]]</f>
        <v>0</v>
      </c>
      <c r="AI401" s="23" t="s">
        <v>385</v>
      </c>
      <c r="AJ401" s="26"/>
      <c r="AK401" s="172">
        <f>Tabla1[[#This Row],[Fecha Vigencia]]-AJ401</f>
        <v>44854.666666666664</v>
      </c>
      <c r="AL401" s="23"/>
      <c r="AM401" s="87"/>
      <c r="AN401" s="23"/>
      <c r="AO401" s="29"/>
      <c r="AP401" s="23" t="s">
        <v>177</v>
      </c>
      <c r="AQ401" s="34" t="s">
        <v>2231</v>
      </c>
      <c r="AR401" s="23" t="s">
        <v>11</v>
      </c>
      <c r="AS401" s="33">
        <v>0.1</v>
      </c>
      <c r="AT401" s="29">
        <v>45688</v>
      </c>
      <c r="AU401" s="23"/>
      <c r="AV401" s="23"/>
      <c r="AW401" s="23" t="s">
        <v>2232</v>
      </c>
      <c r="AX401" t="s">
        <v>2233</v>
      </c>
      <c r="AY401" s="23"/>
      <c r="AZ401" s="23"/>
      <c r="BA401" s="23"/>
      <c r="BB401" s="32"/>
      <c r="BC401" s="73"/>
    </row>
    <row r="402" spans="1:55" x14ac:dyDescent="0.25">
      <c r="A402" s="22" t="s">
        <v>2234</v>
      </c>
      <c r="B402" s="23" t="s">
        <v>2235</v>
      </c>
      <c r="C402" s="23" t="s">
        <v>2236</v>
      </c>
      <c r="D402" s="34" t="s">
        <v>227</v>
      </c>
      <c r="E402" s="24"/>
      <c r="F402" s="25"/>
      <c r="G402" s="23" t="s">
        <v>21</v>
      </c>
      <c r="H402" s="23" t="s">
        <v>106</v>
      </c>
      <c r="I402" s="2">
        <v>44837.738761574074</v>
      </c>
      <c r="J402" s="24">
        <f>MONTH(Tabla1[[#This Row],[Publicación]])</f>
        <v>10</v>
      </c>
      <c r="K402" s="24">
        <f>YEAR(Tabla1[[#This Row],[Publicación]])</f>
        <v>2022</v>
      </c>
      <c r="L402" s="2">
        <v>44847.729166666664</v>
      </c>
      <c r="M402" s="26">
        <v>44839</v>
      </c>
      <c r="N402" s="25" t="s">
        <v>10</v>
      </c>
      <c r="O402" s="24" t="s">
        <v>34</v>
      </c>
      <c r="P402" s="24" t="s">
        <v>10</v>
      </c>
      <c r="Q402" s="2">
        <v>44840.729166666664</v>
      </c>
      <c r="R402" s="2">
        <v>44841.729166666664</v>
      </c>
      <c r="S402" s="26">
        <v>44867.729166666664</v>
      </c>
      <c r="T402" s="28">
        <v>6924000</v>
      </c>
      <c r="U402" s="28">
        <f>Tabla1[[#This Row],[PPTO]]/(1+'Lista Datos'!$B$1)</f>
        <v>5818487.3949579839</v>
      </c>
      <c r="V402" s="23"/>
      <c r="W402" s="18" t="s">
        <v>10</v>
      </c>
      <c r="X402" s="102"/>
      <c r="Y402" s="18" t="s">
        <v>146</v>
      </c>
      <c r="Z402" s="18" t="s">
        <v>10</v>
      </c>
      <c r="AA402" s="23" t="s">
        <v>177</v>
      </c>
      <c r="AB402" s="23">
        <v>24</v>
      </c>
      <c r="AC402" s="23" t="s">
        <v>10</v>
      </c>
      <c r="AD402" s="23"/>
      <c r="AE402" s="29">
        <f>Tabla1[[#This Row],[Cierre]]+Tabla1[[#This Row],[Vigencia Oferta (días)]]</f>
        <v>44847.729166666664</v>
      </c>
      <c r="AF402" s="87"/>
      <c r="AG402" s="28"/>
      <c r="AH402" s="164">
        <f>Tabla1[[#This Row],[Unidades2]]*Tabla1[[#This Row],[Precio Unitario]]</f>
        <v>0</v>
      </c>
      <c r="AI402" s="23" t="s">
        <v>44</v>
      </c>
      <c r="AJ402" s="26">
        <v>44855</v>
      </c>
      <c r="AK402" s="172">
        <f>Tabla1[[#This Row],[Fecha Vigencia]]-AJ402</f>
        <v>-7.2708333333357587</v>
      </c>
      <c r="AL402" s="23" t="s">
        <v>45</v>
      </c>
      <c r="AM402" s="87">
        <v>2788577</v>
      </c>
      <c r="AN402" s="23"/>
      <c r="AO402" s="29"/>
      <c r="AP402" s="23" t="s">
        <v>292</v>
      </c>
      <c r="AQ402" s="34" t="s">
        <v>228</v>
      </c>
      <c r="AR402" s="23" t="s">
        <v>11</v>
      </c>
      <c r="AS402" s="33">
        <v>0.05</v>
      </c>
      <c r="AT402" s="29">
        <v>45697</v>
      </c>
      <c r="AU402" s="23"/>
      <c r="AV402" s="23"/>
      <c r="AW402" s="23" t="s">
        <v>2237</v>
      </c>
      <c r="AX402" t="s">
        <v>421</v>
      </c>
      <c r="AY402" s="23"/>
      <c r="AZ402" s="23"/>
      <c r="BA402" s="23"/>
      <c r="BB402" s="32"/>
      <c r="BC402" s="73"/>
    </row>
    <row r="403" spans="1:55" x14ac:dyDescent="0.25">
      <c r="A403" s="22" t="s">
        <v>2238</v>
      </c>
      <c r="B403" s="23" t="s">
        <v>2239</v>
      </c>
      <c r="C403" s="23" t="s">
        <v>2240</v>
      </c>
      <c r="D403" s="34" t="s">
        <v>1008</v>
      </c>
      <c r="E403" s="24"/>
      <c r="F403" s="25"/>
      <c r="G403" s="23" t="s">
        <v>16</v>
      </c>
      <c r="H403" s="23" t="s">
        <v>213</v>
      </c>
      <c r="I403" s="2">
        <v>44832.451874999999</v>
      </c>
      <c r="J403" s="24">
        <f>MONTH(Tabla1[[#This Row],[Publicación]])</f>
        <v>9</v>
      </c>
      <c r="K403" s="24">
        <f>YEAR(Tabla1[[#This Row],[Publicación]])</f>
        <v>2022</v>
      </c>
      <c r="L403" s="2">
        <v>44845.666666666664</v>
      </c>
      <c r="M403" s="26">
        <v>44839</v>
      </c>
      <c r="N403" s="25" t="s">
        <v>10</v>
      </c>
      <c r="O403" s="24" t="s">
        <v>25</v>
      </c>
      <c r="P403" s="24" t="s">
        <v>10</v>
      </c>
      <c r="Q403" s="2">
        <v>44837.666666666664</v>
      </c>
      <c r="R403" s="2">
        <v>44839.666666666664</v>
      </c>
      <c r="S403" s="26">
        <v>44907.666666666664</v>
      </c>
      <c r="T403" s="28">
        <v>0</v>
      </c>
      <c r="U403" s="28">
        <f>Tabla1[[#This Row],[PPTO]]/(1+'Lista Datos'!$B$1)</f>
        <v>0</v>
      </c>
      <c r="V403" s="23"/>
      <c r="W403" s="18" t="s">
        <v>10</v>
      </c>
      <c r="X403" s="102"/>
      <c r="Y403" s="18" t="s">
        <v>146</v>
      </c>
      <c r="Z403" s="18" t="s">
        <v>10</v>
      </c>
      <c r="AA403" s="23"/>
      <c r="AB403" s="23"/>
      <c r="AC403" s="23"/>
      <c r="AD403" s="23"/>
      <c r="AE403" s="29">
        <f>Tabla1[[#This Row],[Cierre]]+Tabla1[[#This Row],[Vigencia Oferta (días)]]</f>
        <v>44845.666666666664</v>
      </c>
      <c r="AF403" s="87"/>
      <c r="AG403" s="28"/>
      <c r="AH403" s="164">
        <f>Tabla1[[#This Row],[Unidades2]]*Tabla1[[#This Row],[Precio Unitario]]</f>
        <v>0</v>
      </c>
      <c r="AI403" s="23" t="s">
        <v>44</v>
      </c>
      <c r="AJ403" s="26">
        <v>44869</v>
      </c>
      <c r="AK403" s="172">
        <f>Tabla1[[#This Row],[Fecha Vigencia]]-AJ403</f>
        <v>-23.333333333335759</v>
      </c>
      <c r="AL403" s="23" t="s">
        <v>46</v>
      </c>
      <c r="AM403" s="87">
        <v>1920000</v>
      </c>
      <c r="AN403" s="23"/>
      <c r="AO403" s="29"/>
      <c r="AP403" s="23" t="s">
        <v>292</v>
      </c>
      <c r="AQ403" s="34" t="s">
        <v>554</v>
      </c>
      <c r="AR403" s="23" t="s">
        <v>10</v>
      </c>
      <c r="AS403" s="23"/>
      <c r="AT403" s="23"/>
      <c r="AU403" s="23"/>
      <c r="AV403" s="23"/>
      <c r="AW403" s="23" t="s">
        <v>1009</v>
      </c>
      <c r="AX403" t="s">
        <v>2193</v>
      </c>
      <c r="AY403" s="23"/>
      <c r="AZ403" s="23"/>
      <c r="BA403" s="23"/>
      <c r="BB403" s="32"/>
      <c r="BC403" s="73"/>
    </row>
    <row r="404" spans="1:55" x14ac:dyDescent="0.25">
      <c r="A404" s="22" t="s">
        <v>2241</v>
      </c>
      <c r="B404" s="23" t="s">
        <v>2242</v>
      </c>
      <c r="C404" s="23" t="s">
        <v>2243</v>
      </c>
      <c r="D404" s="34" t="s">
        <v>2244</v>
      </c>
      <c r="E404" s="24"/>
      <c r="F404" s="25"/>
      <c r="G404" s="23" t="s">
        <v>18</v>
      </c>
      <c r="H404" s="23" t="s">
        <v>213</v>
      </c>
      <c r="I404" s="2">
        <v>44834.533645833333</v>
      </c>
      <c r="J404" s="24">
        <f>MONTH(Tabla1[[#This Row],[Publicación]])</f>
        <v>9</v>
      </c>
      <c r="K404" s="24">
        <f>YEAR(Tabla1[[#This Row],[Publicación]])</f>
        <v>2022</v>
      </c>
      <c r="L404" s="2">
        <v>44854.708333333336</v>
      </c>
      <c r="M404" s="26">
        <v>44839</v>
      </c>
      <c r="N404" s="25" t="s">
        <v>10</v>
      </c>
      <c r="O404" s="24" t="s">
        <v>25</v>
      </c>
      <c r="P404" s="24" t="s">
        <v>10</v>
      </c>
      <c r="Q404" s="2">
        <v>44845.708333333336</v>
      </c>
      <c r="R404" s="2">
        <v>44848.666666666664</v>
      </c>
      <c r="S404" s="26">
        <v>44858.708333333336</v>
      </c>
      <c r="T404" s="28">
        <v>0</v>
      </c>
      <c r="U404" s="28">
        <f>Tabla1[[#This Row],[PPTO]]/(1+'Lista Datos'!$B$1)</f>
        <v>0</v>
      </c>
      <c r="V404" s="23"/>
      <c r="W404" s="18" t="s">
        <v>10</v>
      </c>
      <c r="X404" s="102"/>
      <c r="Y404" s="18" t="s">
        <v>146</v>
      </c>
      <c r="Z404" s="18" t="s">
        <v>10</v>
      </c>
      <c r="AA404" s="23"/>
      <c r="AB404" s="23"/>
      <c r="AC404" s="23"/>
      <c r="AD404" s="23"/>
      <c r="AE404" s="29">
        <f>Tabla1[[#This Row],[Cierre]]+Tabla1[[#This Row],[Vigencia Oferta (días)]]</f>
        <v>44854.708333333336</v>
      </c>
      <c r="AF404" s="87"/>
      <c r="AG404" s="28"/>
      <c r="AH404" s="164">
        <f>Tabla1[[#This Row],[Unidades2]]*Tabla1[[#This Row],[Precio Unitario]]</f>
        <v>0</v>
      </c>
      <c r="AI404" s="23" t="s">
        <v>137</v>
      </c>
      <c r="AJ404" s="26"/>
      <c r="AK404" s="172">
        <f>Tabla1[[#This Row],[Fecha Vigencia]]-AJ404</f>
        <v>44854.708333333336</v>
      </c>
      <c r="AL404" s="23"/>
      <c r="AM404" s="87"/>
      <c r="AN404" s="23"/>
      <c r="AO404" s="29"/>
      <c r="AP404" s="23"/>
      <c r="AQ404" s="34" t="s">
        <v>2245</v>
      </c>
      <c r="AR404" s="23" t="s">
        <v>11</v>
      </c>
      <c r="AS404" s="33">
        <v>0.05</v>
      </c>
      <c r="AT404" s="29">
        <v>46068</v>
      </c>
      <c r="AU404" s="23"/>
      <c r="AV404" s="23"/>
      <c r="AW404" s="23" t="s">
        <v>2246</v>
      </c>
      <c r="AX404" t="s">
        <v>2247</v>
      </c>
      <c r="AY404" s="23"/>
      <c r="AZ404" s="23"/>
      <c r="BA404" s="23"/>
      <c r="BB404" s="32"/>
      <c r="BC404" s="73"/>
    </row>
    <row r="405" spans="1:55" x14ac:dyDescent="0.25">
      <c r="A405" s="22" t="s">
        <v>2248</v>
      </c>
      <c r="B405" s="23" t="s">
        <v>2249</v>
      </c>
      <c r="C405" s="23" t="s">
        <v>2250</v>
      </c>
      <c r="D405" s="34" t="s">
        <v>2251</v>
      </c>
      <c r="E405" s="24"/>
      <c r="F405" s="25"/>
      <c r="G405" s="23" t="s">
        <v>16</v>
      </c>
      <c r="H405" s="23" t="s">
        <v>145</v>
      </c>
      <c r="I405" s="2">
        <v>44834.469444444447</v>
      </c>
      <c r="J405" s="24">
        <f>MONTH(Tabla1[[#This Row],[Publicación]])</f>
        <v>9</v>
      </c>
      <c r="K405" s="24">
        <f>YEAR(Tabla1[[#This Row],[Publicación]])</f>
        <v>2022</v>
      </c>
      <c r="L405" s="2">
        <v>44846.631944444445</v>
      </c>
      <c r="M405" s="26">
        <v>44841</v>
      </c>
      <c r="N405" s="25" t="s">
        <v>10</v>
      </c>
      <c r="O405" s="24" t="s">
        <v>33</v>
      </c>
      <c r="P405" s="24" t="s">
        <v>10</v>
      </c>
      <c r="Q405" s="2">
        <v>44838.852777777778</v>
      </c>
      <c r="R405" s="2">
        <v>44840.727777777778</v>
      </c>
      <c r="S405" s="26">
        <v>44862.62777777778</v>
      </c>
      <c r="T405" s="28">
        <v>0</v>
      </c>
      <c r="U405" s="28">
        <f>Tabla1[[#This Row],[PPTO]]/(1+'Lista Datos'!$B$1)</f>
        <v>0</v>
      </c>
      <c r="V405" s="23"/>
      <c r="W405" s="18" t="s">
        <v>10</v>
      </c>
      <c r="X405" s="102"/>
      <c r="Y405" s="18" t="s">
        <v>146</v>
      </c>
      <c r="Z405" s="18" t="s">
        <v>10</v>
      </c>
      <c r="AA405" s="23"/>
      <c r="AB405" s="23"/>
      <c r="AC405" s="23"/>
      <c r="AD405" s="23"/>
      <c r="AE405" s="29">
        <f>Tabla1[[#This Row],[Cierre]]+Tabla1[[#This Row],[Vigencia Oferta (días)]]</f>
        <v>44846.631944444445</v>
      </c>
      <c r="AF405" s="87"/>
      <c r="AG405" s="28"/>
      <c r="AH405" s="164">
        <f>Tabla1[[#This Row],[Unidades2]]*Tabla1[[#This Row],[Precio Unitario]]</f>
        <v>0</v>
      </c>
      <c r="AI405" s="23" t="s">
        <v>44</v>
      </c>
      <c r="AJ405" s="26">
        <v>44854</v>
      </c>
      <c r="AK405" s="172">
        <f>Tabla1[[#This Row],[Fecha Vigencia]]-AJ405</f>
        <v>-7.3680555555547471</v>
      </c>
      <c r="AL405" s="23" t="s">
        <v>45</v>
      </c>
      <c r="AM405" s="87">
        <v>10462450</v>
      </c>
      <c r="AN405" s="23"/>
      <c r="AO405" s="29"/>
      <c r="AP405" s="23" t="s">
        <v>177</v>
      </c>
      <c r="AQ405" s="34" t="s">
        <v>2252</v>
      </c>
      <c r="AR405" s="23" t="s">
        <v>10</v>
      </c>
      <c r="AS405" s="23"/>
      <c r="AT405" s="23"/>
      <c r="AU405" s="23"/>
      <c r="AV405" s="23"/>
      <c r="AW405" s="23" t="s">
        <v>2253</v>
      </c>
      <c r="AX405" t="s">
        <v>2254</v>
      </c>
      <c r="AY405" s="23"/>
      <c r="AZ405" s="23"/>
      <c r="BA405" s="23"/>
      <c r="BB405" s="32"/>
      <c r="BC405" s="73"/>
    </row>
    <row r="406" spans="1:55" x14ac:dyDescent="0.25">
      <c r="A406" s="22" t="s">
        <v>2255</v>
      </c>
      <c r="B406" s="23" t="s">
        <v>2195</v>
      </c>
      <c r="C406" s="23" t="s">
        <v>2256</v>
      </c>
      <c r="D406" s="34" t="s">
        <v>1813</v>
      </c>
      <c r="E406" s="24"/>
      <c r="F406" s="25"/>
      <c r="G406" s="23" t="s">
        <v>16</v>
      </c>
      <c r="H406" s="23" t="s">
        <v>123</v>
      </c>
      <c r="I406" s="2">
        <v>44837.529120370367</v>
      </c>
      <c r="J406" s="24">
        <f>MONTH(Tabla1[[#This Row],[Publicación]])</f>
        <v>10</v>
      </c>
      <c r="K406" s="24">
        <f>YEAR(Tabla1[[#This Row],[Publicación]])</f>
        <v>2022</v>
      </c>
      <c r="L406" s="2">
        <v>44847.628472222219</v>
      </c>
      <c r="M406" s="26">
        <v>44841</v>
      </c>
      <c r="N406" s="25" t="s">
        <v>10</v>
      </c>
      <c r="O406" s="24" t="s">
        <v>33</v>
      </c>
      <c r="P406" s="24" t="s">
        <v>10</v>
      </c>
      <c r="Q406" s="2">
        <v>44839.375</v>
      </c>
      <c r="R406" s="2">
        <v>44841.833333333336</v>
      </c>
      <c r="S406" s="26">
        <v>44879.833333333336</v>
      </c>
      <c r="T406" s="28">
        <v>0</v>
      </c>
      <c r="U406" s="28">
        <f>Tabla1[[#This Row],[PPTO]]/(1+'Lista Datos'!$B$1)</f>
        <v>0</v>
      </c>
      <c r="V406" s="23"/>
      <c r="W406" s="18" t="s">
        <v>10</v>
      </c>
      <c r="X406" s="102"/>
      <c r="Y406" s="18" t="s">
        <v>146</v>
      </c>
      <c r="Z406" s="18" t="s">
        <v>10</v>
      </c>
      <c r="AA406" s="23"/>
      <c r="AB406" s="23"/>
      <c r="AC406" s="23"/>
      <c r="AD406" s="23"/>
      <c r="AE406" s="29">
        <f>Tabla1[[#This Row],[Cierre]]+Tabla1[[#This Row],[Vigencia Oferta (días)]]</f>
        <v>44847.628472222219</v>
      </c>
      <c r="AF406" s="87"/>
      <c r="AG406" s="28"/>
      <c r="AH406" s="164">
        <f>Tabla1[[#This Row],[Unidades2]]*Tabla1[[#This Row],[Precio Unitario]]</f>
        <v>0</v>
      </c>
      <c r="AI406" s="23" t="s">
        <v>44</v>
      </c>
      <c r="AJ406" s="26">
        <v>44882</v>
      </c>
      <c r="AK406" s="172">
        <f>Tabla1[[#This Row],[Fecha Vigencia]]-AJ406</f>
        <v>-34.371527777781012</v>
      </c>
      <c r="AL406" s="23" t="s">
        <v>45</v>
      </c>
      <c r="AM406" s="87">
        <v>73139407</v>
      </c>
      <c r="AN406" s="23"/>
      <c r="AO406" s="29"/>
      <c r="AP406" s="23" t="s">
        <v>177</v>
      </c>
      <c r="AQ406" s="34" t="s">
        <v>1814</v>
      </c>
      <c r="AR406" s="23" t="s">
        <v>11</v>
      </c>
      <c r="AS406" s="33">
        <v>0.05</v>
      </c>
      <c r="AT406" s="29">
        <v>45275</v>
      </c>
      <c r="AU406" s="23"/>
      <c r="AV406" s="23"/>
      <c r="AW406" s="23" t="s">
        <v>1815</v>
      </c>
      <c r="AX406" t="s">
        <v>2257</v>
      </c>
      <c r="AY406" s="23"/>
      <c r="AZ406" s="23"/>
      <c r="BA406" s="23"/>
      <c r="BB406" s="32"/>
      <c r="BC406" s="73"/>
    </row>
    <row r="407" spans="1:55" x14ac:dyDescent="0.25">
      <c r="A407" s="22" t="s">
        <v>2258</v>
      </c>
      <c r="B407" s="23" t="s">
        <v>2259</v>
      </c>
      <c r="C407" s="23" t="s">
        <v>2260</v>
      </c>
      <c r="D407" s="34" t="s">
        <v>2261</v>
      </c>
      <c r="E407" s="24"/>
      <c r="F407" s="25"/>
      <c r="G407" s="23" t="s">
        <v>16</v>
      </c>
      <c r="H407" s="23" t="s">
        <v>345</v>
      </c>
      <c r="I407" s="2">
        <v>44838.727083333331</v>
      </c>
      <c r="J407" s="24">
        <f>MONTH(Tabla1[[#This Row],[Publicación]])</f>
        <v>10</v>
      </c>
      <c r="K407" s="24">
        <f>YEAR(Tabla1[[#This Row],[Publicación]])</f>
        <v>2022</v>
      </c>
      <c r="L407" s="2">
        <v>44845.831944444442</v>
      </c>
      <c r="M407" s="26">
        <v>44841</v>
      </c>
      <c r="N407" s="25" t="s">
        <v>10</v>
      </c>
      <c r="O407" s="24" t="s">
        <v>25</v>
      </c>
      <c r="P407" s="24" t="s">
        <v>10</v>
      </c>
      <c r="Q407" s="2">
        <v>44840.541666666664</v>
      </c>
      <c r="R407" s="2">
        <v>44840.75</v>
      </c>
      <c r="S407" s="26">
        <v>44852.796527777777</v>
      </c>
      <c r="T407" s="28">
        <v>0</v>
      </c>
      <c r="U407" s="28">
        <f>Tabla1[[#This Row],[PPTO]]/(1+'Lista Datos'!$B$1)</f>
        <v>0</v>
      </c>
      <c r="V407" s="23"/>
      <c r="W407" s="18" t="s">
        <v>10</v>
      </c>
      <c r="X407" s="102"/>
      <c r="Y407" s="18" t="s">
        <v>146</v>
      </c>
      <c r="Z407" s="18" t="s">
        <v>10</v>
      </c>
      <c r="AA407" s="23"/>
      <c r="AB407" s="23"/>
      <c r="AC407" s="23"/>
      <c r="AD407" s="23"/>
      <c r="AE407" s="29">
        <f>Tabla1[[#This Row],[Cierre]]+Tabla1[[#This Row],[Vigencia Oferta (días)]]</f>
        <v>44845.831944444442</v>
      </c>
      <c r="AF407" s="87"/>
      <c r="AG407" s="28"/>
      <c r="AH407" s="164">
        <f>Tabla1[[#This Row],[Unidades2]]*Tabla1[[#This Row],[Precio Unitario]]</f>
        <v>0</v>
      </c>
      <c r="AI407" s="23" t="s">
        <v>320</v>
      </c>
      <c r="AJ407" s="26">
        <v>44845</v>
      </c>
      <c r="AK407" s="172">
        <f>Tabla1[[#This Row],[Fecha Vigencia]]-AJ407</f>
        <v>0.8319444444423425</v>
      </c>
      <c r="AL407" s="23"/>
      <c r="AM407" s="87"/>
      <c r="AN407" s="23"/>
      <c r="AO407" s="29"/>
      <c r="AP407" s="23" t="s">
        <v>177</v>
      </c>
      <c r="AQ407" s="34" t="s">
        <v>2262</v>
      </c>
      <c r="AR407" s="23" t="s">
        <v>10</v>
      </c>
      <c r="AS407" s="23"/>
      <c r="AT407" s="23"/>
      <c r="AU407" s="23"/>
      <c r="AV407" s="23"/>
      <c r="AW407" s="23" t="s">
        <v>2263</v>
      </c>
      <c r="AX407" t="s">
        <v>2264</v>
      </c>
      <c r="AY407" s="23"/>
      <c r="AZ407" s="23"/>
      <c r="BA407" s="23"/>
      <c r="BB407" s="32"/>
      <c r="BC407" s="73"/>
    </row>
    <row r="408" spans="1:55" ht="11.25" x14ac:dyDescent="0.2">
      <c r="A408" s="22" t="s">
        <v>2265</v>
      </c>
      <c r="B408" s="23" t="s">
        <v>2266</v>
      </c>
      <c r="C408" s="23"/>
      <c r="D408" s="34" t="s">
        <v>2267</v>
      </c>
      <c r="E408" s="24"/>
      <c r="F408" s="25"/>
      <c r="G408" s="23" t="s">
        <v>16</v>
      </c>
      <c r="H408" s="23" t="s">
        <v>123</v>
      </c>
      <c r="I408" s="2">
        <v>44839.393379629626</v>
      </c>
      <c r="J408" s="24">
        <f>MONTH(Tabla1[[#This Row],[Publicación]])</f>
        <v>10</v>
      </c>
      <c r="K408" s="24">
        <f>YEAR(Tabla1[[#This Row],[Publicación]])</f>
        <v>2022</v>
      </c>
      <c r="L408" s="2">
        <v>44847.681944444441</v>
      </c>
      <c r="M408" s="26">
        <v>44841</v>
      </c>
      <c r="N408" s="25" t="s">
        <v>10</v>
      </c>
      <c r="O408" s="24" t="s">
        <v>33</v>
      </c>
      <c r="P408" s="24" t="s">
        <v>10</v>
      </c>
      <c r="Q408" s="2">
        <v>44840.723611111112</v>
      </c>
      <c r="R408" s="2">
        <v>44841.431944444441</v>
      </c>
      <c r="S408" s="26">
        <v>44854.765277777777</v>
      </c>
      <c r="T408" s="28">
        <v>0</v>
      </c>
      <c r="U408" s="28">
        <f>Tabla1[[#This Row],[PPTO]]/(1+'Lista Datos'!$B$1)</f>
        <v>0</v>
      </c>
      <c r="V408" s="23"/>
      <c r="W408" s="18" t="s">
        <v>10</v>
      </c>
      <c r="X408" s="102"/>
      <c r="Y408" s="18" t="s">
        <v>146</v>
      </c>
      <c r="Z408" s="18" t="s">
        <v>10</v>
      </c>
      <c r="AA408" s="23"/>
      <c r="AB408" s="23"/>
      <c r="AC408" s="23"/>
      <c r="AD408" s="23"/>
      <c r="AE408" s="29">
        <f>Tabla1[[#This Row],[Cierre]]+Tabla1[[#This Row],[Vigencia Oferta (días)]]</f>
        <v>44847.681944444441</v>
      </c>
      <c r="AF408" s="87"/>
      <c r="AG408" s="28"/>
      <c r="AH408" s="164">
        <f>Tabla1[[#This Row],[Unidades2]]*Tabla1[[#This Row],[Precio Unitario]]</f>
        <v>0</v>
      </c>
      <c r="AI408" s="23" t="s">
        <v>44</v>
      </c>
      <c r="AJ408" s="26">
        <v>44860</v>
      </c>
      <c r="AK408" s="172">
        <f>Tabla1[[#This Row],[Fecha Vigencia]]-AJ408</f>
        <v>-12.318055555559113</v>
      </c>
      <c r="AL408" s="23" t="s">
        <v>45</v>
      </c>
      <c r="AM408" s="87">
        <v>147608</v>
      </c>
      <c r="AN408" s="23"/>
      <c r="AO408" s="29"/>
      <c r="AP408" s="23" t="s">
        <v>292</v>
      </c>
      <c r="AQ408" s="34"/>
      <c r="AR408" s="23" t="s">
        <v>10</v>
      </c>
      <c r="AS408" s="23"/>
      <c r="AT408" s="23"/>
      <c r="AU408" s="23"/>
      <c r="AV408" s="23"/>
      <c r="AW408" s="23"/>
      <c r="AX408" s="23"/>
      <c r="AY408" s="23"/>
      <c r="AZ408" s="23"/>
      <c r="BA408" s="23"/>
      <c r="BB408" s="32"/>
      <c r="BC408" s="73"/>
    </row>
    <row r="409" spans="1:55" x14ac:dyDescent="0.25">
      <c r="A409" s="22" t="s">
        <v>2268</v>
      </c>
      <c r="B409" s="23" t="s">
        <v>2269</v>
      </c>
      <c r="C409" s="23" t="s">
        <v>2270</v>
      </c>
      <c r="D409" s="34" t="s">
        <v>2271</v>
      </c>
      <c r="E409" s="24"/>
      <c r="F409" s="25"/>
      <c r="G409" s="23" t="s">
        <v>16</v>
      </c>
      <c r="H409" s="23" t="s">
        <v>145</v>
      </c>
      <c r="I409" s="2">
        <v>44840.483402777776</v>
      </c>
      <c r="J409" s="24">
        <f>MONTH(Tabla1[[#This Row],[Publicación]])</f>
        <v>10</v>
      </c>
      <c r="K409" s="24">
        <f>YEAR(Tabla1[[#This Row],[Publicación]])</f>
        <v>2022</v>
      </c>
      <c r="L409" s="2">
        <v>44852.666666666664</v>
      </c>
      <c r="M409" s="26">
        <v>44842</v>
      </c>
      <c r="N409" s="25" t="s">
        <v>10</v>
      </c>
      <c r="O409" s="24" t="s">
        <v>25</v>
      </c>
      <c r="P409" s="24" t="s">
        <v>10</v>
      </c>
      <c r="Q409" s="2">
        <v>44846.583333333336</v>
      </c>
      <c r="R409" s="2">
        <v>44847.583333333336</v>
      </c>
      <c r="S409" s="26">
        <v>44855.625</v>
      </c>
      <c r="T409" s="28">
        <v>0</v>
      </c>
      <c r="U409" s="28">
        <f>Tabla1[[#This Row],[PPTO]]/(1+'Lista Datos'!$B$1)</f>
        <v>0</v>
      </c>
      <c r="V409" s="23"/>
      <c r="W409" s="18" t="s">
        <v>11</v>
      </c>
      <c r="X409" s="102">
        <v>100000</v>
      </c>
      <c r="Y409" s="26">
        <v>44914</v>
      </c>
      <c r="Z409" s="18" t="s">
        <v>10</v>
      </c>
      <c r="AA409" s="23"/>
      <c r="AB409" s="23"/>
      <c r="AC409" s="23"/>
      <c r="AD409" s="23"/>
      <c r="AE409" s="29">
        <f>Tabla1[[#This Row],[Cierre]]+Tabla1[[#This Row],[Vigencia Oferta (días)]]</f>
        <v>44852.666666666664</v>
      </c>
      <c r="AF409" s="87"/>
      <c r="AG409" s="28"/>
      <c r="AH409" s="164">
        <f>Tabla1[[#This Row],[Unidades2]]*Tabla1[[#This Row],[Precio Unitario]]</f>
        <v>0</v>
      </c>
      <c r="AI409" s="23" t="s">
        <v>320</v>
      </c>
      <c r="AJ409" s="26">
        <v>44862</v>
      </c>
      <c r="AK409" s="172">
        <f>Tabla1[[#This Row],[Fecha Vigencia]]-AJ409</f>
        <v>-9.3333333333357587</v>
      </c>
      <c r="AL409" s="23"/>
      <c r="AM409" s="87"/>
      <c r="AN409" s="23"/>
      <c r="AO409" s="29"/>
      <c r="AP409" s="23" t="s">
        <v>177</v>
      </c>
      <c r="AQ409" s="34" t="s">
        <v>2272</v>
      </c>
      <c r="AR409" s="23" t="s">
        <v>10</v>
      </c>
      <c r="AS409" s="23"/>
      <c r="AT409" s="23"/>
      <c r="AU409" s="23"/>
      <c r="AV409" s="23"/>
      <c r="AW409" s="23" t="s">
        <v>2273</v>
      </c>
      <c r="AX409" t="s">
        <v>2274</v>
      </c>
      <c r="AY409" s="23"/>
      <c r="AZ409" s="23"/>
      <c r="BA409" s="23"/>
      <c r="BB409" s="32"/>
      <c r="BC409" s="73"/>
    </row>
    <row r="410" spans="1:55" x14ac:dyDescent="0.25">
      <c r="A410" s="22" t="s">
        <v>2275</v>
      </c>
      <c r="B410" s="23" t="s">
        <v>2276</v>
      </c>
      <c r="C410" s="23" t="s">
        <v>2277</v>
      </c>
      <c r="D410" s="34" t="s">
        <v>1828</v>
      </c>
      <c r="E410" s="24"/>
      <c r="F410" s="25"/>
      <c r="G410" s="23" t="s">
        <v>16</v>
      </c>
      <c r="H410" s="23" t="s">
        <v>1983</v>
      </c>
      <c r="I410" s="2">
        <v>44840.598263888889</v>
      </c>
      <c r="J410" s="24">
        <f>MONTH(Tabla1[[#This Row],[Publicación]])</f>
        <v>10</v>
      </c>
      <c r="K410" s="24">
        <f>YEAR(Tabla1[[#This Row],[Publicación]])</f>
        <v>2022</v>
      </c>
      <c r="L410" s="2">
        <v>44861.625694444447</v>
      </c>
      <c r="M410" s="26">
        <v>44842</v>
      </c>
      <c r="N410" s="25" t="s">
        <v>10</v>
      </c>
      <c r="O410" s="24" t="s">
        <v>35</v>
      </c>
      <c r="P410" s="24" t="s">
        <v>10</v>
      </c>
      <c r="Q410" s="2">
        <v>44846.625</v>
      </c>
      <c r="R410" s="2">
        <v>44854.708333333336</v>
      </c>
      <c r="S410" s="26">
        <v>44889.708333333336</v>
      </c>
      <c r="T410" s="28">
        <v>0</v>
      </c>
      <c r="U410" s="28">
        <f>Tabla1[[#This Row],[PPTO]]/(1+'Lista Datos'!$B$1)</f>
        <v>0</v>
      </c>
      <c r="V410" s="23"/>
      <c r="W410" s="18" t="s">
        <v>11</v>
      </c>
      <c r="X410" s="102">
        <v>2000000</v>
      </c>
      <c r="Y410" s="26">
        <v>44961</v>
      </c>
      <c r="Z410" s="18" t="s">
        <v>11</v>
      </c>
      <c r="AA410" s="23"/>
      <c r="AB410" s="23"/>
      <c r="AC410" s="23"/>
      <c r="AD410" s="23"/>
      <c r="AE410" s="29">
        <f>Tabla1[[#This Row],[Cierre]]+Tabla1[[#This Row],[Vigencia Oferta (días)]]</f>
        <v>44861.625694444447</v>
      </c>
      <c r="AF410" s="87"/>
      <c r="AG410" s="28"/>
      <c r="AH410" s="164">
        <f>Tabla1[[#This Row],[Unidades2]]*Tabla1[[#This Row],[Precio Unitario]]</f>
        <v>0</v>
      </c>
      <c r="AI410" s="23" t="s">
        <v>385</v>
      </c>
      <c r="AJ410" s="26"/>
      <c r="AK410" s="172">
        <f>Tabla1[[#This Row],[Fecha Vigencia]]-AJ410</f>
        <v>44861.625694444447</v>
      </c>
      <c r="AL410" s="23"/>
      <c r="AM410" s="87"/>
      <c r="AN410" s="23"/>
      <c r="AO410" s="29"/>
      <c r="AP410" s="23"/>
      <c r="AQ410" s="34" t="s">
        <v>995</v>
      </c>
      <c r="AR410" s="23" t="s">
        <v>11</v>
      </c>
      <c r="AS410" s="33">
        <v>0.1</v>
      </c>
      <c r="AT410" s="29">
        <v>45769</v>
      </c>
      <c r="AU410" s="23"/>
      <c r="AV410" s="23"/>
      <c r="AW410" s="23" t="s">
        <v>996</v>
      </c>
      <c r="AX410" t="s">
        <v>997</v>
      </c>
      <c r="AY410" s="23"/>
      <c r="AZ410" s="23"/>
      <c r="BA410" s="23"/>
      <c r="BB410" s="32"/>
      <c r="BC410" s="73"/>
    </row>
    <row r="411" spans="1:55" x14ac:dyDescent="0.25">
      <c r="A411" s="22" t="s">
        <v>2278</v>
      </c>
      <c r="B411" s="23" t="s">
        <v>2279</v>
      </c>
      <c r="C411" s="23" t="s">
        <v>2280</v>
      </c>
      <c r="D411" s="34" t="s">
        <v>2281</v>
      </c>
      <c r="E411" s="24"/>
      <c r="F411" s="25"/>
      <c r="G411" s="23" t="s">
        <v>16</v>
      </c>
      <c r="H411" s="23" t="s">
        <v>145</v>
      </c>
      <c r="I411" s="2">
        <v>44840.614756944444</v>
      </c>
      <c r="J411" s="24">
        <f>MONTH(Tabla1[[#This Row],[Publicación]])</f>
        <v>10</v>
      </c>
      <c r="K411" s="24">
        <f>YEAR(Tabla1[[#This Row],[Publicación]])</f>
        <v>2022</v>
      </c>
      <c r="L411" s="2">
        <v>44846.625</v>
      </c>
      <c r="M411" s="26">
        <v>44842</v>
      </c>
      <c r="N411" s="25" t="s">
        <v>10</v>
      </c>
      <c r="O411" s="24" t="s">
        <v>25</v>
      </c>
      <c r="P411" s="24" t="s">
        <v>10</v>
      </c>
      <c r="Q411" s="2">
        <v>44843.708333333336</v>
      </c>
      <c r="R411" s="2">
        <v>44844.708333333336</v>
      </c>
      <c r="S411" s="26">
        <v>44853.625694444447</v>
      </c>
      <c r="T411" s="28">
        <v>0</v>
      </c>
      <c r="U411" s="28">
        <f>Tabla1[[#This Row],[PPTO]]/(1+'Lista Datos'!$B$1)</f>
        <v>0</v>
      </c>
      <c r="V411" s="23"/>
      <c r="W411" s="18" t="s">
        <v>10</v>
      </c>
      <c r="X411" s="102"/>
      <c r="Y411" s="18" t="s">
        <v>146</v>
      </c>
      <c r="Z411" s="18" t="s">
        <v>10</v>
      </c>
      <c r="AA411" s="23"/>
      <c r="AB411" s="23"/>
      <c r="AC411" s="23"/>
      <c r="AD411" s="23"/>
      <c r="AE411" s="29">
        <f>Tabla1[[#This Row],[Cierre]]+Tabla1[[#This Row],[Vigencia Oferta (días)]]</f>
        <v>44846.625</v>
      </c>
      <c r="AF411" s="87"/>
      <c r="AG411" s="28"/>
      <c r="AH411" s="164">
        <f>Tabla1[[#This Row],[Unidades2]]*Tabla1[[#This Row],[Precio Unitario]]</f>
        <v>0</v>
      </c>
      <c r="AI411" s="23" t="s">
        <v>44</v>
      </c>
      <c r="AJ411" s="26">
        <v>44861</v>
      </c>
      <c r="AK411" s="172">
        <f>Tabla1[[#This Row],[Fecha Vigencia]]-AJ411</f>
        <v>-14.375</v>
      </c>
      <c r="AL411" s="23" t="s">
        <v>45</v>
      </c>
      <c r="AM411" s="87">
        <v>2000000</v>
      </c>
      <c r="AN411" s="23"/>
      <c r="AO411" s="29"/>
      <c r="AP411" s="23" t="s">
        <v>177</v>
      </c>
      <c r="AQ411" s="34" t="s">
        <v>2282</v>
      </c>
      <c r="AR411" s="23" t="s">
        <v>10</v>
      </c>
      <c r="AS411" s="23"/>
      <c r="AT411" s="23"/>
      <c r="AU411" s="23"/>
      <c r="AV411" s="23"/>
      <c r="AW411" s="23" t="s">
        <v>2283</v>
      </c>
      <c r="AX411" t="s">
        <v>2284</v>
      </c>
      <c r="AY411" s="23"/>
      <c r="AZ411" s="23"/>
      <c r="BA411" s="23"/>
      <c r="BB411" s="32"/>
      <c r="BC411" s="73"/>
    </row>
    <row r="412" spans="1:55" x14ac:dyDescent="0.25">
      <c r="A412" s="22" t="s">
        <v>2285</v>
      </c>
      <c r="B412" s="23" t="s">
        <v>2286</v>
      </c>
      <c r="C412" s="23" t="s">
        <v>2287</v>
      </c>
      <c r="D412" s="34" t="s">
        <v>122</v>
      </c>
      <c r="E412" s="24"/>
      <c r="F412" s="25"/>
      <c r="G412" s="23" t="s">
        <v>16</v>
      </c>
      <c r="H412" s="23" t="s">
        <v>1983</v>
      </c>
      <c r="I412" s="2">
        <v>44841.658368055556</v>
      </c>
      <c r="J412" s="24">
        <f>MONTH(Tabla1[[#This Row],[Publicación]])</f>
        <v>10</v>
      </c>
      <c r="K412" s="24">
        <f>YEAR(Tabla1[[#This Row],[Publicación]])</f>
        <v>2022</v>
      </c>
      <c r="L412" s="2">
        <v>44861.708333333336</v>
      </c>
      <c r="M412" s="26">
        <v>44842</v>
      </c>
      <c r="N412" s="25" t="s">
        <v>10</v>
      </c>
      <c r="O412" s="24" t="s">
        <v>25</v>
      </c>
      <c r="P412" s="24" t="s">
        <v>10</v>
      </c>
      <c r="Q412" s="2">
        <v>44851.708333333336</v>
      </c>
      <c r="R412" s="2">
        <v>44854.708333333336</v>
      </c>
      <c r="S412" s="26">
        <v>44931.708333333336</v>
      </c>
      <c r="T412" s="28">
        <v>0</v>
      </c>
      <c r="U412" s="28">
        <f>Tabla1[[#This Row],[PPTO]]/(1+'Lista Datos'!$B$1)</f>
        <v>0</v>
      </c>
      <c r="V412" s="23"/>
      <c r="W412" s="18" t="s">
        <v>11</v>
      </c>
      <c r="X412" s="102">
        <v>500000</v>
      </c>
      <c r="Y412" s="26">
        <v>44963</v>
      </c>
      <c r="Z412" s="18" t="s">
        <v>11</v>
      </c>
      <c r="AA412" s="23"/>
      <c r="AB412" s="23"/>
      <c r="AC412" s="23"/>
      <c r="AD412" s="23"/>
      <c r="AE412" s="29">
        <f>Tabla1[[#This Row],[Cierre]]+Tabla1[[#This Row],[Vigencia Oferta (días)]]</f>
        <v>44861.708333333336</v>
      </c>
      <c r="AF412" s="87"/>
      <c r="AG412" s="28"/>
      <c r="AH412" s="164">
        <f>Tabla1[[#This Row],[Unidades2]]*Tabla1[[#This Row],[Precio Unitario]]</f>
        <v>0</v>
      </c>
      <c r="AI412" s="23" t="s">
        <v>44</v>
      </c>
      <c r="AJ412" s="26">
        <v>45016.538229166668</v>
      </c>
      <c r="AK412" s="172">
        <f>Tabla1[[#This Row],[Fecha Vigencia]]-AJ412</f>
        <v>-154.82989583333256</v>
      </c>
      <c r="AL412" s="23" t="s">
        <v>45</v>
      </c>
      <c r="AM412" s="87">
        <v>194308513</v>
      </c>
      <c r="AN412" s="23"/>
      <c r="AO412" s="29"/>
      <c r="AP412" s="23"/>
      <c r="AQ412" s="34" t="s">
        <v>959</v>
      </c>
      <c r="AR412" s="23" t="s">
        <v>11</v>
      </c>
      <c r="AS412" s="33">
        <v>0.05</v>
      </c>
      <c r="AT412" s="29">
        <v>46155</v>
      </c>
      <c r="AU412" s="23"/>
      <c r="AV412" s="23"/>
      <c r="AW412" s="23" t="s">
        <v>1674</v>
      </c>
      <c r="AX412" t="s">
        <v>961</v>
      </c>
      <c r="AY412" s="23"/>
      <c r="AZ412" s="23"/>
      <c r="BA412" s="23"/>
      <c r="BB412" s="32"/>
      <c r="BC412" s="73"/>
    </row>
    <row r="413" spans="1:55" x14ac:dyDescent="0.25">
      <c r="A413" s="22" t="s">
        <v>2288</v>
      </c>
      <c r="B413" s="23" t="s">
        <v>2289</v>
      </c>
      <c r="C413" s="23" t="s">
        <v>2290</v>
      </c>
      <c r="D413" s="34" t="s">
        <v>122</v>
      </c>
      <c r="E413" s="24"/>
      <c r="F413" s="25"/>
      <c r="G413" s="23" t="s">
        <v>16</v>
      </c>
      <c r="H413" s="23" t="s">
        <v>213</v>
      </c>
      <c r="I413" s="2">
        <v>44845.69121527778</v>
      </c>
      <c r="J413" s="24">
        <f>MONTH(Tabla1[[#This Row],[Publicación]])</f>
        <v>10</v>
      </c>
      <c r="K413" s="24">
        <f>YEAR(Tabla1[[#This Row],[Publicación]])</f>
        <v>2022</v>
      </c>
      <c r="L413" s="2">
        <v>44867.708333333336</v>
      </c>
      <c r="M413" s="26">
        <v>44845</v>
      </c>
      <c r="N413" s="25" t="s">
        <v>10</v>
      </c>
      <c r="O413" s="24" t="s">
        <v>25</v>
      </c>
      <c r="P413" s="24" t="s">
        <v>10</v>
      </c>
      <c r="Q413" s="2">
        <v>44855.666666666664</v>
      </c>
      <c r="R413" s="2">
        <v>44859.708333333336</v>
      </c>
      <c r="S413" s="26">
        <v>44937.708333333336</v>
      </c>
      <c r="T413" s="27">
        <v>0</v>
      </c>
      <c r="U413" s="28">
        <f>Tabla1[[#This Row],[PPTO]]/(1+'Lista Datos'!$B$1)</f>
        <v>0</v>
      </c>
      <c r="V413" s="23"/>
      <c r="W413" s="18" t="s">
        <v>11</v>
      </c>
      <c r="X413" s="102">
        <v>500000</v>
      </c>
      <c r="Y413" s="26">
        <v>45112</v>
      </c>
      <c r="Z413" s="18" t="s">
        <v>10</v>
      </c>
      <c r="AA413" s="23"/>
      <c r="AB413" s="23"/>
      <c r="AC413" s="23"/>
      <c r="AD413" s="23"/>
      <c r="AE413" s="29">
        <f>Tabla1[[#This Row],[Cierre]]+Tabla1[[#This Row],[Vigencia Oferta (días)]]</f>
        <v>44867.708333333336</v>
      </c>
      <c r="AF413" s="87"/>
      <c r="AG413" s="28"/>
      <c r="AH413" s="164">
        <f>Tabla1[[#This Row],[Unidades2]]*Tabla1[[#This Row],[Precio Unitario]]</f>
        <v>0</v>
      </c>
      <c r="AI413" s="23" t="s">
        <v>44</v>
      </c>
      <c r="AJ413" s="26">
        <v>44895</v>
      </c>
      <c r="AK413" s="172">
        <f>Tabla1[[#This Row],[Fecha Vigencia]]-AJ413</f>
        <v>-27.291666666664241</v>
      </c>
      <c r="AL413" s="23" t="s">
        <v>46</v>
      </c>
      <c r="AM413" s="87">
        <v>58823402</v>
      </c>
      <c r="AN413" s="23"/>
      <c r="AO413" s="29"/>
      <c r="AP413" s="23" t="s">
        <v>177</v>
      </c>
      <c r="AQ413" s="34" t="s">
        <v>124</v>
      </c>
      <c r="AR413" s="23" t="s">
        <v>11</v>
      </c>
      <c r="AS413" s="33">
        <v>0.05</v>
      </c>
      <c r="AT413" s="29">
        <v>45767</v>
      </c>
      <c r="AU413" s="23"/>
      <c r="AV413" s="23"/>
      <c r="AW413" s="23" t="s">
        <v>2291</v>
      </c>
      <c r="AX413" t="s">
        <v>2292</v>
      </c>
      <c r="AY413" s="23"/>
      <c r="AZ413" s="23"/>
      <c r="BA413" s="23"/>
      <c r="BB413" s="32"/>
      <c r="BC413" s="73"/>
    </row>
    <row r="414" spans="1:55" x14ac:dyDescent="0.25">
      <c r="A414" s="22" t="s">
        <v>2293</v>
      </c>
      <c r="B414" s="23" t="s">
        <v>2294</v>
      </c>
      <c r="C414" s="23" t="s">
        <v>2295</v>
      </c>
      <c r="D414" s="34" t="s">
        <v>1813</v>
      </c>
      <c r="E414" s="24"/>
      <c r="F414" s="25"/>
      <c r="G414" s="23" t="s">
        <v>18</v>
      </c>
      <c r="H414" s="23" t="s">
        <v>213</v>
      </c>
      <c r="I414" s="2">
        <v>44839.430763888886</v>
      </c>
      <c r="J414" s="24">
        <f>MONTH(Tabla1[[#This Row],[Publicación]])</f>
        <v>10</v>
      </c>
      <c r="K414" s="24">
        <f>YEAR(Tabla1[[#This Row],[Publicación]])</f>
        <v>2022</v>
      </c>
      <c r="L414" s="2">
        <v>44851.675694444442</v>
      </c>
      <c r="M414" s="26">
        <v>44846</v>
      </c>
      <c r="N414" s="25" t="s">
        <v>10</v>
      </c>
      <c r="O414" s="24" t="s">
        <v>33</v>
      </c>
      <c r="P414" s="24" t="s">
        <v>10</v>
      </c>
      <c r="Q414" s="2">
        <v>44842.577777777777</v>
      </c>
      <c r="R414" s="2">
        <v>44845.577777777777</v>
      </c>
      <c r="S414" s="26">
        <v>44867.676388888889</v>
      </c>
      <c r="T414" s="28">
        <v>0</v>
      </c>
      <c r="U414" s="28">
        <f>Tabla1[[#This Row],[PPTO]]/(1+'Lista Datos'!$B$1)</f>
        <v>0</v>
      </c>
      <c r="V414" s="23"/>
      <c r="W414" s="18" t="s">
        <v>10</v>
      </c>
      <c r="X414" s="102"/>
      <c r="Y414" s="18" t="s">
        <v>146</v>
      </c>
      <c r="Z414" s="18" t="s">
        <v>10</v>
      </c>
      <c r="AA414" s="23"/>
      <c r="AB414" s="23"/>
      <c r="AC414" s="23"/>
      <c r="AD414" s="23"/>
      <c r="AE414" s="29">
        <f>Tabla1[[#This Row],[Cierre]]+Tabla1[[#This Row],[Vigencia Oferta (días)]]</f>
        <v>44851.675694444442</v>
      </c>
      <c r="AF414" s="87"/>
      <c r="AG414" s="28"/>
      <c r="AH414" s="164">
        <f>Tabla1[[#This Row],[Unidades2]]*Tabla1[[#This Row],[Precio Unitario]]</f>
        <v>0</v>
      </c>
      <c r="AI414" s="23" t="s">
        <v>137</v>
      </c>
      <c r="AJ414" s="26">
        <v>44880</v>
      </c>
      <c r="AK414" s="172">
        <f>Tabla1[[#This Row],[Fecha Vigencia]]-AJ414</f>
        <v>-28.324305555557657</v>
      </c>
      <c r="AL414" s="23"/>
      <c r="AM414" s="87"/>
      <c r="AN414" s="23"/>
      <c r="AO414" s="29"/>
      <c r="AP414" s="23"/>
      <c r="AQ414" s="34" t="s">
        <v>1814</v>
      </c>
      <c r="AR414" s="23" t="s">
        <v>11</v>
      </c>
      <c r="AS414" s="33">
        <v>0.05</v>
      </c>
      <c r="AT414" s="29">
        <v>45322</v>
      </c>
      <c r="AU414" s="23"/>
      <c r="AV414" s="23"/>
      <c r="AW414" s="23" t="s">
        <v>1815</v>
      </c>
      <c r="AX414" t="s">
        <v>459</v>
      </c>
      <c r="AY414" s="23"/>
      <c r="AZ414" s="23"/>
      <c r="BA414" s="23"/>
      <c r="BB414" s="32"/>
      <c r="BC414" s="73"/>
    </row>
    <row r="415" spans="1:55" x14ac:dyDescent="0.25">
      <c r="A415" s="22" t="s">
        <v>2296</v>
      </c>
      <c r="B415" s="23" t="s">
        <v>2297</v>
      </c>
      <c r="C415" s="23" t="s">
        <v>2298</v>
      </c>
      <c r="D415" s="34" t="s">
        <v>1917</v>
      </c>
      <c r="E415" s="24"/>
      <c r="F415" s="25"/>
      <c r="G415" s="23" t="s">
        <v>21</v>
      </c>
      <c r="H415" s="23" t="s">
        <v>106</v>
      </c>
      <c r="I415" s="2">
        <v>44842.49490740741</v>
      </c>
      <c r="J415" s="24">
        <f>MONTH(Tabla1[[#This Row],[Publicación]])</f>
        <v>10</v>
      </c>
      <c r="K415" s="24">
        <f>YEAR(Tabla1[[#This Row],[Publicación]])</f>
        <v>2022</v>
      </c>
      <c r="L415" s="2">
        <v>44854.625</v>
      </c>
      <c r="M415" s="26">
        <v>44846</v>
      </c>
      <c r="N415" s="25" t="s">
        <v>10</v>
      </c>
      <c r="O415" s="24" t="s">
        <v>28</v>
      </c>
      <c r="P415" s="24" t="s">
        <v>10</v>
      </c>
      <c r="Q415" s="2">
        <v>44847.625</v>
      </c>
      <c r="R415" s="2">
        <v>44851.625</v>
      </c>
      <c r="S415" s="26">
        <v>44915.625</v>
      </c>
      <c r="T415" s="28">
        <v>0</v>
      </c>
      <c r="U415" s="28">
        <f>Tabla1[[#This Row],[PPTO]]/(1+'Lista Datos'!$B$1)</f>
        <v>0</v>
      </c>
      <c r="V415" s="23"/>
      <c r="W415" s="18" t="s">
        <v>10</v>
      </c>
      <c r="X415" s="102"/>
      <c r="Y415" s="18" t="s">
        <v>146</v>
      </c>
      <c r="Z415" s="18" t="s">
        <v>10</v>
      </c>
      <c r="AA415" s="23"/>
      <c r="AB415" s="23"/>
      <c r="AC415" s="23"/>
      <c r="AD415" s="23"/>
      <c r="AE415" s="29">
        <f>Tabla1[[#This Row],[Cierre]]+Tabla1[[#This Row],[Vigencia Oferta (días)]]</f>
        <v>44854.625</v>
      </c>
      <c r="AF415" s="87"/>
      <c r="AG415" s="28"/>
      <c r="AH415" s="164">
        <f>Tabla1[[#This Row],[Unidades2]]*Tabla1[[#This Row],[Precio Unitario]]</f>
        <v>0</v>
      </c>
      <c r="AI415" s="23" t="s">
        <v>44</v>
      </c>
      <c r="AJ415" s="26">
        <v>44893</v>
      </c>
      <c r="AK415" s="172">
        <f>Tabla1[[#This Row],[Fecha Vigencia]]-AJ415</f>
        <v>-38.375</v>
      </c>
      <c r="AL415" s="23" t="s">
        <v>46</v>
      </c>
      <c r="AM415" s="87">
        <v>44386476</v>
      </c>
      <c r="AN415" s="23"/>
      <c r="AO415" s="29"/>
      <c r="AP415" s="23" t="s">
        <v>177</v>
      </c>
      <c r="AQ415" s="34" t="s">
        <v>1918</v>
      </c>
      <c r="AR415" s="23" t="s">
        <v>11</v>
      </c>
      <c r="AS415" s="33">
        <v>0.1</v>
      </c>
      <c r="AT415" s="29">
        <v>45343</v>
      </c>
      <c r="AU415" s="23"/>
      <c r="AV415" s="23"/>
      <c r="AW415" s="23" t="s">
        <v>2299</v>
      </c>
      <c r="AX415" t="s">
        <v>1920</v>
      </c>
      <c r="AY415" s="23"/>
      <c r="AZ415" s="23"/>
      <c r="BA415" s="23"/>
      <c r="BB415" s="32"/>
      <c r="BC415" s="73"/>
    </row>
    <row r="416" spans="1:55" x14ac:dyDescent="0.25">
      <c r="A416" s="22" t="s">
        <v>2300</v>
      </c>
      <c r="B416" s="23" t="s">
        <v>2301</v>
      </c>
      <c r="C416" s="23" t="s">
        <v>1630</v>
      </c>
      <c r="D416" s="34" t="s">
        <v>1533</v>
      </c>
      <c r="E416" s="24"/>
      <c r="F416" s="25"/>
      <c r="G416" s="23" t="s">
        <v>16</v>
      </c>
      <c r="H416" s="23" t="s">
        <v>123</v>
      </c>
      <c r="I416" s="2">
        <v>44846.636111111111</v>
      </c>
      <c r="J416" s="24">
        <f>MONTH(Tabla1[[#This Row],[Publicación]])</f>
        <v>10</v>
      </c>
      <c r="K416" s="24">
        <f>YEAR(Tabla1[[#This Row],[Publicación]])</f>
        <v>2022</v>
      </c>
      <c r="L416" s="2">
        <v>44867.752083333333</v>
      </c>
      <c r="M416" s="26"/>
      <c r="N416" s="25" t="s">
        <v>10</v>
      </c>
      <c r="O416" s="24" t="s">
        <v>35</v>
      </c>
      <c r="P416" s="24" t="s">
        <v>10</v>
      </c>
      <c r="Q416" s="2">
        <v>44856.383333333331</v>
      </c>
      <c r="R416" s="2">
        <v>44862.708333333336</v>
      </c>
      <c r="S416" s="26">
        <v>44907.666666666664</v>
      </c>
      <c r="T416" s="27">
        <v>0</v>
      </c>
      <c r="U416" s="28">
        <f>Tabla1[[#This Row],[PPTO]]/(1+'Lista Datos'!$B$1)</f>
        <v>0</v>
      </c>
      <c r="V416" s="23"/>
      <c r="W416" s="18" t="s">
        <v>11</v>
      </c>
      <c r="X416" s="102">
        <v>1000000</v>
      </c>
      <c r="Y416" s="26">
        <v>45201</v>
      </c>
      <c r="Z416" s="18" t="s">
        <v>10</v>
      </c>
      <c r="AA416" s="23"/>
      <c r="AB416" s="23"/>
      <c r="AC416" s="23"/>
      <c r="AD416" s="23"/>
      <c r="AE416" s="29">
        <f>Tabla1[[#This Row],[Cierre]]+Tabla1[[#This Row],[Vigencia Oferta (días)]]</f>
        <v>44867.752083333333</v>
      </c>
      <c r="AF416" s="87"/>
      <c r="AG416" s="28"/>
      <c r="AH416" s="164">
        <f>Tabla1[[#This Row],[Unidades2]]*Tabla1[[#This Row],[Precio Unitario]]</f>
        <v>0</v>
      </c>
      <c r="AI416" s="23" t="s">
        <v>137</v>
      </c>
      <c r="AJ416" s="26">
        <v>44867</v>
      </c>
      <c r="AK416" s="172">
        <f>Tabla1[[#This Row],[Fecha Vigencia]]-AJ416</f>
        <v>0.75208333333284827</v>
      </c>
      <c r="AL416" s="23"/>
      <c r="AM416" s="87"/>
      <c r="AN416" s="23"/>
      <c r="AO416" s="29"/>
      <c r="AP416" s="23"/>
      <c r="AQ416" s="34" t="s">
        <v>1534</v>
      </c>
      <c r="AR416" s="23" t="s">
        <v>11</v>
      </c>
      <c r="AS416" s="33">
        <v>0.1</v>
      </c>
      <c r="AT416" s="29">
        <v>45786</v>
      </c>
      <c r="AU416" s="23"/>
      <c r="AV416" s="23"/>
      <c r="AW416" s="23" t="s">
        <v>1535</v>
      </c>
      <c r="AX416" t="s">
        <v>1536</v>
      </c>
      <c r="AY416" s="23"/>
      <c r="AZ416" s="23"/>
      <c r="BA416" s="23"/>
      <c r="BB416" s="32"/>
      <c r="BC416" s="73"/>
    </row>
    <row r="417" spans="1:55" x14ac:dyDescent="0.25">
      <c r="A417" s="22" t="s">
        <v>2302</v>
      </c>
      <c r="B417" s="23" t="s">
        <v>2303</v>
      </c>
      <c r="C417" s="23" t="s">
        <v>2304</v>
      </c>
      <c r="D417" s="34" t="s">
        <v>153</v>
      </c>
      <c r="E417" s="24"/>
      <c r="F417" s="25"/>
      <c r="G417" s="23" t="s">
        <v>21</v>
      </c>
      <c r="H417" s="23" t="s">
        <v>106</v>
      </c>
      <c r="I417" s="2">
        <v>44847.368298611109</v>
      </c>
      <c r="J417" s="24">
        <f>MONTH(Tabla1[[#This Row],[Publicación]])</f>
        <v>10</v>
      </c>
      <c r="K417" s="24">
        <f>YEAR(Tabla1[[#This Row],[Publicación]])</f>
        <v>2022</v>
      </c>
      <c r="L417" s="2">
        <v>44858.625694444447</v>
      </c>
      <c r="M417" s="26">
        <v>44847</v>
      </c>
      <c r="N417" s="25" t="s">
        <v>10</v>
      </c>
      <c r="O417" s="24" t="s">
        <v>27</v>
      </c>
      <c r="P417" s="24" t="s">
        <v>10</v>
      </c>
      <c r="Q417" s="2">
        <v>44853.375</v>
      </c>
      <c r="R417" s="2">
        <v>44855.791666666664</v>
      </c>
      <c r="S417" s="26">
        <v>44949.791666666664</v>
      </c>
      <c r="T417" s="28">
        <v>0</v>
      </c>
      <c r="U417" s="28">
        <f>Tabla1[[#This Row],[PPTO]]/(1+'Lista Datos'!$B$1)</f>
        <v>0</v>
      </c>
      <c r="V417" s="23"/>
      <c r="W417" s="18" t="s">
        <v>10</v>
      </c>
      <c r="X417" s="102"/>
      <c r="Y417" s="18" t="s">
        <v>146</v>
      </c>
      <c r="Z417" s="18" t="s">
        <v>10</v>
      </c>
      <c r="AA417" s="23"/>
      <c r="AB417" s="23"/>
      <c r="AC417" s="23"/>
      <c r="AD417" s="23"/>
      <c r="AE417" s="29">
        <f>Tabla1[[#This Row],[Cierre]]+Tabla1[[#This Row],[Vigencia Oferta (días)]]</f>
        <v>44858.625694444447</v>
      </c>
      <c r="AF417" s="87"/>
      <c r="AG417" s="28"/>
      <c r="AH417" s="164">
        <f>Tabla1[[#This Row],[Unidades2]]*Tabla1[[#This Row],[Precio Unitario]]</f>
        <v>0</v>
      </c>
      <c r="AI417" s="23" t="s">
        <v>44</v>
      </c>
      <c r="AJ417" s="26">
        <v>44875</v>
      </c>
      <c r="AK417" s="172">
        <f>Tabla1[[#This Row],[Fecha Vigencia]]-AJ417</f>
        <v>-16.374305555553292</v>
      </c>
      <c r="AL417" s="23" t="s">
        <v>46</v>
      </c>
      <c r="AM417" s="87">
        <v>2350000</v>
      </c>
      <c r="AN417" s="23"/>
      <c r="AO417" s="29"/>
      <c r="AP417" s="23" t="s">
        <v>292</v>
      </c>
      <c r="AQ417" s="34" t="s">
        <v>154</v>
      </c>
      <c r="AR417" s="23" t="s">
        <v>10</v>
      </c>
      <c r="AS417" s="23"/>
      <c r="AT417" s="23"/>
      <c r="AU417" s="23"/>
      <c r="AV417" s="23"/>
      <c r="AW417" s="23" t="s">
        <v>1515</v>
      </c>
      <c r="AX417" t="s">
        <v>156</v>
      </c>
      <c r="AY417" s="23"/>
      <c r="AZ417" s="23"/>
      <c r="BA417" s="23"/>
      <c r="BB417" s="32"/>
      <c r="BC417" s="73"/>
    </row>
    <row r="418" spans="1:55" x14ac:dyDescent="0.25">
      <c r="A418" s="22" t="s">
        <v>2305</v>
      </c>
      <c r="B418" s="23" t="s">
        <v>2306</v>
      </c>
      <c r="C418" s="23" t="s">
        <v>2307</v>
      </c>
      <c r="D418" s="34" t="s">
        <v>2307</v>
      </c>
      <c r="E418" s="24"/>
      <c r="F418" s="25"/>
      <c r="G418" s="23" t="s">
        <v>21</v>
      </c>
      <c r="H418" s="23" t="s">
        <v>106</v>
      </c>
      <c r="I418" s="2">
        <v>44848.483634259261</v>
      </c>
      <c r="J418" s="24">
        <f>MONTH(Tabla1[[#This Row],[Publicación]])</f>
        <v>10</v>
      </c>
      <c r="K418" s="24">
        <f>YEAR(Tabla1[[#This Row],[Publicación]])</f>
        <v>2022</v>
      </c>
      <c r="L418" s="2">
        <v>44858.666666666664</v>
      </c>
      <c r="M418" s="26">
        <v>44851</v>
      </c>
      <c r="N418" s="25" t="s">
        <v>10</v>
      </c>
      <c r="O418" s="24" t="s">
        <v>35</v>
      </c>
      <c r="P418" s="24" t="s">
        <v>10</v>
      </c>
      <c r="Q418" s="2">
        <v>44853.5</v>
      </c>
      <c r="R418" s="2">
        <v>44855.666666666664</v>
      </c>
      <c r="S418" s="26">
        <v>44895.62777777778</v>
      </c>
      <c r="T418" s="28">
        <v>0</v>
      </c>
      <c r="U418" s="28">
        <f>Tabla1[[#This Row],[PPTO]]/(1+'Lista Datos'!$B$1)</f>
        <v>0</v>
      </c>
      <c r="V418" s="23"/>
      <c r="W418" s="18" t="s">
        <v>10</v>
      </c>
      <c r="X418" s="102"/>
      <c r="Y418" s="18" t="s">
        <v>146</v>
      </c>
      <c r="Z418" s="18" t="s">
        <v>10</v>
      </c>
      <c r="AA418" s="23" t="s">
        <v>177</v>
      </c>
      <c r="AB418" s="23">
        <v>24</v>
      </c>
      <c r="AC418" s="23" t="s">
        <v>10</v>
      </c>
      <c r="AD418" s="23">
        <v>180</v>
      </c>
      <c r="AE418" s="29">
        <f>Tabla1[[#This Row],[Cierre]]+Tabla1[[#This Row],[Vigencia Oferta (días)]]</f>
        <v>45038.666666666664</v>
      </c>
      <c r="AF418" s="87"/>
      <c r="AG418" s="28"/>
      <c r="AH418" s="164">
        <f>Tabla1[[#This Row],[Unidades2]]*Tabla1[[#This Row],[Precio Unitario]]</f>
        <v>0</v>
      </c>
      <c r="AI418" s="23" t="s">
        <v>44</v>
      </c>
      <c r="AJ418" s="26">
        <v>44880</v>
      </c>
      <c r="AK418" s="172">
        <f>Tabla1[[#This Row],[Fecha Vigencia]]-AJ418</f>
        <v>158.66666666666424</v>
      </c>
      <c r="AL418" s="23" t="s">
        <v>46</v>
      </c>
      <c r="AM418" s="87">
        <v>2890000</v>
      </c>
      <c r="AN418" s="23"/>
      <c r="AO418" s="29"/>
      <c r="AP418" s="23" t="s">
        <v>177</v>
      </c>
      <c r="AQ418" s="34" t="s">
        <v>392</v>
      </c>
      <c r="AR418" s="23" t="s">
        <v>11</v>
      </c>
      <c r="AS418" s="33">
        <v>0.1</v>
      </c>
      <c r="AT418" s="29">
        <v>45699</v>
      </c>
      <c r="AU418" s="23"/>
      <c r="AV418" s="23"/>
      <c r="AW418" s="23" t="s">
        <v>333</v>
      </c>
      <c r="AX418" t="s">
        <v>394</v>
      </c>
      <c r="AY418" s="23"/>
      <c r="AZ418" s="23"/>
      <c r="BA418" s="23"/>
      <c r="BB418" s="32"/>
      <c r="BC418" s="73"/>
    </row>
    <row r="419" spans="1:55" x14ac:dyDescent="0.25">
      <c r="A419" s="22" t="s">
        <v>2308</v>
      </c>
      <c r="B419" s="23" t="s">
        <v>2309</v>
      </c>
      <c r="C419" s="23" t="s">
        <v>2310</v>
      </c>
      <c r="D419" s="34" t="s">
        <v>2311</v>
      </c>
      <c r="E419" s="24"/>
      <c r="F419" s="25"/>
      <c r="G419" s="23" t="s">
        <v>21</v>
      </c>
      <c r="H419" s="23" t="s">
        <v>106</v>
      </c>
      <c r="I419" s="2">
        <v>44851.677731481483</v>
      </c>
      <c r="J419" s="24">
        <f>MONTH(Tabla1[[#This Row],[Publicación]])</f>
        <v>10</v>
      </c>
      <c r="K419" s="24">
        <f>YEAR(Tabla1[[#This Row],[Publicación]])</f>
        <v>2022</v>
      </c>
      <c r="L419" s="2">
        <v>44886.625</v>
      </c>
      <c r="M419" s="26">
        <v>44852</v>
      </c>
      <c r="N419" s="25" t="s">
        <v>10</v>
      </c>
      <c r="O419" s="24" t="s">
        <v>29</v>
      </c>
      <c r="P419" s="24" t="s">
        <v>10</v>
      </c>
      <c r="Q419" s="2">
        <v>44861.625</v>
      </c>
      <c r="R419" s="2">
        <v>44867.75</v>
      </c>
      <c r="S419" s="26">
        <v>44904.75</v>
      </c>
      <c r="T419" s="28">
        <v>0</v>
      </c>
      <c r="U419" s="28">
        <f>Tabla1[[#This Row],[PPTO]]/(1+'Lista Datos'!$B$1)</f>
        <v>0</v>
      </c>
      <c r="V419" s="23"/>
      <c r="W419" s="18" t="s">
        <v>11</v>
      </c>
      <c r="X419" s="102">
        <v>500000</v>
      </c>
      <c r="Y419" s="26">
        <v>44972</v>
      </c>
      <c r="Z419" s="18" t="s">
        <v>10</v>
      </c>
      <c r="AA419" s="23"/>
      <c r="AB419" s="23"/>
      <c r="AC419" s="23"/>
      <c r="AD419" s="23"/>
      <c r="AE419" s="29">
        <f>Tabla1[[#This Row],[Cierre]]+Tabla1[[#This Row],[Vigencia Oferta (días)]]</f>
        <v>44886.625</v>
      </c>
      <c r="AF419" s="87"/>
      <c r="AG419" s="28"/>
      <c r="AH419" s="164">
        <f>Tabla1[[#This Row],[Unidades2]]*Tabla1[[#This Row],[Precio Unitario]]</f>
        <v>0</v>
      </c>
      <c r="AI419" s="23" t="s">
        <v>137</v>
      </c>
      <c r="AJ419" s="26">
        <v>44900</v>
      </c>
      <c r="AK419" s="172">
        <f>Tabla1[[#This Row],[Fecha Vigencia]]-AJ419</f>
        <v>-13.375</v>
      </c>
      <c r="AL419" s="23"/>
      <c r="AM419" s="87"/>
      <c r="AN419" s="23"/>
      <c r="AO419" s="29"/>
      <c r="AP419" s="23" t="s">
        <v>292</v>
      </c>
      <c r="AQ419" s="34" t="s">
        <v>2312</v>
      </c>
      <c r="AR419" s="23" t="s">
        <v>11</v>
      </c>
      <c r="AS419" s="33">
        <v>0.1</v>
      </c>
      <c r="AT419" s="29">
        <v>45742</v>
      </c>
      <c r="AU419" s="23"/>
      <c r="AV419" s="23"/>
      <c r="AW419" s="23" t="s">
        <v>2313</v>
      </c>
      <c r="AX419" t="s">
        <v>2314</v>
      </c>
      <c r="AY419" s="23"/>
      <c r="AZ419" s="23"/>
      <c r="BA419" s="23"/>
      <c r="BB419" s="32"/>
      <c r="BC419" s="73"/>
    </row>
    <row r="420" spans="1:55" x14ac:dyDescent="0.25">
      <c r="A420" s="22" t="s">
        <v>2315</v>
      </c>
      <c r="B420" s="23" t="s">
        <v>2316</v>
      </c>
      <c r="C420" s="23" t="s">
        <v>2317</v>
      </c>
      <c r="D420" s="23" t="s">
        <v>2318</v>
      </c>
      <c r="E420" s="24"/>
      <c r="F420" s="25"/>
      <c r="G420" s="23" t="s">
        <v>20</v>
      </c>
      <c r="H420" s="23" t="s">
        <v>176</v>
      </c>
      <c r="I420" s="2">
        <v>44848.531608796293</v>
      </c>
      <c r="J420" s="24">
        <f>MONTH(Tabla1[[#This Row],[Publicación]])</f>
        <v>10</v>
      </c>
      <c r="K420" s="24">
        <f>YEAR(Tabla1[[#This Row],[Publicación]])</f>
        <v>2022</v>
      </c>
      <c r="L420" s="2">
        <v>44858.666666666664</v>
      </c>
      <c r="M420" s="26">
        <v>44852</v>
      </c>
      <c r="N420" s="25" t="s">
        <v>11</v>
      </c>
      <c r="O420" s="24"/>
      <c r="P420" s="24" t="s">
        <v>11</v>
      </c>
      <c r="Q420" s="2">
        <v>44852.5</v>
      </c>
      <c r="R420" s="2">
        <v>44853.663194444445</v>
      </c>
      <c r="S420" s="26">
        <v>44902.806944444441</v>
      </c>
      <c r="T420" s="28">
        <v>0</v>
      </c>
      <c r="U420" s="28">
        <f>Tabla1[[#This Row],[PPTO]]/(1+'Lista Datos'!$B$1)</f>
        <v>0</v>
      </c>
      <c r="V420" s="23"/>
      <c r="W420" s="18" t="s">
        <v>10</v>
      </c>
      <c r="X420" s="102"/>
      <c r="Y420" s="18" t="s">
        <v>146</v>
      </c>
      <c r="Z420" s="18" t="s">
        <v>10</v>
      </c>
      <c r="AA420" s="23" t="s">
        <v>177</v>
      </c>
      <c r="AB420" s="23"/>
      <c r="AC420" s="23" t="s">
        <v>10</v>
      </c>
      <c r="AD420" s="23"/>
      <c r="AE420" s="29">
        <f>Tabla1[[#This Row],[Cierre]]+Tabla1[[#This Row],[Vigencia Oferta (días)]]</f>
        <v>44858.666666666664</v>
      </c>
      <c r="AF420" s="87"/>
      <c r="AG420" s="28"/>
      <c r="AH420" s="164">
        <f>Tabla1[[#This Row],[Unidades2]]*Tabla1[[#This Row],[Precio Unitario]]</f>
        <v>0</v>
      </c>
      <c r="AI420" s="23" t="s">
        <v>44</v>
      </c>
      <c r="AJ420" s="26">
        <v>44902</v>
      </c>
      <c r="AK420" s="172">
        <f>Tabla1[[#This Row],[Fecha Vigencia]]-AJ420</f>
        <v>-43.333333333335759</v>
      </c>
      <c r="AL420" s="23" t="s">
        <v>45</v>
      </c>
      <c r="AM420" s="87">
        <v>308000</v>
      </c>
      <c r="AN420" s="23"/>
      <c r="AO420" s="29"/>
      <c r="AP420" s="23" t="s">
        <v>177</v>
      </c>
      <c r="AQ420" s="34" t="s">
        <v>2319</v>
      </c>
      <c r="AR420" s="23" t="s">
        <v>10</v>
      </c>
      <c r="AS420" s="23"/>
      <c r="AT420" s="23"/>
      <c r="AU420" s="23"/>
      <c r="AV420" s="23"/>
      <c r="AW420" s="23" t="s">
        <v>2320</v>
      </c>
      <c r="AX420" t="s">
        <v>2321</v>
      </c>
      <c r="AY420" s="23"/>
      <c r="AZ420" s="23"/>
      <c r="BA420" s="23"/>
      <c r="BB420" s="32"/>
      <c r="BC420" s="73"/>
    </row>
    <row r="421" spans="1:55" x14ac:dyDescent="0.25">
      <c r="A421" s="22" t="s">
        <v>2322</v>
      </c>
      <c r="B421" s="23" t="s">
        <v>2323</v>
      </c>
      <c r="C421" s="23" t="s">
        <v>2324</v>
      </c>
      <c r="D421" s="34" t="s">
        <v>1533</v>
      </c>
      <c r="E421" s="24"/>
      <c r="F421" s="25"/>
      <c r="G421" s="23" t="s">
        <v>21</v>
      </c>
      <c r="H421" s="23" t="s">
        <v>106</v>
      </c>
      <c r="I421" s="2">
        <v>44848.452847222223</v>
      </c>
      <c r="J421" s="24">
        <f>MONTH(Tabla1[[#This Row],[Publicación]])</f>
        <v>10</v>
      </c>
      <c r="K421" s="24">
        <f>YEAR(Tabla1[[#This Row],[Publicación]])</f>
        <v>2022</v>
      </c>
      <c r="L421" s="2">
        <v>44868.811111111114</v>
      </c>
      <c r="M421" s="26">
        <v>44852</v>
      </c>
      <c r="N421" s="25" t="s">
        <v>11</v>
      </c>
      <c r="O421" s="24"/>
      <c r="P421" s="24" t="s">
        <v>11</v>
      </c>
      <c r="Q421" s="2">
        <v>44858.385416666664</v>
      </c>
      <c r="R421" s="2">
        <v>44862.708333333336</v>
      </c>
      <c r="S421" s="26">
        <v>44907.708333333336</v>
      </c>
      <c r="T421" s="28">
        <v>0</v>
      </c>
      <c r="U421" s="28">
        <f>Tabla1[[#This Row],[PPTO]]/(1+'Lista Datos'!$B$1)</f>
        <v>0</v>
      </c>
      <c r="V421" s="23">
        <v>30</v>
      </c>
      <c r="W421" s="18" t="s">
        <v>11</v>
      </c>
      <c r="X421" s="102">
        <v>1000000</v>
      </c>
      <c r="Y421" s="26">
        <v>44968</v>
      </c>
      <c r="Z421" s="18" t="s">
        <v>10</v>
      </c>
      <c r="AA421" s="23" t="s">
        <v>177</v>
      </c>
      <c r="AB421" s="23">
        <v>12</v>
      </c>
      <c r="AC421" s="23" t="s">
        <v>10</v>
      </c>
      <c r="AD421" s="23">
        <v>100</v>
      </c>
      <c r="AE421" s="29">
        <f>Tabla1[[#This Row],[Cierre]]+Tabla1[[#This Row],[Vigencia Oferta (días)]]</f>
        <v>44968.811111111114</v>
      </c>
      <c r="AF421" s="87"/>
      <c r="AG421" s="28"/>
      <c r="AH421" s="164">
        <f>Tabla1[[#This Row],[Unidades2]]*Tabla1[[#This Row],[Precio Unitario]]</f>
        <v>0</v>
      </c>
      <c r="AI421" s="23" t="s">
        <v>137</v>
      </c>
      <c r="AJ421" s="26">
        <v>44876</v>
      </c>
      <c r="AK421" s="172">
        <f>Tabla1[[#This Row],[Fecha Vigencia]]-AJ421</f>
        <v>92.81111111111386</v>
      </c>
      <c r="AL421" s="23"/>
      <c r="AM421" s="87"/>
      <c r="AN421" s="23"/>
      <c r="AO421" s="29"/>
      <c r="AP421" s="23" t="s">
        <v>177</v>
      </c>
      <c r="AQ421" s="34" t="s">
        <v>1534</v>
      </c>
      <c r="AR421" s="23" t="s">
        <v>11</v>
      </c>
      <c r="AS421" s="33">
        <v>0.1</v>
      </c>
      <c r="AT421" s="29">
        <v>45417</v>
      </c>
      <c r="AU421" s="23"/>
      <c r="AV421" s="23"/>
      <c r="AW421" s="23" t="s">
        <v>2325</v>
      </c>
      <c r="AX421" t="s">
        <v>2326</v>
      </c>
      <c r="AY421" s="23"/>
      <c r="AZ421" s="23"/>
      <c r="BA421" s="23"/>
      <c r="BB421" s="32"/>
      <c r="BC421" s="73"/>
    </row>
    <row r="422" spans="1:55" x14ac:dyDescent="0.25">
      <c r="A422" s="22" t="s">
        <v>2327</v>
      </c>
      <c r="B422" s="23" t="s">
        <v>2328</v>
      </c>
      <c r="C422" s="23" t="s">
        <v>2329</v>
      </c>
      <c r="D422" s="34" t="s">
        <v>943</v>
      </c>
      <c r="E422" s="24"/>
      <c r="F422" s="25"/>
      <c r="G422" s="23" t="s">
        <v>16</v>
      </c>
      <c r="H422" s="23" t="s">
        <v>145</v>
      </c>
      <c r="I422" s="2">
        <v>44848.657638888886</v>
      </c>
      <c r="J422" s="24">
        <f>MONTH(Tabla1[[#This Row],[Publicación]])</f>
        <v>10</v>
      </c>
      <c r="K422" s="24">
        <f>YEAR(Tabla1[[#This Row],[Publicación]])</f>
        <v>2022</v>
      </c>
      <c r="L422" s="2">
        <v>44855.734027777777</v>
      </c>
      <c r="M422" s="26">
        <v>44853</v>
      </c>
      <c r="N422" s="25" t="s">
        <v>10</v>
      </c>
      <c r="O422" s="24" t="s">
        <v>25</v>
      </c>
      <c r="P422" s="24" t="s">
        <v>10</v>
      </c>
      <c r="Q422" s="2">
        <v>44851.817361111112</v>
      </c>
      <c r="R422" s="2">
        <v>44852.817361111112</v>
      </c>
      <c r="S422" s="26">
        <v>44886.734722222223</v>
      </c>
      <c r="T422" s="28">
        <v>0</v>
      </c>
      <c r="U422" s="28">
        <f>Tabla1[[#This Row],[PPTO]]/(1+'Lista Datos'!$B$1)</f>
        <v>0</v>
      </c>
      <c r="V422" s="23"/>
      <c r="W422" s="18" t="s">
        <v>10</v>
      </c>
      <c r="X422" s="102"/>
      <c r="Y422" s="18" t="s">
        <v>146</v>
      </c>
      <c r="Z422" s="18" t="s">
        <v>10</v>
      </c>
      <c r="AA422" s="23"/>
      <c r="AB422" s="23"/>
      <c r="AC422" s="23"/>
      <c r="AD422" s="23"/>
      <c r="AE422" s="29">
        <f>Tabla1[[#This Row],[Cierre]]+Tabla1[[#This Row],[Vigencia Oferta (días)]]</f>
        <v>44855.734027777777</v>
      </c>
      <c r="AF422" s="87"/>
      <c r="AG422" s="28"/>
      <c r="AH422" s="164">
        <f>Tabla1[[#This Row],[Unidades2]]*Tabla1[[#This Row],[Precio Unitario]]</f>
        <v>0</v>
      </c>
      <c r="AI422" s="23" t="s">
        <v>44</v>
      </c>
      <c r="AJ422" s="26">
        <v>44862</v>
      </c>
      <c r="AK422" s="172">
        <f>Tabla1[[#This Row],[Fecha Vigencia]]-AJ422</f>
        <v>-6.265972222223354</v>
      </c>
      <c r="AL422" s="23" t="s">
        <v>46</v>
      </c>
      <c r="AM422" s="87">
        <v>200000</v>
      </c>
      <c r="AN422" s="23"/>
      <c r="AO422" s="29"/>
      <c r="AP422" s="23" t="s">
        <v>292</v>
      </c>
      <c r="AQ422" s="34" t="s">
        <v>944</v>
      </c>
      <c r="AR422" s="23" t="s">
        <v>10</v>
      </c>
      <c r="AS422" s="23"/>
      <c r="AT422" s="23"/>
      <c r="AU422" s="23"/>
      <c r="AV422" s="23"/>
      <c r="AW422" s="23" t="s">
        <v>2330</v>
      </c>
      <c r="AX422" t="s">
        <v>2331</v>
      </c>
      <c r="AY422" s="23"/>
      <c r="AZ422" s="23"/>
      <c r="BA422" s="23"/>
      <c r="BB422" s="32"/>
      <c r="BC422" s="73"/>
    </row>
    <row r="423" spans="1:55" x14ac:dyDescent="0.25">
      <c r="A423" s="22" t="s">
        <v>2332</v>
      </c>
      <c r="B423" s="23" t="s">
        <v>2333</v>
      </c>
      <c r="C423" s="23" t="s">
        <v>2334</v>
      </c>
      <c r="D423" s="34" t="s">
        <v>2261</v>
      </c>
      <c r="E423" s="24"/>
      <c r="F423" s="25"/>
      <c r="G423" s="23" t="s">
        <v>16</v>
      </c>
      <c r="H423" s="23" t="s">
        <v>345</v>
      </c>
      <c r="I423" s="2">
        <v>44848.707314814812</v>
      </c>
      <c r="J423" s="24">
        <f>MONTH(Tabla1[[#This Row],[Publicación]])</f>
        <v>10</v>
      </c>
      <c r="K423" s="24">
        <f>YEAR(Tabla1[[#This Row],[Publicación]])</f>
        <v>2022</v>
      </c>
      <c r="L423" s="2">
        <v>44855.645833333336</v>
      </c>
      <c r="M423" s="26">
        <v>44853</v>
      </c>
      <c r="N423" s="25" t="s">
        <v>10</v>
      </c>
      <c r="O423" s="24" t="s">
        <v>27</v>
      </c>
      <c r="P423" s="24" t="s">
        <v>10</v>
      </c>
      <c r="Q423" s="2">
        <v>44852.75</v>
      </c>
      <c r="R423" s="2">
        <v>44853.75</v>
      </c>
      <c r="S423" s="26">
        <v>44869.783333333333</v>
      </c>
      <c r="T423" s="28">
        <v>0</v>
      </c>
      <c r="U423" s="28">
        <f>Tabla1[[#This Row],[PPTO]]/(1+'Lista Datos'!$B$1)</f>
        <v>0</v>
      </c>
      <c r="V423" s="23"/>
      <c r="W423" s="18" t="s">
        <v>10</v>
      </c>
      <c r="X423" s="102"/>
      <c r="Y423" s="18" t="s">
        <v>146</v>
      </c>
      <c r="Z423" s="18" t="s">
        <v>10</v>
      </c>
      <c r="AA423" s="23"/>
      <c r="AB423" s="23"/>
      <c r="AC423" s="23"/>
      <c r="AD423" s="23"/>
      <c r="AE423" s="29">
        <f>Tabla1[[#This Row],[Cierre]]+Tabla1[[#This Row],[Vigencia Oferta (días)]]</f>
        <v>44855.645833333336</v>
      </c>
      <c r="AF423" s="87"/>
      <c r="AG423" s="28"/>
      <c r="AH423" s="164">
        <f>Tabla1[[#This Row],[Unidades2]]*Tabla1[[#This Row],[Precio Unitario]]</f>
        <v>0</v>
      </c>
      <c r="AI423" s="23" t="s">
        <v>137</v>
      </c>
      <c r="AJ423" s="26">
        <v>44855</v>
      </c>
      <c r="AK423" s="172">
        <f>Tabla1[[#This Row],[Fecha Vigencia]]-AJ423</f>
        <v>0.64583333333575865</v>
      </c>
      <c r="AL423" s="23"/>
      <c r="AM423" s="87"/>
      <c r="AN423" s="23"/>
      <c r="AO423" s="29"/>
      <c r="AP423" s="23"/>
      <c r="AQ423" s="34" t="s">
        <v>2262</v>
      </c>
      <c r="AR423" s="23" t="s">
        <v>10</v>
      </c>
      <c r="AS423" s="23"/>
      <c r="AT423" s="23"/>
      <c r="AU423" s="23"/>
      <c r="AV423" s="23"/>
      <c r="AW423" s="23" t="s">
        <v>2263</v>
      </c>
      <c r="AX423" t="s">
        <v>2264</v>
      </c>
      <c r="AY423" s="23"/>
      <c r="AZ423" s="23"/>
      <c r="BA423" s="23"/>
      <c r="BB423" s="32"/>
      <c r="BC423" s="73"/>
    </row>
    <row r="424" spans="1:55" x14ac:dyDescent="0.25">
      <c r="A424" s="22" t="s">
        <v>2335</v>
      </c>
      <c r="B424" s="23" t="s">
        <v>2336</v>
      </c>
      <c r="C424" s="23" t="s">
        <v>2337</v>
      </c>
      <c r="D424" s="34" t="s">
        <v>2101</v>
      </c>
      <c r="E424" s="24"/>
      <c r="F424" s="25"/>
      <c r="G424" s="23" t="s">
        <v>16</v>
      </c>
      <c r="H424" s="23" t="s">
        <v>520</v>
      </c>
      <c r="I424" s="2">
        <v>44851.503530092596</v>
      </c>
      <c r="J424" s="24">
        <f>MONTH(Tabla1[[#This Row],[Publicación]])</f>
        <v>10</v>
      </c>
      <c r="K424" s="24">
        <f>YEAR(Tabla1[[#This Row],[Publicación]])</f>
        <v>2022</v>
      </c>
      <c r="L424" s="2">
        <v>44858.6875</v>
      </c>
      <c r="M424" s="26">
        <v>44853</v>
      </c>
      <c r="N424" s="25" t="s">
        <v>10</v>
      </c>
      <c r="O424" s="24" t="s">
        <v>27</v>
      </c>
      <c r="P424" s="24" t="s">
        <v>10</v>
      </c>
      <c r="Q424" s="2">
        <v>44853.5</v>
      </c>
      <c r="R424" s="2">
        <v>44855.666666666664</v>
      </c>
      <c r="S424" s="26">
        <v>44895.645833333336</v>
      </c>
      <c r="T424" s="28">
        <v>0</v>
      </c>
      <c r="U424" s="28">
        <f>Tabla1[[#This Row],[PPTO]]/(1+'Lista Datos'!$B$1)</f>
        <v>0</v>
      </c>
      <c r="V424" s="23"/>
      <c r="W424" s="18" t="s">
        <v>10</v>
      </c>
      <c r="X424" s="102"/>
      <c r="Y424" s="18" t="s">
        <v>146</v>
      </c>
      <c r="Z424" s="18" t="s">
        <v>10</v>
      </c>
      <c r="AA424" s="23"/>
      <c r="AB424" s="23"/>
      <c r="AC424" s="23"/>
      <c r="AD424" s="23"/>
      <c r="AE424" s="29">
        <f>Tabla1[[#This Row],[Cierre]]+Tabla1[[#This Row],[Vigencia Oferta (días)]]</f>
        <v>44858.6875</v>
      </c>
      <c r="AF424" s="87"/>
      <c r="AG424" s="28"/>
      <c r="AH424" s="164">
        <f>Tabla1[[#This Row],[Unidades2]]*Tabla1[[#This Row],[Precio Unitario]]</f>
        <v>0</v>
      </c>
      <c r="AI424" s="23" t="s">
        <v>137</v>
      </c>
      <c r="AJ424" s="26">
        <v>44858</v>
      </c>
      <c r="AK424" s="172">
        <f>Tabla1[[#This Row],[Fecha Vigencia]]-AJ424</f>
        <v>0.6875</v>
      </c>
      <c r="AL424" s="23"/>
      <c r="AM424" s="87"/>
      <c r="AN424" s="23"/>
      <c r="AO424" s="29"/>
      <c r="AP424" s="23"/>
      <c r="AQ424" s="34" t="s">
        <v>2102</v>
      </c>
      <c r="AR424" s="23" t="s">
        <v>10</v>
      </c>
      <c r="AS424" s="23"/>
      <c r="AT424" s="23"/>
      <c r="AU424" s="23"/>
      <c r="AV424" s="23"/>
      <c r="AW424" s="23" t="s">
        <v>2338</v>
      </c>
      <c r="AX424" t="s">
        <v>2104</v>
      </c>
      <c r="AY424" s="23"/>
      <c r="AZ424" s="23"/>
      <c r="BA424" s="23"/>
      <c r="BB424" s="32"/>
      <c r="BC424" s="73"/>
    </row>
    <row r="425" spans="1:55" x14ac:dyDescent="0.25">
      <c r="A425" s="22" t="s">
        <v>2339</v>
      </c>
      <c r="B425" s="23" t="s">
        <v>2340</v>
      </c>
      <c r="C425" s="23" t="s">
        <v>2341</v>
      </c>
      <c r="D425" s="34" t="s">
        <v>259</v>
      </c>
      <c r="E425" s="24"/>
      <c r="F425" s="25"/>
      <c r="G425" s="23" t="s">
        <v>16</v>
      </c>
      <c r="H425" s="23" t="s">
        <v>1983</v>
      </c>
      <c r="I425" s="2">
        <v>44852.615277777775</v>
      </c>
      <c r="J425" s="24">
        <f>MONTH(Tabla1[[#This Row],[Publicación]])</f>
        <v>10</v>
      </c>
      <c r="K425" s="24">
        <f>YEAR(Tabla1[[#This Row],[Publicación]])</f>
        <v>2022</v>
      </c>
      <c r="L425" s="2">
        <v>44869.690972222219</v>
      </c>
      <c r="M425" s="26">
        <v>44854</v>
      </c>
      <c r="N425" s="25" t="s">
        <v>11</v>
      </c>
      <c r="O425" s="24"/>
      <c r="P425" s="24" t="s">
        <v>11</v>
      </c>
      <c r="Q425" s="2">
        <v>44855.7</v>
      </c>
      <c r="R425" s="2">
        <v>44856.7</v>
      </c>
      <c r="S425" s="26">
        <v>44883.691666666666</v>
      </c>
      <c r="T425" s="28">
        <v>0</v>
      </c>
      <c r="U425" s="28">
        <f>Tabla1[[#This Row],[PPTO]]/(1+'Lista Datos'!$B$1)</f>
        <v>0</v>
      </c>
      <c r="V425" s="23"/>
      <c r="W425" s="18" t="s">
        <v>10</v>
      </c>
      <c r="X425" s="102"/>
      <c r="Y425" s="18" t="s">
        <v>146</v>
      </c>
      <c r="Z425" s="18" t="s">
        <v>10</v>
      </c>
      <c r="AA425" s="23" t="s">
        <v>177</v>
      </c>
      <c r="AB425" s="23">
        <v>12</v>
      </c>
      <c r="AC425" s="23" t="s">
        <v>10</v>
      </c>
      <c r="AD425" s="23"/>
      <c r="AE425" s="29">
        <f>Tabla1[[#This Row],[Cierre]]+Tabla1[[#This Row],[Vigencia Oferta (días)]]</f>
        <v>44869.690972222219</v>
      </c>
      <c r="AF425" s="87"/>
      <c r="AG425" s="28"/>
      <c r="AH425" s="164">
        <f>Tabla1[[#This Row],[Unidades2]]*Tabla1[[#This Row],[Precio Unitario]]</f>
        <v>0</v>
      </c>
      <c r="AI425" s="23" t="s">
        <v>44</v>
      </c>
      <c r="AJ425" s="26">
        <v>44907</v>
      </c>
      <c r="AK425" s="172">
        <f>Tabla1[[#This Row],[Fecha Vigencia]]-AJ425</f>
        <v>-37.309027777781012</v>
      </c>
      <c r="AL425" s="23" t="s">
        <v>115</v>
      </c>
      <c r="AM425" s="87">
        <v>55930000</v>
      </c>
      <c r="AN425" s="29">
        <v>44907</v>
      </c>
      <c r="AO425" s="29">
        <v>45272</v>
      </c>
      <c r="AP425" s="23" t="s">
        <v>177</v>
      </c>
      <c r="AQ425" s="34" t="s">
        <v>260</v>
      </c>
      <c r="AR425" s="23" t="s">
        <v>10</v>
      </c>
      <c r="AS425" s="23"/>
      <c r="AT425" s="23"/>
      <c r="AU425" s="23" t="s">
        <v>2342</v>
      </c>
      <c r="AV425" s="23" t="s">
        <v>2343</v>
      </c>
      <c r="AW425" s="23" t="s">
        <v>2344</v>
      </c>
      <c r="AX425" t="s">
        <v>2345</v>
      </c>
      <c r="AY425" s="23"/>
      <c r="AZ425" s="23"/>
      <c r="BA425" s="23"/>
      <c r="BB425" s="32"/>
      <c r="BC425" s="73"/>
    </row>
    <row r="426" spans="1:55" x14ac:dyDescent="0.25">
      <c r="A426" s="22" t="s">
        <v>2346</v>
      </c>
      <c r="B426" s="23" t="s">
        <v>2347</v>
      </c>
      <c r="C426" s="23" t="s">
        <v>2348</v>
      </c>
      <c r="D426" s="34" t="s">
        <v>1204</v>
      </c>
      <c r="E426" s="24"/>
      <c r="F426" s="25"/>
      <c r="G426" s="23" t="s">
        <v>16</v>
      </c>
      <c r="H426" s="23" t="s">
        <v>2349</v>
      </c>
      <c r="I426" s="2">
        <v>44852.682291666664</v>
      </c>
      <c r="J426" s="24">
        <f>MONTH(Tabla1[[#This Row],[Publicación]])</f>
        <v>10</v>
      </c>
      <c r="K426" s="24">
        <f>YEAR(Tabla1[[#This Row],[Publicación]])</f>
        <v>2022</v>
      </c>
      <c r="L426" s="2">
        <v>44872.645833333336</v>
      </c>
      <c r="M426" s="26">
        <v>44855</v>
      </c>
      <c r="N426" s="25" t="s">
        <v>10</v>
      </c>
      <c r="O426" s="24" t="s">
        <v>25</v>
      </c>
      <c r="P426" s="24" t="s">
        <v>10</v>
      </c>
      <c r="Q426" s="2">
        <v>44855.791666666664</v>
      </c>
      <c r="R426" s="2">
        <v>44858.791666666664</v>
      </c>
      <c r="S426" s="26">
        <v>44946.708333333336</v>
      </c>
      <c r="T426" s="28">
        <v>0</v>
      </c>
      <c r="U426" s="28">
        <f>Tabla1[[#This Row],[PPTO]]/(1+'Lista Datos'!$B$1)</f>
        <v>0</v>
      </c>
      <c r="V426" s="23"/>
      <c r="W426" s="18" t="s">
        <v>11</v>
      </c>
      <c r="X426" s="102">
        <v>3000000</v>
      </c>
      <c r="Y426" s="26">
        <v>44992</v>
      </c>
      <c r="Z426" s="18" t="s">
        <v>10</v>
      </c>
      <c r="AA426" s="23"/>
      <c r="AB426" s="23"/>
      <c r="AC426" s="23"/>
      <c r="AD426" s="23"/>
      <c r="AE426" s="29">
        <f>Tabla1[[#This Row],[Cierre]]+Tabla1[[#This Row],[Vigencia Oferta (días)]]</f>
        <v>44872.645833333336</v>
      </c>
      <c r="AF426" s="87"/>
      <c r="AG426" s="28"/>
      <c r="AH426" s="164">
        <f>Tabla1[[#This Row],[Unidades2]]*Tabla1[[#This Row],[Precio Unitario]]</f>
        <v>0</v>
      </c>
      <c r="AI426" s="23" t="s">
        <v>44</v>
      </c>
      <c r="AJ426" s="26">
        <v>44958.728715277779</v>
      </c>
      <c r="AK426" s="172">
        <f>Tabla1[[#This Row],[Fecha Vigencia]]-AJ426</f>
        <v>-86.082881944443216</v>
      </c>
      <c r="AL426" s="23" t="s">
        <v>45</v>
      </c>
      <c r="AM426" s="87">
        <v>166084400</v>
      </c>
      <c r="AN426" s="23"/>
      <c r="AO426" s="29"/>
      <c r="AP426" s="23"/>
      <c r="AQ426" s="34" t="s">
        <v>1205</v>
      </c>
      <c r="AR426" s="23" t="s">
        <v>11</v>
      </c>
      <c r="AS426" s="33">
        <v>0.1</v>
      </c>
      <c r="AT426" s="29">
        <v>45797</v>
      </c>
      <c r="AU426" s="23"/>
      <c r="AV426" s="23"/>
      <c r="AW426" s="23" t="s">
        <v>1206</v>
      </c>
      <c r="AX426" t="s">
        <v>1207</v>
      </c>
      <c r="AY426" s="23"/>
      <c r="AZ426" s="23"/>
      <c r="BA426" s="23"/>
      <c r="BB426" s="32"/>
      <c r="BC426" s="73"/>
    </row>
    <row r="427" spans="1:55" x14ac:dyDescent="0.25">
      <c r="A427" s="22" t="s">
        <v>2350</v>
      </c>
      <c r="B427" s="23" t="s">
        <v>1023</v>
      </c>
      <c r="C427" s="23" t="s">
        <v>2351</v>
      </c>
      <c r="D427" s="34" t="s">
        <v>955</v>
      </c>
      <c r="E427" s="24"/>
      <c r="F427" s="25"/>
      <c r="G427" s="23" t="s">
        <v>20</v>
      </c>
      <c r="H427" s="23" t="s">
        <v>176</v>
      </c>
      <c r="I427" s="2">
        <v>44853.417939814812</v>
      </c>
      <c r="J427" s="24">
        <f>MONTH(Tabla1[[#This Row],[Publicación]])</f>
        <v>10</v>
      </c>
      <c r="K427" s="24">
        <f>YEAR(Tabla1[[#This Row],[Publicación]])</f>
        <v>2022</v>
      </c>
      <c r="L427" s="2">
        <v>44867.625</v>
      </c>
      <c r="M427" s="26">
        <v>44855</v>
      </c>
      <c r="N427" s="25" t="s">
        <v>11</v>
      </c>
      <c r="O427" s="24"/>
      <c r="P427" s="24" t="s">
        <v>11</v>
      </c>
      <c r="Q427" s="2">
        <v>44857.791666666664</v>
      </c>
      <c r="R427" s="2">
        <v>44860.791666666664</v>
      </c>
      <c r="S427" s="26">
        <v>44935.791666666664</v>
      </c>
      <c r="T427" s="28">
        <v>0</v>
      </c>
      <c r="U427" s="28">
        <f>Tabla1[[#This Row],[PPTO]]/(1+'Lista Datos'!$B$1)</f>
        <v>0</v>
      </c>
      <c r="V427" s="23"/>
      <c r="W427" s="18" t="s">
        <v>10</v>
      </c>
      <c r="X427" s="102"/>
      <c r="Y427" s="18" t="s">
        <v>146</v>
      </c>
      <c r="Z427" s="18" t="s">
        <v>10</v>
      </c>
      <c r="AA427" s="23" t="s">
        <v>177</v>
      </c>
      <c r="AB427" s="23"/>
      <c r="AC427" s="23" t="s">
        <v>10</v>
      </c>
      <c r="AD427" s="23"/>
      <c r="AE427" s="29">
        <f>Tabla1[[#This Row],[Cierre]]+Tabla1[[#This Row],[Vigencia Oferta (días)]]</f>
        <v>44867.625</v>
      </c>
      <c r="AF427" s="87"/>
      <c r="AG427" s="28"/>
      <c r="AH427" s="164">
        <f>Tabla1[[#This Row],[Unidades2]]*Tabla1[[#This Row],[Precio Unitario]]</f>
        <v>0</v>
      </c>
      <c r="AI427" s="23" t="s">
        <v>44</v>
      </c>
      <c r="AJ427" s="26">
        <v>44889</v>
      </c>
      <c r="AK427" s="172">
        <f>Tabla1[[#This Row],[Fecha Vigencia]]-AJ427</f>
        <v>-21.375</v>
      </c>
      <c r="AL427" s="23" t="s">
        <v>45</v>
      </c>
      <c r="AM427" s="87">
        <v>65016000</v>
      </c>
      <c r="AN427" s="23"/>
      <c r="AO427" s="29"/>
      <c r="AP427" s="23" t="s">
        <v>177</v>
      </c>
      <c r="AQ427" s="34" t="s">
        <v>399</v>
      </c>
      <c r="AR427" s="23" t="s">
        <v>11</v>
      </c>
      <c r="AS427" s="33">
        <v>0.05</v>
      </c>
      <c r="AT427" s="29">
        <v>46118</v>
      </c>
      <c r="AU427" s="23"/>
      <c r="AV427" s="23"/>
      <c r="AW427" s="23" t="s">
        <v>2352</v>
      </c>
      <c r="AX427" t="s">
        <v>2353</v>
      </c>
      <c r="AY427" s="23"/>
      <c r="AZ427" s="23"/>
      <c r="BA427" s="23"/>
      <c r="BB427" s="32"/>
      <c r="BC427" s="73"/>
    </row>
    <row r="428" spans="1:55" x14ac:dyDescent="0.25">
      <c r="A428" s="22" t="s">
        <v>2354</v>
      </c>
      <c r="B428" s="23" t="s">
        <v>2355</v>
      </c>
      <c r="C428" s="23" t="s">
        <v>2356</v>
      </c>
      <c r="D428" s="34" t="s">
        <v>1477</v>
      </c>
      <c r="E428" s="24"/>
      <c r="F428" s="25"/>
      <c r="G428" s="23" t="s">
        <v>20</v>
      </c>
      <c r="H428" s="23" t="s">
        <v>213</v>
      </c>
      <c r="I428" s="2">
        <v>44853.45585648148</v>
      </c>
      <c r="J428" s="24">
        <f>MONTH(Tabla1[[#This Row],[Publicación]])</f>
        <v>10</v>
      </c>
      <c r="K428" s="24">
        <f>YEAR(Tabla1[[#This Row],[Publicación]])</f>
        <v>2022</v>
      </c>
      <c r="L428" s="2">
        <v>44869.645833333336</v>
      </c>
      <c r="M428" s="26">
        <v>44855</v>
      </c>
      <c r="N428" s="25" t="s">
        <v>10</v>
      </c>
      <c r="O428" s="24" t="s">
        <v>27</v>
      </c>
      <c r="P428" s="24" t="s">
        <v>10</v>
      </c>
      <c r="Q428" s="2">
        <v>44862.606249999997</v>
      </c>
      <c r="R428" s="2">
        <v>44868.606249999997</v>
      </c>
      <c r="S428" s="26">
        <v>44894.523611111108</v>
      </c>
      <c r="T428" s="28">
        <v>0</v>
      </c>
      <c r="U428" s="28">
        <f>Tabla1[[#This Row],[PPTO]]/(1+'Lista Datos'!$B$1)</f>
        <v>0</v>
      </c>
      <c r="V428" s="23"/>
      <c r="W428" s="18" t="s">
        <v>10</v>
      </c>
      <c r="X428" s="102"/>
      <c r="Y428" s="18" t="s">
        <v>146</v>
      </c>
      <c r="Z428" s="18" t="s">
        <v>10</v>
      </c>
      <c r="AA428" s="23"/>
      <c r="AB428" s="23"/>
      <c r="AC428" s="23"/>
      <c r="AD428" s="23"/>
      <c r="AE428" s="29">
        <f>Tabla1[[#This Row],[Cierre]]+Tabla1[[#This Row],[Vigencia Oferta (días)]]</f>
        <v>44869.645833333336</v>
      </c>
      <c r="AF428" s="87"/>
      <c r="AG428" s="28"/>
      <c r="AH428" s="164">
        <f>Tabla1[[#This Row],[Unidades2]]*Tabla1[[#This Row],[Precio Unitario]]</f>
        <v>0</v>
      </c>
      <c r="AI428" s="23" t="s">
        <v>320</v>
      </c>
      <c r="AJ428" s="26">
        <v>44873</v>
      </c>
      <c r="AK428" s="172">
        <f>Tabla1[[#This Row],[Fecha Vigencia]]-AJ428</f>
        <v>-3.3541666666642413</v>
      </c>
      <c r="AL428" s="23"/>
      <c r="AM428" s="87"/>
      <c r="AN428" s="23"/>
      <c r="AO428" s="29"/>
      <c r="AP428" s="23"/>
      <c r="AQ428" s="34" t="s">
        <v>1478</v>
      </c>
      <c r="AR428" s="23" t="s">
        <v>10</v>
      </c>
      <c r="AS428" s="23"/>
      <c r="AT428" s="23"/>
      <c r="AU428" s="23"/>
      <c r="AV428" s="23"/>
      <c r="AW428" s="23" t="s">
        <v>2357</v>
      </c>
      <c r="AX428" t="s">
        <v>2358</v>
      </c>
      <c r="AY428" s="23"/>
      <c r="AZ428" s="23"/>
      <c r="BA428" s="23"/>
      <c r="BB428" s="32"/>
      <c r="BC428" s="73"/>
    </row>
    <row r="429" spans="1:55" ht="11.25" x14ac:dyDescent="0.2">
      <c r="A429" s="22" t="s">
        <v>2359</v>
      </c>
      <c r="B429" s="23" t="s">
        <v>2360</v>
      </c>
      <c r="C429" s="23"/>
      <c r="D429" s="34" t="s">
        <v>405</v>
      </c>
      <c r="E429" s="24"/>
      <c r="F429" s="25"/>
      <c r="G429" s="23" t="s">
        <v>21</v>
      </c>
      <c r="H429" s="23" t="s">
        <v>106</v>
      </c>
      <c r="I429" s="2">
        <v>44854.521631944444</v>
      </c>
      <c r="J429" s="24">
        <f>MONTH(Tabla1[[#This Row],[Publicación]])</f>
        <v>10</v>
      </c>
      <c r="K429" s="24">
        <f>YEAR(Tabla1[[#This Row],[Publicación]])</f>
        <v>2022</v>
      </c>
      <c r="L429" s="2">
        <v>44859.648611111108</v>
      </c>
      <c r="M429" s="26">
        <v>44855</v>
      </c>
      <c r="N429" s="25" t="s">
        <v>11</v>
      </c>
      <c r="O429" s="24"/>
      <c r="P429" s="24" t="s">
        <v>11</v>
      </c>
      <c r="Q429" s="2">
        <v>44855.648611111108</v>
      </c>
      <c r="R429" s="2">
        <v>44856.648611111108</v>
      </c>
      <c r="S429" s="26">
        <v>44890.648611111108</v>
      </c>
      <c r="T429" s="28">
        <v>0</v>
      </c>
      <c r="U429" s="28">
        <f>Tabla1[[#This Row],[PPTO]]/(1+'Lista Datos'!$B$1)</f>
        <v>0</v>
      </c>
      <c r="V429" s="23"/>
      <c r="W429" s="18" t="s">
        <v>10</v>
      </c>
      <c r="X429" s="102"/>
      <c r="Y429" s="18" t="s">
        <v>146</v>
      </c>
      <c r="Z429" s="18" t="s">
        <v>10</v>
      </c>
      <c r="AA429" s="23"/>
      <c r="AB429" s="23"/>
      <c r="AC429" s="23" t="s">
        <v>10</v>
      </c>
      <c r="AD429" s="23"/>
      <c r="AE429" s="29">
        <f>Tabla1[[#This Row],[Cierre]]+Tabla1[[#This Row],[Vigencia Oferta (días)]]</f>
        <v>44859.648611111108</v>
      </c>
      <c r="AF429" s="87"/>
      <c r="AG429" s="28"/>
      <c r="AH429" s="164">
        <f>Tabla1[[#This Row],[Unidades2]]*Tabla1[[#This Row],[Precio Unitario]]</f>
        <v>0</v>
      </c>
      <c r="AI429" s="23" t="s">
        <v>44</v>
      </c>
      <c r="AJ429" s="26">
        <v>44925</v>
      </c>
      <c r="AK429" s="172">
        <f>Tabla1[[#This Row],[Fecha Vigencia]]-AJ429</f>
        <v>-65.351388888891961</v>
      </c>
      <c r="AL429" s="23" t="s">
        <v>46</v>
      </c>
      <c r="AM429" s="87">
        <v>22150</v>
      </c>
      <c r="AN429" s="23"/>
      <c r="AO429" s="29"/>
      <c r="AP429" s="23" t="s">
        <v>292</v>
      </c>
      <c r="AQ429" s="34"/>
      <c r="AR429" s="23" t="s">
        <v>10</v>
      </c>
      <c r="AS429" s="23"/>
      <c r="AT429" s="23"/>
      <c r="AU429" s="23"/>
      <c r="AV429" s="23"/>
      <c r="AW429" s="23"/>
      <c r="AX429" s="23"/>
      <c r="AY429" s="23"/>
      <c r="AZ429" s="23"/>
      <c r="BA429" s="23"/>
      <c r="BB429" s="32"/>
      <c r="BC429" s="73"/>
    </row>
    <row r="430" spans="1:55" x14ac:dyDescent="0.25">
      <c r="A430" s="22" t="s">
        <v>2361</v>
      </c>
      <c r="B430" s="23" t="s">
        <v>2362</v>
      </c>
      <c r="C430" s="23" t="s">
        <v>2363</v>
      </c>
      <c r="D430" s="34" t="s">
        <v>1299</v>
      </c>
      <c r="E430" s="24"/>
      <c r="F430" s="25"/>
      <c r="G430" s="23" t="s">
        <v>21</v>
      </c>
      <c r="H430" s="23" t="s">
        <v>106</v>
      </c>
      <c r="I430" s="2">
        <v>44855.408877314818</v>
      </c>
      <c r="J430" s="24">
        <f>MONTH(Tabla1[[#This Row],[Publicación]])</f>
        <v>10</v>
      </c>
      <c r="K430" s="24">
        <f>YEAR(Tabla1[[#This Row],[Publicación]])</f>
        <v>2022</v>
      </c>
      <c r="L430" s="2">
        <v>44875.708333333336</v>
      </c>
      <c r="M430" s="26">
        <v>44855</v>
      </c>
      <c r="N430" s="25" t="s">
        <v>10</v>
      </c>
      <c r="O430" s="24" t="s">
        <v>29</v>
      </c>
      <c r="P430" s="24" t="s">
        <v>10</v>
      </c>
      <c r="Q430" s="2">
        <v>44860.708333333336</v>
      </c>
      <c r="R430" s="2">
        <v>44865.729166666664</v>
      </c>
      <c r="S430" s="26">
        <v>44904.729166666664</v>
      </c>
      <c r="T430" s="28">
        <v>0</v>
      </c>
      <c r="U430" s="28">
        <f>Tabla1[[#This Row],[PPTO]]/(1+'Lista Datos'!$B$1)</f>
        <v>0</v>
      </c>
      <c r="V430" s="23"/>
      <c r="W430" s="18" t="s">
        <v>11</v>
      </c>
      <c r="X430" s="102">
        <v>1000000</v>
      </c>
      <c r="Y430" s="26">
        <v>45067</v>
      </c>
      <c r="Z430" s="18" t="s">
        <v>10</v>
      </c>
      <c r="AA430" s="23"/>
      <c r="AB430" s="23"/>
      <c r="AC430" s="23"/>
      <c r="AD430" s="23"/>
      <c r="AE430" s="29">
        <f>Tabla1[[#This Row],[Cierre]]+Tabla1[[#This Row],[Vigencia Oferta (días)]]</f>
        <v>44875.708333333336</v>
      </c>
      <c r="AF430" s="87"/>
      <c r="AG430" s="28"/>
      <c r="AH430" s="164">
        <f>Tabla1[[#This Row],[Unidades2]]*Tabla1[[#This Row],[Precio Unitario]]</f>
        <v>0</v>
      </c>
      <c r="AI430" s="23" t="s">
        <v>385</v>
      </c>
      <c r="AJ430" s="26"/>
      <c r="AK430" s="172">
        <f>Tabla1[[#This Row],[Fecha Vigencia]]-AJ430</f>
        <v>44875.708333333336</v>
      </c>
      <c r="AL430" s="23"/>
      <c r="AM430" s="87"/>
      <c r="AN430" s="23"/>
      <c r="AO430" s="29"/>
      <c r="AP430" s="23"/>
      <c r="AQ430" s="34" t="s">
        <v>1300</v>
      </c>
      <c r="AR430" s="23" t="s">
        <v>11</v>
      </c>
      <c r="AS430" s="33">
        <v>0.05</v>
      </c>
      <c r="AT430" s="29">
        <v>46022</v>
      </c>
      <c r="AU430" s="23"/>
      <c r="AV430" s="23"/>
      <c r="AW430" s="23" t="s">
        <v>2364</v>
      </c>
      <c r="AX430" t="s">
        <v>2060</v>
      </c>
      <c r="AY430" s="23"/>
      <c r="AZ430" s="23"/>
      <c r="BA430" s="23"/>
      <c r="BB430" s="32"/>
      <c r="BC430" s="73"/>
    </row>
    <row r="431" spans="1:55" ht="11.25" x14ac:dyDescent="0.2">
      <c r="A431" s="22" t="s">
        <v>2365</v>
      </c>
      <c r="B431" s="23" t="s">
        <v>2366</v>
      </c>
      <c r="C431" s="23"/>
      <c r="D431" s="34" t="s">
        <v>291</v>
      </c>
      <c r="E431" s="24"/>
      <c r="F431" s="25"/>
      <c r="G431" s="23" t="s">
        <v>16</v>
      </c>
      <c r="H431" s="23" t="s">
        <v>145</v>
      </c>
      <c r="I431" s="2">
        <v>44858.414212962962</v>
      </c>
      <c r="J431" s="24">
        <f>MONTH(Tabla1[[#This Row],[Publicación]])</f>
        <v>10</v>
      </c>
      <c r="K431" s="24">
        <f>YEAR(Tabla1[[#This Row],[Publicación]])</f>
        <v>2022</v>
      </c>
      <c r="L431" s="2">
        <v>44889</v>
      </c>
      <c r="M431" s="26"/>
      <c r="N431" s="25" t="s">
        <v>10</v>
      </c>
      <c r="O431" s="24" t="s">
        <v>25</v>
      </c>
      <c r="P431" s="24" t="s">
        <v>10</v>
      </c>
      <c r="Q431" s="2"/>
      <c r="R431" s="2"/>
      <c r="S431" s="26"/>
      <c r="T431" s="28">
        <v>0</v>
      </c>
      <c r="U431" s="28">
        <f>Tabla1[[#This Row],[PPTO]]/(1+'Lista Datos'!$B$1)</f>
        <v>0</v>
      </c>
      <c r="V431" s="23"/>
      <c r="W431" s="18"/>
      <c r="X431" s="102"/>
      <c r="Y431" s="18" t="s">
        <v>146</v>
      </c>
      <c r="Z431" s="18"/>
      <c r="AA431" s="23" t="s">
        <v>177</v>
      </c>
      <c r="AB431" s="23">
        <v>3</v>
      </c>
      <c r="AC431" s="23"/>
      <c r="AD431" s="23"/>
      <c r="AE431" s="29">
        <f>Tabla1[[#This Row],[Cierre]]+Tabla1[[#This Row],[Vigencia Oferta (días)]]</f>
        <v>44889</v>
      </c>
      <c r="AF431" s="87"/>
      <c r="AG431" s="28"/>
      <c r="AH431" s="164">
        <f>Tabla1[[#This Row],[Unidades2]]*Tabla1[[#This Row],[Precio Unitario]]</f>
        <v>0</v>
      </c>
      <c r="AI431" s="23" t="s">
        <v>44</v>
      </c>
      <c r="AJ431" s="26">
        <v>44883.476597222223</v>
      </c>
      <c r="AK431" s="172">
        <f>Tabla1[[#This Row],[Fecha Vigencia]]-AJ431</f>
        <v>5.523402777776937</v>
      </c>
      <c r="AL431" s="23" t="s">
        <v>45</v>
      </c>
      <c r="AM431" s="87">
        <v>4873950</v>
      </c>
      <c r="AN431" s="234">
        <v>44883.476597222223</v>
      </c>
      <c r="AO431" s="29">
        <v>44975</v>
      </c>
      <c r="AP431" s="23" t="s">
        <v>292</v>
      </c>
      <c r="AQ431" s="34"/>
      <c r="AR431" s="23"/>
      <c r="AS431" s="23"/>
      <c r="AT431" s="23"/>
      <c r="AU431" s="23"/>
      <c r="AV431" s="23"/>
      <c r="AW431" s="23"/>
      <c r="AX431" s="23"/>
      <c r="AY431" s="23"/>
      <c r="AZ431" s="23"/>
      <c r="BA431" s="23"/>
      <c r="BB431" s="32"/>
      <c r="BC431" s="73"/>
    </row>
    <row r="432" spans="1:55" x14ac:dyDescent="0.25">
      <c r="A432" s="22" t="s">
        <v>2367</v>
      </c>
      <c r="B432" s="23" t="s">
        <v>2368</v>
      </c>
      <c r="C432" s="23" t="s">
        <v>2369</v>
      </c>
      <c r="D432" s="34" t="s">
        <v>770</v>
      </c>
      <c r="E432" s="24"/>
      <c r="F432" s="25"/>
      <c r="G432" s="23" t="s">
        <v>19</v>
      </c>
      <c r="H432" s="23" t="s">
        <v>114</v>
      </c>
      <c r="I432" s="2">
        <v>44853.683194444442</v>
      </c>
      <c r="J432" s="24">
        <f>MONTH(Tabla1[[#This Row],[Publicación]])</f>
        <v>10</v>
      </c>
      <c r="K432" s="24">
        <f>YEAR(Tabla1[[#This Row],[Publicación]])</f>
        <v>2022</v>
      </c>
      <c r="L432" s="2">
        <v>44886.629861111112</v>
      </c>
      <c r="M432" s="26">
        <v>44859</v>
      </c>
      <c r="N432" s="25" t="s">
        <v>11</v>
      </c>
      <c r="O432" s="24"/>
      <c r="P432" s="24" t="s">
        <v>11</v>
      </c>
      <c r="Q432" s="2">
        <v>44864.77847222222</v>
      </c>
      <c r="R432" s="2">
        <v>44875.77847222222</v>
      </c>
      <c r="S432" s="26">
        <v>44924.630555555559</v>
      </c>
      <c r="T432" s="28">
        <v>0</v>
      </c>
      <c r="U432" s="28">
        <f>Tabla1[[#This Row],[PPTO]]/(1+'Lista Datos'!$B$1)</f>
        <v>0</v>
      </c>
      <c r="V432" s="23"/>
      <c r="W432" s="18" t="s">
        <v>11</v>
      </c>
      <c r="X432" s="102">
        <v>500000</v>
      </c>
      <c r="Y432" s="26">
        <v>44973</v>
      </c>
      <c r="Z432" s="18" t="s">
        <v>10</v>
      </c>
      <c r="AA432" s="23"/>
      <c r="AB432" s="23"/>
      <c r="AC432" s="23" t="s">
        <v>10</v>
      </c>
      <c r="AD432" s="23"/>
      <c r="AE432" s="29">
        <f>Tabla1[[#This Row],[Cierre]]+Tabla1[[#This Row],[Vigencia Oferta (días)]]</f>
        <v>44886.629861111112</v>
      </c>
      <c r="AF432" s="87"/>
      <c r="AG432" s="28"/>
      <c r="AH432" s="164">
        <f>Tabla1[[#This Row],[Unidades2]]*Tabla1[[#This Row],[Precio Unitario]]</f>
        <v>0</v>
      </c>
      <c r="AI432" s="23" t="s">
        <v>137</v>
      </c>
      <c r="AJ432" s="26"/>
      <c r="AK432" s="172">
        <f>Tabla1[[#This Row],[Fecha Vigencia]]-AJ432</f>
        <v>44886.629861111112</v>
      </c>
      <c r="AL432" s="23"/>
      <c r="AM432" s="87"/>
      <c r="AN432" s="23"/>
      <c r="AO432" s="29"/>
      <c r="AP432" s="23" t="s">
        <v>177</v>
      </c>
      <c r="AQ432" s="34" t="s">
        <v>771</v>
      </c>
      <c r="AR432" s="23" t="s">
        <v>11</v>
      </c>
      <c r="AS432" s="33">
        <v>0.1</v>
      </c>
      <c r="AT432" s="29">
        <v>46127</v>
      </c>
      <c r="AU432" s="23"/>
      <c r="AV432" s="23"/>
      <c r="AW432" s="23" t="s">
        <v>772</v>
      </c>
      <c r="AX432" t="s">
        <v>773</v>
      </c>
      <c r="AY432" s="23"/>
      <c r="AZ432" s="23"/>
      <c r="BA432" s="23"/>
      <c r="BB432" s="32"/>
      <c r="BC432" s="73"/>
    </row>
    <row r="433" spans="1:55" x14ac:dyDescent="0.25">
      <c r="A433" s="22" t="s">
        <v>2370</v>
      </c>
      <c r="B433" s="23" t="s">
        <v>2371</v>
      </c>
      <c r="C433" s="23" t="s">
        <v>2372</v>
      </c>
      <c r="D433" s="34" t="s">
        <v>2373</v>
      </c>
      <c r="E433" s="24"/>
      <c r="F433" s="25"/>
      <c r="G433" s="23" t="s">
        <v>21</v>
      </c>
      <c r="H433" s="23" t="s">
        <v>106</v>
      </c>
      <c r="I433" s="2">
        <v>44859.594687500001</v>
      </c>
      <c r="J433" s="24">
        <f>MONTH(Tabla1[[#This Row],[Publicación]])</f>
        <v>10</v>
      </c>
      <c r="K433" s="24">
        <f>YEAR(Tabla1[[#This Row],[Publicación]])</f>
        <v>2022</v>
      </c>
      <c r="L433" s="2">
        <v>44874.625</v>
      </c>
      <c r="M433" s="26">
        <v>44860</v>
      </c>
      <c r="N433" s="25" t="s">
        <v>11</v>
      </c>
      <c r="O433" s="24"/>
      <c r="P433" s="24" t="s">
        <v>11</v>
      </c>
      <c r="Q433" s="2">
        <v>44867.625</v>
      </c>
      <c r="R433" s="2">
        <v>44869.625</v>
      </c>
      <c r="S433" s="26">
        <v>44901.625</v>
      </c>
      <c r="T433" s="28">
        <v>98100000</v>
      </c>
      <c r="U433" s="28">
        <f>Tabla1[[#This Row],[PPTO]]/(1+'Lista Datos'!$B$1)</f>
        <v>82436974.789915964</v>
      </c>
      <c r="V433" s="23">
        <v>30</v>
      </c>
      <c r="W433" s="18" t="s">
        <v>11</v>
      </c>
      <c r="X433" s="102">
        <v>100000</v>
      </c>
      <c r="Y433" s="26">
        <v>45054</v>
      </c>
      <c r="Z433" s="18" t="s">
        <v>10</v>
      </c>
      <c r="AA433" s="23" t="s">
        <v>177</v>
      </c>
      <c r="AB433" s="23">
        <v>24</v>
      </c>
      <c r="AC433" s="23" t="s">
        <v>10</v>
      </c>
      <c r="AD433" s="23">
        <v>180</v>
      </c>
      <c r="AE433" s="29">
        <f>Tabla1[[#This Row],[Cierre]]+Tabla1[[#This Row],[Vigencia Oferta (días)]]</f>
        <v>45054.625</v>
      </c>
      <c r="AF433" s="87"/>
      <c r="AG433" s="28"/>
      <c r="AH433" s="164">
        <f>Tabla1[[#This Row],[Unidades2]]*Tabla1[[#This Row],[Precio Unitario]]</f>
        <v>0</v>
      </c>
      <c r="AI433" s="23" t="s">
        <v>44</v>
      </c>
      <c r="AJ433" s="26">
        <v>44917</v>
      </c>
      <c r="AK433" s="172">
        <f>Tabla1[[#This Row],[Fecha Vigencia]]-AJ433</f>
        <v>137.625</v>
      </c>
      <c r="AL433" s="23" t="s">
        <v>115</v>
      </c>
      <c r="AM433" s="87">
        <v>78436910</v>
      </c>
      <c r="AN433" s="23"/>
      <c r="AO433" s="29"/>
      <c r="AP433" s="23" t="s">
        <v>177</v>
      </c>
      <c r="AQ433" s="34" t="s">
        <v>1918</v>
      </c>
      <c r="AR433" s="23" t="s">
        <v>11</v>
      </c>
      <c r="AS433" s="33">
        <v>0.05</v>
      </c>
      <c r="AT433" s="29">
        <v>45781</v>
      </c>
      <c r="AU433" s="23"/>
      <c r="AV433" s="23"/>
      <c r="AW433" s="23" t="s">
        <v>1919</v>
      </c>
      <c r="AX433" t="s">
        <v>1920</v>
      </c>
      <c r="AY433" s="23"/>
      <c r="AZ433" s="23"/>
      <c r="BA433" s="23"/>
      <c r="BB433" s="32"/>
      <c r="BC433" s="73"/>
    </row>
    <row r="434" spans="1:55" x14ac:dyDescent="0.25">
      <c r="A434" s="22" t="s">
        <v>2374</v>
      </c>
      <c r="B434" s="23" t="s">
        <v>2375</v>
      </c>
      <c r="C434" s="23" t="s">
        <v>2376</v>
      </c>
      <c r="D434" s="34" t="s">
        <v>2377</v>
      </c>
      <c r="E434" s="24"/>
      <c r="F434" s="25"/>
      <c r="G434" s="23" t="s">
        <v>16</v>
      </c>
      <c r="H434" s="23" t="s">
        <v>145</v>
      </c>
      <c r="I434" s="2">
        <v>44858.527777777781</v>
      </c>
      <c r="J434" s="24">
        <f>MONTH(Tabla1[[#This Row],[Publicación]])</f>
        <v>10</v>
      </c>
      <c r="K434" s="24">
        <f>YEAR(Tabla1[[#This Row],[Publicación]])</f>
        <v>2022</v>
      </c>
      <c r="L434" s="2">
        <v>44879.625</v>
      </c>
      <c r="M434" s="26">
        <v>44860</v>
      </c>
      <c r="N434" s="25" t="s">
        <v>11</v>
      </c>
      <c r="O434" s="24"/>
      <c r="P434" s="24" t="s">
        <v>11</v>
      </c>
      <c r="Q434" s="2">
        <v>44867.708333333336</v>
      </c>
      <c r="R434" s="2">
        <v>44872.75</v>
      </c>
      <c r="S434" s="26">
        <v>44922.400694444441</v>
      </c>
      <c r="T434" s="28">
        <v>0</v>
      </c>
      <c r="U434" s="28">
        <f>Tabla1[[#This Row],[PPTO]]/(1+'Lista Datos'!$B$1)</f>
        <v>0</v>
      </c>
      <c r="V434" s="23"/>
      <c r="W434" s="18" t="s">
        <v>11</v>
      </c>
      <c r="X434" s="102">
        <v>3000000</v>
      </c>
      <c r="Y434" s="26">
        <v>44971</v>
      </c>
      <c r="Z434" s="18" t="s">
        <v>10</v>
      </c>
      <c r="AA434" s="23" t="s">
        <v>177</v>
      </c>
      <c r="AB434" s="23">
        <v>24</v>
      </c>
      <c r="AC434" s="23" t="s">
        <v>10</v>
      </c>
      <c r="AD434" s="23"/>
      <c r="AE434" s="29">
        <f>Tabla1[[#This Row],[Cierre]]+Tabla1[[#This Row],[Vigencia Oferta (días)]]</f>
        <v>44879.625</v>
      </c>
      <c r="AF434" s="87"/>
      <c r="AG434" s="28"/>
      <c r="AH434" s="164">
        <f>Tabla1[[#This Row],[Unidades2]]*Tabla1[[#This Row],[Precio Unitario]]</f>
        <v>0</v>
      </c>
      <c r="AI434" s="23" t="s">
        <v>44</v>
      </c>
      <c r="AJ434" s="26">
        <v>44918</v>
      </c>
      <c r="AK434" s="172">
        <f>Tabla1[[#This Row],[Fecha Vigencia]]-AJ434</f>
        <v>-38.375</v>
      </c>
      <c r="AL434" s="24" t="s">
        <v>115</v>
      </c>
      <c r="AM434" s="87">
        <v>177821765</v>
      </c>
      <c r="AN434" s="29">
        <v>44918</v>
      </c>
      <c r="AO434" s="29">
        <v>45649</v>
      </c>
      <c r="AP434" s="23" t="s">
        <v>177</v>
      </c>
      <c r="AQ434" s="34" t="s">
        <v>2378</v>
      </c>
      <c r="AR434" s="23" t="s">
        <v>11</v>
      </c>
      <c r="AS434" s="33">
        <v>0.05</v>
      </c>
      <c r="AT434" s="29">
        <v>45747</v>
      </c>
      <c r="AU434" s="23" t="s">
        <v>2379</v>
      </c>
      <c r="AV434" s="23" t="s">
        <v>2380</v>
      </c>
      <c r="AW434" s="23" t="s">
        <v>2381</v>
      </c>
      <c r="AX434" t="s">
        <v>2382</v>
      </c>
      <c r="AY434" s="23"/>
      <c r="AZ434" s="23"/>
      <c r="BA434" s="23"/>
      <c r="BB434" s="32"/>
      <c r="BC434" s="73"/>
    </row>
    <row r="435" spans="1:55" ht="11.25" x14ac:dyDescent="0.2">
      <c r="A435" s="22" t="s">
        <v>2383</v>
      </c>
      <c r="B435" s="23" t="s">
        <v>2384</v>
      </c>
      <c r="C435" s="23" t="s">
        <v>2385</v>
      </c>
      <c r="D435" s="34" t="s">
        <v>1008</v>
      </c>
      <c r="E435" s="24"/>
      <c r="F435" s="25"/>
      <c r="G435" s="23" t="s">
        <v>18</v>
      </c>
      <c r="H435" s="23" t="s">
        <v>213</v>
      </c>
      <c r="I435" s="2">
        <v>44858.437291666669</v>
      </c>
      <c r="J435" s="24">
        <f>MONTH(Tabla1[[#This Row],[Publicación]])</f>
        <v>10</v>
      </c>
      <c r="K435" s="24">
        <f>YEAR(Tabla1[[#This Row],[Publicación]])</f>
        <v>2022</v>
      </c>
      <c r="L435" s="2">
        <v>44869.666666666664</v>
      </c>
      <c r="M435" s="26">
        <v>44860</v>
      </c>
      <c r="N435" s="25" t="s">
        <v>10</v>
      </c>
      <c r="O435" s="24" t="s">
        <v>28</v>
      </c>
      <c r="P435" s="24" t="s">
        <v>10</v>
      </c>
      <c r="Q435" s="2">
        <v>44860.666666666664</v>
      </c>
      <c r="R435" s="2">
        <v>44862.666666666664</v>
      </c>
      <c r="S435" s="26">
        <v>44930.693055555559</v>
      </c>
      <c r="T435" s="28">
        <v>0</v>
      </c>
      <c r="U435" s="28">
        <f>Tabla1[[#This Row],[PPTO]]/(1+'Lista Datos'!$B$1)</f>
        <v>0</v>
      </c>
      <c r="V435" s="23"/>
      <c r="W435" s="18" t="s">
        <v>11</v>
      </c>
      <c r="X435" s="102">
        <v>200000</v>
      </c>
      <c r="Y435" s="26">
        <v>44925</v>
      </c>
      <c r="Z435" s="18" t="s">
        <v>10</v>
      </c>
      <c r="AA435" s="23"/>
      <c r="AB435" s="23"/>
      <c r="AC435" s="23"/>
      <c r="AD435" s="23"/>
      <c r="AE435" s="29">
        <f>Tabla1[[#This Row],[Cierre]]+Tabla1[[#This Row],[Vigencia Oferta (días)]]</f>
        <v>44869.666666666664</v>
      </c>
      <c r="AF435" s="87"/>
      <c r="AG435" s="28"/>
      <c r="AH435" s="164">
        <f>Tabla1[[#This Row],[Unidades2]]*Tabla1[[#This Row],[Precio Unitario]]</f>
        <v>0</v>
      </c>
      <c r="AI435" s="23" t="s">
        <v>137</v>
      </c>
      <c r="AJ435" s="26">
        <v>44869</v>
      </c>
      <c r="AK435" s="172">
        <f>Tabla1[[#This Row],[Fecha Vigencia]]-AJ435</f>
        <v>0.66666666666424135</v>
      </c>
      <c r="AL435" s="23"/>
      <c r="AM435" s="87"/>
      <c r="AN435" s="23"/>
      <c r="AO435" s="29"/>
      <c r="AP435" s="23"/>
      <c r="AQ435" s="34" t="s">
        <v>554</v>
      </c>
      <c r="AR435" s="23"/>
      <c r="AS435" s="23"/>
      <c r="AT435" s="23"/>
      <c r="AU435" s="23"/>
      <c r="AV435" s="23"/>
      <c r="AW435" s="23"/>
      <c r="AX435" s="23"/>
      <c r="AY435" s="23"/>
      <c r="AZ435" s="23"/>
      <c r="BA435" s="23"/>
      <c r="BB435" s="32"/>
      <c r="BC435" s="73"/>
    </row>
    <row r="436" spans="1:55" x14ac:dyDescent="0.25">
      <c r="A436" s="22" t="s">
        <v>2386</v>
      </c>
      <c r="B436" s="23" t="s">
        <v>2387</v>
      </c>
      <c r="C436" s="23" t="s">
        <v>2167</v>
      </c>
      <c r="D436" s="34" t="s">
        <v>198</v>
      </c>
      <c r="E436" s="24"/>
      <c r="F436" s="25"/>
      <c r="G436" s="23" t="s">
        <v>21</v>
      </c>
      <c r="H436" s="23" t="s">
        <v>106</v>
      </c>
      <c r="I436" s="2">
        <v>44860.612708333334</v>
      </c>
      <c r="J436" s="24">
        <f>MONTH(Tabla1[[#This Row],[Publicación]])</f>
        <v>10</v>
      </c>
      <c r="K436" s="24">
        <f>YEAR(Tabla1[[#This Row],[Publicación]])</f>
        <v>2022</v>
      </c>
      <c r="L436" s="2">
        <v>44872.625</v>
      </c>
      <c r="M436" s="26">
        <v>44861</v>
      </c>
      <c r="N436" s="25" t="s">
        <v>10</v>
      </c>
      <c r="O436" s="24" t="s">
        <v>30</v>
      </c>
      <c r="P436" s="24" t="s">
        <v>10</v>
      </c>
      <c r="Q436" s="2">
        <v>44867.625</v>
      </c>
      <c r="R436" s="2">
        <v>44868.75</v>
      </c>
      <c r="S436" s="26">
        <v>44883.739583333336</v>
      </c>
      <c r="T436" s="27">
        <v>0</v>
      </c>
      <c r="U436" s="28">
        <f>Tabla1[[#This Row],[PPTO]]/(1+'Lista Datos'!$B$1)</f>
        <v>0</v>
      </c>
      <c r="V436" s="23"/>
      <c r="W436" s="18" t="s">
        <v>11</v>
      </c>
      <c r="X436" s="102">
        <v>200000</v>
      </c>
      <c r="Y436" s="26">
        <v>45081</v>
      </c>
      <c r="Z436" s="18" t="s">
        <v>10</v>
      </c>
      <c r="AA436" s="23"/>
      <c r="AB436" s="23"/>
      <c r="AC436" s="23"/>
      <c r="AD436" s="23"/>
      <c r="AE436" s="29">
        <f>Tabla1[[#This Row],[Cierre]]+Tabla1[[#This Row],[Vigencia Oferta (días)]]</f>
        <v>44872.625</v>
      </c>
      <c r="AF436" s="87"/>
      <c r="AG436" s="28"/>
      <c r="AH436" s="164">
        <f>Tabla1[[#This Row],[Unidades2]]*Tabla1[[#This Row],[Precio Unitario]]</f>
        <v>0</v>
      </c>
      <c r="AI436" s="23" t="s">
        <v>44</v>
      </c>
      <c r="AJ436" s="26">
        <v>44893</v>
      </c>
      <c r="AK436" s="172">
        <f>Tabla1[[#This Row],[Fecha Vigencia]]-AJ436</f>
        <v>-20.375</v>
      </c>
      <c r="AL436" s="23" t="s">
        <v>45</v>
      </c>
      <c r="AM436" s="87">
        <v>2195933</v>
      </c>
      <c r="AN436" s="23"/>
      <c r="AO436" s="29"/>
      <c r="AP436" s="23" t="s">
        <v>292</v>
      </c>
      <c r="AQ436" s="34" t="s">
        <v>199</v>
      </c>
      <c r="AR436" s="23" t="s">
        <v>11</v>
      </c>
      <c r="AS436" s="33">
        <v>0.1</v>
      </c>
      <c r="AT436" s="29">
        <v>45044</v>
      </c>
      <c r="AU436" s="23"/>
      <c r="AV436" s="23"/>
      <c r="AW436" s="23" t="s">
        <v>2169</v>
      </c>
      <c r="AX436" t="s">
        <v>201</v>
      </c>
      <c r="AY436" s="23"/>
      <c r="AZ436" s="23"/>
      <c r="BA436" s="23"/>
      <c r="BB436" s="32"/>
      <c r="BC436" s="73"/>
    </row>
    <row r="437" spans="1:55" x14ac:dyDescent="0.25">
      <c r="A437" s="22" t="s">
        <v>2388</v>
      </c>
      <c r="B437" s="23" t="s">
        <v>2389</v>
      </c>
      <c r="C437" s="23" t="s">
        <v>2390</v>
      </c>
      <c r="D437" s="34" t="s">
        <v>1114</v>
      </c>
      <c r="E437" s="24"/>
      <c r="F437" s="25"/>
      <c r="G437" s="23" t="s">
        <v>21</v>
      </c>
      <c r="H437" s="23" t="s">
        <v>106</v>
      </c>
      <c r="I437" s="2">
        <v>44859.7</v>
      </c>
      <c r="J437" s="24">
        <f>MONTH(Tabla1[[#This Row],[Publicación]])</f>
        <v>10</v>
      </c>
      <c r="K437" s="24">
        <f>YEAR(Tabla1[[#This Row],[Publicación]])</f>
        <v>2022</v>
      </c>
      <c r="L437" s="2">
        <v>44874.625</v>
      </c>
      <c r="M437" s="26">
        <v>44861</v>
      </c>
      <c r="N437" s="25" t="s">
        <v>10</v>
      </c>
      <c r="O437" s="24" t="s">
        <v>27</v>
      </c>
      <c r="P437" s="24" t="s">
        <v>10</v>
      </c>
      <c r="Q437" s="2">
        <v>44869.666666666664</v>
      </c>
      <c r="R437" s="2">
        <v>44872.666666666664</v>
      </c>
      <c r="S437" s="26">
        <v>44887.556250000001</v>
      </c>
      <c r="T437" s="27">
        <v>0</v>
      </c>
      <c r="U437" s="28">
        <f>Tabla1[[#This Row],[PPTO]]/(1+'Lista Datos'!$B$1)</f>
        <v>0</v>
      </c>
      <c r="V437" s="23"/>
      <c r="W437" s="18" t="s">
        <v>11</v>
      </c>
      <c r="X437" s="102">
        <v>200000</v>
      </c>
      <c r="Y437" s="26">
        <v>45201</v>
      </c>
      <c r="Z437" s="18" t="s">
        <v>10</v>
      </c>
      <c r="AA437" s="23"/>
      <c r="AB437" s="23"/>
      <c r="AC437" s="23"/>
      <c r="AD437" s="23"/>
      <c r="AE437" s="29">
        <f>Tabla1[[#This Row],[Cierre]]+Tabla1[[#This Row],[Vigencia Oferta (días)]]</f>
        <v>44874.625</v>
      </c>
      <c r="AF437" s="87"/>
      <c r="AG437" s="28"/>
      <c r="AH437" s="164">
        <f>Tabla1[[#This Row],[Unidades2]]*Tabla1[[#This Row],[Precio Unitario]]</f>
        <v>0</v>
      </c>
      <c r="AI437" s="23" t="s">
        <v>44</v>
      </c>
      <c r="AJ437" s="26">
        <v>44893</v>
      </c>
      <c r="AK437" s="172">
        <f>Tabla1[[#This Row],[Fecha Vigencia]]-AJ437</f>
        <v>-18.375</v>
      </c>
      <c r="AL437" s="23" t="s">
        <v>46</v>
      </c>
      <c r="AM437" s="87">
        <v>2230000</v>
      </c>
      <c r="AN437" s="23"/>
      <c r="AO437" s="29"/>
      <c r="AP437" s="23" t="s">
        <v>292</v>
      </c>
      <c r="AQ437" s="34" t="s">
        <v>2391</v>
      </c>
      <c r="AR437" s="23" t="s">
        <v>11</v>
      </c>
      <c r="AS437" s="33">
        <v>0.05</v>
      </c>
      <c r="AT437" s="29">
        <v>46022</v>
      </c>
      <c r="AU437" s="23"/>
      <c r="AV437" s="23"/>
      <c r="AW437" s="23" t="s">
        <v>2392</v>
      </c>
      <c r="AX437" t="s">
        <v>1081</v>
      </c>
      <c r="AY437" s="23"/>
      <c r="AZ437" s="23"/>
      <c r="BA437" s="23"/>
      <c r="BB437" s="32"/>
      <c r="BC437" s="73"/>
    </row>
    <row r="438" spans="1:55" x14ac:dyDescent="0.25">
      <c r="A438" s="22" t="s">
        <v>2393</v>
      </c>
      <c r="B438" s="23" t="s">
        <v>2394</v>
      </c>
      <c r="C438" s="23" t="s">
        <v>2395</v>
      </c>
      <c r="D438" s="34" t="s">
        <v>2396</v>
      </c>
      <c r="E438" s="24"/>
      <c r="F438" s="25"/>
      <c r="G438" s="23" t="s">
        <v>18</v>
      </c>
      <c r="H438" s="23" t="s">
        <v>213</v>
      </c>
      <c r="I438" s="2">
        <v>44860.71943287037</v>
      </c>
      <c r="J438" s="24">
        <f>MONTH(Tabla1[[#This Row],[Publicación]])</f>
        <v>10</v>
      </c>
      <c r="K438" s="24">
        <f>YEAR(Tabla1[[#This Row],[Publicación]])</f>
        <v>2022</v>
      </c>
      <c r="L438" s="2">
        <v>44875.833333333336</v>
      </c>
      <c r="M438" s="26">
        <v>44867</v>
      </c>
      <c r="N438" s="25" t="s">
        <v>10</v>
      </c>
      <c r="O438" s="24" t="s">
        <v>25</v>
      </c>
      <c r="P438" s="24" t="s">
        <v>10</v>
      </c>
      <c r="Q438" s="2">
        <v>44867.833333333336</v>
      </c>
      <c r="R438" s="2">
        <v>44869.916666666664</v>
      </c>
      <c r="S438" s="26">
        <v>44923.833333333336</v>
      </c>
      <c r="T438" s="28">
        <v>0</v>
      </c>
      <c r="U438" s="28">
        <f>Tabla1[[#This Row],[PPTO]]/(1+'Lista Datos'!$B$1)</f>
        <v>0</v>
      </c>
      <c r="V438" s="23"/>
      <c r="W438" s="18" t="s">
        <v>11</v>
      </c>
      <c r="X438" s="102">
        <v>200000</v>
      </c>
      <c r="Y438" s="26">
        <v>44985</v>
      </c>
      <c r="Z438" s="18" t="s">
        <v>10</v>
      </c>
      <c r="AA438" s="23"/>
      <c r="AB438" s="23"/>
      <c r="AC438" s="23"/>
      <c r="AD438" s="23"/>
      <c r="AE438" s="29">
        <f>Tabla1[[#This Row],[Cierre]]+Tabla1[[#This Row],[Vigencia Oferta (días)]]</f>
        <v>44875.833333333336</v>
      </c>
      <c r="AF438" s="87"/>
      <c r="AG438" s="28"/>
      <c r="AH438" s="164">
        <f>Tabla1[[#This Row],[Unidades2]]*Tabla1[[#This Row],[Precio Unitario]]</f>
        <v>0</v>
      </c>
      <c r="AI438" s="23" t="s">
        <v>44</v>
      </c>
      <c r="AJ438" s="26">
        <v>44917</v>
      </c>
      <c r="AK438" s="172">
        <f>Tabla1[[#This Row],[Fecha Vigencia]]-AJ438</f>
        <v>-41.166666666664241</v>
      </c>
      <c r="AL438" s="23" t="s">
        <v>46</v>
      </c>
      <c r="AM438" s="87">
        <v>100077178</v>
      </c>
      <c r="AN438" s="23"/>
      <c r="AO438" s="29"/>
      <c r="AP438" s="23" t="s">
        <v>177</v>
      </c>
      <c r="AQ438" s="34" t="s">
        <v>2397</v>
      </c>
      <c r="AR438" s="23" t="s">
        <v>11</v>
      </c>
      <c r="AS438" s="33">
        <v>0.05</v>
      </c>
      <c r="AT438" s="29">
        <v>45716</v>
      </c>
      <c r="AU438" s="23"/>
      <c r="AV438" s="23"/>
      <c r="AW438" s="23" t="s">
        <v>2398</v>
      </c>
      <c r="AX438" t="s">
        <v>2399</v>
      </c>
      <c r="AY438" s="23"/>
      <c r="AZ438" s="23"/>
      <c r="BA438" s="23"/>
      <c r="BB438" s="32"/>
      <c r="BC438" s="73"/>
    </row>
    <row r="439" spans="1:55" ht="11.25" x14ac:dyDescent="0.2">
      <c r="A439" s="22" t="s">
        <v>2400</v>
      </c>
      <c r="B439" s="23" t="s">
        <v>2401</v>
      </c>
      <c r="C439" s="23" t="s">
        <v>2402</v>
      </c>
      <c r="D439" s="34" t="s">
        <v>153</v>
      </c>
      <c r="E439" s="24"/>
      <c r="F439" s="25"/>
      <c r="G439" s="23" t="s">
        <v>16</v>
      </c>
      <c r="H439" s="23" t="s">
        <v>145</v>
      </c>
      <c r="I439" s="2">
        <v>44861.650266203702</v>
      </c>
      <c r="J439" s="24">
        <f>MONTH(Tabla1[[#This Row],[Publicación]])</f>
        <v>10</v>
      </c>
      <c r="K439" s="24">
        <f>YEAR(Tabla1[[#This Row],[Publicación]])</f>
        <v>2022</v>
      </c>
      <c r="L439" s="2">
        <v>44872.832638888889</v>
      </c>
      <c r="M439" s="26">
        <v>44867</v>
      </c>
      <c r="N439" s="25" t="s">
        <v>10</v>
      </c>
      <c r="O439" s="24" t="s">
        <v>31</v>
      </c>
      <c r="P439" s="24" t="s">
        <v>10</v>
      </c>
      <c r="Q439" s="2">
        <v>44867.375</v>
      </c>
      <c r="R439" s="2">
        <v>44869.832638888889</v>
      </c>
      <c r="S439" s="26">
        <v>44890.463564814818</v>
      </c>
      <c r="T439" s="28">
        <v>0</v>
      </c>
      <c r="U439" s="28">
        <f>Tabla1[[#This Row],[PPTO]]/(1+'Lista Datos'!$B$1)</f>
        <v>0</v>
      </c>
      <c r="V439" s="23"/>
      <c r="W439" s="18" t="s">
        <v>10</v>
      </c>
      <c r="X439" s="102"/>
      <c r="Y439" s="18" t="s">
        <v>146</v>
      </c>
      <c r="Z439" s="18" t="s">
        <v>11</v>
      </c>
      <c r="AA439" s="23"/>
      <c r="AB439" s="23"/>
      <c r="AC439" s="23"/>
      <c r="AD439" s="23"/>
      <c r="AE439" s="29">
        <f>Tabla1[[#This Row],[Cierre]]+Tabla1[[#This Row],[Vigencia Oferta (días)]]</f>
        <v>44872.832638888889</v>
      </c>
      <c r="AF439" s="87"/>
      <c r="AG439" s="28"/>
      <c r="AH439" s="164">
        <f>Tabla1[[#This Row],[Unidades2]]*Tabla1[[#This Row],[Precio Unitario]]</f>
        <v>0</v>
      </c>
      <c r="AI439" s="23" t="s">
        <v>44</v>
      </c>
      <c r="AJ439" s="26">
        <v>44890</v>
      </c>
      <c r="AK439" s="172">
        <f>Tabla1[[#This Row],[Fecha Vigencia]]-AJ439</f>
        <v>-17.167361111110949</v>
      </c>
      <c r="AL439" s="23" t="s">
        <v>46</v>
      </c>
      <c r="AM439" s="87">
        <v>9726562</v>
      </c>
      <c r="AN439" s="23"/>
      <c r="AO439" s="29"/>
      <c r="AP439" s="23" t="s">
        <v>177</v>
      </c>
      <c r="AQ439" s="34" t="s">
        <v>572</v>
      </c>
      <c r="AR439" s="23"/>
      <c r="AS439" s="23"/>
      <c r="AT439" s="23"/>
      <c r="AU439" s="23"/>
      <c r="AV439" s="23"/>
      <c r="AW439" s="23"/>
      <c r="AX439" s="23"/>
      <c r="AY439" s="23"/>
      <c r="AZ439" s="23"/>
      <c r="BA439" s="23"/>
      <c r="BB439" s="32"/>
      <c r="BC439" s="73"/>
    </row>
    <row r="440" spans="1:55" x14ac:dyDescent="0.25">
      <c r="A440" s="22" t="s">
        <v>2403</v>
      </c>
      <c r="B440" s="23" t="s">
        <v>2404</v>
      </c>
      <c r="C440" s="23" t="s">
        <v>2405</v>
      </c>
      <c r="D440" s="34" t="s">
        <v>2406</v>
      </c>
      <c r="E440" s="24"/>
      <c r="F440" s="25"/>
      <c r="G440" s="23" t="s">
        <v>21</v>
      </c>
      <c r="H440" s="23" t="s">
        <v>106</v>
      </c>
      <c r="I440" s="2">
        <v>44862.677268518521</v>
      </c>
      <c r="J440" s="24">
        <f>MONTH(Tabla1[[#This Row],[Publicación]])</f>
        <v>10</v>
      </c>
      <c r="K440" s="24">
        <f>YEAR(Tabla1[[#This Row],[Publicación]])</f>
        <v>2022</v>
      </c>
      <c r="L440" s="2">
        <v>44872.645833333336</v>
      </c>
      <c r="M440" s="26">
        <v>44867</v>
      </c>
      <c r="N440" s="25" t="s">
        <v>10</v>
      </c>
      <c r="O440" s="24" t="s">
        <v>27</v>
      </c>
      <c r="P440" s="24" t="s">
        <v>10</v>
      </c>
      <c r="Q440" s="2">
        <v>44865.75</v>
      </c>
      <c r="R440" s="2">
        <v>44867.833333333336</v>
      </c>
      <c r="S440" s="26">
        <v>44887.791666666664</v>
      </c>
      <c r="T440" s="28">
        <v>0</v>
      </c>
      <c r="U440" s="28">
        <f>Tabla1[[#This Row],[PPTO]]/(1+'Lista Datos'!$B$1)</f>
        <v>0</v>
      </c>
      <c r="V440" s="23"/>
      <c r="W440" s="18" t="s">
        <v>10</v>
      </c>
      <c r="X440" s="102"/>
      <c r="Y440" s="18" t="s">
        <v>146</v>
      </c>
      <c r="Z440" s="18" t="s">
        <v>10</v>
      </c>
      <c r="AA440" s="23"/>
      <c r="AB440" s="23"/>
      <c r="AC440" s="23"/>
      <c r="AD440" s="23"/>
      <c r="AE440" s="29">
        <f>Tabla1[[#This Row],[Cierre]]+Tabla1[[#This Row],[Vigencia Oferta (días)]]</f>
        <v>44872.645833333336</v>
      </c>
      <c r="AF440" s="87"/>
      <c r="AG440" s="28"/>
      <c r="AH440" s="164">
        <f>Tabla1[[#This Row],[Unidades2]]*Tabla1[[#This Row],[Precio Unitario]]</f>
        <v>0</v>
      </c>
      <c r="AI440" s="23" t="s">
        <v>137</v>
      </c>
      <c r="AJ440" s="26">
        <v>44887</v>
      </c>
      <c r="AK440" s="172">
        <f>Tabla1[[#This Row],[Fecha Vigencia]]-AJ440</f>
        <v>-14.354166666664241</v>
      </c>
      <c r="AL440" s="23"/>
      <c r="AM440" s="87"/>
      <c r="AN440" s="23"/>
      <c r="AO440" s="29"/>
      <c r="AP440" s="23"/>
      <c r="AQ440" s="34" t="s">
        <v>2407</v>
      </c>
      <c r="AR440" s="23" t="s">
        <v>11</v>
      </c>
      <c r="AS440" s="33">
        <v>0.1</v>
      </c>
      <c r="AT440" s="29">
        <v>45734</v>
      </c>
      <c r="AU440" s="23"/>
      <c r="AV440" s="23"/>
      <c r="AW440" s="23" t="s">
        <v>2408</v>
      </c>
      <c r="AX440" t="s">
        <v>2409</v>
      </c>
      <c r="AY440" s="23"/>
      <c r="AZ440" s="23"/>
      <c r="BA440" s="23"/>
      <c r="BB440" s="32"/>
      <c r="BC440" s="73"/>
    </row>
    <row r="441" spans="1:55" x14ac:dyDescent="0.25">
      <c r="A441" s="22" t="s">
        <v>2410</v>
      </c>
      <c r="B441" s="23" t="s">
        <v>2411</v>
      </c>
      <c r="C441" s="23" t="s">
        <v>2412</v>
      </c>
      <c r="D441" s="34" t="s">
        <v>936</v>
      </c>
      <c r="E441" s="24"/>
      <c r="F441" s="25"/>
      <c r="G441" s="23" t="s">
        <v>21</v>
      </c>
      <c r="H441" s="23" t="s">
        <v>106</v>
      </c>
      <c r="I441" s="2">
        <v>44861.757430555554</v>
      </c>
      <c r="J441" s="24">
        <f>MONTH(Tabla1[[#This Row],[Publicación]])</f>
        <v>10</v>
      </c>
      <c r="K441" s="24">
        <f>YEAR(Tabla1[[#This Row],[Publicación]])</f>
        <v>2022</v>
      </c>
      <c r="L441" s="2">
        <v>44872.625</v>
      </c>
      <c r="M441" s="26">
        <v>44869</v>
      </c>
      <c r="N441" s="25" t="s">
        <v>11</v>
      </c>
      <c r="O441" s="24"/>
      <c r="P441" s="24" t="s">
        <v>11</v>
      </c>
      <c r="Q441" s="2">
        <v>44867.666666666664</v>
      </c>
      <c r="R441" s="2">
        <v>44869.666666666664</v>
      </c>
      <c r="S441" s="26">
        <v>44965.666666666664</v>
      </c>
      <c r="T441" s="28">
        <v>0</v>
      </c>
      <c r="U441" s="28">
        <f>Tabla1[[#This Row],[PPTO]]/(1+'Lista Datos'!$B$1)</f>
        <v>0</v>
      </c>
      <c r="V441" s="23"/>
      <c r="W441" s="18" t="s">
        <v>10</v>
      </c>
      <c r="X441" s="102"/>
      <c r="Y441" s="18" t="s">
        <v>146</v>
      </c>
      <c r="Z441" s="18" t="s">
        <v>10</v>
      </c>
      <c r="AA441" s="23"/>
      <c r="AB441" s="23"/>
      <c r="AC441" s="23" t="s">
        <v>10</v>
      </c>
      <c r="AD441" s="23"/>
      <c r="AE441" s="29">
        <f>Tabla1[[#This Row],[Cierre]]+Tabla1[[#This Row],[Vigencia Oferta (días)]]</f>
        <v>44872.625</v>
      </c>
      <c r="AF441" s="87"/>
      <c r="AG441" s="28"/>
      <c r="AH441" s="164">
        <f>Tabla1[[#This Row],[Unidades2]]*Tabla1[[#This Row],[Precio Unitario]]</f>
        <v>0</v>
      </c>
      <c r="AI441" s="23" t="s">
        <v>44</v>
      </c>
      <c r="AJ441" s="26">
        <v>44956.467233796298</v>
      </c>
      <c r="AK441" s="172">
        <f>Tabla1[[#This Row],[Fecha Vigencia]]-AJ441</f>
        <v>-83.842233796298387</v>
      </c>
      <c r="AL441" s="23" t="s">
        <v>582</v>
      </c>
      <c r="AM441" s="87">
        <v>32718000</v>
      </c>
      <c r="AN441" s="23"/>
      <c r="AO441" s="29"/>
      <c r="AP441" s="23"/>
      <c r="AQ441" s="34" t="s">
        <v>937</v>
      </c>
      <c r="AR441" s="23" t="s">
        <v>10</v>
      </c>
      <c r="AS441" s="23"/>
      <c r="AT441" s="23"/>
      <c r="AU441" s="23"/>
      <c r="AV441" s="23"/>
      <c r="AW441" s="23" t="s">
        <v>966</v>
      </c>
      <c r="AX441" t="s">
        <v>939</v>
      </c>
      <c r="AY441" s="23"/>
      <c r="AZ441" s="23"/>
      <c r="BA441" s="23"/>
      <c r="BB441" s="32"/>
      <c r="BC441" s="73"/>
    </row>
    <row r="442" spans="1:55" x14ac:dyDescent="0.25">
      <c r="A442" s="22" t="s">
        <v>2413</v>
      </c>
      <c r="B442" s="23" t="s">
        <v>2414</v>
      </c>
      <c r="C442" s="23" t="s">
        <v>2415</v>
      </c>
      <c r="D442" s="34" t="s">
        <v>2416</v>
      </c>
      <c r="E442" s="24"/>
      <c r="F442" s="25"/>
      <c r="G442" s="23" t="s">
        <v>16</v>
      </c>
      <c r="H442" s="23" t="s">
        <v>123</v>
      </c>
      <c r="I442" s="2">
        <v>44868.426006944443</v>
      </c>
      <c r="J442" s="24">
        <f>MONTH(Tabla1[[#This Row],[Publicación]])</f>
        <v>11</v>
      </c>
      <c r="K442" s="24">
        <f>YEAR(Tabla1[[#This Row],[Publicación]])</f>
        <v>2022</v>
      </c>
      <c r="L442" s="2">
        <v>44900.666666666664</v>
      </c>
      <c r="M442" s="26">
        <v>44872</v>
      </c>
      <c r="N442" s="25" t="s">
        <v>10</v>
      </c>
      <c r="O442" s="24" t="s">
        <v>25</v>
      </c>
      <c r="P442" s="24" t="s">
        <v>10</v>
      </c>
      <c r="Q442" s="2">
        <v>44879.666666666664</v>
      </c>
      <c r="R442" s="2">
        <v>44883.666666666664</v>
      </c>
      <c r="S442" s="26">
        <v>44944.666666666664</v>
      </c>
      <c r="T442" s="28">
        <v>0</v>
      </c>
      <c r="U442" s="28">
        <f>Tabla1[[#This Row],[PPTO]]/(1+'Lista Datos'!$B$1)</f>
        <v>0</v>
      </c>
      <c r="V442" s="23"/>
      <c r="W442" s="18" t="s">
        <v>11</v>
      </c>
      <c r="X442" s="102">
        <v>1000000</v>
      </c>
      <c r="Y442" s="26">
        <v>45080</v>
      </c>
      <c r="Z442" s="18" t="s">
        <v>10</v>
      </c>
      <c r="AA442" s="23"/>
      <c r="AB442" s="23"/>
      <c r="AC442" s="23"/>
      <c r="AD442" s="23"/>
      <c r="AE442" s="29">
        <f>Tabla1[[#This Row],[Cierre]]+Tabla1[[#This Row],[Vigencia Oferta (días)]]</f>
        <v>44900.666666666664</v>
      </c>
      <c r="AF442" s="87"/>
      <c r="AG442" s="28"/>
      <c r="AH442" s="164">
        <f>Tabla1[[#This Row],[Unidades2]]*Tabla1[[#This Row],[Precio Unitario]]</f>
        <v>0</v>
      </c>
      <c r="AI442" s="23" t="s">
        <v>44</v>
      </c>
      <c r="AJ442" s="26">
        <v>44957</v>
      </c>
      <c r="AK442" s="172">
        <f>Tabla1[[#This Row],[Fecha Vigencia]]-AJ442</f>
        <v>-56.333333333335759</v>
      </c>
      <c r="AL442" s="23" t="s">
        <v>46</v>
      </c>
      <c r="AM442" s="87">
        <v>11882230</v>
      </c>
      <c r="AN442" s="23"/>
      <c r="AO442" s="29"/>
      <c r="AP442" s="23"/>
      <c r="AQ442" s="34" t="s">
        <v>1237</v>
      </c>
      <c r="AR442" s="23" t="s">
        <v>11</v>
      </c>
      <c r="AS442" s="33">
        <v>0.05</v>
      </c>
      <c r="AT442" s="29">
        <v>46098</v>
      </c>
      <c r="AU442" s="23"/>
      <c r="AV442" s="23"/>
      <c r="AW442" s="23" t="s">
        <v>2417</v>
      </c>
      <c r="AX442" t="s">
        <v>2418</v>
      </c>
      <c r="AY442" s="23"/>
      <c r="AZ442" s="23"/>
      <c r="BA442" s="23"/>
      <c r="BB442" s="32"/>
      <c r="BC442" s="73"/>
    </row>
    <row r="443" spans="1:55" x14ac:dyDescent="0.25">
      <c r="A443" s="22" t="s">
        <v>2419</v>
      </c>
      <c r="B443" s="23" t="s">
        <v>2420</v>
      </c>
      <c r="C443" s="23" t="s">
        <v>2421</v>
      </c>
      <c r="D443" s="34" t="s">
        <v>2422</v>
      </c>
      <c r="E443" s="24"/>
      <c r="F443" s="25"/>
      <c r="G443" s="23" t="s">
        <v>21</v>
      </c>
      <c r="H443" s="23" t="s">
        <v>106</v>
      </c>
      <c r="I443" s="2">
        <v>44869.651655092595</v>
      </c>
      <c r="J443" s="24">
        <f>MONTH(Tabla1[[#This Row],[Publicación]])</f>
        <v>11</v>
      </c>
      <c r="K443" s="24">
        <f>YEAR(Tabla1[[#This Row],[Publicación]])</f>
        <v>2022</v>
      </c>
      <c r="L443" s="2">
        <v>44879.666666666664</v>
      </c>
      <c r="M443" s="26">
        <v>44872</v>
      </c>
      <c r="N443" s="25" t="s">
        <v>10</v>
      </c>
      <c r="O443" s="24" t="s">
        <v>29</v>
      </c>
      <c r="P443" s="24" t="s">
        <v>10</v>
      </c>
      <c r="Q443" s="2">
        <v>44873.416666666664</v>
      </c>
      <c r="R443" s="2">
        <v>44875.739583333336</v>
      </c>
      <c r="S443" s="26">
        <v>44970.75</v>
      </c>
      <c r="T443" s="28">
        <v>0</v>
      </c>
      <c r="U443" s="28">
        <f>Tabla1[[#This Row],[PPTO]]/(1+'Lista Datos'!$B$1)</f>
        <v>0</v>
      </c>
      <c r="V443" s="23"/>
      <c r="W443" s="18" t="s">
        <v>10</v>
      </c>
      <c r="X443" s="102"/>
      <c r="Y443" s="18" t="s">
        <v>146</v>
      </c>
      <c r="Z443" s="18" t="s">
        <v>10</v>
      </c>
      <c r="AA443" s="23"/>
      <c r="AB443" s="23"/>
      <c r="AC443" s="23"/>
      <c r="AD443" s="23"/>
      <c r="AE443" s="29">
        <f>Tabla1[[#This Row],[Cierre]]+Tabla1[[#This Row],[Vigencia Oferta (días)]]</f>
        <v>44879.666666666664</v>
      </c>
      <c r="AF443" s="87"/>
      <c r="AG443" s="28"/>
      <c r="AH443" s="164">
        <f>Tabla1[[#This Row],[Unidades2]]*Tabla1[[#This Row],[Precio Unitario]]</f>
        <v>0</v>
      </c>
      <c r="AI443" s="23" t="s">
        <v>320</v>
      </c>
      <c r="AJ443" s="26">
        <v>44901</v>
      </c>
      <c r="AK443" s="172">
        <f>Tabla1[[#This Row],[Fecha Vigencia]]-AJ443</f>
        <v>-21.333333333335759</v>
      </c>
      <c r="AL443" s="23"/>
      <c r="AM443" s="87"/>
      <c r="AN443" s="23"/>
      <c r="AO443" s="29"/>
      <c r="AP443" s="23" t="s">
        <v>292</v>
      </c>
      <c r="AQ443" s="34" t="s">
        <v>2423</v>
      </c>
      <c r="AR443" s="23" t="s">
        <v>11</v>
      </c>
      <c r="AS443" s="33">
        <v>0.05</v>
      </c>
      <c r="AT443" s="29">
        <v>46049</v>
      </c>
      <c r="AU443" s="23"/>
      <c r="AV443" s="23"/>
      <c r="AW443" s="23" t="s">
        <v>2424</v>
      </c>
      <c r="AX443" t="s">
        <v>2425</v>
      </c>
      <c r="AY443" s="23"/>
      <c r="AZ443" s="23"/>
      <c r="BA443" s="23"/>
      <c r="BB443" s="32"/>
      <c r="BC443" s="73"/>
    </row>
    <row r="444" spans="1:55" x14ac:dyDescent="0.25">
      <c r="A444" s="22" t="s">
        <v>2426</v>
      </c>
      <c r="B444" s="23" t="s">
        <v>2427</v>
      </c>
      <c r="C444" s="23" t="s">
        <v>2428</v>
      </c>
      <c r="D444" s="34" t="s">
        <v>2429</v>
      </c>
      <c r="E444" s="24"/>
      <c r="F444" s="25"/>
      <c r="G444" s="23" t="s">
        <v>21</v>
      </c>
      <c r="H444" s="23" t="s">
        <v>106</v>
      </c>
      <c r="I444" s="2">
        <v>44869.539606481485</v>
      </c>
      <c r="J444" s="24">
        <f>MONTH(Tabla1[[#This Row],[Publicación]])</f>
        <v>11</v>
      </c>
      <c r="K444" s="24">
        <f>YEAR(Tabla1[[#This Row],[Publicación]])</f>
        <v>2022</v>
      </c>
      <c r="L444" s="2">
        <v>44874.854166666664</v>
      </c>
      <c r="M444" s="26">
        <v>44873</v>
      </c>
      <c r="N444" s="25" t="s">
        <v>10</v>
      </c>
      <c r="O444" s="24" t="s">
        <v>29</v>
      </c>
      <c r="P444" s="24" t="s">
        <v>10</v>
      </c>
      <c r="Q444" s="2">
        <v>44872.774305555555</v>
      </c>
      <c r="R444" s="2">
        <v>44873.774305555555</v>
      </c>
      <c r="S444" s="26">
        <v>44879.780555555553</v>
      </c>
      <c r="T444" s="28">
        <v>0</v>
      </c>
      <c r="U444" s="28">
        <f>Tabla1[[#This Row],[PPTO]]/(1+'Lista Datos'!$B$1)</f>
        <v>0</v>
      </c>
      <c r="V444" s="23"/>
      <c r="W444" s="18" t="s">
        <v>10</v>
      </c>
      <c r="X444" s="102"/>
      <c r="Y444" s="18" t="s">
        <v>146</v>
      </c>
      <c r="Z444" s="18" t="s">
        <v>10</v>
      </c>
      <c r="AA444" s="23"/>
      <c r="AB444" s="23"/>
      <c r="AC444" s="23"/>
      <c r="AD444" s="23"/>
      <c r="AE444" s="29">
        <f>Tabla1[[#This Row],[Cierre]]+Tabla1[[#This Row],[Vigencia Oferta (días)]]</f>
        <v>44874.854166666664</v>
      </c>
      <c r="AF444" s="87"/>
      <c r="AG444" s="28"/>
      <c r="AH444" s="164">
        <f>Tabla1[[#This Row],[Unidades2]]*Tabla1[[#This Row],[Precio Unitario]]</f>
        <v>0</v>
      </c>
      <c r="AI444" s="23" t="s">
        <v>44</v>
      </c>
      <c r="AJ444" s="26">
        <v>44881</v>
      </c>
      <c r="AK444" s="172">
        <f>Tabla1[[#This Row],[Fecha Vigencia]]-AJ444</f>
        <v>-6.1458333333357587</v>
      </c>
      <c r="AL444" s="23" t="s">
        <v>46</v>
      </c>
      <c r="AM444" s="87">
        <v>504000</v>
      </c>
      <c r="AN444" s="23"/>
      <c r="AO444" s="29"/>
      <c r="AP444" s="23" t="s">
        <v>292</v>
      </c>
      <c r="AQ444" s="34" t="s">
        <v>2430</v>
      </c>
      <c r="AR444" s="23" t="s">
        <v>10</v>
      </c>
      <c r="AS444" s="23"/>
      <c r="AT444" s="23"/>
      <c r="AU444" s="23"/>
      <c r="AV444" s="23"/>
      <c r="AW444" s="23" t="s">
        <v>2431</v>
      </c>
      <c r="AX444" t="s">
        <v>2432</v>
      </c>
      <c r="AY444" s="23"/>
      <c r="AZ444" s="23"/>
      <c r="BA444" s="23"/>
      <c r="BB444" s="32"/>
      <c r="BC444" s="73"/>
    </row>
    <row r="445" spans="1:55" ht="11.25" x14ac:dyDescent="0.2">
      <c r="A445" s="22" t="s">
        <v>2433</v>
      </c>
      <c r="B445" s="23" t="s">
        <v>2434</v>
      </c>
      <c r="C445" s="23"/>
      <c r="D445" s="34" t="s">
        <v>391</v>
      </c>
      <c r="E445" s="24"/>
      <c r="F445" s="25"/>
      <c r="G445" s="23" t="s">
        <v>21</v>
      </c>
      <c r="H445" s="23" t="s">
        <v>106</v>
      </c>
      <c r="I445" s="2">
        <v>44872.64702546296</v>
      </c>
      <c r="J445" s="24">
        <f>MONTH(Tabla1[[#This Row],[Publicación]])</f>
        <v>11</v>
      </c>
      <c r="K445" s="24">
        <f>YEAR(Tabla1[[#This Row],[Publicación]])</f>
        <v>2022</v>
      </c>
      <c r="L445" s="2">
        <v>44879.75</v>
      </c>
      <c r="M445" s="26">
        <v>44873</v>
      </c>
      <c r="N445" s="25" t="s">
        <v>10</v>
      </c>
      <c r="O445" s="24" t="s">
        <v>29</v>
      </c>
      <c r="P445" s="24" t="s">
        <v>10</v>
      </c>
      <c r="Q445" s="2">
        <v>44874.708333333336</v>
      </c>
      <c r="R445" s="2">
        <v>44875.791666666664</v>
      </c>
      <c r="S445" s="26">
        <v>44890.666666666664</v>
      </c>
      <c r="T445" s="28">
        <v>0</v>
      </c>
      <c r="U445" s="28">
        <f>Tabla1[[#This Row],[PPTO]]/(1+'Lista Datos'!$B$1)</f>
        <v>0</v>
      </c>
      <c r="V445" s="23"/>
      <c r="W445" s="18" t="s">
        <v>10</v>
      </c>
      <c r="X445" s="102"/>
      <c r="Y445" s="18" t="s">
        <v>146</v>
      </c>
      <c r="Z445" s="18" t="s">
        <v>10</v>
      </c>
      <c r="AA445" s="23"/>
      <c r="AB445" s="23"/>
      <c r="AC445" s="23"/>
      <c r="AD445" s="23"/>
      <c r="AE445" s="29">
        <f>Tabla1[[#This Row],[Cierre]]+Tabla1[[#This Row],[Vigencia Oferta (días)]]</f>
        <v>44879.75</v>
      </c>
      <c r="AF445" s="87"/>
      <c r="AG445" s="28"/>
      <c r="AH445" s="164">
        <f>Tabla1[[#This Row],[Unidades2]]*Tabla1[[#This Row],[Precio Unitario]]</f>
        <v>0</v>
      </c>
      <c r="AI445" s="23" t="s">
        <v>44</v>
      </c>
      <c r="AJ445" s="26">
        <v>44895</v>
      </c>
      <c r="AK445" s="172">
        <f>Tabla1[[#This Row],[Fecha Vigencia]]-AJ445</f>
        <v>-15.25</v>
      </c>
      <c r="AL445" s="23" t="s">
        <v>46</v>
      </c>
      <c r="AM445" s="87">
        <v>39990</v>
      </c>
      <c r="AN445" s="23"/>
      <c r="AO445" s="29"/>
      <c r="AP445" s="23" t="s">
        <v>292</v>
      </c>
      <c r="AQ445" s="34"/>
      <c r="AR445" s="23" t="s">
        <v>10</v>
      </c>
      <c r="AS445" s="23"/>
      <c r="AT445" s="23"/>
      <c r="AU445" s="23"/>
      <c r="AV445" s="23"/>
      <c r="AW445" s="23"/>
      <c r="AX445" s="23"/>
      <c r="AY445" s="23"/>
      <c r="AZ445" s="23"/>
      <c r="BA445" s="23"/>
      <c r="BB445" s="32"/>
      <c r="BC445" s="73"/>
    </row>
    <row r="446" spans="1:55" x14ac:dyDescent="0.25">
      <c r="A446" s="22" t="s">
        <v>2435</v>
      </c>
      <c r="B446" s="23" t="s">
        <v>2436</v>
      </c>
      <c r="C446" s="23" t="s">
        <v>2437</v>
      </c>
      <c r="D446" s="34" t="s">
        <v>2438</v>
      </c>
      <c r="E446" s="24"/>
      <c r="F446" s="25"/>
      <c r="G446" s="23" t="s">
        <v>21</v>
      </c>
      <c r="H446" s="23" t="s">
        <v>106</v>
      </c>
      <c r="I446" s="2">
        <v>44869.618761574071</v>
      </c>
      <c r="J446" s="24">
        <f>MONTH(Tabla1[[#This Row],[Publicación]])</f>
        <v>11</v>
      </c>
      <c r="K446" s="24">
        <f>YEAR(Tabla1[[#This Row],[Publicación]])</f>
        <v>2022</v>
      </c>
      <c r="L446" s="2">
        <v>44879.625</v>
      </c>
      <c r="M446" s="26">
        <v>44873</v>
      </c>
      <c r="N446" s="25" t="s">
        <v>10</v>
      </c>
      <c r="O446" s="24" t="s">
        <v>25</v>
      </c>
      <c r="P446" s="24" t="s">
        <v>10</v>
      </c>
      <c r="Q446" s="2">
        <v>44874.75</v>
      </c>
      <c r="R446" s="2">
        <v>44875.75</v>
      </c>
      <c r="S446" s="26">
        <v>44883.75</v>
      </c>
      <c r="T446" s="28">
        <v>0</v>
      </c>
      <c r="U446" s="28">
        <f>Tabla1[[#This Row],[PPTO]]/(1+'Lista Datos'!$B$1)</f>
        <v>0</v>
      </c>
      <c r="V446" s="23"/>
      <c r="W446" s="18" t="s">
        <v>10</v>
      </c>
      <c r="X446" s="102"/>
      <c r="Y446" s="18" t="s">
        <v>146</v>
      </c>
      <c r="Z446" s="18" t="s">
        <v>10</v>
      </c>
      <c r="AA446" s="23"/>
      <c r="AB446" s="23"/>
      <c r="AC446" s="23"/>
      <c r="AD446" s="23"/>
      <c r="AE446" s="29">
        <f>Tabla1[[#This Row],[Cierre]]+Tabla1[[#This Row],[Vigencia Oferta (días)]]</f>
        <v>44879.625</v>
      </c>
      <c r="AF446" s="87"/>
      <c r="AG446" s="28"/>
      <c r="AH446" s="164">
        <f>Tabla1[[#This Row],[Unidades2]]*Tabla1[[#This Row],[Precio Unitario]]</f>
        <v>0</v>
      </c>
      <c r="AI446" s="23" t="s">
        <v>2439</v>
      </c>
      <c r="AJ446" s="26">
        <v>44886</v>
      </c>
      <c r="AK446" s="172">
        <f>Tabla1[[#This Row],[Fecha Vigencia]]-AJ446</f>
        <v>-6.375</v>
      </c>
      <c r="AL446" s="23" t="s">
        <v>46</v>
      </c>
      <c r="AM446" s="87">
        <v>2000</v>
      </c>
      <c r="AN446" s="23"/>
      <c r="AO446" s="29"/>
      <c r="AP446" s="23" t="s">
        <v>292</v>
      </c>
      <c r="AQ446" s="34" t="s">
        <v>313</v>
      </c>
      <c r="AR446" s="23" t="s">
        <v>10</v>
      </c>
      <c r="AS446" s="23"/>
      <c r="AT446" s="23"/>
      <c r="AU446" s="23"/>
      <c r="AV446" s="23"/>
      <c r="AW446" s="23" t="s">
        <v>2440</v>
      </c>
      <c r="AX446" t="s">
        <v>2441</v>
      </c>
      <c r="AY446" s="23"/>
      <c r="AZ446" s="23"/>
      <c r="BA446" s="23"/>
      <c r="BB446" s="32"/>
      <c r="BC446" s="73"/>
    </row>
    <row r="447" spans="1:55" x14ac:dyDescent="0.25">
      <c r="A447" s="22" t="s">
        <v>2442</v>
      </c>
      <c r="B447" s="23" t="s">
        <v>2443</v>
      </c>
      <c r="C447" s="23" t="s">
        <v>2444</v>
      </c>
      <c r="D447" s="34" t="s">
        <v>2445</v>
      </c>
      <c r="E447" s="24"/>
      <c r="F447" s="25"/>
      <c r="G447" s="23" t="s">
        <v>21</v>
      </c>
      <c r="H447" s="23" t="s">
        <v>106</v>
      </c>
      <c r="I447" s="2">
        <v>44869.486215277779</v>
      </c>
      <c r="J447" s="24">
        <f>MONTH(Tabla1[[#This Row],[Publicación]])</f>
        <v>11</v>
      </c>
      <c r="K447" s="24">
        <f>YEAR(Tabla1[[#This Row],[Publicación]])</f>
        <v>2022</v>
      </c>
      <c r="L447" s="2">
        <v>44889.645833333336</v>
      </c>
      <c r="M447" s="26">
        <v>44873</v>
      </c>
      <c r="N447" s="25" t="s">
        <v>10</v>
      </c>
      <c r="O447" s="24" t="s">
        <v>25</v>
      </c>
      <c r="P447" s="24" t="s">
        <v>10</v>
      </c>
      <c r="Q447" s="2">
        <v>44879.5</v>
      </c>
      <c r="R447" s="2">
        <v>44882.875</v>
      </c>
      <c r="S447" s="26">
        <v>44970.875</v>
      </c>
      <c r="T447" s="28">
        <v>0</v>
      </c>
      <c r="U447" s="28">
        <f>Tabla1[[#This Row],[PPTO]]/(1+'Lista Datos'!$B$1)</f>
        <v>0</v>
      </c>
      <c r="V447" s="23"/>
      <c r="W447" s="18" t="s">
        <v>11</v>
      </c>
      <c r="X447" s="102">
        <v>500000</v>
      </c>
      <c r="Y447" s="26">
        <v>44979</v>
      </c>
      <c r="Z447" s="18" t="s">
        <v>10</v>
      </c>
      <c r="AA447" s="23"/>
      <c r="AB447" s="23"/>
      <c r="AC447" s="23"/>
      <c r="AD447" s="23"/>
      <c r="AE447" s="29">
        <f>Tabla1[[#This Row],[Cierre]]+Tabla1[[#This Row],[Vigencia Oferta (días)]]</f>
        <v>44889.645833333336</v>
      </c>
      <c r="AF447" s="87"/>
      <c r="AG447" s="28"/>
      <c r="AH447" s="164">
        <f>Tabla1[[#This Row],[Unidades2]]*Tabla1[[#This Row],[Precio Unitario]]</f>
        <v>0</v>
      </c>
      <c r="AI447" s="23" t="s">
        <v>385</v>
      </c>
      <c r="AJ447" s="26"/>
      <c r="AK447" s="172">
        <f>Tabla1[[#This Row],[Fecha Vigencia]]-AJ447</f>
        <v>44889.645833333336</v>
      </c>
      <c r="AL447" s="23"/>
      <c r="AM447" s="87"/>
      <c r="AN447" s="23"/>
      <c r="AO447" s="29"/>
      <c r="AP447" s="23"/>
      <c r="AQ447" s="34" t="s">
        <v>2446</v>
      </c>
      <c r="AR447" s="23" t="s">
        <v>11</v>
      </c>
      <c r="AS447" s="33">
        <v>0.05</v>
      </c>
      <c r="AT447" s="29">
        <v>46129</v>
      </c>
      <c r="AU447" s="23"/>
      <c r="AV447" s="23"/>
      <c r="AW447" s="23" t="s">
        <v>2447</v>
      </c>
      <c r="AX447" t="s">
        <v>2448</v>
      </c>
      <c r="AY447" s="23"/>
      <c r="AZ447" s="23"/>
      <c r="BA447" s="23"/>
      <c r="BB447" s="32"/>
      <c r="BC447" s="73"/>
    </row>
    <row r="448" spans="1:55" x14ac:dyDescent="0.25">
      <c r="A448" s="22" t="s">
        <v>2449</v>
      </c>
      <c r="B448" s="23" t="s">
        <v>2450</v>
      </c>
      <c r="C448" s="23" t="s">
        <v>2451</v>
      </c>
      <c r="D448" s="34" t="s">
        <v>770</v>
      </c>
      <c r="E448" s="24"/>
      <c r="F448" s="25"/>
      <c r="G448" s="23" t="s">
        <v>21</v>
      </c>
      <c r="H448" s="23" t="s">
        <v>106</v>
      </c>
      <c r="I448" s="2">
        <v>44868.482847222222</v>
      </c>
      <c r="J448" s="24">
        <f>MONTH(Tabla1[[#This Row],[Publicación]])</f>
        <v>11</v>
      </c>
      <c r="K448" s="24">
        <f>YEAR(Tabla1[[#This Row],[Publicación]])</f>
        <v>2022</v>
      </c>
      <c r="L448" s="2">
        <v>44888.666666666664</v>
      </c>
      <c r="M448" s="26">
        <v>44873</v>
      </c>
      <c r="N448" s="25" t="s">
        <v>10</v>
      </c>
      <c r="O448" s="24" t="s">
        <v>25</v>
      </c>
      <c r="P448" s="24" t="s">
        <v>10</v>
      </c>
      <c r="Q448" s="2">
        <v>44879.715277777781</v>
      </c>
      <c r="R448" s="2">
        <v>44880.715277777781</v>
      </c>
      <c r="S448" s="26">
        <v>44909.625</v>
      </c>
      <c r="T448" s="28">
        <v>0</v>
      </c>
      <c r="U448" s="28">
        <f>Tabla1[[#This Row],[PPTO]]/(1+'Lista Datos'!$B$1)</f>
        <v>0</v>
      </c>
      <c r="V448" s="23"/>
      <c r="W448" s="18" t="s">
        <v>11</v>
      </c>
      <c r="X448" s="102">
        <v>500000</v>
      </c>
      <c r="Y448" s="26">
        <v>44988</v>
      </c>
      <c r="Z448" s="18" t="s">
        <v>10</v>
      </c>
      <c r="AA448" s="23"/>
      <c r="AB448" s="23"/>
      <c r="AC448" s="23"/>
      <c r="AD448" s="23"/>
      <c r="AE448" s="29">
        <f>Tabla1[[#This Row],[Cierre]]+Tabla1[[#This Row],[Vigencia Oferta (días)]]</f>
        <v>44888.666666666664</v>
      </c>
      <c r="AF448" s="87"/>
      <c r="AG448" s="28"/>
      <c r="AH448" s="164">
        <f>Tabla1[[#This Row],[Unidades2]]*Tabla1[[#This Row],[Precio Unitario]]</f>
        <v>0</v>
      </c>
      <c r="AI448" s="23" t="s">
        <v>44</v>
      </c>
      <c r="AJ448" s="26">
        <v>44925</v>
      </c>
      <c r="AK448" s="172">
        <f>Tabla1[[#This Row],[Fecha Vigencia]]-AJ448</f>
        <v>-36.333333333335759</v>
      </c>
      <c r="AL448" s="23" t="s">
        <v>46</v>
      </c>
      <c r="AM448" s="87">
        <v>2000</v>
      </c>
      <c r="AN448" s="23"/>
      <c r="AO448" s="29"/>
      <c r="AP448" s="23" t="s">
        <v>292</v>
      </c>
      <c r="AQ448" s="34" t="s">
        <v>771</v>
      </c>
      <c r="AR448" s="23" t="s">
        <v>11</v>
      </c>
      <c r="AS448" s="33">
        <v>0.05</v>
      </c>
      <c r="AT448" s="29">
        <v>46127</v>
      </c>
      <c r="AU448" s="23"/>
      <c r="AV448" s="23"/>
      <c r="AW448" s="23" t="s">
        <v>2452</v>
      </c>
      <c r="AX448" t="s">
        <v>773</v>
      </c>
      <c r="AY448" s="23"/>
      <c r="AZ448" s="23"/>
      <c r="BA448" s="23"/>
      <c r="BB448" s="32"/>
      <c r="BC448" s="73"/>
    </row>
    <row r="449" spans="1:55" x14ac:dyDescent="0.25">
      <c r="A449" s="22" t="s">
        <v>2453</v>
      </c>
      <c r="B449" s="23" t="s">
        <v>2454</v>
      </c>
      <c r="C449" s="23" t="s">
        <v>2455</v>
      </c>
      <c r="D449" s="34" t="s">
        <v>2456</v>
      </c>
      <c r="E449" s="24"/>
      <c r="F449" s="25"/>
      <c r="G449" s="23" t="s">
        <v>21</v>
      </c>
      <c r="H449" s="23" t="s">
        <v>106</v>
      </c>
      <c r="I449" s="2">
        <v>44868.458657407406</v>
      </c>
      <c r="J449" s="24">
        <f>MONTH(Tabla1[[#This Row],[Publicación]])</f>
        <v>11</v>
      </c>
      <c r="K449" s="24">
        <f>YEAR(Tabla1[[#This Row],[Publicación]])</f>
        <v>2022</v>
      </c>
      <c r="L449" s="2">
        <v>44879.828472222223</v>
      </c>
      <c r="M449" s="26">
        <v>44873</v>
      </c>
      <c r="N449" s="25" t="s">
        <v>10</v>
      </c>
      <c r="O449" s="24" t="s">
        <v>25</v>
      </c>
      <c r="P449" s="24" t="s">
        <v>10</v>
      </c>
      <c r="Q449" s="2">
        <v>44872.606944444444</v>
      </c>
      <c r="R449" s="2">
        <v>44873.606944444444</v>
      </c>
      <c r="S449" s="26">
        <v>44894.82916666667</v>
      </c>
      <c r="T449" s="28">
        <v>0</v>
      </c>
      <c r="U449" s="28">
        <f>Tabla1[[#This Row],[PPTO]]/(1+'Lista Datos'!$B$1)</f>
        <v>0</v>
      </c>
      <c r="V449" s="23"/>
      <c r="W449" s="18" t="s">
        <v>10</v>
      </c>
      <c r="X449" s="102"/>
      <c r="Y449" s="18" t="s">
        <v>146</v>
      </c>
      <c r="Z449" s="18" t="s">
        <v>10</v>
      </c>
      <c r="AA449" s="23"/>
      <c r="AB449" s="23"/>
      <c r="AC449" s="23"/>
      <c r="AD449" s="23"/>
      <c r="AE449" s="29">
        <f>Tabla1[[#This Row],[Cierre]]+Tabla1[[#This Row],[Vigencia Oferta (días)]]</f>
        <v>44879.828472222223</v>
      </c>
      <c r="AF449" s="87"/>
      <c r="AG449" s="28"/>
      <c r="AH449" s="164">
        <f>Tabla1[[#This Row],[Unidades2]]*Tabla1[[#This Row],[Precio Unitario]]</f>
        <v>0</v>
      </c>
      <c r="AI449" s="23" t="s">
        <v>44</v>
      </c>
      <c r="AJ449" s="26">
        <v>44887</v>
      </c>
      <c r="AK449" s="172">
        <f>Tabla1[[#This Row],[Fecha Vigencia]]-AJ449</f>
        <v>-7.171527777776646</v>
      </c>
      <c r="AL449" s="23" t="s">
        <v>46</v>
      </c>
      <c r="AM449" s="87">
        <v>3700</v>
      </c>
      <c r="AN449" s="23"/>
      <c r="AO449" s="29"/>
      <c r="AP449" s="23" t="s">
        <v>292</v>
      </c>
      <c r="AQ449" s="34" t="s">
        <v>2457</v>
      </c>
      <c r="AR449" s="23"/>
      <c r="AS449" s="23"/>
      <c r="AT449" s="23"/>
      <c r="AU449" s="23"/>
      <c r="AV449" s="23"/>
      <c r="AW449" s="23" t="s">
        <v>2458</v>
      </c>
      <c r="AX449" t="s">
        <v>2459</v>
      </c>
      <c r="AY449" s="23"/>
      <c r="AZ449" s="23"/>
      <c r="BA449" s="23"/>
      <c r="BB449" s="32"/>
      <c r="BC449" s="73"/>
    </row>
    <row r="450" spans="1:55" x14ac:dyDescent="0.25">
      <c r="A450" s="22" t="s">
        <v>2460</v>
      </c>
      <c r="B450" s="23" t="s">
        <v>2461</v>
      </c>
      <c r="C450" s="23" t="s">
        <v>2462</v>
      </c>
      <c r="D450" s="34" t="s">
        <v>391</v>
      </c>
      <c r="E450" s="24"/>
      <c r="F450" s="25"/>
      <c r="G450" s="23" t="s">
        <v>21</v>
      </c>
      <c r="H450" s="23" t="s">
        <v>106</v>
      </c>
      <c r="I450" s="2">
        <v>44867.697245370371</v>
      </c>
      <c r="J450" s="24">
        <f>MONTH(Tabla1[[#This Row],[Publicación]])</f>
        <v>11</v>
      </c>
      <c r="K450" s="24">
        <f>YEAR(Tabla1[[#This Row],[Publicación]])</f>
        <v>2022</v>
      </c>
      <c r="L450" s="2">
        <v>44879.8</v>
      </c>
      <c r="M450" s="26">
        <v>44874</v>
      </c>
      <c r="N450" s="25" t="s">
        <v>11</v>
      </c>
      <c r="O450" s="24"/>
      <c r="P450" s="24" t="s">
        <v>11</v>
      </c>
      <c r="Q450" s="2">
        <v>44868.800694444442</v>
      </c>
      <c r="R450" s="2">
        <v>44874.800694444442</v>
      </c>
      <c r="S450" s="26">
        <v>44910.8</v>
      </c>
      <c r="T450" s="28">
        <v>0</v>
      </c>
      <c r="U450" s="28">
        <f>Tabla1[[#This Row],[PPTO]]/(1+'Lista Datos'!$B$1)</f>
        <v>0</v>
      </c>
      <c r="V450" s="23"/>
      <c r="W450" s="18" t="s">
        <v>10</v>
      </c>
      <c r="X450" s="102"/>
      <c r="Y450" s="18" t="s">
        <v>146</v>
      </c>
      <c r="Z450" s="18" t="s">
        <v>10</v>
      </c>
      <c r="AA450" s="23"/>
      <c r="AB450" s="23"/>
      <c r="AC450" s="23" t="s">
        <v>10</v>
      </c>
      <c r="AD450" s="23"/>
      <c r="AE450" s="29">
        <f>Tabla1[[#This Row],[Cierre]]+Tabla1[[#This Row],[Vigencia Oferta (días)]]</f>
        <v>44879.8</v>
      </c>
      <c r="AF450" s="87"/>
      <c r="AG450" s="28"/>
      <c r="AH450" s="164">
        <f>Tabla1[[#This Row],[Unidades2]]*Tabla1[[#This Row],[Precio Unitario]]</f>
        <v>0</v>
      </c>
      <c r="AI450" s="23" t="s">
        <v>44</v>
      </c>
      <c r="AJ450" s="26">
        <v>44890</v>
      </c>
      <c r="AK450" s="172">
        <f>Tabla1[[#This Row],[Fecha Vigencia]]-AJ450</f>
        <v>-10.19999999999709</v>
      </c>
      <c r="AL450" s="23" t="s">
        <v>115</v>
      </c>
      <c r="AM450" s="87">
        <v>1600000</v>
      </c>
      <c r="AN450" s="23"/>
      <c r="AO450" s="29"/>
      <c r="AP450" s="23" t="s">
        <v>292</v>
      </c>
      <c r="AQ450" s="34" t="s">
        <v>392</v>
      </c>
      <c r="AR450" s="23" t="s">
        <v>10</v>
      </c>
      <c r="AS450" s="23"/>
      <c r="AT450" s="23"/>
      <c r="AU450" s="23"/>
      <c r="AV450" s="23"/>
      <c r="AW450" s="23" t="s">
        <v>393</v>
      </c>
      <c r="AX450" t="s">
        <v>394</v>
      </c>
      <c r="AY450" s="23"/>
      <c r="AZ450" s="23"/>
      <c r="BA450" s="23"/>
      <c r="BB450" s="32"/>
      <c r="BC450" s="73"/>
    </row>
    <row r="451" spans="1:55" x14ac:dyDescent="0.25">
      <c r="A451" s="22" t="s">
        <v>2463</v>
      </c>
      <c r="B451" s="23" t="s">
        <v>2464</v>
      </c>
      <c r="C451" s="23" t="s">
        <v>2465</v>
      </c>
      <c r="D451" s="34" t="s">
        <v>1965</v>
      </c>
      <c r="E451" s="24"/>
      <c r="F451" s="25"/>
      <c r="G451" s="23" t="s">
        <v>21</v>
      </c>
      <c r="H451" s="23" t="s">
        <v>106</v>
      </c>
      <c r="I451" s="2">
        <v>44873.706342592595</v>
      </c>
      <c r="J451" s="24">
        <f>MONTH(Tabla1[[#This Row],[Publicación]])</f>
        <v>11</v>
      </c>
      <c r="K451" s="24">
        <f>YEAR(Tabla1[[#This Row],[Publicación]])</f>
        <v>2022</v>
      </c>
      <c r="L451" s="2">
        <v>44883.6875</v>
      </c>
      <c r="M451" s="26">
        <v>44874</v>
      </c>
      <c r="N451" s="25" t="s">
        <v>11</v>
      </c>
      <c r="O451" s="24"/>
      <c r="P451" s="24" t="s">
        <v>11</v>
      </c>
      <c r="Q451" s="2">
        <v>44879.825694444444</v>
      </c>
      <c r="R451" s="2">
        <v>44881.825694444444</v>
      </c>
      <c r="S451" s="26">
        <v>44904.692361111112</v>
      </c>
      <c r="T451" s="28">
        <v>0</v>
      </c>
      <c r="U451" s="28">
        <f>Tabla1[[#This Row],[PPTO]]/(1+'Lista Datos'!$B$1)</f>
        <v>0</v>
      </c>
      <c r="V451" s="23"/>
      <c r="W451" s="18" t="s">
        <v>11</v>
      </c>
      <c r="X451" s="102">
        <v>500000</v>
      </c>
      <c r="Y451" s="26">
        <v>45064</v>
      </c>
      <c r="Z451" s="18" t="s">
        <v>10</v>
      </c>
      <c r="AA451" s="23" t="s">
        <v>177</v>
      </c>
      <c r="AB451" s="23"/>
      <c r="AC451" s="23" t="s">
        <v>10</v>
      </c>
      <c r="AD451" s="23">
        <v>180</v>
      </c>
      <c r="AE451" s="29">
        <f>Tabla1[[#This Row],[Cierre]]+Tabla1[[#This Row],[Vigencia Oferta (días)]]</f>
        <v>45063.6875</v>
      </c>
      <c r="AF451" s="87"/>
      <c r="AG451" s="28"/>
      <c r="AH451" s="164">
        <f>Tabla1[[#This Row],[Unidades2]]*Tabla1[[#This Row],[Precio Unitario]]</f>
        <v>0</v>
      </c>
      <c r="AI451" s="23" t="s">
        <v>44</v>
      </c>
      <c r="AJ451" s="26">
        <v>44908</v>
      </c>
      <c r="AK451" s="172">
        <f>Tabla1[[#This Row],[Fecha Vigencia]]-AJ451</f>
        <v>155.6875</v>
      </c>
      <c r="AL451" s="23" t="s">
        <v>46</v>
      </c>
      <c r="AM451" s="87">
        <v>2300000</v>
      </c>
      <c r="AN451" s="23"/>
      <c r="AO451" s="29"/>
      <c r="AP451" s="23" t="s">
        <v>177</v>
      </c>
      <c r="AQ451" s="34" t="s">
        <v>1966</v>
      </c>
      <c r="AR451" s="23" t="s">
        <v>11</v>
      </c>
      <c r="AS451" s="33">
        <v>0.1</v>
      </c>
      <c r="AT451" s="29">
        <v>45706</v>
      </c>
      <c r="AU451" s="23"/>
      <c r="AV451" s="23"/>
      <c r="AW451" s="23" t="s">
        <v>2466</v>
      </c>
      <c r="AX451" t="s">
        <v>2467</v>
      </c>
      <c r="AY451" s="23"/>
      <c r="AZ451" s="23"/>
      <c r="BA451" s="23"/>
      <c r="BB451" s="32"/>
      <c r="BC451" s="73"/>
    </row>
    <row r="452" spans="1:55" x14ac:dyDescent="0.25">
      <c r="A452" s="22" t="s">
        <v>2468</v>
      </c>
      <c r="B452" s="23" t="s">
        <v>2469</v>
      </c>
      <c r="C452" s="23" t="s">
        <v>2470</v>
      </c>
      <c r="D452" s="34" t="s">
        <v>2471</v>
      </c>
      <c r="E452" s="24"/>
      <c r="F452" s="25"/>
      <c r="G452" s="23" t="s">
        <v>20</v>
      </c>
      <c r="H452" s="23" t="s">
        <v>176</v>
      </c>
      <c r="I452" s="2">
        <v>44874.58699074074</v>
      </c>
      <c r="J452" s="24">
        <f>MONTH(Tabla1[[#This Row],[Publicación]])</f>
        <v>11</v>
      </c>
      <c r="K452" s="24">
        <f>YEAR(Tabla1[[#This Row],[Publicación]])</f>
        <v>2022</v>
      </c>
      <c r="L452" s="2">
        <v>44886.625</v>
      </c>
      <c r="M452" s="26">
        <v>44874</v>
      </c>
      <c r="N452" s="25" t="s">
        <v>11</v>
      </c>
      <c r="O452" s="24"/>
      <c r="P452" s="24" t="s">
        <v>11</v>
      </c>
      <c r="Q452" s="2">
        <v>44876.75</v>
      </c>
      <c r="R452" s="2">
        <v>44880.583333333336</v>
      </c>
      <c r="S452" s="26">
        <v>44924.666666666664</v>
      </c>
      <c r="T452" s="28">
        <v>0</v>
      </c>
      <c r="U452" s="28">
        <f>Tabla1[[#This Row],[PPTO]]/(1+'Lista Datos'!$B$1)</f>
        <v>0</v>
      </c>
      <c r="V452" s="23"/>
      <c r="W452" s="18" t="s">
        <v>11</v>
      </c>
      <c r="X452" s="102">
        <v>500000</v>
      </c>
      <c r="Y452" s="26">
        <v>44946</v>
      </c>
      <c r="Z452" s="18" t="s">
        <v>10</v>
      </c>
      <c r="AA452" s="23" t="s">
        <v>177</v>
      </c>
      <c r="AB452" s="23"/>
      <c r="AC452" s="23" t="s">
        <v>10</v>
      </c>
      <c r="AD452" s="23"/>
      <c r="AE452" s="29">
        <f>Tabla1[[#This Row],[Cierre]]+Tabla1[[#This Row],[Vigencia Oferta (días)]]</f>
        <v>44886.625</v>
      </c>
      <c r="AF452" s="87"/>
      <c r="AG452" s="28"/>
      <c r="AH452" s="164">
        <f>Tabla1[[#This Row],[Unidades2]]*Tabla1[[#This Row],[Precio Unitario]]</f>
        <v>0</v>
      </c>
      <c r="AI452" s="23" t="s">
        <v>385</v>
      </c>
      <c r="AJ452" s="26"/>
      <c r="AK452" s="172">
        <f>Tabla1[[#This Row],[Fecha Vigencia]]-AJ452</f>
        <v>44886.625</v>
      </c>
      <c r="AL452" s="23"/>
      <c r="AM452" s="87"/>
      <c r="AN452" s="23"/>
      <c r="AO452" s="29"/>
      <c r="AP452" s="23"/>
      <c r="AQ452" s="34" t="s">
        <v>2472</v>
      </c>
      <c r="AR452" s="23" t="s">
        <v>11</v>
      </c>
      <c r="AS452" s="33">
        <v>0.05</v>
      </c>
      <c r="AT452" s="29">
        <v>45716</v>
      </c>
      <c r="AU452" s="23"/>
      <c r="AV452" s="23"/>
      <c r="AW452" s="23" t="s">
        <v>2473</v>
      </c>
      <c r="AX452" t="s">
        <v>2474</v>
      </c>
      <c r="AY452" s="23"/>
      <c r="AZ452" s="23"/>
      <c r="BA452" s="23"/>
      <c r="BB452" s="32"/>
      <c r="BC452" s="73"/>
    </row>
    <row r="453" spans="1:55" x14ac:dyDescent="0.25">
      <c r="A453" s="22" t="s">
        <v>2475</v>
      </c>
      <c r="B453" s="23" t="s">
        <v>2476</v>
      </c>
      <c r="C453" s="23" t="s">
        <v>2477</v>
      </c>
      <c r="D453" s="34" t="s">
        <v>1828</v>
      </c>
      <c r="E453" s="24"/>
      <c r="F453" s="25"/>
      <c r="G453" s="23" t="s">
        <v>21</v>
      </c>
      <c r="H453" s="23" t="s">
        <v>106</v>
      </c>
      <c r="I453" s="2">
        <v>44874.513703703706</v>
      </c>
      <c r="J453" s="24">
        <f>MONTH(Tabla1[[#This Row],[Publicación]])</f>
        <v>11</v>
      </c>
      <c r="K453" s="24">
        <f>YEAR(Tabla1[[#This Row],[Publicación]])</f>
        <v>2022</v>
      </c>
      <c r="L453" s="2">
        <v>44886.625</v>
      </c>
      <c r="M453" s="26">
        <v>44876</v>
      </c>
      <c r="N453" s="25" t="s">
        <v>10</v>
      </c>
      <c r="O453" s="24" t="s">
        <v>28</v>
      </c>
      <c r="P453" s="24" t="s">
        <v>10</v>
      </c>
      <c r="Q453" s="2">
        <v>44879.583333333336</v>
      </c>
      <c r="R453" s="2">
        <v>44882.708333333336</v>
      </c>
      <c r="S453" s="26">
        <v>44917.708333333336</v>
      </c>
      <c r="T453" s="28">
        <v>0</v>
      </c>
      <c r="U453" s="28">
        <f>Tabla1[[#This Row],[PPTO]]/(1+'Lista Datos'!$B$1)</f>
        <v>0</v>
      </c>
      <c r="V453" s="23"/>
      <c r="W453" s="18" t="s">
        <v>10</v>
      </c>
      <c r="X453" s="102"/>
      <c r="Y453" s="18" t="s">
        <v>146</v>
      </c>
      <c r="Z453" s="18" t="s">
        <v>10</v>
      </c>
      <c r="AA453" s="23"/>
      <c r="AB453" s="23"/>
      <c r="AC453" s="23"/>
      <c r="AD453" s="23"/>
      <c r="AE453" s="29">
        <f>Tabla1[[#This Row],[Cierre]]+Tabla1[[#This Row],[Vigencia Oferta (días)]]</f>
        <v>44886.625</v>
      </c>
      <c r="AF453" s="87"/>
      <c r="AG453" s="28"/>
      <c r="AH453" s="164">
        <f>Tabla1[[#This Row],[Unidades2]]*Tabla1[[#This Row],[Precio Unitario]]</f>
        <v>0</v>
      </c>
      <c r="AI453" s="23" t="s">
        <v>44</v>
      </c>
      <c r="AJ453" s="26">
        <v>44916</v>
      </c>
      <c r="AK453" s="172">
        <f>Tabla1[[#This Row],[Fecha Vigencia]]-AJ453</f>
        <v>-29.375</v>
      </c>
      <c r="AL453" s="23" t="s">
        <v>46</v>
      </c>
      <c r="AM453" s="87">
        <v>27160000</v>
      </c>
      <c r="AN453" s="23"/>
      <c r="AO453" s="29"/>
      <c r="AP453" s="23" t="s">
        <v>177</v>
      </c>
      <c r="AQ453" s="34" t="s">
        <v>995</v>
      </c>
      <c r="AR453" s="23" t="s">
        <v>11</v>
      </c>
      <c r="AS453" s="33">
        <v>0.1</v>
      </c>
      <c r="AT453" s="29">
        <v>45768</v>
      </c>
      <c r="AU453" s="23"/>
      <c r="AV453" s="23"/>
      <c r="AW453" s="23" t="s">
        <v>996</v>
      </c>
      <c r="AX453" t="s">
        <v>997</v>
      </c>
      <c r="AY453" s="23"/>
      <c r="AZ453" s="23"/>
      <c r="BA453" s="23"/>
      <c r="BB453" s="32"/>
      <c r="BC453" s="73"/>
    </row>
    <row r="454" spans="1:55" ht="11.25" x14ac:dyDescent="0.2">
      <c r="A454" s="22" t="s">
        <v>2478</v>
      </c>
      <c r="B454" s="23" t="s">
        <v>2479</v>
      </c>
      <c r="C454" s="23"/>
      <c r="D454" s="34" t="s">
        <v>2377</v>
      </c>
      <c r="E454" s="24"/>
      <c r="F454" s="25"/>
      <c r="G454" s="23" t="s">
        <v>21</v>
      </c>
      <c r="H454" s="23" t="s">
        <v>106</v>
      </c>
      <c r="I454" s="2">
        <v>44875.69935185185</v>
      </c>
      <c r="J454" s="24">
        <f>MONTH(Tabla1[[#This Row],[Publicación]])</f>
        <v>11</v>
      </c>
      <c r="K454" s="24">
        <f>YEAR(Tabla1[[#This Row],[Publicación]])</f>
        <v>2022</v>
      </c>
      <c r="L454" s="2">
        <v>44882.625</v>
      </c>
      <c r="M454" s="26">
        <v>44876</v>
      </c>
      <c r="N454" s="25" t="s">
        <v>10</v>
      </c>
      <c r="O454" s="24" t="s">
        <v>27</v>
      </c>
      <c r="P454" s="24" t="s">
        <v>10</v>
      </c>
      <c r="Q454" s="2">
        <v>44876.625</v>
      </c>
      <c r="R454" s="2">
        <v>44879.625</v>
      </c>
      <c r="S454" s="26">
        <v>44896.611111111109</v>
      </c>
      <c r="T454" s="28">
        <v>0</v>
      </c>
      <c r="U454" s="28">
        <f>Tabla1[[#This Row],[PPTO]]/(1+'Lista Datos'!$B$1)</f>
        <v>0</v>
      </c>
      <c r="V454" s="23"/>
      <c r="W454" s="18" t="s">
        <v>10</v>
      </c>
      <c r="X454" s="102"/>
      <c r="Y454" s="18" t="s">
        <v>146</v>
      </c>
      <c r="Z454" s="18" t="s">
        <v>10</v>
      </c>
      <c r="AA454" s="23"/>
      <c r="AB454" s="23"/>
      <c r="AC454" s="23"/>
      <c r="AD454" s="23"/>
      <c r="AE454" s="29">
        <f>Tabla1[[#This Row],[Cierre]]+Tabla1[[#This Row],[Vigencia Oferta (días)]]</f>
        <v>44882.625</v>
      </c>
      <c r="AF454" s="87"/>
      <c r="AG454" s="28"/>
      <c r="AH454" s="164">
        <f>Tabla1[[#This Row],[Unidades2]]*Tabla1[[#This Row],[Precio Unitario]]</f>
        <v>0</v>
      </c>
      <c r="AI454" s="23" t="s">
        <v>44</v>
      </c>
      <c r="AJ454" s="26">
        <v>44901</v>
      </c>
      <c r="AK454" s="172">
        <f>Tabla1[[#This Row],[Fecha Vigencia]]-AJ454</f>
        <v>-18.375</v>
      </c>
      <c r="AL454" s="23" t="s">
        <v>45</v>
      </c>
      <c r="AM454" s="87">
        <v>2876110</v>
      </c>
      <c r="AN454" s="23"/>
      <c r="AO454" s="29"/>
      <c r="AP454" s="23" t="s">
        <v>292</v>
      </c>
      <c r="AQ454" s="34"/>
      <c r="AR454" s="23" t="s">
        <v>10</v>
      </c>
      <c r="AS454" s="23"/>
      <c r="AT454" s="23"/>
      <c r="AU454" s="23"/>
      <c r="AV454" s="23"/>
      <c r="AW454" s="23"/>
      <c r="AX454" s="23"/>
      <c r="AY454" s="23"/>
      <c r="AZ454" s="23"/>
      <c r="BA454" s="23"/>
      <c r="BB454" s="32"/>
      <c r="BC454" s="73"/>
    </row>
    <row r="455" spans="1:55" x14ac:dyDescent="0.25">
      <c r="A455" s="22" t="s">
        <v>2480</v>
      </c>
      <c r="B455" s="23" t="s">
        <v>2481</v>
      </c>
      <c r="C455" s="23" t="s">
        <v>2482</v>
      </c>
      <c r="D455" s="34" t="s">
        <v>1346</v>
      </c>
      <c r="E455" s="24"/>
      <c r="F455" s="25"/>
      <c r="G455" s="23" t="s">
        <v>16</v>
      </c>
      <c r="H455" s="23" t="s">
        <v>345</v>
      </c>
      <c r="I455" s="2">
        <v>44874.645277777781</v>
      </c>
      <c r="J455" s="24">
        <f>MONTH(Tabla1[[#This Row],[Publicación]])</f>
        <v>11</v>
      </c>
      <c r="K455" s="24">
        <f>YEAR(Tabla1[[#This Row],[Publicación]])</f>
        <v>2022</v>
      </c>
      <c r="L455" s="2">
        <v>44894.375</v>
      </c>
      <c r="M455" s="26">
        <v>44880</v>
      </c>
      <c r="N455" s="25" t="s">
        <v>10</v>
      </c>
      <c r="O455" s="24" t="s">
        <v>26</v>
      </c>
      <c r="P455" s="24" t="s">
        <v>10</v>
      </c>
      <c r="Q455" s="2">
        <v>44880.708333333336</v>
      </c>
      <c r="R455" s="2">
        <v>44882.708333333336</v>
      </c>
      <c r="S455" s="26">
        <v>44925.708333333336</v>
      </c>
      <c r="T455" s="28">
        <v>0</v>
      </c>
      <c r="U455" s="28">
        <f>Tabla1[[#This Row],[PPTO]]/(1+'Lista Datos'!$B$1)</f>
        <v>0</v>
      </c>
      <c r="V455" s="23"/>
      <c r="W455" s="18" t="s">
        <v>11</v>
      </c>
      <c r="X455" s="102">
        <v>200000</v>
      </c>
      <c r="Y455" s="26">
        <v>44985</v>
      </c>
      <c r="Z455" s="18" t="s">
        <v>10</v>
      </c>
      <c r="AA455" s="23"/>
      <c r="AB455" s="23"/>
      <c r="AC455" s="23"/>
      <c r="AD455" s="23"/>
      <c r="AE455" s="29">
        <f>Tabla1[[#This Row],[Cierre]]+Tabla1[[#This Row],[Vigencia Oferta (días)]]</f>
        <v>44894.375</v>
      </c>
      <c r="AF455" s="87"/>
      <c r="AG455" s="28"/>
      <c r="AH455" s="164">
        <f>Tabla1[[#This Row],[Unidades2]]*Tabla1[[#This Row],[Precio Unitario]]</f>
        <v>0</v>
      </c>
      <c r="AI455" s="23" t="s">
        <v>44</v>
      </c>
      <c r="AJ455" s="26">
        <v>44914</v>
      </c>
      <c r="AK455" s="172">
        <f>Tabla1[[#This Row],[Fecha Vigencia]]-AJ455</f>
        <v>-19.625</v>
      </c>
      <c r="AL455" s="23" t="s">
        <v>46</v>
      </c>
      <c r="AM455" s="87">
        <v>52462816</v>
      </c>
      <c r="AN455" s="23"/>
      <c r="AO455" s="29"/>
      <c r="AP455" s="23" t="s">
        <v>177</v>
      </c>
      <c r="AQ455" s="34" t="s">
        <v>1347</v>
      </c>
      <c r="AR455" s="23" t="s">
        <v>11</v>
      </c>
      <c r="AS455" s="33">
        <v>0.05</v>
      </c>
      <c r="AT455" s="29">
        <v>45656</v>
      </c>
      <c r="AU455" s="23"/>
      <c r="AV455" s="23"/>
      <c r="AW455" s="23" t="s">
        <v>1660</v>
      </c>
      <c r="AX455" t="s">
        <v>1350</v>
      </c>
      <c r="AY455" s="23"/>
      <c r="AZ455" s="23"/>
      <c r="BA455" s="23"/>
      <c r="BB455" s="32"/>
      <c r="BC455" s="73"/>
    </row>
    <row r="456" spans="1:55" x14ac:dyDescent="0.25">
      <c r="A456" s="22" t="s">
        <v>2483</v>
      </c>
      <c r="B456" s="23" t="s">
        <v>2484</v>
      </c>
      <c r="C456" s="23" t="s">
        <v>2485</v>
      </c>
      <c r="D456" s="34" t="s">
        <v>2486</v>
      </c>
      <c r="E456" s="24"/>
      <c r="F456" s="25"/>
      <c r="G456" s="23" t="s">
        <v>16</v>
      </c>
      <c r="H456" s="23" t="s">
        <v>1983</v>
      </c>
      <c r="I456" s="2">
        <v>44875.638888888891</v>
      </c>
      <c r="J456" s="24">
        <f>MONTH(Tabla1[[#This Row],[Publicación]])</f>
        <v>11</v>
      </c>
      <c r="K456" s="24">
        <f>YEAR(Tabla1[[#This Row],[Publicación]])</f>
        <v>2022</v>
      </c>
      <c r="L456" s="2">
        <v>44890.631944444445</v>
      </c>
      <c r="M456" s="26">
        <v>44880</v>
      </c>
      <c r="N456" s="25" t="s">
        <v>11</v>
      </c>
      <c r="O456" s="24"/>
      <c r="P456" s="24" t="s">
        <v>11</v>
      </c>
      <c r="Q456" s="2">
        <v>44879.833333333336</v>
      </c>
      <c r="R456" s="2">
        <v>44880.791666666664</v>
      </c>
      <c r="S456" s="26">
        <v>44897.666666666664</v>
      </c>
      <c r="T456" s="28">
        <v>0</v>
      </c>
      <c r="U456" s="28">
        <f>Tabla1[[#This Row],[PPTO]]/(1+'Lista Datos'!$B$1)</f>
        <v>0</v>
      </c>
      <c r="V456" s="23"/>
      <c r="W456" s="18" t="s">
        <v>10</v>
      </c>
      <c r="X456" s="102"/>
      <c r="Y456" s="18" t="s">
        <v>146</v>
      </c>
      <c r="Z456" s="18" t="s">
        <v>10</v>
      </c>
      <c r="AA456" s="23" t="s">
        <v>177</v>
      </c>
      <c r="AB456" s="23">
        <v>12</v>
      </c>
      <c r="AC456" s="23" t="s">
        <v>10</v>
      </c>
      <c r="AD456" s="23"/>
      <c r="AE456" s="29">
        <f>Tabla1[[#This Row],[Cierre]]+Tabla1[[#This Row],[Vigencia Oferta (días)]]</f>
        <v>44890.631944444445</v>
      </c>
      <c r="AF456" s="87"/>
      <c r="AG456" s="28"/>
      <c r="AH456" s="164">
        <f>Tabla1[[#This Row],[Unidades2]]*Tabla1[[#This Row],[Precio Unitario]]</f>
        <v>0</v>
      </c>
      <c r="AI456" s="23" t="s">
        <v>44</v>
      </c>
      <c r="AJ456" s="26">
        <v>44894</v>
      </c>
      <c r="AK456" s="172">
        <f>Tabla1[[#This Row],[Fecha Vigencia]]-AJ456</f>
        <v>-3.3680555555547471</v>
      </c>
      <c r="AL456" s="23" t="s">
        <v>115</v>
      </c>
      <c r="AM456" s="87">
        <v>10800000</v>
      </c>
      <c r="AN456" s="29">
        <v>44894</v>
      </c>
      <c r="AO456" s="29">
        <v>45259</v>
      </c>
      <c r="AP456" s="23" t="s">
        <v>177</v>
      </c>
      <c r="AQ456" s="34" t="s">
        <v>2487</v>
      </c>
      <c r="AR456" s="23" t="s">
        <v>11</v>
      </c>
      <c r="AS456" s="33">
        <v>0.05</v>
      </c>
      <c r="AT456" s="29">
        <v>45625</v>
      </c>
      <c r="AU456" s="23" t="s">
        <v>2488</v>
      </c>
      <c r="AV456" s="23" t="s">
        <v>2489</v>
      </c>
      <c r="AW456" s="23" t="s">
        <v>2490</v>
      </c>
      <c r="AX456" t="s">
        <v>2491</v>
      </c>
      <c r="AY456" s="23"/>
      <c r="AZ456" s="23"/>
      <c r="BA456" s="23"/>
      <c r="BB456" s="32"/>
      <c r="BC456" s="73"/>
    </row>
    <row r="457" spans="1:55" x14ac:dyDescent="0.25">
      <c r="A457" s="22" t="s">
        <v>2492</v>
      </c>
      <c r="B457" s="23" t="s">
        <v>2493</v>
      </c>
      <c r="C457" s="23" t="s">
        <v>2494</v>
      </c>
      <c r="D457" s="34" t="s">
        <v>405</v>
      </c>
      <c r="E457" s="24"/>
      <c r="F457" s="25"/>
      <c r="G457" s="23" t="s">
        <v>21</v>
      </c>
      <c r="H457" s="23" t="s">
        <v>106</v>
      </c>
      <c r="I457" s="2">
        <v>44880.432581018518</v>
      </c>
      <c r="J457" s="24">
        <f>MONTH(Tabla1[[#This Row],[Publicación]])</f>
        <v>11</v>
      </c>
      <c r="K457" s="24">
        <f>YEAR(Tabla1[[#This Row],[Publicación]])</f>
        <v>2022</v>
      </c>
      <c r="L457" s="2">
        <v>44888.583333333336</v>
      </c>
      <c r="M457" s="26">
        <v>44882</v>
      </c>
      <c r="N457" s="25" t="s">
        <v>11</v>
      </c>
      <c r="O457" s="24"/>
      <c r="P457" s="24" t="s">
        <v>11</v>
      </c>
      <c r="Q457" s="2">
        <v>44882.770833333336</v>
      </c>
      <c r="R457" s="2">
        <v>44886.708333333336</v>
      </c>
      <c r="S457" s="26">
        <v>44925.556250000001</v>
      </c>
      <c r="T457" s="28">
        <v>0</v>
      </c>
      <c r="U457" s="28">
        <f>Tabla1[[#This Row],[PPTO]]/(1+'Lista Datos'!$B$1)</f>
        <v>0</v>
      </c>
      <c r="V457" s="23"/>
      <c r="W457" s="18" t="s">
        <v>10</v>
      </c>
      <c r="X457" s="102"/>
      <c r="Y457" s="18" t="s">
        <v>146</v>
      </c>
      <c r="Z457" s="18" t="s">
        <v>10</v>
      </c>
      <c r="AA457" s="23"/>
      <c r="AB457" s="23"/>
      <c r="AC457" s="23" t="s">
        <v>10</v>
      </c>
      <c r="AD457" s="23"/>
      <c r="AE457" s="29">
        <f>Tabla1[[#This Row],[Cierre]]+Tabla1[[#This Row],[Vigencia Oferta (días)]]</f>
        <v>44888.583333333336</v>
      </c>
      <c r="AF457" s="87"/>
      <c r="AG457" s="28"/>
      <c r="AH457" s="164">
        <f>Tabla1[[#This Row],[Unidades2]]*Tabla1[[#This Row],[Precio Unitario]]</f>
        <v>0</v>
      </c>
      <c r="AI457" s="23" t="s">
        <v>44</v>
      </c>
      <c r="AJ457" s="26">
        <v>44904</v>
      </c>
      <c r="AK457" s="172">
        <f>Tabla1[[#This Row],[Fecha Vigencia]]-AJ457</f>
        <v>-15.416666666664241</v>
      </c>
      <c r="AL457" s="23" t="s">
        <v>115</v>
      </c>
      <c r="AM457" s="87">
        <v>998450</v>
      </c>
      <c r="AN457" s="23"/>
      <c r="AO457" s="29"/>
      <c r="AP457" s="23" t="s">
        <v>292</v>
      </c>
      <c r="AQ457" s="34" t="s">
        <v>406</v>
      </c>
      <c r="AR457" s="23" t="s">
        <v>10</v>
      </c>
      <c r="AS457" s="23"/>
      <c r="AT457" s="23"/>
      <c r="AU457" s="23"/>
      <c r="AV457" s="23"/>
      <c r="AW457" s="23" t="s">
        <v>2495</v>
      </c>
      <c r="AX457" t="s">
        <v>2226</v>
      </c>
      <c r="AY457" s="23"/>
      <c r="AZ457" s="23"/>
      <c r="BA457" s="23"/>
      <c r="BB457" s="32"/>
      <c r="BC457" s="73"/>
    </row>
    <row r="458" spans="1:55" x14ac:dyDescent="0.25">
      <c r="A458" s="22" t="s">
        <v>2496</v>
      </c>
      <c r="B458" s="23" t="s">
        <v>2497</v>
      </c>
      <c r="C458" s="23" t="s">
        <v>2497</v>
      </c>
      <c r="D458" s="34" t="s">
        <v>264</v>
      </c>
      <c r="E458" s="24"/>
      <c r="F458" s="25"/>
      <c r="G458" s="23" t="s">
        <v>21</v>
      </c>
      <c r="H458" s="23" t="s">
        <v>106</v>
      </c>
      <c r="I458" s="2">
        <v>44883.514664351853</v>
      </c>
      <c r="J458" s="24">
        <f>MONTH(Tabla1[[#This Row],[Publicación]])</f>
        <v>11</v>
      </c>
      <c r="K458" s="24">
        <f>YEAR(Tabla1[[#This Row],[Publicación]])</f>
        <v>2022</v>
      </c>
      <c r="L458" s="2">
        <v>44888.666666666664</v>
      </c>
      <c r="M458" s="26">
        <v>44883</v>
      </c>
      <c r="N458" s="25" t="s">
        <v>10</v>
      </c>
      <c r="O458" s="24" t="s">
        <v>27</v>
      </c>
      <c r="P458" s="24" t="s">
        <v>10</v>
      </c>
      <c r="Q458" s="2">
        <v>44886.416666666664</v>
      </c>
      <c r="R458" s="2">
        <v>44887.625</v>
      </c>
      <c r="S458" s="26">
        <v>44918.625</v>
      </c>
      <c r="T458" s="28">
        <v>0</v>
      </c>
      <c r="U458" s="28">
        <f>Tabla1[[#This Row],[PPTO]]/(1+'Lista Datos'!$B$1)</f>
        <v>0</v>
      </c>
      <c r="V458" s="23"/>
      <c r="W458" s="18" t="s">
        <v>10</v>
      </c>
      <c r="X458" s="102"/>
      <c r="Y458" s="18" t="s">
        <v>146</v>
      </c>
      <c r="Z458" s="18" t="s">
        <v>10</v>
      </c>
      <c r="AA458" s="23"/>
      <c r="AB458" s="23"/>
      <c r="AC458" s="23"/>
      <c r="AD458" s="23"/>
      <c r="AE458" s="29">
        <f>Tabla1[[#This Row],[Cierre]]+Tabla1[[#This Row],[Vigencia Oferta (días)]]</f>
        <v>44888.666666666664</v>
      </c>
      <c r="AF458" s="87"/>
      <c r="AG458" s="28"/>
      <c r="AH458" s="164">
        <f>Tabla1[[#This Row],[Unidades2]]*Tabla1[[#This Row],[Precio Unitario]]</f>
        <v>0</v>
      </c>
      <c r="AI458" s="23" t="s">
        <v>44</v>
      </c>
      <c r="AJ458" s="26">
        <v>44921</v>
      </c>
      <c r="AK458" s="172">
        <f>Tabla1[[#This Row],[Fecha Vigencia]]-AJ458</f>
        <v>-32.333333333335759</v>
      </c>
      <c r="AL458" s="23" t="s">
        <v>45</v>
      </c>
      <c r="AM458" s="87">
        <v>2876212</v>
      </c>
      <c r="AN458" s="23"/>
      <c r="AO458" s="29"/>
      <c r="AP458" s="23" t="s">
        <v>292</v>
      </c>
      <c r="AQ458" s="34" t="s">
        <v>265</v>
      </c>
      <c r="AR458" s="23" t="s">
        <v>10</v>
      </c>
      <c r="AS458" s="23"/>
      <c r="AT458" s="23"/>
      <c r="AU458" s="23"/>
      <c r="AV458" s="23"/>
      <c r="AW458" s="23" t="s">
        <v>2498</v>
      </c>
      <c r="AX458" t="s">
        <v>2499</v>
      </c>
      <c r="AY458" s="23"/>
      <c r="AZ458" s="23"/>
      <c r="BA458" s="23"/>
      <c r="BB458" s="32"/>
      <c r="BC458" s="73"/>
    </row>
    <row r="459" spans="1:55" x14ac:dyDescent="0.25">
      <c r="A459" s="22" t="s">
        <v>2500</v>
      </c>
      <c r="B459" s="23" t="s">
        <v>2501</v>
      </c>
      <c r="C459" s="23" t="s">
        <v>2502</v>
      </c>
      <c r="D459" s="34" t="s">
        <v>264</v>
      </c>
      <c r="E459" s="24"/>
      <c r="F459" s="25"/>
      <c r="G459" s="23" t="s">
        <v>16</v>
      </c>
      <c r="H459" s="23" t="s">
        <v>1596</v>
      </c>
      <c r="I459" s="2">
        <v>44884.016157407408</v>
      </c>
      <c r="J459" s="24">
        <f>MONTH(Tabla1[[#This Row],[Publicación]])</f>
        <v>11</v>
      </c>
      <c r="K459" s="24">
        <f>YEAR(Tabla1[[#This Row],[Publicación]])</f>
        <v>2022</v>
      </c>
      <c r="L459" s="2">
        <v>44914.729166666664</v>
      </c>
      <c r="M459" s="26">
        <v>44886</v>
      </c>
      <c r="N459" s="25" t="s">
        <v>11</v>
      </c>
      <c r="O459" s="24"/>
      <c r="P459" s="24" t="s">
        <v>11</v>
      </c>
      <c r="Q459" s="2">
        <v>44900.645833333336</v>
      </c>
      <c r="R459" s="2">
        <v>44905.75</v>
      </c>
      <c r="S459" s="26">
        <v>44953.725694444445</v>
      </c>
      <c r="T459" s="28">
        <v>0</v>
      </c>
      <c r="U459" s="28">
        <f>Tabla1[[#This Row],[PPTO]]/(1+'Lista Datos'!$B$1)</f>
        <v>0</v>
      </c>
      <c r="V459" s="23"/>
      <c r="W459" s="18" t="s">
        <v>11</v>
      </c>
      <c r="X459" s="102">
        <v>1000000</v>
      </c>
      <c r="Y459" s="26">
        <v>45005</v>
      </c>
      <c r="Z459" s="18" t="s">
        <v>11</v>
      </c>
      <c r="AA459" s="23"/>
      <c r="AB459" s="23"/>
      <c r="AC459" s="23" t="s">
        <v>10</v>
      </c>
      <c r="AD459" s="23"/>
      <c r="AE459" s="29">
        <f>Tabla1[[#This Row],[Cierre]]+Tabla1[[#This Row],[Vigencia Oferta (días)]]</f>
        <v>44914.729166666664</v>
      </c>
      <c r="AF459" s="87"/>
      <c r="AG459" s="28"/>
      <c r="AH459" s="164">
        <f>Tabla1[[#This Row],[Unidades2]]*Tabla1[[#This Row],[Precio Unitario]]</f>
        <v>0</v>
      </c>
      <c r="AI459" s="23" t="s">
        <v>320</v>
      </c>
      <c r="AJ459" s="26"/>
      <c r="AK459" s="172">
        <f>Tabla1[[#This Row],[Fecha Vigencia]]-AJ459</f>
        <v>44914.729166666664</v>
      </c>
      <c r="AL459" s="23"/>
      <c r="AM459" s="87"/>
      <c r="AN459" s="23"/>
      <c r="AO459" s="29"/>
      <c r="AP459" s="23" t="s">
        <v>177</v>
      </c>
      <c r="AQ459" s="34" t="s">
        <v>265</v>
      </c>
      <c r="AR459" s="23" t="s">
        <v>11</v>
      </c>
      <c r="AS459" s="33">
        <v>0.05</v>
      </c>
      <c r="AT459" s="29">
        <v>46863</v>
      </c>
      <c r="AU459" s="23"/>
      <c r="AV459" s="23"/>
      <c r="AW459" s="23" t="s">
        <v>2503</v>
      </c>
      <c r="AX459" t="s">
        <v>2504</v>
      </c>
      <c r="AY459" s="23"/>
      <c r="AZ459" s="23"/>
      <c r="BA459" s="23"/>
      <c r="BB459" s="32"/>
      <c r="BC459" s="73"/>
    </row>
    <row r="460" spans="1:55" ht="11.25" x14ac:dyDescent="0.2">
      <c r="A460" s="22" t="s">
        <v>2505</v>
      </c>
      <c r="B460" s="23" t="s">
        <v>2506</v>
      </c>
      <c r="C460" s="23"/>
      <c r="D460" s="34" t="s">
        <v>291</v>
      </c>
      <c r="E460" s="24"/>
      <c r="F460" s="25"/>
      <c r="G460" s="23" t="s">
        <v>16</v>
      </c>
      <c r="H460" s="23" t="s">
        <v>145</v>
      </c>
      <c r="I460" s="2">
        <v>44883.540370370371</v>
      </c>
      <c r="J460" s="24">
        <f>MONTH(Tabla1[[#This Row],[Publicación]])</f>
        <v>11</v>
      </c>
      <c r="K460" s="24">
        <f>YEAR(Tabla1[[#This Row],[Publicación]])</f>
        <v>2022</v>
      </c>
      <c r="L460" s="2">
        <v>44890.625</v>
      </c>
      <c r="M460" s="26">
        <v>44886</v>
      </c>
      <c r="N460" s="25" t="s">
        <v>10</v>
      </c>
      <c r="O460" s="24" t="s">
        <v>27</v>
      </c>
      <c r="P460" s="24" t="s">
        <v>10</v>
      </c>
      <c r="Q460" s="2">
        <v>44886.75</v>
      </c>
      <c r="R460" s="2">
        <v>44887.75</v>
      </c>
      <c r="S460" s="26">
        <v>44911.75</v>
      </c>
      <c r="T460" s="27">
        <v>0</v>
      </c>
      <c r="U460" s="28">
        <f>Tabla1[[#This Row],[PPTO]]/(1+'Lista Datos'!$B$1)</f>
        <v>0</v>
      </c>
      <c r="V460" s="23"/>
      <c r="W460" s="18" t="s">
        <v>10</v>
      </c>
      <c r="X460" s="102"/>
      <c r="Y460" s="18"/>
      <c r="Z460" s="18" t="s">
        <v>10</v>
      </c>
      <c r="AA460" s="23"/>
      <c r="AB460" s="23"/>
      <c r="AC460" s="23"/>
      <c r="AD460" s="23"/>
      <c r="AE460" s="29">
        <f>Tabla1[[#This Row],[Cierre]]+Tabla1[[#This Row],[Vigencia Oferta (días)]]</f>
        <v>44890.625</v>
      </c>
      <c r="AF460" s="87"/>
      <c r="AG460" s="28"/>
      <c r="AH460" s="164">
        <f>Tabla1[[#This Row],[Unidades2]]*Tabla1[[#This Row],[Precio Unitario]]</f>
        <v>0</v>
      </c>
      <c r="AI460" s="23" t="s">
        <v>44</v>
      </c>
      <c r="AJ460" s="26">
        <v>44908</v>
      </c>
      <c r="AK460" s="172">
        <f>Tabla1[[#This Row],[Fecha Vigencia]]-AJ460</f>
        <v>-17.375</v>
      </c>
      <c r="AL460" s="23" t="s">
        <v>45</v>
      </c>
      <c r="AM460" s="87">
        <v>4873950</v>
      </c>
      <c r="AN460" s="23"/>
      <c r="AO460" s="29"/>
      <c r="AP460" s="23" t="s">
        <v>292</v>
      </c>
      <c r="AQ460" s="34"/>
      <c r="AR460" s="23" t="s">
        <v>10</v>
      </c>
      <c r="AS460" s="23"/>
      <c r="AT460" s="29"/>
      <c r="AU460" s="23"/>
      <c r="AV460" s="23"/>
      <c r="AW460" s="23"/>
      <c r="AX460" s="48"/>
      <c r="AY460" s="23"/>
      <c r="AZ460" s="23"/>
      <c r="BA460" s="23"/>
      <c r="BB460" s="32"/>
      <c r="BC460" s="73"/>
    </row>
    <row r="461" spans="1:55" x14ac:dyDescent="0.25">
      <c r="A461" s="22" t="s">
        <v>2507</v>
      </c>
      <c r="B461" s="23" t="s">
        <v>2508</v>
      </c>
      <c r="C461" s="23" t="s">
        <v>2509</v>
      </c>
      <c r="D461" s="34" t="s">
        <v>2510</v>
      </c>
      <c r="E461" s="24"/>
      <c r="F461" s="25"/>
      <c r="G461" s="23" t="s">
        <v>16</v>
      </c>
      <c r="H461" s="23" t="s">
        <v>2511</v>
      </c>
      <c r="I461" s="2">
        <v>44886.407395833332</v>
      </c>
      <c r="J461" s="24">
        <f>MONTH(Tabla1[[#This Row],[Publicación]])</f>
        <v>11</v>
      </c>
      <c r="K461" s="24">
        <f>YEAR(Tabla1[[#This Row],[Publicación]])</f>
        <v>2022</v>
      </c>
      <c r="L461" s="2">
        <v>44916.708333333336</v>
      </c>
      <c r="M461" s="26">
        <v>44887</v>
      </c>
      <c r="N461" s="25" t="s">
        <v>10</v>
      </c>
      <c r="O461" s="24" t="s">
        <v>25</v>
      </c>
      <c r="P461" s="24" t="s">
        <v>10</v>
      </c>
      <c r="Q461" s="2">
        <v>44904.666666666664</v>
      </c>
      <c r="R461" s="2">
        <v>44908.708333333336</v>
      </c>
      <c r="S461" s="26">
        <v>44946.708333333336</v>
      </c>
      <c r="T461" s="28">
        <v>0</v>
      </c>
      <c r="U461" s="28">
        <f>Tabla1[[#This Row],[PPTO]]/(1+'Lista Datos'!$B$1)</f>
        <v>0</v>
      </c>
      <c r="V461" s="23"/>
      <c r="W461" s="18" t="s">
        <v>11</v>
      </c>
      <c r="X461" s="102">
        <v>500000</v>
      </c>
      <c r="Y461" s="26">
        <v>45036</v>
      </c>
      <c r="Z461" s="18" t="s">
        <v>11</v>
      </c>
      <c r="AA461" s="23"/>
      <c r="AB461" s="23"/>
      <c r="AC461" s="23"/>
      <c r="AD461" s="23"/>
      <c r="AE461" s="29">
        <f>Tabla1[[#This Row],[Cierre]]+Tabla1[[#This Row],[Vigencia Oferta (días)]]</f>
        <v>44916.708333333336</v>
      </c>
      <c r="AF461" s="87"/>
      <c r="AG461" s="28"/>
      <c r="AH461" s="164">
        <f>Tabla1[[#This Row],[Unidades2]]*Tabla1[[#This Row],[Precio Unitario]]</f>
        <v>0</v>
      </c>
      <c r="AI461" s="23" t="s">
        <v>44</v>
      </c>
      <c r="AJ461" s="26">
        <v>45016.593043981484</v>
      </c>
      <c r="AK461" s="172">
        <f>Tabla1[[#This Row],[Fecha Vigencia]]-AJ461</f>
        <v>-99.88471064814803</v>
      </c>
      <c r="AL461" s="23" t="s">
        <v>45</v>
      </c>
      <c r="AM461" s="87">
        <v>255660000</v>
      </c>
      <c r="AN461" s="23"/>
      <c r="AO461" s="29"/>
      <c r="AP461" s="23" t="s">
        <v>292</v>
      </c>
      <c r="AQ461" s="34" t="s">
        <v>2512</v>
      </c>
      <c r="AR461" s="23" t="s">
        <v>11</v>
      </c>
      <c r="AS461" s="33">
        <v>0.05</v>
      </c>
      <c r="AT461" s="29">
        <v>45747</v>
      </c>
      <c r="AU461" s="23"/>
      <c r="AV461" s="23"/>
      <c r="AW461" s="23" t="s">
        <v>2513</v>
      </c>
      <c r="AX461" t="s">
        <v>2514</v>
      </c>
      <c r="AY461" s="23"/>
      <c r="AZ461" s="23"/>
      <c r="BA461" s="23"/>
      <c r="BB461" s="32"/>
      <c r="BC461" s="73"/>
    </row>
    <row r="462" spans="1:55" ht="11.25" x14ac:dyDescent="0.2">
      <c r="A462" s="22" t="s">
        <v>2515</v>
      </c>
      <c r="B462" s="23" t="s">
        <v>605</v>
      </c>
      <c r="C462" s="23"/>
      <c r="D462" s="34" t="s">
        <v>606</v>
      </c>
      <c r="E462" s="24"/>
      <c r="F462" s="25"/>
      <c r="G462" s="23" t="s">
        <v>21</v>
      </c>
      <c r="H462" s="23" t="s">
        <v>106</v>
      </c>
      <c r="I462" s="2">
        <v>44887.496620370373</v>
      </c>
      <c r="J462" s="24">
        <f>MONTH(Tabla1[[#This Row],[Publicación]])</f>
        <v>11</v>
      </c>
      <c r="K462" s="24">
        <f>YEAR(Tabla1[[#This Row],[Publicación]])</f>
        <v>2022</v>
      </c>
      <c r="L462" s="2">
        <v>44893.712500000001</v>
      </c>
      <c r="M462" s="26">
        <v>44887</v>
      </c>
      <c r="N462" s="25" t="s">
        <v>11</v>
      </c>
      <c r="O462" s="24"/>
      <c r="P462" s="24" t="s">
        <v>11</v>
      </c>
      <c r="Q462" s="2">
        <v>44888.712500000001</v>
      </c>
      <c r="R462" s="2">
        <v>44889.712500000001</v>
      </c>
      <c r="S462" s="26">
        <v>44895.804861111108</v>
      </c>
      <c r="T462" s="28">
        <v>2450000</v>
      </c>
      <c r="U462" s="28">
        <f>Tabla1[[#This Row],[PPTO]]/(1+'Lista Datos'!$B$1)</f>
        <v>2058823.5294117648</v>
      </c>
      <c r="V462" s="23"/>
      <c r="W462" s="18" t="s">
        <v>10</v>
      </c>
      <c r="X462" s="102"/>
      <c r="Y462" s="18" t="s">
        <v>146</v>
      </c>
      <c r="Z462" s="18" t="s">
        <v>10</v>
      </c>
      <c r="AA462" s="23" t="s">
        <v>512</v>
      </c>
      <c r="AB462" s="23"/>
      <c r="AC462" s="23" t="s">
        <v>10</v>
      </c>
      <c r="AD462" s="23"/>
      <c r="AE462" s="29">
        <f>Tabla1[[#This Row],[Cierre]]+Tabla1[[#This Row],[Vigencia Oferta (días)]]</f>
        <v>44893.712500000001</v>
      </c>
      <c r="AF462" s="87">
        <v>1</v>
      </c>
      <c r="AG462" s="28">
        <v>2057852</v>
      </c>
      <c r="AH462" s="164">
        <f>Tabla1[[#This Row],[Unidades2]]*Tabla1[[#This Row],[Precio Unitario]]</f>
        <v>2057852</v>
      </c>
      <c r="AI462" s="23" t="s">
        <v>44</v>
      </c>
      <c r="AJ462" s="26">
        <v>44896</v>
      </c>
      <c r="AK462" s="172">
        <f>Tabla1[[#This Row],[Fecha Vigencia]]-AJ462</f>
        <v>-2.2874999999985448</v>
      </c>
      <c r="AL462" s="23" t="s">
        <v>115</v>
      </c>
      <c r="AM462" s="87">
        <v>2057852</v>
      </c>
      <c r="AN462" s="23"/>
      <c r="AO462" s="29"/>
      <c r="AP462" s="23" t="s">
        <v>292</v>
      </c>
      <c r="AQ462" s="34" t="s">
        <v>607</v>
      </c>
      <c r="AR462" s="23" t="s">
        <v>10</v>
      </c>
      <c r="AS462" s="23"/>
      <c r="AT462" s="23"/>
      <c r="AU462" s="23"/>
      <c r="AV462" s="23"/>
      <c r="AW462" s="23"/>
      <c r="AX462" s="23"/>
      <c r="AY462" s="23"/>
      <c r="AZ462" s="23"/>
      <c r="BA462" s="23"/>
      <c r="BB462" s="32"/>
      <c r="BC462" s="73"/>
    </row>
    <row r="463" spans="1:55" ht="11.25" x14ac:dyDescent="0.2">
      <c r="A463" s="22" t="s">
        <v>2516</v>
      </c>
      <c r="B463" s="23" t="s">
        <v>2517</v>
      </c>
      <c r="C463" s="23" t="s">
        <v>2229</v>
      </c>
      <c r="D463" s="34" t="s">
        <v>2230</v>
      </c>
      <c r="E463" s="24"/>
      <c r="F463" s="25"/>
      <c r="G463" s="23" t="s">
        <v>16</v>
      </c>
      <c r="H463" s="23" t="s">
        <v>520</v>
      </c>
      <c r="I463" s="2">
        <v>44887.675462962965</v>
      </c>
      <c r="J463" s="24">
        <f>MONTH(Tabla1[[#This Row],[Publicación]])</f>
        <v>11</v>
      </c>
      <c r="K463" s="24">
        <f>YEAR(Tabla1[[#This Row],[Publicación]])</f>
        <v>2022</v>
      </c>
      <c r="L463" s="2">
        <v>44907.666666666664</v>
      </c>
      <c r="M463" s="26">
        <v>44888</v>
      </c>
      <c r="N463" s="25" t="s">
        <v>10</v>
      </c>
      <c r="O463" s="24" t="s">
        <v>27</v>
      </c>
      <c r="P463" s="24" t="s">
        <v>10</v>
      </c>
      <c r="Q463" s="2">
        <v>44894.666666666664</v>
      </c>
      <c r="R463" s="2">
        <v>44897.666666666664</v>
      </c>
      <c r="S463" s="26">
        <v>44916.385312500002</v>
      </c>
      <c r="T463" s="28">
        <v>0</v>
      </c>
      <c r="U463" s="28">
        <f>Tabla1[[#This Row],[PPTO]]/(1+'Lista Datos'!$B$1)</f>
        <v>0</v>
      </c>
      <c r="V463" s="23"/>
      <c r="W463" s="18" t="s">
        <v>11</v>
      </c>
      <c r="X463" s="102">
        <v>500000</v>
      </c>
      <c r="Y463" s="26">
        <v>44949</v>
      </c>
      <c r="Z463" s="18" t="s">
        <v>11</v>
      </c>
      <c r="AA463" s="23"/>
      <c r="AB463" s="23"/>
      <c r="AC463" s="23"/>
      <c r="AD463" s="23"/>
      <c r="AE463" s="29">
        <f>Tabla1[[#This Row],[Cierre]]+Tabla1[[#This Row],[Vigencia Oferta (días)]]</f>
        <v>44907.666666666664</v>
      </c>
      <c r="AF463" s="87"/>
      <c r="AG463" s="28"/>
      <c r="AH463" s="164">
        <f>Tabla1[[#This Row],[Unidades2]]*Tabla1[[#This Row],[Precio Unitario]]</f>
        <v>0</v>
      </c>
      <c r="AI463" s="23" t="s">
        <v>44</v>
      </c>
      <c r="AJ463" s="26">
        <v>44916</v>
      </c>
      <c r="AK463" s="172">
        <f>Tabla1[[#This Row],[Fecha Vigencia]]-AJ463</f>
        <v>-8.3333333333357587</v>
      </c>
      <c r="AL463" s="23" t="s">
        <v>472</v>
      </c>
      <c r="AM463" s="87">
        <v>62924000</v>
      </c>
      <c r="AN463" s="23"/>
      <c r="AO463" s="29"/>
      <c r="AP463" s="23" t="s">
        <v>177</v>
      </c>
      <c r="AQ463" s="34" t="s">
        <v>2231</v>
      </c>
      <c r="AR463" s="23"/>
      <c r="AS463" s="23"/>
      <c r="AT463" s="23"/>
      <c r="AU463" s="23"/>
      <c r="AV463" s="23"/>
      <c r="AW463" s="23"/>
      <c r="AX463" s="23"/>
      <c r="AY463" s="23"/>
      <c r="AZ463" s="23"/>
      <c r="BA463" s="23"/>
      <c r="BB463" s="32"/>
      <c r="BC463" s="73"/>
    </row>
    <row r="464" spans="1:55" x14ac:dyDescent="0.25">
      <c r="A464" s="22" t="s">
        <v>2518</v>
      </c>
      <c r="B464" s="23" t="s">
        <v>2519</v>
      </c>
      <c r="C464" s="23" t="s">
        <v>2520</v>
      </c>
      <c r="D464" s="34" t="s">
        <v>2521</v>
      </c>
      <c r="E464" s="24"/>
      <c r="F464" s="25"/>
      <c r="G464" s="23" t="s">
        <v>16</v>
      </c>
      <c r="H464" s="23" t="s">
        <v>1596</v>
      </c>
      <c r="I464" s="2">
        <v>44887.523495370369</v>
      </c>
      <c r="J464" s="24">
        <f>MONTH(Tabla1[[#This Row],[Publicación]])</f>
        <v>11</v>
      </c>
      <c r="K464" s="24">
        <f>YEAR(Tabla1[[#This Row],[Publicación]])</f>
        <v>2022</v>
      </c>
      <c r="L464" s="2">
        <v>44896.600694444445</v>
      </c>
      <c r="M464" s="26">
        <v>44889</v>
      </c>
      <c r="N464" s="25" t="s">
        <v>10</v>
      </c>
      <c r="O464" s="24" t="s">
        <v>27</v>
      </c>
      <c r="P464" s="24" t="s">
        <v>10</v>
      </c>
      <c r="Q464" s="2">
        <v>44890.879861111112</v>
      </c>
      <c r="R464" s="2">
        <v>44894.879861111112</v>
      </c>
      <c r="S464" s="26">
        <v>44900.643055555556</v>
      </c>
      <c r="T464" s="28">
        <v>0</v>
      </c>
      <c r="U464" s="28">
        <f>Tabla1[[#This Row],[PPTO]]/(1+'Lista Datos'!$B$1)</f>
        <v>0</v>
      </c>
      <c r="V464" s="23"/>
      <c r="W464" s="18" t="s">
        <v>10</v>
      </c>
      <c r="X464" s="102"/>
      <c r="Y464" s="18" t="s">
        <v>146</v>
      </c>
      <c r="Z464" s="18" t="s">
        <v>10</v>
      </c>
      <c r="AA464" s="23"/>
      <c r="AB464" s="23"/>
      <c r="AC464" s="23"/>
      <c r="AD464" s="23"/>
      <c r="AE464" s="29">
        <f>Tabla1[[#This Row],[Cierre]]+Tabla1[[#This Row],[Vigencia Oferta (días)]]</f>
        <v>44896.600694444445</v>
      </c>
      <c r="AF464" s="87"/>
      <c r="AG464" s="28"/>
      <c r="AH464" s="164">
        <f>Tabla1[[#This Row],[Unidades2]]*Tabla1[[#This Row],[Precio Unitario]]</f>
        <v>0</v>
      </c>
      <c r="AI464" s="23" t="s">
        <v>320</v>
      </c>
      <c r="AJ464" s="26">
        <v>44901</v>
      </c>
      <c r="AK464" s="172">
        <f>Tabla1[[#This Row],[Fecha Vigencia]]-AJ464</f>
        <v>-4.3993055555547471</v>
      </c>
      <c r="AL464" s="23"/>
      <c r="AM464" s="87"/>
      <c r="AN464" s="23"/>
      <c r="AO464" s="29"/>
      <c r="AP464" s="23"/>
      <c r="AQ464" s="34" t="s">
        <v>365</v>
      </c>
      <c r="AR464" s="23" t="s">
        <v>10</v>
      </c>
      <c r="AS464" s="23"/>
      <c r="AT464" s="23"/>
      <c r="AU464" s="23"/>
      <c r="AV464" s="23"/>
      <c r="AW464" s="23" t="s">
        <v>2522</v>
      </c>
      <c r="AX464" t="s">
        <v>1600</v>
      </c>
      <c r="AY464" s="23"/>
      <c r="AZ464" s="23"/>
      <c r="BA464" s="23"/>
      <c r="BB464" s="32"/>
      <c r="BC464" s="73"/>
    </row>
    <row r="465" spans="1:55" x14ac:dyDescent="0.25">
      <c r="A465" s="22" t="s">
        <v>2523</v>
      </c>
      <c r="B465" s="23" t="s">
        <v>828</v>
      </c>
      <c r="C465" s="23" t="s">
        <v>2524</v>
      </c>
      <c r="D465" s="34" t="s">
        <v>829</v>
      </c>
      <c r="E465" s="24"/>
      <c r="F465" s="25"/>
      <c r="G465" s="23" t="s">
        <v>16</v>
      </c>
      <c r="H465" s="23" t="s">
        <v>533</v>
      </c>
      <c r="I465" s="2">
        <v>44887.766215277778</v>
      </c>
      <c r="J465" s="24">
        <f>MONTH(Tabla1[[#This Row],[Publicación]])</f>
        <v>11</v>
      </c>
      <c r="K465" s="24">
        <f>YEAR(Tabla1[[#This Row],[Publicación]])</f>
        <v>2022</v>
      </c>
      <c r="L465" s="2">
        <v>44897.46597222222</v>
      </c>
      <c r="M465" s="26">
        <v>44889</v>
      </c>
      <c r="N465" s="25" t="s">
        <v>10</v>
      </c>
      <c r="O465" s="24" t="s">
        <v>33</v>
      </c>
      <c r="P465" s="24" t="s">
        <v>10</v>
      </c>
      <c r="Q465" s="2">
        <v>44890.911111111112</v>
      </c>
      <c r="R465" s="2">
        <v>44893.911111111112</v>
      </c>
      <c r="S465" s="26">
        <v>44911.833333333336</v>
      </c>
      <c r="T465" s="28">
        <v>24000000</v>
      </c>
      <c r="U465" s="28">
        <f>Tabla1[[#This Row],[PPTO]]/(1+'Lista Datos'!$B$1)</f>
        <v>20168067.226890758</v>
      </c>
      <c r="V465" s="23"/>
      <c r="W465" s="18" t="s">
        <v>11</v>
      </c>
      <c r="X465" s="102">
        <v>200000</v>
      </c>
      <c r="Y465" s="26">
        <v>44986</v>
      </c>
      <c r="Z465" s="18" t="s">
        <v>10</v>
      </c>
      <c r="AA465" s="23" t="s">
        <v>177</v>
      </c>
      <c r="AB465" s="23">
        <v>24</v>
      </c>
      <c r="AC465" s="23"/>
      <c r="AD465" s="23"/>
      <c r="AE465" s="29">
        <f>Tabla1[[#This Row],[Cierre]]+Tabla1[[#This Row],[Vigencia Oferta (días)]]</f>
        <v>44897.46597222222</v>
      </c>
      <c r="AF465" s="87"/>
      <c r="AG465" s="28"/>
      <c r="AH465" s="164">
        <f>Tabla1[[#This Row],[Unidades2]]*Tabla1[[#This Row],[Precio Unitario]]</f>
        <v>0</v>
      </c>
      <c r="AI465" s="23" t="s">
        <v>137</v>
      </c>
      <c r="AJ465" s="26"/>
      <c r="AK465" s="172">
        <f>Tabla1[[#This Row],[Fecha Vigencia]]-AJ465</f>
        <v>44897.46597222222</v>
      </c>
      <c r="AL465" s="23"/>
      <c r="AM465" s="87"/>
      <c r="AN465" s="23"/>
      <c r="AO465" s="29"/>
      <c r="AP465" s="23"/>
      <c r="AQ465" s="34" t="s">
        <v>830</v>
      </c>
      <c r="AR465" s="23" t="s">
        <v>11</v>
      </c>
      <c r="AS465" s="33">
        <v>0.05</v>
      </c>
      <c r="AT465" s="29">
        <v>45747</v>
      </c>
      <c r="AU465" s="23"/>
      <c r="AV465" s="23"/>
      <c r="AW465" s="23" t="s">
        <v>2525</v>
      </c>
      <c r="AX465" t="s">
        <v>2526</v>
      </c>
      <c r="AY465" s="23"/>
      <c r="AZ465" s="23"/>
      <c r="BA465" s="23"/>
      <c r="BB465" s="32"/>
      <c r="BC465" s="73"/>
    </row>
    <row r="466" spans="1:55" x14ac:dyDescent="0.25">
      <c r="A466" s="22" t="s">
        <v>2527</v>
      </c>
      <c r="B466" s="23" t="s">
        <v>2528</v>
      </c>
      <c r="C466" s="23" t="s">
        <v>2529</v>
      </c>
      <c r="D466" s="34" t="s">
        <v>1533</v>
      </c>
      <c r="E466" s="24"/>
      <c r="F466" s="25"/>
      <c r="G466" s="23" t="s">
        <v>21</v>
      </c>
      <c r="H466" s="23" t="s">
        <v>106</v>
      </c>
      <c r="I466" s="2">
        <v>44887.48097222222</v>
      </c>
      <c r="J466" s="24">
        <f>MONTH(Tabla1[[#This Row],[Publicación]])</f>
        <v>11</v>
      </c>
      <c r="K466" s="24">
        <f>YEAR(Tabla1[[#This Row],[Publicación]])</f>
        <v>2022</v>
      </c>
      <c r="L466" s="2">
        <v>44907.78125</v>
      </c>
      <c r="M466" s="26">
        <v>44889</v>
      </c>
      <c r="N466" s="25" t="s">
        <v>11</v>
      </c>
      <c r="O466" s="24"/>
      <c r="P466" s="24" t="s">
        <v>11</v>
      </c>
      <c r="Q466" s="2">
        <v>44897.519444444442</v>
      </c>
      <c r="R466" s="2">
        <v>44902.708333333336</v>
      </c>
      <c r="S466" s="26">
        <v>44946.677777777775</v>
      </c>
      <c r="T466" s="28">
        <v>0</v>
      </c>
      <c r="U466" s="28">
        <f>Tabla1[[#This Row],[PPTO]]/(1+'Lista Datos'!$B$1)</f>
        <v>0</v>
      </c>
      <c r="V466" s="23"/>
      <c r="W466" s="18" t="s">
        <v>11</v>
      </c>
      <c r="X466" s="102">
        <v>1000000</v>
      </c>
      <c r="Y466" s="26">
        <v>45007</v>
      </c>
      <c r="Z466" s="18" t="s">
        <v>10</v>
      </c>
      <c r="AA466" s="23"/>
      <c r="AB466" s="23"/>
      <c r="AC466" s="23" t="s">
        <v>10</v>
      </c>
      <c r="AD466" s="23"/>
      <c r="AE466" s="29">
        <f>Tabla1[[#This Row],[Cierre]]+Tabla1[[#This Row],[Vigencia Oferta (días)]]</f>
        <v>44907.78125</v>
      </c>
      <c r="AF466" s="87"/>
      <c r="AG466" s="28"/>
      <c r="AH466" s="164">
        <f>Tabla1[[#This Row],[Unidades2]]*Tabla1[[#This Row],[Precio Unitario]]</f>
        <v>0</v>
      </c>
      <c r="AI466" s="23" t="s">
        <v>44</v>
      </c>
      <c r="AJ466" s="26">
        <v>44918</v>
      </c>
      <c r="AK466" s="172">
        <f>Tabla1[[#This Row],[Fecha Vigencia]]-AJ466</f>
        <v>-10.21875</v>
      </c>
      <c r="AL466" s="23" t="s">
        <v>115</v>
      </c>
      <c r="AM466" s="87">
        <v>136074395</v>
      </c>
      <c r="AN466" s="23"/>
      <c r="AO466" s="29"/>
      <c r="AP466" s="23" t="s">
        <v>177</v>
      </c>
      <c r="AQ466" s="34" t="s">
        <v>2530</v>
      </c>
      <c r="AR466" s="23" t="s">
        <v>11</v>
      </c>
      <c r="AS466" s="33">
        <v>0.1</v>
      </c>
      <c r="AT466" s="29">
        <v>45462</v>
      </c>
      <c r="AU466" s="23"/>
      <c r="AV466" s="23"/>
      <c r="AW466" s="23" t="s">
        <v>1535</v>
      </c>
      <c r="AX466" t="s">
        <v>1536</v>
      </c>
      <c r="AY466" s="23"/>
      <c r="AZ466" s="23"/>
      <c r="BA466" s="23"/>
      <c r="BB466" s="32"/>
      <c r="BC466" s="73"/>
    </row>
    <row r="467" spans="1:55" x14ac:dyDescent="0.25">
      <c r="A467" s="22" t="s">
        <v>2531</v>
      </c>
      <c r="B467" s="23" t="s">
        <v>2532</v>
      </c>
      <c r="C467" s="23" t="s">
        <v>2533</v>
      </c>
      <c r="D467" s="34" t="s">
        <v>2534</v>
      </c>
      <c r="E467" s="24"/>
      <c r="F467" s="25"/>
      <c r="G467" s="23" t="s">
        <v>16</v>
      </c>
      <c r="H467" s="23" t="s">
        <v>2349</v>
      </c>
      <c r="I467" s="2">
        <v>44889.760625000003</v>
      </c>
      <c r="J467" s="24">
        <f>MONTH(Tabla1[[#This Row],[Publicación]])</f>
        <v>11</v>
      </c>
      <c r="K467" s="24">
        <f>YEAR(Tabla1[[#This Row],[Publicación]])</f>
        <v>2022</v>
      </c>
      <c r="L467" s="2">
        <v>44909.646527777775</v>
      </c>
      <c r="M467" s="26">
        <v>44890</v>
      </c>
      <c r="N467" s="25" t="s">
        <v>10</v>
      </c>
      <c r="O467" s="24" t="s">
        <v>33</v>
      </c>
      <c r="P467" s="24" t="s">
        <v>10</v>
      </c>
      <c r="Q467" s="2">
        <v>44892.913888888892</v>
      </c>
      <c r="R467" s="2">
        <v>44893.913888888892</v>
      </c>
      <c r="S467" s="26">
        <v>44943.647222222222</v>
      </c>
      <c r="T467" s="28">
        <v>0</v>
      </c>
      <c r="U467" s="28">
        <f>Tabla1[[#This Row],[PPTO]]/(1+'Lista Datos'!$B$1)</f>
        <v>0</v>
      </c>
      <c r="V467" s="23"/>
      <c r="W467" s="18" t="s">
        <v>10</v>
      </c>
      <c r="X467" s="102"/>
      <c r="Y467" s="18" t="s">
        <v>146</v>
      </c>
      <c r="Z467" s="18" t="s">
        <v>10</v>
      </c>
      <c r="AA467" s="23"/>
      <c r="AB467" s="23"/>
      <c r="AC467" s="23"/>
      <c r="AD467" s="23"/>
      <c r="AE467" s="29">
        <f>Tabla1[[#This Row],[Cierre]]+Tabla1[[#This Row],[Vigencia Oferta (días)]]</f>
        <v>44909.646527777775</v>
      </c>
      <c r="AF467" s="87"/>
      <c r="AG467" s="28"/>
      <c r="AH467" s="164">
        <f>Tabla1[[#This Row],[Unidades2]]*Tabla1[[#This Row],[Precio Unitario]]</f>
        <v>0</v>
      </c>
      <c r="AI467" s="23" t="s">
        <v>44</v>
      </c>
      <c r="AJ467" s="26">
        <v>44935</v>
      </c>
      <c r="AK467" s="172">
        <f>Tabla1[[#This Row],[Fecha Vigencia]]-AJ467</f>
        <v>-25.353472222224809</v>
      </c>
      <c r="AL467" s="23" t="s">
        <v>45</v>
      </c>
      <c r="AM467" s="87">
        <v>73391820</v>
      </c>
      <c r="AN467" s="23"/>
      <c r="AO467" s="29"/>
      <c r="AP467" s="23" t="s">
        <v>177</v>
      </c>
      <c r="AQ467" s="34" t="s">
        <v>2535</v>
      </c>
      <c r="AR467" s="23" t="s">
        <v>11</v>
      </c>
      <c r="AS467" s="31">
        <v>2000000</v>
      </c>
      <c r="AT467" s="29">
        <v>45657</v>
      </c>
      <c r="AU467" s="23"/>
      <c r="AV467" s="23"/>
      <c r="AW467" s="23" t="s">
        <v>2536</v>
      </c>
      <c r="AX467" t="s">
        <v>2537</v>
      </c>
      <c r="AY467" s="23"/>
      <c r="AZ467" s="23"/>
      <c r="BA467" s="23"/>
      <c r="BB467" s="32"/>
      <c r="BC467" s="73"/>
    </row>
    <row r="468" spans="1:55" x14ac:dyDescent="0.25">
      <c r="A468" s="22" t="s">
        <v>2538</v>
      </c>
      <c r="B468" s="23" t="s">
        <v>2539</v>
      </c>
      <c r="C468" s="23" t="s">
        <v>2540</v>
      </c>
      <c r="D468" s="34" t="s">
        <v>2541</v>
      </c>
      <c r="E468" s="24"/>
      <c r="F468" s="25"/>
      <c r="G468" s="23" t="s">
        <v>21</v>
      </c>
      <c r="H468" s="23" t="s">
        <v>106</v>
      </c>
      <c r="I468" s="2">
        <v>44888.655092592591</v>
      </c>
      <c r="J468" s="24">
        <f>MONTH(Tabla1[[#This Row],[Publicación]])</f>
        <v>11</v>
      </c>
      <c r="K468" s="24">
        <f>YEAR(Tabla1[[#This Row],[Publicación]])</f>
        <v>2022</v>
      </c>
      <c r="L468" s="2">
        <v>44894.833333333336</v>
      </c>
      <c r="M468" s="26">
        <v>44890</v>
      </c>
      <c r="N468" s="25" t="s">
        <v>11</v>
      </c>
      <c r="O468" s="24"/>
      <c r="P468" s="24" t="s">
        <v>11</v>
      </c>
      <c r="Q468" s="2">
        <v>44891.625</v>
      </c>
      <c r="R468" s="2">
        <v>44893.625</v>
      </c>
      <c r="S468" s="26">
        <v>44910.782638888886</v>
      </c>
      <c r="T468" s="28">
        <v>5390090</v>
      </c>
      <c r="U468" s="28">
        <f>Tabla1[[#This Row],[PPTO]]/(1+'Lista Datos'!$B$1)</f>
        <v>4529487.3949579829</v>
      </c>
      <c r="V468" s="23">
        <v>45</v>
      </c>
      <c r="W468" s="18" t="s">
        <v>10</v>
      </c>
      <c r="X468" s="102"/>
      <c r="Y468" s="18" t="s">
        <v>146</v>
      </c>
      <c r="Z468" s="18" t="s">
        <v>10</v>
      </c>
      <c r="AA468" s="23" t="s">
        <v>512</v>
      </c>
      <c r="AB468" s="23"/>
      <c r="AC468" s="23" t="s">
        <v>10</v>
      </c>
      <c r="AD468" s="23">
        <v>60</v>
      </c>
      <c r="AE468" s="29">
        <f>Tabla1[[#This Row],[Cierre]]+Tabla1[[#This Row],[Vigencia Oferta (días)]]</f>
        <v>44954.833333333336</v>
      </c>
      <c r="AF468" s="87">
        <v>20</v>
      </c>
      <c r="AG468" s="28">
        <v>15320</v>
      </c>
      <c r="AH468" s="164">
        <f>Tabla1[[#This Row],[Unidades2]]*Tabla1[[#This Row],[Precio Unitario]]</f>
        <v>306400</v>
      </c>
      <c r="AI468" s="23" t="s">
        <v>44</v>
      </c>
      <c r="AJ468" s="26">
        <v>44902</v>
      </c>
      <c r="AK468" s="172">
        <f>Tabla1[[#This Row],[Fecha Vigencia]]-AJ468</f>
        <v>52.833333333335759</v>
      </c>
      <c r="AL468" s="23" t="s">
        <v>115</v>
      </c>
      <c r="AM468" s="87">
        <v>15320</v>
      </c>
      <c r="AN468" s="23"/>
      <c r="AO468" s="29"/>
      <c r="AP468" s="23" t="s">
        <v>292</v>
      </c>
      <c r="AQ468" s="34" t="s">
        <v>2542</v>
      </c>
      <c r="AR468" s="23" t="s">
        <v>10</v>
      </c>
      <c r="AS468" s="23"/>
      <c r="AT468" s="23"/>
      <c r="AU468" s="23"/>
      <c r="AV468" s="23"/>
      <c r="AW468" s="23" t="s">
        <v>2543</v>
      </c>
      <c r="AX468" t="s">
        <v>2544</v>
      </c>
      <c r="AY468" s="23"/>
      <c r="AZ468" s="23"/>
      <c r="BA468" s="23"/>
      <c r="BB468" s="32"/>
      <c r="BC468" s="73"/>
    </row>
    <row r="469" spans="1:55" x14ac:dyDescent="0.25">
      <c r="A469" s="22" t="s">
        <v>2538</v>
      </c>
      <c r="B469" s="23" t="s">
        <v>2539</v>
      </c>
      <c r="C469" s="23" t="s">
        <v>2540</v>
      </c>
      <c r="D469" s="34" t="s">
        <v>2541</v>
      </c>
      <c r="E469" s="24"/>
      <c r="F469" s="25"/>
      <c r="G469" s="23" t="s">
        <v>21</v>
      </c>
      <c r="H469" s="23" t="s">
        <v>106</v>
      </c>
      <c r="I469" s="2">
        <v>44888.655092592591</v>
      </c>
      <c r="J469" s="24">
        <f>MONTH(Tabla1[[#This Row],[Publicación]])</f>
        <v>11</v>
      </c>
      <c r="K469" s="24">
        <f>YEAR(Tabla1[[#This Row],[Publicación]])</f>
        <v>2022</v>
      </c>
      <c r="L469" s="2">
        <v>44894.833333333336</v>
      </c>
      <c r="M469" s="26">
        <v>44890</v>
      </c>
      <c r="N469" s="25" t="s">
        <v>11</v>
      </c>
      <c r="O469" s="24"/>
      <c r="P469" s="24" t="s">
        <v>11</v>
      </c>
      <c r="Q469" s="2">
        <v>44891.625</v>
      </c>
      <c r="R469" s="2">
        <v>44893.625</v>
      </c>
      <c r="S469" s="26">
        <v>44910.782638888886</v>
      </c>
      <c r="T469" s="28">
        <v>5390090</v>
      </c>
      <c r="U469" s="28">
        <f>Tabla1[[#This Row],[PPTO]]/(1+'Lista Datos'!$B$1)</f>
        <v>4529487.3949579829</v>
      </c>
      <c r="V469" s="23">
        <v>45</v>
      </c>
      <c r="W469" s="18" t="s">
        <v>10</v>
      </c>
      <c r="X469" s="102"/>
      <c r="Y469" s="18" t="s">
        <v>146</v>
      </c>
      <c r="Z469" s="18" t="s">
        <v>10</v>
      </c>
      <c r="AA469" s="23" t="s">
        <v>512</v>
      </c>
      <c r="AB469" s="23"/>
      <c r="AC469" s="23" t="s">
        <v>10</v>
      </c>
      <c r="AD469" s="23">
        <v>60</v>
      </c>
      <c r="AE469" s="29">
        <f>Tabla1[[#This Row],[Cierre]]+Tabla1[[#This Row],[Vigencia Oferta (días)]]</f>
        <v>44954.833333333336</v>
      </c>
      <c r="AF469" s="87">
        <v>20</v>
      </c>
      <c r="AG469" s="28">
        <v>17286</v>
      </c>
      <c r="AH469" s="164">
        <f>Tabla1[[#This Row],[Unidades2]]*Tabla1[[#This Row],[Precio Unitario]]</f>
        <v>345720</v>
      </c>
      <c r="AI469" s="23" t="s">
        <v>44</v>
      </c>
      <c r="AJ469" s="26">
        <v>44902</v>
      </c>
      <c r="AK469" s="172">
        <f>Tabla1[[#This Row],[Fecha Vigencia]]-AJ469</f>
        <v>52.833333333335759</v>
      </c>
      <c r="AL469" s="23" t="s">
        <v>115</v>
      </c>
      <c r="AM469" s="87">
        <v>17286</v>
      </c>
      <c r="AN469" s="23"/>
      <c r="AO469" s="29"/>
      <c r="AP469" s="23" t="s">
        <v>292</v>
      </c>
      <c r="AQ469" s="34" t="s">
        <v>2542</v>
      </c>
      <c r="AR469" s="23" t="s">
        <v>10</v>
      </c>
      <c r="AS469" s="23"/>
      <c r="AT469" s="23"/>
      <c r="AU469" s="23"/>
      <c r="AV469" s="23"/>
      <c r="AW469" s="23" t="s">
        <v>2543</v>
      </c>
      <c r="AX469" t="s">
        <v>2544</v>
      </c>
      <c r="AY469" s="23"/>
      <c r="AZ469" s="23"/>
      <c r="BA469" s="23"/>
      <c r="BB469" s="32"/>
      <c r="BC469" s="73"/>
    </row>
    <row r="470" spans="1:55" x14ac:dyDescent="0.25">
      <c r="A470" s="22" t="s">
        <v>2545</v>
      </c>
      <c r="B470" s="23" t="s">
        <v>2546</v>
      </c>
      <c r="C470" s="23" t="s">
        <v>2546</v>
      </c>
      <c r="D470" s="34" t="s">
        <v>2547</v>
      </c>
      <c r="E470" s="24"/>
      <c r="F470" s="25"/>
      <c r="G470" s="23" t="s">
        <v>16</v>
      </c>
      <c r="H470" s="23" t="s">
        <v>1983</v>
      </c>
      <c r="I470" s="2">
        <v>44890.69253472222</v>
      </c>
      <c r="J470" s="24">
        <f>MONTH(Tabla1[[#This Row],[Publicación]])</f>
        <v>11</v>
      </c>
      <c r="K470" s="24">
        <f>YEAR(Tabla1[[#This Row],[Publicación]])</f>
        <v>2022</v>
      </c>
      <c r="L470" s="2">
        <v>44895.76458333333</v>
      </c>
      <c r="M470" s="26">
        <v>44893</v>
      </c>
      <c r="N470" s="25" t="s">
        <v>10</v>
      </c>
      <c r="O470" s="24" t="s">
        <v>33</v>
      </c>
      <c r="P470" s="24" t="s">
        <v>10</v>
      </c>
      <c r="Q470" s="2">
        <v>44893.847916666666</v>
      </c>
      <c r="R470" s="2">
        <v>44894.847916666666</v>
      </c>
      <c r="S470" s="26">
        <v>44925.765277777777</v>
      </c>
      <c r="T470" s="28">
        <v>0</v>
      </c>
      <c r="U470" s="28">
        <f>Tabla1[[#This Row],[PPTO]]/(1+'Lista Datos'!$B$1)</f>
        <v>0</v>
      </c>
      <c r="V470" s="23"/>
      <c r="W470" s="18" t="s">
        <v>10</v>
      </c>
      <c r="X470" s="102"/>
      <c r="Y470" s="18" t="s">
        <v>146</v>
      </c>
      <c r="Z470" s="18" t="s">
        <v>10</v>
      </c>
      <c r="AA470" s="23"/>
      <c r="AB470" s="23"/>
      <c r="AC470" s="23"/>
      <c r="AD470" s="23"/>
      <c r="AE470" s="29">
        <f>Tabla1[[#This Row],[Cierre]]+Tabla1[[#This Row],[Vigencia Oferta (días)]]</f>
        <v>44895.76458333333</v>
      </c>
      <c r="AF470" s="87"/>
      <c r="AG470" s="28"/>
      <c r="AH470" s="164">
        <f>Tabla1[[#This Row],[Unidades2]]*Tabla1[[#This Row],[Precio Unitario]]</f>
        <v>0</v>
      </c>
      <c r="AI470" s="23" t="s">
        <v>44</v>
      </c>
      <c r="AJ470" s="26">
        <v>44917</v>
      </c>
      <c r="AK470" s="172">
        <f>Tabla1[[#This Row],[Fecha Vigencia]]-AJ470</f>
        <v>-21.235416666670062</v>
      </c>
      <c r="AL470" s="23" t="s">
        <v>46</v>
      </c>
      <c r="AM470" s="87">
        <v>5000000</v>
      </c>
      <c r="AN470" s="23"/>
      <c r="AO470" s="29"/>
      <c r="AP470" s="23" t="s">
        <v>292</v>
      </c>
      <c r="AQ470" s="34" t="s">
        <v>2548</v>
      </c>
      <c r="AR470" s="23" t="s">
        <v>10</v>
      </c>
      <c r="AS470" s="23"/>
      <c r="AT470" s="23"/>
      <c r="AU470" s="23"/>
      <c r="AV470" s="23"/>
      <c r="AW470" s="23" t="s">
        <v>2549</v>
      </c>
      <c r="AX470" t="s">
        <v>2550</v>
      </c>
      <c r="AY470" s="23"/>
      <c r="AZ470" s="23"/>
      <c r="BA470" s="23"/>
      <c r="BB470" s="32"/>
      <c r="BC470" s="73"/>
    </row>
    <row r="471" spans="1:55" x14ac:dyDescent="0.25">
      <c r="A471" s="22" t="s">
        <v>2551</v>
      </c>
      <c r="B471" s="23" t="s">
        <v>2552</v>
      </c>
      <c r="C471" s="23" t="s">
        <v>2553</v>
      </c>
      <c r="D471" s="34" t="s">
        <v>1636</v>
      </c>
      <c r="E471" s="24"/>
      <c r="F471" s="25"/>
      <c r="G471" s="23" t="s">
        <v>18</v>
      </c>
      <c r="H471" s="23" t="s">
        <v>213</v>
      </c>
      <c r="I471" s="2">
        <v>44894.718981481485</v>
      </c>
      <c r="J471" s="24">
        <f>MONTH(Tabla1[[#This Row],[Publicación]])</f>
        <v>11</v>
      </c>
      <c r="K471" s="24">
        <f>YEAR(Tabla1[[#This Row],[Publicación]])</f>
        <v>2022</v>
      </c>
      <c r="L471" s="2">
        <v>44904.62777777778</v>
      </c>
      <c r="M471" s="26">
        <v>44895</v>
      </c>
      <c r="N471" s="25" t="s">
        <v>10</v>
      </c>
      <c r="O471" s="24" t="s">
        <v>29</v>
      </c>
      <c r="P471" s="24" t="s">
        <v>10</v>
      </c>
      <c r="Q471" s="2">
        <v>44897.865972222222</v>
      </c>
      <c r="R471" s="2">
        <v>44900.865972222222</v>
      </c>
      <c r="S471" s="26">
        <v>44971.420138888891</v>
      </c>
      <c r="T471" s="28">
        <v>0</v>
      </c>
      <c r="U471" s="28">
        <f>Tabla1[[#This Row],[PPTO]]/(1+'Lista Datos'!$B$1)</f>
        <v>0</v>
      </c>
      <c r="V471" s="23"/>
      <c r="W471" s="18" t="s">
        <v>10</v>
      </c>
      <c r="X471" s="102"/>
      <c r="Y471" s="18" t="s">
        <v>146</v>
      </c>
      <c r="Z471" s="18" t="s">
        <v>11</v>
      </c>
      <c r="AA471" s="23"/>
      <c r="AB471" s="23"/>
      <c r="AC471" s="23"/>
      <c r="AD471" s="23"/>
      <c r="AE471" s="29">
        <f>Tabla1[[#This Row],[Cierre]]+Tabla1[[#This Row],[Vigencia Oferta (días)]]</f>
        <v>44904.62777777778</v>
      </c>
      <c r="AF471" s="87"/>
      <c r="AG471" s="28"/>
      <c r="AH471" s="164">
        <f>Tabla1[[#This Row],[Unidades2]]*Tabla1[[#This Row],[Precio Unitario]]</f>
        <v>0</v>
      </c>
      <c r="AI471" s="23" t="s">
        <v>385</v>
      </c>
      <c r="AJ471" s="26"/>
      <c r="AK471" s="172">
        <f>Tabla1[[#This Row],[Fecha Vigencia]]-AJ471</f>
        <v>44904.62777777778</v>
      </c>
      <c r="AL471" s="23"/>
      <c r="AM471" s="87"/>
      <c r="AN471" s="23"/>
      <c r="AO471" s="29"/>
      <c r="AP471" s="23" t="s">
        <v>177</v>
      </c>
      <c r="AQ471" s="34" t="s">
        <v>1442</v>
      </c>
      <c r="AR471" s="23" t="s">
        <v>11</v>
      </c>
      <c r="AS471" s="31">
        <v>500000</v>
      </c>
      <c r="AT471" s="29">
        <v>45735</v>
      </c>
      <c r="AU471" s="23"/>
      <c r="AV471" s="23"/>
      <c r="AW471" s="23" t="s">
        <v>1637</v>
      </c>
      <c r="AX471" t="s">
        <v>1444</v>
      </c>
      <c r="AY471" s="23"/>
      <c r="AZ471" s="23"/>
      <c r="BA471" s="23"/>
      <c r="BB471" s="32"/>
      <c r="BC471" s="73"/>
    </row>
    <row r="472" spans="1:55" x14ac:dyDescent="0.25">
      <c r="A472" s="22" t="s">
        <v>2554</v>
      </c>
      <c r="B472" s="23" t="s">
        <v>2555</v>
      </c>
      <c r="C472" s="23" t="s">
        <v>2556</v>
      </c>
      <c r="D472" s="34" t="s">
        <v>2557</v>
      </c>
      <c r="E472" s="24"/>
      <c r="F472" s="25"/>
      <c r="G472" s="23" t="s">
        <v>21</v>
      </c>
      <c r="H472" s="23" t="s">
        <v>106</v>
      </c>
      <c r="I472" s="2">
        <v>44889.78</v>
      </c>
      <c r="J472" s="24">
        <f>MONTH(Tabla1[[#This Row],[Publicación]])</f>
        <v>11</v>
      </c>
      <c r="K472" s="24">
        <f>YEAR(Tabla1[[#This Row],[Publicación]])</f>
        <v>2022</v>
      </c>
      <c r="L472" s="2">
        <v>44902.666666666664</v>
      </c>
      <c r="M472" s="26">
        <v>44895</v>
      </c>
      <c r="N472" s="25" t="s">
        <v>10</v>
      </c>
      <c r="O472" s="24" t="s">
        <v>28</v>
      </c>
      <c r="P472" s="24" t="s">
        <v>10</v>
      </c>
      <c r="Q472" s="2">
        <v>44896.708333333336</v>
      </c>
      <c r="R472" s="2">
        <v>44900.708333333336</v>
      </c>
      <c r="S472" s="26">
        <v>44992.75</v>
      </c>
      <c r="T472" s="28">
        <v>0</v>
      </c>
      <c r="U472" s="28">
        <f>Tabla1[[#This Row],[PPTO]]/(1+'Lista Datos'!$B$1)</f>
        <v>0</v>
      </c>
      <c r="V472" s="23"/>
      <c r="W472" s="18" t="s">
        <v>11</v>
      </c>
      <c r="X472" s="102">
        <v>300000</v>
      </c>
      <c r="Y472" s="26">
        <v>45022</v>
      </c>
      <c r="Z472" s="18" t="s">
        <v>10</v>
      </c>
      <c r="AA472" s="23"/>
      <c r="AB472" s="23"/>
      <c r="AC472" s="23"/>
      <c r="AD472" s="23"/>
      <c r="AE472" s="29">
        <f>Tabla1[[#This Row],[Cierre]]+Tabla1[[#This Row],[Vigencia Oferta (días)]]</f>
        <v>44902.666666666664</v>
      </c>
      <c r="AF472" s="87"/>
      <c r="AG472" s="28"/>
      <c r="AH472" s="164">
        <f>Tabla1[[#This Row],[Unidades2]]*Tabla1[[#This Row],[Precio Unitario]]</f>
        <v>0</v>
      </c>
      <c r="AI472" s="23" t="s">
        <v>44</v>
      </c>
      <c r="AJ472" s="26"/>
      <c r="AK472" s="172">
        <f>Tabla1[[#This Row],[Fecha Vigencia]]-AJ472</f>
        <v>44902.666666666664</v>
      </c>
      <c r="AL472" s="23"/>
      <c r="AM472" s="87"/>
      <c r="AN472" s="23"/>
      <c r="AO472" s="29"/>
      <c r="AP472" s="23" t="s">
        <v>177</v>
      </c>
      <c r="AQ472" s="34" t="s">
        <v>192</v>
      </c>
      <c r="AR472" s="23" t="s">
        <v>11</v>
      </c>
      <c r="AS472" s="33">
        <v>0.05</v>
      </c>
      <c r="AT472" s="29">
        <v>45841</v>
      </c>
      <c r="AU472" s="23"/>
      <c r="AV472" s="23"/>
      <c r="AW472" s="23" t="s">
        <v>2558</v>
      </c>
      <c r="AX472" t="s">
        <v>194</v>
      </c>
      <c r="AY472" s="23"/>
      <c r="AZ472" s="23"/>
      <c r="BA472" s="23"/>
      <c r="BB472" s="32"/>
      <c r="BC472" s="73"/>
    </row>
    <row r="473" spans="1:55" x14ac:dyDescent="0.25">
      <c r="A473" s="22" t="s">
        <v>2559</v>
      </c>
      <c r="B473" s="23" t="s">
        <v>2560</v>
      </c>
      <c r="C473" s="23" t="s">
        <v>2561</v>
      </c>
      <c r="D473" s="34" t="s">
        <v>2562</v>
      </c>
      <c r="E473" s="24"/>
      <c r="F473" s="25"/>
      <c r="G473" s="23" t="s">
        <v>16</v>
      </c>
      <c r="H473" s="23" t="s">
        <v>520</v>
      </c>
      <c r="I473" s="2">
        <v>44893.701956018522</v>
      </c>
      <c r="J473" s="24">
        <f>MONTH(Tabla1[[#This Row],[Publicación]])</f>
        <v>11</v>
      </c>
      <c r="K473" s="24">
        <f>YEAR(Tabla1[[#This Row],[Publicación]])</f>
        <v>2022</v>
      </c>
      <c r="L473" s="2">
        <v>44904.75</v>
      </c>
      <c r="M473" s="26">
        <v>44895</v>
      </c>
      <c r="N473" s="25" t="s">
        <v>10</v>
      </c>
      <c r="O473" s="24" t="s">
        <v>34</v>
      </c>
      <c r="P473" s="24" t="s">
        <v>10</v>
      </c>
      <c r="Q473" s="2">
        <v>44897.75</v>
      </c>
      <c r="R473" s="2">
        <v>44901.75</v>
      </c>
      <c r="S473" s="26">
        <v>44963.75</v>
      </c>
      <c r="T473" s="28">
        <v>0</v>
      </c>
      <c r="U473" s="28">
        <f>Tabla1[[#This Row],[PPTO]]/(1+'Lista Datos'!$B$1)</f>
        <v>0</v>
      </c>
      <c r="V473" s="23"/>
      <c r="W473" s="18" t="s">
        <v>11</v>
      </c>
      <c r="X473" s="102">
        <v>200000</v>
      </c>
      <c r="Y473" s="26">
        <v>44997</v>
      </c>
      <c r="Z473" s="18" t="s">
        <v>11</v>
      </c>
      <c r="AA473" s="23"/>
      <c r="AB473" s="23"/>
      <c r="AC473" s="23"/>
      <c r="AD473" s="23"/>
      <c r="AE473" s="29">
        <f>Tabla1[[#This Row],[Cierre]]+Tabla1[[#This Row],[Vigencia Oferta (días)]]</f>
        <v>44904.75</v>
      </c>
      <c r="AF473" s="87"/>
      <c r="AG473" s="28"/>
      <c r="AH473" s="164">
        <f>Tabla1[[#This Row],[Unidades2]]*Tabla1[[#This Row],[Precio Unitario]]</f>
        <v>0</v>
      </c>
      <c r="AI473" s="23" t="s">
        <v>44</v>
      </c>
      <c r="AJ473" s="26">
        <v>44942.465266203704</v>
      </c>
      <c r="AK473" s="172">
        <f>Tabla1[[#This Row],[Fecha Vigencia]]-AJ473</f>
        <v>-37.715266203704232</v>
      </c>
      <c r="AL473" s="23" t="s">
        <v>45</v>
      </c>
      <c r="AM473" s="87">
        <v>73887458</v>
      </c>
      <c r="AN473" s="23"/>
      <c r="AO473" s="29"/>
      <c r="AP473" s="23" t="s">
        <v>177</v>
      </c>
      <c r="AQ473" s="34" t="s">
        <v>2563</v>
      </c>
      <c r="AR473" s="23" t="s">
        <v>11</v>
      </c>
      <c r="AS473" s="33">
        <v>0.05</v>
      </c>
      <c r="AT473" s="29">
        <v>45783</v>
      </c>
      <c r="AU473" s="23"/>
      <c r="AV473" s="23"/>
      <c r="AW473" s="23" t="s">
        <v>2564</v>
      </c>
      <c r="AX473" t="s">
        <v>2565</v>
      </c>
      <c r="AY473" s="23"/>
      <c r="AZ473" s="23"/>
      <c r="BA473" s="23"/>
      <c r="BB473" s="32"/>
      <c r="BC473" s="73"/>
    </row>
    <row r="474" spans="1:55" x14ac:dyDescent="0.25">
      <c r="A474" s="22" t="s">
        <v>2566</v>
      </c>
      <c r="B474" s="23" t="s">
        <v>2567</v>
      </c>
      <c r="C474" s="23" t="s">
        <v>2568</v>
      </c>
      <c r="D474" s="34" t="s">
        <v>2569</v>
      </c>
      <c r="E474" s="24"/>
      <c r="F474" s="25"/>
      <c r="G474" s="23" t="s">
        <v>16</v>
      </c>
      <c r="H474" s="23" t="s">
        <v>520</v>
      </c>
      <c r="I474" s="2">
        <v>44894.407557870371</v>
      </c>
      <c r="J474" s="24">
        <f>MONTH(Tabla1[[#This Row],[Publicación]])</f>
        <v>11</v>
      </c>
      <c r="K474" s="24">
        <f>YEAR(Tabla1[[#This Row],[Publicación]])</f>
        <v>2022</v>
      </c>
      <c r="L474" s="2">
        <v>44904.627083333333</v>
      </c>
      <c r="M474" s="26">
        <v>44896</v>
      </c>
      <c r="N474" s="25" t="s">
        <v>10</v>
      </c>
      <c r="O474" s="24" t="s">
        <v>34</v>
      </c>
      <c r="P474" s="24" t="s">
        <v>10</v>
      </c>
      <c r="Q474" s="2">
        <v>44897.625694444447</v>
      </c>
      <c r="R474" s="2">
        <v>44902.626388888886</v>
      </c>
      <c r="S474" s="26">
        <v>44924.78402777778</v>
      </c>
      <c r="T474" s="28">
        <v>0</v>
      </c>
      <c r="U474" s="28">
        <f>Tabla1[[#This Row],[PPTO]]/(1+'Lista Datos'!$B$1)</f>
        <v>0</v>
      </c>
      <c r="V474" s="23"/>
      <c r="W474" s="18" t="s">
        <v>11</v>
      </c>
      <c r="X474" s="102">
        <v>200000</v>
      </c>
      <c r="Y474" s="26">
        <v>44173</v>
      </c>
      <c r="Z474" s="18" t="s">
        <v>10</v>
      </c>
      <c r="AA474" s="23"/>
      <c r="AB474" s="23"/>
      <c r="AC474" s="23"/>
      <c r="AD474" s="23"/>
      <c r="AE474" s="29">
        <f>Tabla1[[#This Row],[Cierre]]+Tabla1[[#This Row],[Vigencia Oferta (días)]]</f>
        <v>44904.627083333333</v>
      </c>
      <c r="AF474" s="87"/>
      <c r="AG474" s="28"/>
      <c r="AH474" s="164">
        <f>Tabla1[[#This Row],[Unidades2]]*Tabla1[[#This Row],[Precio Unitario]]</f>
        <v>0</v>
      </c>
      <c r="AI474" s="23" t="s">
        <v>44</v>
      </c>
      <c r="AJ474" s="26">
        <v>44914</v>
      </c>
      <c r="AK474" s="172">
        <f>Tabla1[[#This Row],[Fecha Vigencia]]-AJ474</f>
        <v>-9.3729166666671517</v>
      </c>
      <c r="AL474" s="23" t="s">
        <v>45</v>
      </c>
      <c r="AM474" s="87">
        <v>32521680</v>
      </c>
      <c r="AN474" s="23"/>
      <c r="AO474" s="29"/>
      <c r="AP474" s="23" t="s">
        <v>177</v>
      </c>
      <c r="AQ474" s="34" t="s">
        <v>2570</v>
      </c>
      <c r="AR474" s="23" t="s">
        <v>11</v>
      </c>
      <c r="AS474" s="33">
        <v>0.05</v>
      </c>
      <c r="AT474" s="29">
        <v>44235</v>
      </c>
      <c r="AU474" s="23"/>
      <c r="AV474" s="23"/>
      <c r="AW474" s="23" t="s">
        <v>2571</v>
      </c>
      <c r="AX474" t="s">
        <v>2572</v>
      </c>
      <c r="AY474" s="23"/>
      <c r="AZ474" s="23"/>
      <c r="BA474" s="23"/>
      <c r="BB474" s="32"/>
      <c r="BC474" s="73"/>
    </row>
    <row r="475" spans="1:55" x14ac:dyDescent="0.25">
      <c r="A475" s="22" t="s">
        <v>2573</v>
      </c>
      <c r="B475" s="23" t="s">
        <v>2574</v>
      </c>
      <c r="C475" s="23" t="s">
        <v>2575</v>
      </c>
      <c r="D475" s="34" t="s">
        <v>2576</v>
      </c>
      <c r="E475" s="24"/>
      <c r="F475" s="25"/>
      <c r="G475" s="23" t="s">
        <v>21</v>
      </c>
      <c r="H475" s="23" t="s">
        <v>106</v>
      </c>
      <c r="I475" s="2">
        <v>44895.585312499999</v>
      </c>
      <c r="J475" s="24">
        <f>MONTH(Tabla1[[#This Row],[Publicación]])</f>
        <v>11</v>
      </c>
      <c r="K475" s="24">
        <f>YEAR(Tabla1[[#This Row],[Publicación]])</f>
        <v>2022</v>
      </c>
      <c r="L475" s="2">
        <v>44904.625</v>
      </c>
      <c r="M475" s="26">
        <v>44896</v>
      </c>
      <c r="N475" s="25" t="s">
        <v>11</v>
      </c>
      <c r="O475" s="24"/>
      <c r="P475" s="24" t="s">
        <v>11</v>
      </c>
      <c r="Q475" s="2">
        <v>44896.999305555553</v>
      </c>
      <c r="R475" s="2">
        <v>44897.75</v>
      </c>
      <c r="S475" s="26">
        <v>44935.75</v>
      </c>
      <c r="T475" s="28">
        <v>0</v>
      </c>
      <c r="U475" s="28">
        <f>Tabla1[[#This Row],[PPTO]]/(1+'Lista Datos'!$B$1)</f>
        <v>0</v>
      </c>
      <c r="V475" s="23"/>
      <c r="W475" s="18" t="s">
        <v>10</v>
      </c>
      <c r="X475" s="102"/>
      <c r="Y475" s="18" t="s">
        <v>146</v>
      </c>
      <c r="Z475" s="18" t="s">
        <v>10</v>
      </c>
      <c r="AA475" s="23"/>
      <c r="AB475" s="23"/>
      <c r="AC475" s="23" t="s">
        <v>10</v>
      </c>
      <c r="AD475" s="23"/>
      <c r="AE475" s="29">
        <f>Tabla1[[#This Row],[Cierre]]+Tabla1[[#This Row],[Vigencia Oferta (días)]]</f>
        <v>44904.625</v>
      </c>
      <c r="AF475" s="87"/>
      <c r="AG475" s="28"/>
      <c r="AH475" s="164">
        <f>Tabla1[[#This Row],[Unidades2]]*Tabla1[[#This Row],[Precio Unitario]]</f>
        <v>0</v>
      </c>
      <c r="AI475" s="23" t="s">
        <v>44</v>
      </c>
      <c r="AJ475" s="26">
        <v>44917</v>
      </c>
      <c r="AK475" s="172">
        <f>Tabla1[[#This Row],[Fecha Vigencia]]-AJ475</f>
        <v>-12.375</v>
      </c>
      <c r="AL475" s="23" t="s">
        <v>115</v>
      </c>
      <c r="AM475" s="87">
        <v>676129</v>
      </c>
      <c r="AN475" s="23"/>
      <c r="AO475" s="29"/>
      <c r="AP475" s="23" t="s">
        <v>292</v>
      </c>
      <c r="AQ475" s="34" t="s">
        <v>2577</v>
      </c>
      <c r="AR475" s="23" t="s">
        <v>10</v>
      </c>
      <c r="AS475" s="23"/>
      <c r="AT475" s="23"/>
      <c r="AU475" s="23"/>
      <c r="AV475" s="23"/>
      <c r="AW475" s="23" t="s">
        <v>2578</v>
      </c>
      <c r="AX475" t="s">
        <v>2579</v>
      </c>
      <c r="AY475" s="23"/>
      <c r="AZ475" s="23"/>
      <c r="BA475" s="23"/>
      <c r="BB475" s="32"/>
      <c r="BC475" s="73"/>
    </row>
    <row r="476" spans="1:55" x14ac:dyDescent="0.25">
      <c r="A476" s="22" t="s">
        <v>2580</v>
      </c>
      <c r="B476" s="23" t="s">
        <v>2581</v>
      </c>
      <c r="C476" s="23" t="s">
        <v>2582</v>
      </c>
      <c r="D476" s="34" t="s">
        <v>2583</v>
      </c>
      <c r="E476" s="24"/>
      <c r="F476" s="25"/>
      <c r="G476" s="23" t="s">
        <v>18</v>
      </c>
      <c r="H476" s="23" t="s">
        <v>213</v>
      </c>
      <c r="I476" s="2">
        <v>44894.363020833334</v>
      </c>
      <c r="J476" s="24">
        <f>MONTH(Tabla1[[#This Row],[Publicación]])</f>
        <v>11</v>
      </c>
      <c r="K476" s="24">
        <f>YEAR(Tabla1[[#This Row],[Publicación]])</f>
        <v>2022</v>
      </c>
      <c r="L476" s="2">
        <v>44904.627083333333</v>
      </c>
      <c r="M476" s="26"/>
      <c r="N476" s="25" t="s">
        <v>10</v>
      </c>
      <c r="O476" s="24" t="s">
        <v>28</v>
      </c>
      <c r="P476" s="24" t="s">
        <v>10</v>
      </c>
      <c r="Q476" s="2">
        <v>44897.906944444447</v>
      </c>
      <c r="R476" s="2">
        <v>44900.666666666664</v>
      </c>
      <c r="S476" s="26">
        <v>44907.666666666664</v>
      </c>
      <c r="T476" s="28">
        <v>0</v>
      </c>
      <c r="U476" s="28">
        <f>Tabla1[[#This Row],[PPTO]]/(1+'Lista Datos'!$B$1)</f>
        <v>0</v>
      </c>
      <c r="V476" s="23"/>
      <c r="W476" s="18" t="s">
        <v>10</v>
      </c>
      <c r="X476" s="102"/>
      <c r="Y476" s="18" t="s">
        <v>146</v>
      </c>
      <c r="Z476" s="18" t="s">
        <v>11</v>
      </c>
      <c r="AA476" s="23" t="s">
        <v>177</v>
      </c>
      <c r="AB476" s="23">
        <v>36</v>
      </c>
      <c r="AC476" s="23"/>
      <c r="AD476" s="23"/>
      <c r="AE476" s="29">
        <f>Tabla1[[#This Row],[Cierre]]+Tabla1[[#This Row],[Vigencia Oferta (días)]]</f>
        <v>44904.627083333333</v>
      </c>
      <c r="AF476" s="87"/>
      <c r="AG476" s="28"/>
      <c r="AH476" s="164">
        <f>Tabla1[[#This Row],[Unidades2]]*Tabla1[[#This Row],[Precio Unitario]]</f>
        <v>0</v>
      </c>
      <c r="AI476" s="23" t="s">
        <v>385</v>
      </c>
      <c r="AJ476" s="26"/>
      <c r="AK476" s="172">
        <f>Tabla1[[#This Row],[Fecha Vigencia]]-AJ476</f>
        <v>44904.627083333333</v>
      </c>
      <c r="AL476" s="23"/>
      <c r="AM476" s="87"/>
      <c r="AN476" s="23"/>
      <c r="AO476" s="29"/>
      <c r="AP476" s="23" t="s">
        <v>177</v>
      </c>
      <c r="AQ476" s="34" t="s">
        <v>2584</v>
      </c>
      <c r="AR476" s="23" t="s">
        <v>11</v>
      </c>
      <c r="AS476" s="33">
        <v>0.05</v>
      </c>
      <c r="AT476" s="29">
        <v>46051</v>
      </c>
      <c r="AU476" s="23"/>
      <c r="AV476" s="23"/>
      <c r="AW476" s="23" t="s">
        <v>2585</v>
      </c>
      <c r="AX476" t="s">
        <v>2586</v>
      </c>
      <c r="AY476" s="23"/>
      <c r="AZ476" s="23"/>
      <c r="BA476" s="23"/>
      <c r="BB476" s="32"/>
      <c r="BC476" s="73"/>
    </row>
    <row r="477" spans="1:55" x14ac:dyDescent="0.25">
      <c r="A477" s="22" t="s">
        <v>2587</v>
      </c>
      <c r="B477" s="23" t="s">
        <v>2191</v>
      </c>
      <c r="C477" s="23" t="s">
        <v>2192</v>
      </c>
      <c r="D477" s="34" t="s">
        <v>1008</v>
      </c>
      <c r="E477" s="24"/>
      <c r="F477" s="25"/>
      <c r="G477" s="23" t="s">
        <v>18</v>
      </c>
      <c r="H477" s="23" t="s">
        <v>213</v>
      </c>
      <c r="I477" s="2">
        <v>44895.504629629628</v>
      </c>
      <c r="J477" s="24">
        <f>MONTH(Tabla1[[#This Row],[Publicación]])</f>
        <v>11</v>
      </c>
      <c r="K477" s="24">
        <f>YEAR(Tabla1[[#This Row],[Publicación]])</f>
        <v>2022</v>
      </c>
      <c r="L477" s="2">
        <v>44914.666666666664</v>
      </c>
      <c r="M477" s="26">
        <v>44897</v>
      </c>
      <c r="N477" s="25" t="s">
        <v>10</v>
      </c>
      <c r="O477" s="24" t="s">
        <v>28</v>
      </c>
      <c r="P477" s="24" t="s">
        <v>10</v>
      </c>
      <c r="Q477" s="2">
        <v>44901.666666666664</v>
      </c>
      <c r="R477" s="2">
        <v>44903.666666666664</v>
      </c>
      <c r="S477" s="26">
        <v>44977.666666666664</v>
      </c>
      <c r="T477" s="28">
        <v>0</v>
      </c>
      <c r="U477" s="28">
        <f>Tabla1[[#This Row],[PPTO]]/(1+'Lista Datos'!$B$1)</f>
        <v>0</v>
      </c>
      <c r="V477" s="23"/>
      <c r="W477" s="18" t="s">
        <v>11</v>
      </c>
      <c r="X477" s="102">
        <v>500000</v>
      </c>
      <c r="Y477" s="26">
        <v>44985</v>
      </c>
      <c r="Z477" s="18" t="s">
        <v>11</v>
      </c>
      <c r="AA477" s="23"/>
      <c r="AB477" s="23"/>
      <c r="AC477" s="23"/>
      <c r="AD477" s="23"/>
      <c r="AE477" s="29">
        <f>Tabla1[[#This Row],[Cierre]]+Tabla1[[#This Row],[Vigencia Oferta (días)]]</f>
        <v>44914.666666666664</v>
      </c>
      <c r="AF477" s="87"/>
      <c r="AG477" s="28"/>
      <c r="AH477" s="164">
        <f>Tabla1[[#This Row],[Unidades2]]*Tabla1[[#This Row],[Precio Unitario]]</f>
        <v>0</v>
      </c>
      <c r="AI477" s="23" t="s">
        <v>44</v>
      </c>
      <c r="AJ477" s="26">
        <v>44945.68959490741</v>
      </c>
      <c r="AK477" s="172">
        <f>Tabla1[[#This Row],[Fecha Vigencia]]-AJ477</f>
        <v>-31.022928240745387</v>
      </c>
      <c r="AL477" s="23" t="s">
        <v>46</v>
      </c>
      <c r="AM477" s="87">
        <v>85520000</v>
      </c>
      <c r="AN477" s="23"/>
      <c r="AO477" s="29"/>
      <c r="AP477" s="23" t="s">
        <v>177</v>
      </c>
      <c r="AQ477" s="34" t="s">
        <v>554</v>
      </c>
      <c r="AR477" s="23" t="s">
        <v>11</v>
      </c>
      <c r="AS477" s="33">
        <v>0.1</v>
      </c>
      <c r="AT477" s="29">
        <v>45835</v>
      </c>
      <c r="AU477" s="23"/>
      <c r="AV477" s="23"/>
      <c r="AW477" s="23" t="s">
        <v>1009</v>
      </c>
      <c r="AX477" t="s">
        <v>2193</v>
      </c>
      <c r="AY477" s="23"/>
      <c r="AZ477" s="23"/>
      <c r="BA477" s="23"/>
      <c r="BB477" s="32"/>
      <c r="BC477" s="73"/>
    </row>
    <row r="478" spans="1:55" x14ac:dyDescent="0.25">
      <c r="A478" s="22" t="s">
        <v>2588</v>
      </c>
      <c r="B478" s="23" t="s">
        <v>2589</v>
      </c>
      <c r="C478" s="23" t="s">
        <v>2590</v>
      </c>
      <c r="D478" s="34" t="s">
        <v>2591</v>
      </c>
      <c r="E478" s="24"/>
      <c r="F478" s="25"/>
      <c r="G478" s="23" t="s">
        <v>16</v>
      </c>
      <c r="H478" s="23" t="s">
        <v>2511</v>
      </c>
      <c r="I478" s="2">
        <v>44896.508819444447</v>
      </c>
      <c r="J478" s="24">
        <f>MONTH(Tabla1[[#This Row],[Publicación]])</f>
        <v>12</v>
      </c>
      <c r="K478" s="24">
        <f>YEAR(Tabla1[[#This Row],[Publicación]])</f>
        <v>2022</v>
      </c>
      <c r="L478" s="2">
        <v>44907.678472222222</v>
      </c>
      <c r="M478" s="26">
        <v>44897</v>
      </c>
      <c r="N478" s="25" t="s">
        <v>10</v>
      </c>
      <c r="O478" s="24" t="s">
        <v>25</v>
      </c>
      <c r="P478" s="24" t="s">
        <v>10</v>
      </c>
      <c r="Q478" s="2">
        <v>44899.615972222222</v>
      </c>
      <c r="R478" s="2">
        <v>44900.615972222222</v>
      </c>
      <c r="S478" s="26">
        <v>44908.679166666669</v>
      </c>
      <c r="T478" s="28">
        <v>0</v>
      </c>
      <c r="U478" s="28">
        <f>Tabla1[[#This Row],[PPTO]]/(1+'Lista Datos'!$B$1)</f>
        <v>0</v>
      </c>
      <c r="V478" s="23"/>
      <c r="W478" s="18" t="s">
        <v>11</v>
      </c>
      <c r="X478" s="102">
        <v>500000</v>
      </c>
      <c r="Y478" s="26">
        <v>45028</v>
      </c>
      <c r="Z478" s="18" t="s">
        <v>11</v>
      </c>
      <c r="AA478" s="23"/>
      <c r="AB478" s="23"/>
      <c r="AC478" s="23"/>
      <c r="AD478" s="23"/>
      <c r="AE478" s="29">
        <f>Tabla1[[#This Row],[Cierre]]+Tabla1[[#This Row],[Vigencia Oferta (días)]]</f>
        <v>44907.678472222222</v>
      </c>
      <c r="AF478" s="87"/>
      <c r="AG478" s="28"/>
      <c r="AH478" s="164">
        <f>Tabla1[[#This Row],[Unidades2]]*Tabla1[[#This Row],[Precio Unitario]]</f>
        <v>0</v>
      </c>
      <c r="AI478" s="23" t="s">
        <v>44</v>
      </c>
      <c r="AJ478" s="26">
        <v>44929</v>
      </c>
      <c r="AK478" s="172">
        <f>Tabla1[[#This Row],[Fecha Vigencia]]-AJ478</f>
        <v>-21.321527777778101</v>
      </c>
      <c r="AL478" s="23" t="s">
        <v>45</v>
      </c>
      <c r="AM478" s="87">
        <v>25230030</v>
      </c>
      <c r="AN478" s="23"/>
      <c r="AO478" s="29"/>
      <c r="AP478" s="23" t="s">
        <v>177</v>
      </c>
      <c r="AQ478" s="34" t="s">
        <v>2592</v>
      </c>
      <c r="AR478" s="23" t="s">
        <v>11</v>
      </c>
      <c r="AS478" s="33">
        <v>0.1</v>
      </c>
      <c r="AT478" s="29">
        <v>45688</v>
      </c>
      <c r="AU478" s="23"/>
      <c r="AV478" s="23"/>
      <c r="AW478" s="23" t="s">
        <v>2593</v>
      </c>
      <c r="AX478" t="s">
        <v>2594</v>
      </c>
      <c r="AY478" s="23"/>
      <c r="AZ478" s="23"/>
      <c r="BA478" s="23"/>
      <c r="BB478" s="32"/>
      <c r="BC478" s="73"/>
    </row>
    <row r="479" spans="1:55" x14ac:dyDescent="0.25">
      <c r="A479" s="22" t="s">
        <v>2595</v>
      </c>
      <c r="B479" s="23" t="s">
        <v>2362</v>
      </c>
      <c r="C479" s="23" t="s">
        <v>2362</v>
      </c>
      <c r="D479" s="34" t="s">
        <v>1299</v>
      </c>
      <c r="E479" s="24"/>
      <c r="F479" s="25"/>
      <c r="G479" s="23" t="s">
        <v>21</v>
      </c>
      <c r="H479" s="23" t="s">
        <v>106</v>
      </c>
      <c r="I479" s="2">
        <v>44895.487303240741</v>
      </c>
      <c r="J479" s="24">
        <f>MONTH(Tabla1[[#This Row],[Publicación]])</f>
        <v>11</v>
      </c>
      <c r="K479" s="24">
        <f>YEAR(Tabla1[[#This Row],[Publicación]])</f>
        <v>2022</v>
      </c>
      <c r="L479" s="2">
        <v>44907.729166666664</v>
      </c>
      <c r="M479" s="26">
        <v>44900</v>
      </c>
      <c r="N479" s="25" t="s">
        <v>11</v>
      </c>
      <c r="O479" s="24"/>
      <c r="P479" s="24" t="s">
        <v>11</v>
      </c>
      <c r="Q479" s="2">
        <v>44897.708333333336</v>
      </c>
      <c r="R479" s="2">
        <v>44901.729166666664</v>
      </c>
      <c r="S479" s="26">
        <v>44929.729166666664</v>
      </c>
      <c r="T479" s="28">
        <v>0</v>
      </c>
      <c r="U479" s="28">
        <f>Tabla1[[#This Row],[PPTO]]/(1+'Lista Datos'!$B$1)</f>
        <v>0</v>
      </c>
      <c r="V479" s="23"/>
      <c r="W479" s="18" t="s">
        <v>11</v>
      </c>
      <c r="X479" s="102">
        <v>1000000</v>
      </c>
      <c r="Y479" s="26">
        <v>45106</v>
      </c>
      <c r="Z479" s="18" t="s">
        <v>10</v>
      </c>
      <c r="AA479" s="23"/>
      <c r="AB479" s="23"/>
      <c r="AC479" s="23" t="s">
        <v>10</v>
      </c>
      <c r="AD479" s="23"/>
      <c r="AE479" s="29">
        <f>Tabla1[[#This Row],[Cierre]]+Tabla1[[#This Row],[Vigencia Oferta (días)]]</f>
        <v>44907.729166666664</v>
      </c>
      <c r="AF479" s="87"/>
      <c r="AG479" s="28"/>
      <c r="AH479" s="164">
        <f>Tabla1[[#This Row],[Unidades2]]*Tabla1[[#This Row],[Precio Unitario]]</f>
        <v>0</v>
      </c>
      <c r="AI479" s="23" t="s">
        <v>44</v>
      </c>
      <c r="AJ479" s="26">
        <v>44916</v>
      </c>
      <c r="AK479" s="172">
        <f>Tabla1[[#This Row],[Fecha Vigencia]]-AJ479</f>
        <v>-8.2708333333357587</v>
      </c>
      <c r="AL479" s="23" t="s">
        <v>46</v>
      </c>
      <c r="AM479" s="87">
        <v>71775000</v>
      </c>
      <c r="AN479" s="23"/>
      <c r="AO479" s="29"/>
      <c r="AP479" s="23" t="s">
        <v>292</v>
      </c>
      <c r="AQ479" s="34" t="s">
        <v>1300</v>
      </c>
      <c r="AR479" s="23" t="s">
        <v>11</v>
      </c>
      <c r="AS479" s="33">
        <v>0.05</v>
      </c>
      <c r="AT479" s="29">
        <v>45292</v>
      </c>
      <c r="AU479" s="23"/>
      <c r="AV479" s="23"/>
      <c r="AW479" s="23" t="s">
        <v>2364</v>
      </c>
      <c r="AX479" t="s">
        <v>2060</v>
      </c>
      <c r="AY479" s="23"/>
      <c r="AZ479" s="23"/>
      <c r="BA479" s="23"/>
      <c r="BB479" s="32"/>
      <c r="BC479" s="73"/>
    </row>
    <row r="480" spans="1:55" ht="11.25" x14ac:dyDescent="0.2">
      <c r="A480" s="22" t="s">
        <v>2596</v>
      </c>
      <c r="B480" s="23" t="s">
        <v>2597</v>
      </c>
      <c r="C480" s="23"/>
      <c r="D480" s="34" t="s">
        <v>1552</v>
      </c>
      <c r="E480" s="24"/>
      <c r="F480" s="25"/>
      <c r="G480" s="23" t="s">
        <v>21</v>
      </c>
      <c r="H480" s="23" t="s">
        <v>106</v>
      </c>
      <c r="I480" s="2">
        <v>44897.665543981479</v>
      </c>
      <c r="J480" s="24">
        <f>MONTH(Tabla1[[#This Row],[Publicación]])</f>
        <v>12</v>
      </c>
      <c r="K480" s="24">
        <f>YEAR(Tabla1[[#This Row],[Publicación]])</f>
        <v>2022</v>
      </c>
      <c r="L480" s="2">
        <v>44904.625</v>
      </c>
      <c r="M480" s="26">
        <v>44900</v>
      </c>
      <c r="N480" s="25" t="s">
        <v>10</v>
      </c>
      <c r="O480" s="24" t="s">
        <v>27</v>
      </c>
      <c r="P480" s="24" t="s">
        <v>10</v>
      </c>
      <c r="Q480" s="2">
        <v>44900.5</v>
      </c>
      <c r="R480" s="2">
        <v>44901.729166666664</v>
      </c>
      <c r="S480" s="26">
        <v>44911.708333333336</v>
      </c>
      <c r="T480" s="28">
        <v>0</v>
      </c>
      <c r="U480" s="28">
        <f>Tabla1[[#This Row],[PPTO]]/(1+'Lista Datos'!$B$1)</f>
        <v>0</v>
      </c>
      <c r="V480" s="23"/>
      <c r="W480" s="18" t="s">
        <v>10</v>
      </c>
      <c r="X480" s="102"/>
      <c r="Y480" s="18" t="s">
        <v>146</v>
      </c>
      <c r="Z480" s="18" t="s">
        <v>10</v>
      </c>
      <c r="AA480" s="23"/>
      <c r="AB480" s="23"/>
      <c r="AC480" s="23"/>
      <c r="AD480" s="23"/>
      <c r="AE480" s="29">
        <f>Tabla1[[#This Row],[Cierre]]+Tabla1[[#This Row],[Vigencia Oferta (días)]]</f>
        <v>44904.625</v>
      </c>
      <c r="AF480" s="87"/>
      <c r="AG480" s="28"/>
      <c r="AH480" s="164">
        <f>Tabla1[[#This Row],[Unidades2]]*Tabla1[[#This Row],[Precio Unitario]]</f>
        <v>0</v>
      </c>
      <c r="AI480" s="23" t="s">
        <v>44</v>
      </c>
      <c r="AJ480" s="26">
        <v>44924</v>
      </c>
      <c r="AK480" s="172">
        <f>Tabla1[[#This Row],[Fecha Vigencia]]-AJ480</f>
        <v>-19.375</v>
      </c>
      <c r="AL480" s="23" t="s">
        <v>46</v>
      </c>
      <c r="AM480" s="87">
        <v>2900000</v>
      </c>
      <c r="AN480" s="23"/>
      <c r="AO480" s="29"/>
      <c r="AP480" s="23" t="s">
        <v>292</v>
      </c>
      <c r="AQ480" s="34"/>
      <c r="AR480" s="23" t="s">
        <v>10</v>
      </c>
      <c r="AS480" s="23"/>
      <c r="AT480" s="23"/>
      <c r="AU480" s="23"/>
      <c r="AV480" s="23"/>
      <c r="AW480" s="23"/>
      <c r="AX480" s="48"/>
      <c r="AY480" s="23"/>
      <c r="AZ480" s="23"/>
      <c r="BA480" s="23"/>
      <c r="BB480" s="32"/>
      <c r="BC480" s="73"/>
    </row>
    <row r="481" spans="1:55" x14ac:dyDescent="0.25">
      <c r="A481" s="22" t="s">
        <v>2598</v>
      </c>
      <c r="B481" s="23" t="s">
        <v>2599</v>
      </c>
      <c r="C481" s="23" t="s">
        <v>2421</v>
      </c>
      <c r="D481" s="34" t="s">
        <v>2422</v>
      </c>
      <c r="E481" s="24"/>
      <c r="F481" s="25"/>
      <c r="G481" s="23" t="s">
        <v>21</v>
      </c>
      <c r="H481" s="23" t="s">
        <v>106</v>
      </c>
      <c r="I481" s="2">
        <v>44897.66909722222</v>
      </c>
      <c r="J481" s="24">
        <f>MONTH(Tabla1[[#This Row],[Publicación]])</f>
        <v>12</v>
      </c>
      <c r="K481" s="24">
        <f>YEAR(Tabla1[[#This Row],[Publicación]])</f>
        <v>2022</v>
      </c>
      <c r="L481" s="2">
        <v>44907.6875</v>
      </c>
      <c r="M481" s="26">
        <v>44900</v>
      </c>
      <c r="N481" s="25" t="s">
        <v>10</v>
      </c>
      <c r="O481" s="24" t="s">
        <v>34</v>
      </c>
      <c r="P481" s="24" t="s">
        <v>10</v>
      </c>
      <c r="Q481" s="2">
        <v>44901.416666666664</v>
      </c>
      <c r="R481" s="2">
        <v>44902.739583333336</v>
      </c>
      <c r="S481" s="26">
        <v>44998.75</v>
      </c>
      <c r="T481" s="28">
        <v>0</v>
      </c>
      <c r="U481" s="28">
        <f>Tabla1[[#This Row],[PPTO]]/(1+'Lista Datos'!$B$1)</f>
        <v>0</v>
      </c>
      <c r="V481" s="23"/>
      <c r="W481" s="18" t="s">
        <v>10</v>
      </c>
      <c r="X481" s="102"/>
      <c r="Y481" s="18" t="s">
        <v>146</v>
      </c>
      <c r="Z481" s="18" t="s">
        <v>10</v>
      </c>
      <c r="AA481" s="23"/>
      <c r="AB481" s="23"/>
      <c r="AC481" s="23"/>
      <c r="AD481" s="23"/>
      <c r="AE481" s="29">
        <f>Tabla1[[#This Row],[Cierre]]+Tabla1[[#This Row],[Vigencia Oferta (días)]]</f>
        <v>44907.6875</v>
      </c>
      <c r="AF481" s="87"/>
      <c r="AG481" s="28"/>
      <c r="AH481" s="164">
        <f>Tabla1[[#This Row],[Unidades2]]*Tabla1[[#This Row],[Precio Unitario]]</f>
        <v>0</v>
      </c>
      <c r="AI481" s="23" t="s">
        <v>44</v>
      </c>
      <c r="AJ481" s="26">
        <v>44914</v>
      </c>
      <c r="AK481" s="172">
        <f>Tabla1[[#This Row],[Fecha Vigencia]]-AJ481</f>
        <v>-6.3125</v>
      </c>
      <c r="AL481" s="23" t="s">
        <v>46</v>
      </c>
      <c r="AM481" s="87">
        <v>2300000</v>
      </c>
      <c r="AN481" s="23"/>
      <c r="AO481" s="29"/>
      <c r="AP481" s="23" t="s">
        <v>292</v>
      </c>
      <c r="AQ481" s="34" t="s">
        <v>2423</v>
      </c>
      <c r="AR481" s="23" t="s">
        <v>11</v>
      </c>
      <c r="AS481" s="33">
        <v>0.05</v>
      </c>
      <c r="AT481" s="29">
        <v>46055</v>
      </c>
      <c r="AU481" s="23"/>
      <c r="AV481" s="23"/>
      <c r="AW481" s="23" t="s">
        <v>2424</v>
      </c>
      <c r="AX481" t="s">
        <v>2425</v>
      </c>
      <c r="AY481" s="23"/>
      <c r="AZ481" s="23"/>
      <c r="BA481" s="23"/>
      <c r="BB481" s="32"/>
      <c r="BC481" s="73"/>
    </row>
    <row r="482" spans="1:55" x14ac:dyDescent="0.25">
      <c r="A482" s="22" t="s">
        <v>2600</v>
      </c>
      <c r="B482" s="23" t="s">
        <v>2601</v>
      </c>
      <c r="C482" s="23" t="s">
        <v>2602</v>
      </c>
      <c r="D482" s="34" t="s">
        <v>153</v>
      </c>
      <c r="E482" s="24"/>
      <c r="F482" s="25"/>
      <c r="G482" s="23" t="s">
        <v>21</v>
      </c>
      <c r="H482" s="23" t="s">
        <v>106</v>
      </c>
      <c r="I482" s="2">
        <v>44897.693773148145</v>
      </c>
      <c r="J482" s="24">
        <f>MONTH(Tabla1[[#This Row],[Publicación]])</f>
        <v>12</v>
      </c>
      <c r="K482" s="24">
        <f>YEAR(Tabla1[[#This Row],[Publicación]])</f>
        <v>2022</v>
      </c>
      <c r="L482" s="2">
        <v>44902.791666666664</v>
      </c>
      <c r="M482" s="26">
        <v>44900</v>
      </c>
      <c r="N482" s="25" t="s">
        <v>10</v>
      </c>
      <c r="O482" s="24" t="s">
        <v>35</v>
      </c>
      <c r="P482" s="24" t="s">
        <v>10</v>
      </c>
      <c r="Q482" s="2">
        <v>44899.84652777778</v>
      </c>
      <c r="R482" s="2">
        <v>44900.804861111108</v>
      </c>
      <c r="S482" s="26">
        <v>44995.676388888889</v>
      </c>
      <c r="T482" s="28">
        <v>0</v>
      </c>
      <c r="U482" s="28">
        <f>Tabla1[[#This Row],[PPTO]]/(1+'Lista Datos'!$B$1)</f>
        <v>0</v>
      </c>
      <c r="V482" s="23"/>
      <c r="W482" s="18" t="s">
        <v>10</v>
      </c>
      <c r="X482" s="102"/>
      <c r="Y482" s="18" t="s">
        <v>146</v>
      </c>
      <c r="Z482" s="18" t="s">
        <v>10</v>
      </c>
      <c r="AA482" s="23"/>
      <c r="AB482" s="23"/>
      <c r="AC482" s="23"/>
      <c r="AD482" s="23"/>
      <c r="AE482" s="29">
        <f>Tabla1[[#This Row],[Cierre]]+Tabla1[[#This Row],[Vigencia Oferta (días)]]</f>
        <v>44902.791666666664</v>
      </c>
      <c r="AF482" s="87"/>
      <c r="AG482" s="28"/>
      <c r="AH482" s="164">
        <f>Tabla1[[#This Row],[Unidades2]]*Tabla1[[#This Row],[Precio Unitario]]</f>
        <v>0</v>
      </c>
      <c r="AI482" s="23" t="s">
        <v>320</v>
      </c>
      <c r="AJ482" s="26">
        <v>44902</v>
      </c>
      <c r="AK482" s="172">
        <f>Tabla1[[#This Row],[Fecha Vigencia]]-AJ482</f>
        <v>0.79166666666424135</v>
      </c>
      <c r="AL482" s="23"/>
      <c r="AM482" s="87"/>
      <c r="AN482" s="23"/>
      <c r="AO482" s="29"/>
      <c r="AP482" s="23"/>
      <c r="AQ482" s="34" t="s">
        <v>572</v>
      </c>
      <c r="AR482" s="23" t="s">
        <v>10</v>
      </c>
      <c r="AS482" s="23"/>
      <c r="AT482" s="23"/>
      <c r="AU482" s="23"/>
      <c r="AV482" s="23"/>
      <c r="AW482" s="23" t="s">
        <v>2603</v>
      </c>
      <c r="AX482" t="s">
        <v>2604</v>
      </c>
      <c r="AY482" s="23"/>
      <c r="AZ482" s="23"/>
      <c r="BA482" s="23"/>
      <c r="BB482" s="32"/>
      <c r="BC482" s="73"/>
    </row>
    <row r="483" spans="1:55" x14ac:dyDescent="0.25">
      <c r="A483" s="22" t="s">
        <v>2605</v>
      </c>
      <c r="B483" s="23" t="s">
        <v>2606</v>
      </c>
      <c r="C483" s="23" t="s">
        <v>2607</v>
      </c>
      <c r="D483" s="34" t="s">
        <v>2608</v>
      </c>
      <c r="E483" s="24"/>
      <c r="F483" s="25"/>
      <c r="G483" s="23" t="s">
        <v>18</v>
      </c>
      <c r="H483" s="23" t="s">
        <v>213</v>
      </c>
      <c r="I483" s="2">
        <v>44909.498055555552</v>
      </c>
      <c r="J483" s="24">
        <f>MONTH(Tabla1[[#This Row],[Publicación]])</f>
        <v>12</v>
      </c>
      <c r="K483" s="24">
        <f>YEAR(Tabla1[[#This Row],[Publicación]])</f>
        <v>2022</v>
      </c>
      <c r="L483" s="2">
        <v>44932.625</v>
      </c>
      <c r="M483" s="26"/>
      <c r="N483" s="25" t="s">
        <v>10</v>
      </c>
      <c r="O483" s="24" t="s">
        <v>28</v>
      </c>
      <c r="P483" s="24" t="s">
        <v>10</v>
      </c>
      <c r="Q483" s="2">
        <v>44915.625</v>
      </c>
      <c r="R483" s="2">
        <v>44917.708333333336</v>
      </c>
      <c r="S483" s="26">
        <v>44964.62777777778</v>
      </c>
      <c r="T483" s="28">
        <v>0</v>
      </c>
      <c r="U483" s="28">
        <f>Tabla1[[#This Row],[PPTO]]/(1+'Lista Datos'!$B$1)</f>
        <v>0</v>
      </c>
      <c r="V483" s="23"/>
      <c r="W483" s="18" t="s">
        <v>10</v>
      </c>
      <c r="X483" s="102"/>
      <c r="Y483" s="18" t="s">
        <v>146</v>
      </c>
      <c r="Z483" s="18" t="s">
        <v>10</v>
      </c>
      <c r="AA483" s="23"/>
      <c r="AB483" s="23"/>
      <c r="AC483" s="23"/>
      <c r="AD483" s="23"/>
      <c r="AE483" s="29">
        <f>Tabla1[[#This Row],[Cierre]]+Tabla1[[#This Row],[Vigencia Oferta (días)]]</f>
        <v>44932.625</v>
      </c>
      <c r="AF483" s="87"/>
      <c r="AG483" s="28"/>
      <c r="AH483" s="164">
        <f>Tabla1[[#This Row],[Unidades2]]*Tabla1[[#This Row],[Precio Unitario]]</f>
        <v>0</v>
      </c>
      <c r="AI483" s="23" t="s">
        <v>44</v>
      </c>
      <c r="AJ483" s="26">
        <v>44984.528796296298</v>
      </c>
      <c r="AK483" s="172">
        <f>Tabla1[[#This Row],[Fecha Vigencia]]-AJ483</f>
        <v>-51.903796296297514</v>
      </c>
      <c r="AL483" s="23" t="s">
        <v>46</v>
      </c>
      <c r="AM483" s="87">
        <v>7684534</v>
      </c>
      <c r="AN483" s="23"/>
      <c r="AO483" s="29"/>
      <c r="AP483" s="23"/>
      <c r="AQ483" s="34" t="s">
        <v>630</v>
      </c>
      <c r="AR483" s="23" t="s">
        <v>11</v>
      </c>
      <c r="AS483" s="33">
        <v>0.05</v>
      </c>
      <c r="AT483" s="29">
        <v>45761</v>
      </c>
      <c r="AU483" s="23"/>
      <c r="AV483" s="23"/>
      <c r="AW483" s="23" t="s">
        <v>2609</v>
      </c>
      <c r="AX483" t="s">
        <v>2610</v>
      </c>
      <c r="AY483" s="23"/>
      <c r="AZ483" s="23"/>
      <c r="BA483" s="23"/>
      <c r="BB483" s="32"/>
      <c r="BC483" s="73"/>
    </row>
    <row r="484" spans="1:55" ht="11.25" x14ac:dyDescent="0.2">
      <c r="A484" s="22" t="s">
        <v>2611</v>
      </c>
      <c r="B484" s="23" t="s">
        <v>2612</v>
      </c>
      <c r="C484" s="23" t="s">
        <v>2613</v>
      </c>
      <c r="D484" s="34" t="s">
        <v>153</v>
      </c>
      <c r="E484" s="24"/>
      <c r="F484" s="25"/>
      <c r="G484" s="23" t="s">
        <v>21</v>
      </c>
      <c r="H484" s="23" t="s">
        <v>106</v>
      </c>
      <c r="I484" s="2">
        <v>44904.683113425926</v>
      </c>
      <c r="J484" s="24">
        <f>MONTH(Tabla1[[#This Row],[Publicación]])</f>
        <v>12</v>
      </c>
      <c r="K484" s="24">
        <f>YEAR(Tabla1[[#This Row],[Publicación]])</f>
        <v>2022</v>
      </c>
      <c r="L484" s="2">
        <v>44910.375</v>
      </c>
      <c r="M484" s="26">
        <v>44908</v>
      </c>
      <c r="N484" s="25" t="s">
        <v>10</v>
      </c>
      <c r="O484" s="24" t="s">
        <v>27</v>
      </c>
      <c r="P484" s="24" t="s">
        <v>10</v>
      </c>
      <c r="Q484" s="2">
        <v>44907.5</v>
      </c>
      <c r="R484" s="2">
        <v>44908.791666666664</v>
      </c>
      <c r="S484" s="26">
        <v>44916.537129629629</v>
      </c>
      <c r="T484" s="28">
        <v>0</v>
      </c>
      <c r="U484" s="28">
        <f>Tabla1[[#This Row],[PPTO]]/(1+'Lista Datos'!$B$1)</f>
        <v>0</v>
      </c>
      <c r="V484" s="23"/>
      <c r="W484" s="18" t="s">
        <v>10</v>
      </c>
      <c r="X484" s="102"/>
      <c r="Y484" s="18" t="s">
        <v>146</v>
      </c>
      <c r="Z484" s="18" t="s">
        <v>10</v>
      </c>
      <c r="AA484" s="23"/>
      <c r="AB484" s="23"/>
      <c r="AC484" s="23"/>
      <c r="AD484" s="23"/>
      <c r="AE484" s="29">
        <f>Tabla1[[#This Row],[Cierre]]+Tabla1[[#This Row],[Vigencia Oferta (días)]]</f>
        <v>44910.375</v>
      </c>
      <c r="AF484" s="87"/>
      <c r="AG484" s="28"/>
      <c r="AH484" s="164">
        <f>Tabla1[[#This Row],[Unidades2]]*Tabla1[[#This Row],[Precio Unitario]]</f>
        <v>0</v>
      </c>
      <c r="AI484" s="23" t="s">
        <v>44</v>
      </c>
      <c r="AJ484" s="26">
        <v>44916</v>
      </c>
      <c r="AK484" s="172">
        <f>Tabla1[[#This Row],[Fecha Vigencia]]-AJ484</f>
        <v>-5.625</v>
      </c>
      <c r="AL484" s="23" t="s">
        <v>46</v>
      </c>
      <c r="AM484" s="87">
        <v>2300000</v>
      </c>
      <c r="AN484" s="23"/>
      <c r="AO484" s="29"/>
      <c r="AP484" s="23" t="s">
        <v>177</v>
      </c>
      <c r="AQ484" s="34" t="s">
        <v>154</v>
      </c>
      <c r="AR484" s="23"/>
      <c r="AS484" s="23"/>
      <c r="AT484" s="23"/>
      <c r="AU484" s="23"/>
      <c r="AV484" s="23"/>
      <c r="AW484" s="23"/>
      <c r="AX484" s="23"/>
      <c r="AY484" s="23"/>
      <c r="AZ484" s="23"/>
      <c r="BA484" s="23"/>
      <c r="BB484" s="32"/>
      <c r="BC484" s="73"/>
    </row>
    <row r="485" spans="1:55" ht="14.25" customHeight="1" x14ac:dyDescent="0.2">
      <c r="A485" s="22" t="s">
        <v>2614</v>
      </c>
      <c r="B485" s="30" t="s">
        <v>2615</v>
      </c>
      <c r="C485" s="23" t="s">
        <v>2616</v>
      </c>
      <c r="D485" s="34" t="s">
        <v>2617</v>
      </c>
      <c r="E485" s="24"/>
      <c r="F485" s="25"/>
      <c r="G485" s="30" t="s">
        <v>20</v>
      </c>
      <c r="H485" s="30" t="s">
        <v>176</v>
      </c>
      <c r="I485" s="2">
        <v>44906.609699074077</v>
      </c>
      <c r="J485" s="24">
        <f>MONTH(Tabla1[[#This Row],[Publicación]])</f>
        <v>12</v>
      </c>
      <c r="K485" s="24">
        <f>YEAR(Tabla1[[#This Row],[Publicación]])</f>
        <v>2022</v>
      </c>
      <c r="L485" s="2">
        <v>44917.5</v>
      </c>
      <c r="M485" s="26">
        <v>44908</v>
      </c>
      <c r="N485" s="85" t="s">
        <v>11</v>
      </c>
      <c r="O485" s="2"/>
      <c r="P485" s="24" t="s">
        <v>11</v>
      </c>
      <c r="Q485" s="62">
        <v>44914.708333333336</v>
      </c>
      <c r="R485" s="62">
        <v>44915.75</v>
      </c>
      <c r="S485" s="26">
        <v>45002.611064814817</v>
      </c>
      <c r="T485" s="27">
        <v>20000000</v>
      </c>
      <c r="U485" s="67">
        <f>Tabla1[[#This Row],[PPTO]]/(1+'Lista Datos'!$B$1)</f>
        <v>16806722.68907563</v>
      </c>
      <c r="V485" s="68"/>
      <c r="W485" s="127" t="s">
        <v>10</v>
      </c>
      <c r="X485" s="154"/>
      <c r="Y485" s="127"/>
      <c r="Z485" s="127" t="s">
        <v>10</v>
      </c>
      <c r="AA485" s="30" t="s">
        <v>177</v>
      </c>
      <c r="AB485" s="30">
        <v>24</v>
      </c>
      <c r="AC485" s="30" t="s">
        <v>10</v>
      </c>
      <c r="AD485" s="30"/>
      <c r="AE485" s="155">
        <f>Tabla1[[#This Row],[Cierre]]+Tabla1[[#This Row],[Vigencia Oferta (días)]]</f>
        <v>44917.5</v>
      </c>
      <c r="AF485" s="91"/>
      <c r="AG485" s="67"/>
      <c r="AH485" s="166">
        <f>Tabla1[[#This Row],[Unidades2]]*Tabla1[[#This Row],[Precio Unitario]]</f>
        <v>0</v>
      </c>
      <c r="AI485" s="30" t="s">
        <v>44</v>
      </c>
      <c r="AJ485" s="104">
        <v>45002</v>
      </c>
      <c r="AK485" s="159">
        <f>Tabla1[[#This Row],[Fecha Vigencia]]-AJ485</f>
        <v>-84.5</v>
      </c>
      <c r="AL485" s="68" t="s">
        <v>115</v>
      </c>
      <c r="AM485" s="91">
        <v>10000000</v>
      </c>
      <c r="AN485" s="157">
        <v>45002</v>
      </c>
      <c r="AO485" s="157">
        <v>45733</v>
      </c>
      <c r="AP485" s="68" t="s">
        <v>177</v>
      </c>
      <c r="AQ485" s="69" t="s">
        <v>2618</v>
      </c>
      <c r="AR485" s="68" t="s">
        <v>11</v>
      </c>
      <c r="AS485" s="156">
        <v>0.05</v>
      </c>
      <c r="AT485" s="157">
        <v>45762</v>
      </c>
      <c r="AU485" s="23" t="s">
        <v>2619</v>
      </c>
      <c r="AV485" s="23" t="s">
        <v>2620</v>
      </c>
      <c r="AW485" s="23" t="s">
        <v>2621</v>
      </c>
      <c r="AX485" s="23" t="s">
        <v>2622</v>
      </c>
      <c r="AY485" s="30"/>
      <c r="AZ485" s="30"/>
      <c r="BA485" s="30"/>
      <c r="BB485" s="75"/>
      <c r="BC485" s="73"/>
    </row>
    <row r="486" spans="1:55" x14ac:dyDescent="0.25">
      <c r="A486" s="22" t="s">
        <v>2623</v>
      </c>
      <c r="B486" s="23" t="s">
        <v>2624</v>
      </c>
      <c r="C486" s="23" t="s">
        <v>2625</v>
      </c>
      <c r="D486" s="34" t="s">
        <v>1802</v>
      </c>
      <c r="E486" s="24"/>
      <c r="F486" s="25"/>
      <c r="G486" s="23" t="s">
        <v>20</v>
      </c>
      <c r="H486" s="23" t="s">
        <v>176</v>
      </c>
      <c r="I486" s="2">
        <v>44910.443148148152</v>
      </c>
      <c r="J486" s="24">
        <f>MONTH(Tabla1[[#This Row],[Publicación]])</f>
        <v>12</v>
      </c>
      <c r="K486" s="24">
        <f>YEAR(Tabla1[[#This Row],[Publicación]])</f>
        <v>2022</v>
      </c>
      <c r="L486" s="2">
        <v>44921.666666666664</v>
      </c>
      <c r="M486" s="26">
        <v>44911</v>
      </c>
      <c r="N486" s="25" t="s">
        <v>11</v>
      </c>
      <c r="O486" s="24"/>
      <c r="P486" s="24" t="s">
        <v>11</v>
      </c>
      <c r="Q486" s="2">
        <v>44913.999305555553</v>
      </c>
      <c r="R486" s="2">
        <v>44915.708333333336</v>
      </c>
      <c r="S486" s="26">
        <v>44965.708333333336</v>
      </c>
      <c r="T486" s="28">
        <v>39278836</v>
      </c>
      <c r="U486" s="28">
        <f>Tabla1[[#This Row],[PPTO]]/(1+'Lista Datos'!$B$1)</f>
        <v>33007425.210084036</v>
      </c>
      <c r="V486" s="23"/>
      <c r="W486" s="18" t="s">
        <v>10</v>
      </c>
      <c r="X486" s="102"/>
      <c r="Y486" s="18" t="s">
        <v>146</v>
      </c>
      <c r="Z486" s="18" t="s">
        <v>10</v>
      </c>
      <c r="AA486" s="23" t="s">
        <v>177</v>
      </c>
      <c r="AB486" s="23">
        <v>12</v>
      </c>
      <c r="AC486" s="23" t="s">
        <v>10</v>
      </c>
      <c r="AD486" s="23"/>
      <c r="AE486" s="29">
        <f>Tabla1[[#This Row],[Cierre]]+Tabla1[[#This Row],[Vigencia Oferta (días)]]</f>
        <v>44921.666666666664</v>
      </c>
      <c r="AF486" s="87"/>
      <c r="AG486" s="28"/>
      <c r="AH486" s="164">
        <f>Tabla1[[#This Row],[Unidades2]]*Tabla1[[#This Row],[Precio Unitario]]</f>
        <v>0</v>
      </c>
      <c r="AI486" s="23" t="s">
        <v>44</v>
      </c>
      <c r="AJ486" s="26">
        <v>45140</v>
      </c>
      <c r="AK486" s="172">
        <f>Tabla1[[#This Row],[Fecha Vigencia]]-AJ486</f>
        <v>-218.33333333333576</v>
      </c>
      <c r="AL486" s="23" t="s">
        <v>45</v>
      </c>
      <c r="AM486" s="102" t="s">
        <v>2626</v>
      </c>
      <c r="AN486" s="23"/>
      <c r="AO486" s="29"/>
      <c r="AP486" s="23" t="s">
        <v>177</v>
      </c>
      <c r="AQ486" s="34" t="s">
        <v>1803</v>
      </c>
      <c r="AR486" s="23" t="s">
        <v>11</v>
      </c>
      <c r="AS486" s="33">
        <v>0.05</v>
      </c>
      <c r="AT486" s="29">
        <v>45450</v>
      </c>
      <c r="AU486" s="23"/>
      <c r="AV486" s="23"/>
      <c r="AW486" s="23" t="s">
        <v>1804</v>
      </c>
      <c r="AX486" t="s">
        <v>1805</v>
      </c>
      <c r="AY486" s="23"/>
      <c r="AZ486" s="23"/>
      <c r="BA486" s="23"/>
      <c r="BB486" s="32"/>
      <c r="BC486" s="73"/>
    </row>
    <row r="487" spans="1:55" x14ac:dyDescent="0.25">
      <c r="A487" s="22" t="s">
        <v>2627</v>
      </c>
      <c r="B487" s="23" t="s">
        <v>2628</v>
      </c>
      <c r="C487" s="23" t="s">
        <v>2629</v>
      </c>
      <c r="D487" s="34" t="s">
        <v>1434</v>
      </c>
      <c r="E487" s="24"/>
      <c r="F487" s="25"/>
      <c r="G487" s="23" t="s">
        <v>16</v>
      </c>
      <c r="H487" s="23" t="s">
        <v>1596</v>
      </c>
      <c r="I487" s="2">
        <v>44911.396874999999</v>
      </c>
      <c r="J487" s="24">
        <f>MONTH(Tabla1[[#This Row],[Publicación]])</f>
        <v>12</v>
      </c>
      <c r="K487" s="24">
        <f>YEAR(Tabla1[[#This Row],[Publicación]])</f>
        <v>2022</v>
      </c>
      <c r="L487" s="2">
        <v>44917.833333333336</v>
      </c>
      <c r="M487" s="26">
        <v>44914</v>
      </c>
      <c r="N487" s="25" t="s">
        <v>11</v>
      </c>
      <c r="O487" s="24"/>
      <c r="P487" s="24" t="s">
        <v>11</v>
      </c>
      <c r="Q487" s="2">
        <v>44914.833333333336</v>
      </c>
      <c r="R487" s="2">
        <v>44915.708333333336</v>
      </c>
      <c r="S487" s="26">
        <v>44924.625</v>
      </c>
      <c r="T487" s="28">
        <v>0</v>
      </c>
      <c r="U487" s="28">
        <f>Tabla1[[#This Row],[PPTO]]/(1+'Lista Datos'!$B$1)</f>
        <v>0</v>
      </c>
      <c r="V487" s="23"/>
      <c r="W487" s="18" t="s">
        <v>10</v>
      </c>
      <c r="X487" s="102"/>
      <c r="Y487" s="18" t="s">
        <v>146</v>
      </c>
      <c r="Z487" s="18" t="s">
        <v>10</v>
      </c>
      <c r="AA487" s="23" t="s">
        <v>177</v>
      </c>
      <c r="AB487" s="23">
        <v>12</v>
      </c>
      <c r="AC487" s="23" t="s">
        <v>10</v>
      </c>
      <c r="AD487" s="23"/>
      <c r="AE487" s="29">
        <f>Tabla1[[#This Row],[Cierre]]+Tabla1[[#This Row],[Vigencia Oferta (días)]]</f>
        <v>44917.833333333336</v>
      </c>
      <c r="AF487" s="87"/>
      <c r="AG487" s="28"/>
      <c r="AH487" s="164">
        <f>Tabla1[[#This Row],[Unidades2]]*Tabla1[[#This Row],[Precio Unitario]]</f>
        <v>0</v>
      </c>
      <c r="AI487" s="23" t="s">
        <v>44</v>
      </c>
      <c r="AJ487" s="26">
        <v>44937.636712962965</v>
      </c>
      <c r="AK487" s="172">
        <f>Tabla1[[#This Row],[Fecha Vigencia]]-AJ487</f>
        <v>-19.80337962962949</v>
      </c>
      <c r="AL487" s="23" t="s">
        <v>115</v>
      </c>
      <c r="AM487" s="87">
        <v>24877180</v>
      </c>
      <c r="AN487" s="29">
        <v>44937</v>
      </c>
      <c r="AO487" s="29">
        <v>45302</v>
      </c>
      <c r="AP487" s="23" t="s">
        <v>292</v>
      </c>
      <c r="AQ487" s="34" t="s">
        <v>1435</v>
      </c>
      <c r="AR487" s="23" t="s">
        <v>10</v>
      </c>
      <c r="AS487" s="23"/>
      <c r="AT487" s="23"/>
      <c r="AU487" s="23" t="s">
        <v>2630</v>
      </c>
      <c r="AV487" t="s">
        <v>2631</v>
      </c>
      <c r="AW487" s="23" t="s">
        <v>2632</v>
      </c>
      <c r="AX487" t="s">
        <v>2633</v>
      </c>
      <c r="AY487" s="23"/>
      <c r="AZ487" s="23"/>
      <c r="BA487" s="23"/>
      <c r="BB487" s="32"/>
      <c r="BC487" s="73"/>
    </row>
    <row r="488" spans="1:55" x14ac:dyDescent="0.25">
      <c r="A488" s="22" t="s">
        <v>2634</v>
      </c>
      <c r="B488" s="23" t="s">
        <v>2635</v>
      </c>
      <c r="C488" s="23" t="s">
        <v>2636</v>
      </c>
      <c r="D488" s="34" t="s">
        <v>2084</v>
      </c>
      <c r="E488" s="24"/>
      <c r="F488" s="25"/>
      <c r="G488" s="23" t="s">
        <v>16</v>
      </c>
      <c r="H488" s="23" t="s">
        <v>123</v>
      </c>
      <c r="I488" s="2">
        <v>44914.543298611112</v>
      </c>
      <c r="J488" s="24">
        <f>MONTH(Tabla1[[#This Row],[Publicación]])</f>
        <v>12</v>
      </c>
      <c r="K488" s="24">
        <f>YEAR(Tabla1[[#This Row],[Publicación]])</f>
        <v>2022</v>
      </c>
      <c r="L488" s="2">
        <v>44929.75</v>
      </c>
      <c r="M488" s="26">
        <v>44916</v>
      </c>
      <c r="N488" s="25" t="s">
        <v>10</v>
      </c>
      <c r="O488" s="24" t="s">
        <v>25</v>
      </c>
      <c r="P488" s="24" t="s">
        <v>10</v>
      </c>
      <c r="Q488" s="2">
        <v>44921.75</v>
      </c>
      <c r="R488" s="2">
        <v>44922.75</v>
      </c>
      <c r="S488" s="26">
        <v>44958.75</v>
      </c>
      <c r="T488" s="27">
        <v>0</v>
      </c>
      <c r="U488" s="28">
        <f>Tabla1[[#This Row],[PPTO]]/(1+'Lista Datos'!$B$1)</f>
        <v>0</v>
      </c>
      <c r="V488" s="23"/>
      <c r="W488" s="18" t="s">
        <v>10</v>
      </c>
      <c r="X488" s="102"/>
      <c r="Y488" s="18"/>
      <c r="Z488" s="18" t="s">
        <v>10</v>
      </c>
      <c r="AA488" s="23"/>
      <c r="AB488" s="23"/>
      <c r="AC488" s="23"/>
      <c r="AD488" s="23"/>
      <c r="AE488" s="29">
        <f>Tabla1[[#This Row],[Cierre]]+Tabla1[[#This Row],[Vigencia Oferta (días)]]</f>
        <v>44929.75</v>
      </c>
      <c r="AF488" s="87"/>
      <c r="AG488" s="28"/>
      <c r="AH488" s="164">
        <f>Tabla1[[#This Row],[Unidades2]]*Tabla1[[#This Row],[Precio Unitario]]</f>
        <v>0</v>
      </c>
      <c r="AI488" s="23" t="s">
        <v>44</v>
      </c>
      <c r="AJ488" s="26">
        <v>44985.668749999997</v>
      </c>
      <c r="AK488" s="172">
        <f>Tabla1[[#This Row],[Fecha Vigencia]]-AJ488</f>
        <v>-55.91874999999709</v>
      </c>
      <c r="AL488" s="23" t="s">
        <v>46</v>
      </c>
      <c r="AM488" s="87"/>
      <c r="AN488" s="23"/>
      <c r="AO488" s="29"/>
      <c r="AP488" s="23" t="s">
        <v>177</v>
      </c>
      <c r="AQ488" s="34" t="s">
        <v>513</v>
      </c>
      <c r="AR488" s="23" t="s">
        <v>11</v>
      </c>
      <c r="AS488" s="33">
        <v>0.05</v>
      </c>
      <c r="AT488" s="29">
        <v>46142</v>
      </c>
      <c r="AU488" s="23"/>
      <c r="AV488" s="23"/>
      <c r="AW488" s="23" t="s">
        <v>2637</v>
      </c>
      <c r="AX488" t="s">
        <v>2638</v>
      </c>
      <c r="AY488" s="23"/>
      <c r="AZ488" s="23"/>
      <c r="BA488" s="23"/>
      <c r="BB488" s="32"/>
      <c r="BC488" s="73"/>
    </row>
    <row r="489" spans="1:55" ht="11.25" x14ac:dyDescent="0.2">
      <c r="A489" s="153" t="s">
        <v>2639</v>
      </c>
      <c r="B489" s="30" t="s">
        <v>2640</v>
      </c>
      <c r="C489" s="30" t="s">
        <v>2641</v>
      </c>
      <c r="D489" s="84" t="s">
        <v>264</v>
      </c>
      <c r="E489" s="24" t="s">
        <v>2642</v>
      </c>
      <c r="F489" s="25"/>
      <c r="G489" s="30" t="s">
        <v>16</v>
      </c>
      <c r="H489" s="30" t="s">
        <v>1596</v>
      </c>
      <c r="I489" s="2">
        <v>44902.475347222222</v>
      </c>
      <c r="J489" s="24">
        <f>MONTH(Tabla1[[#This Row],[Publicación]])</f>
        <v>12</v>
      </c>
      <c r="K489" s="24">
        <f>YEAR(Tabla1[[#This Row],[Publicación]])</f>
        <v>2022</v>
      </c>
      <c r="L489" s="2">
        <v>44935.625</v>
      </c>
      <c r="M489" s="26">
        <v>44918</v>
      </c>
      <c r="N489" s="85" t="s">
        <v>10</v>
      </c>
      <c r="O489" s="2" t="s">
        <v>34</v>
      </c>
      <c r="P489" s="24" t="s">
        <v>10</v>
      </c>
      <c r="Q489" s="62">
        <v>44916.375</v>
      </c>
      <c r="R489" s="62">
        <v>44922.666666666664</v>
      </c>
      <c r="S489" s="26">
        <v>44960.626250000001</v>
      </c>
      <c r="T489" s="27">
        <v>330000000</v>
      </c>
      <c r="U489" s="28">
        <f>Tabla1[[#This Row],[PPTO]]/(1+'Lista Datos'!$B$1)</f>
        <v>277310924.36974794</v>
      </c>
      <c r="V489" s="68"/>
      <c r="W489" s="127" t="s">
        <v>11</v>
      </c>
      <c r="X489" s="154">
        <v>1000000</v>
      </c>
      <c r="Y489" s="104">
        <v>45112</v>
      </c>
      <c r="Z489" s="127" t="s">
        <v>11</v>
      </c>
      <c r="AA489" s="30" t="s">
        <v>177</v>
      </c>
      <c r="AB489" s="30">
        <v>36</v>
      </c>
      <c r="AC489" s="30" t="s">
        <v>10</v>
      </c>
      <c r="AD489" s="30"/>
      <c r="AE489" s="155">
        <f>Tabla1[[#This Row],[Cierre]]+Tabla1[[#This Row],[Vigencia Oferta (días)]]</f>
        <v>44935.625</v>
      </c>
      <c r="AF489" s="91"/>
      <c r="AG489" s="67"/>
      <c r="AH489" s="166">
        <f>Tabla1[[#This Row],[Unidades2]]*Tabla1[[#This Row],[Precio Unitario]]</f>
        <v>0</v>
      </c>
      <c r="AI489" s="30" t="s">
        <v>137</v>
      </c>
      <c r="AJ489" s="104"/>
      <c r="AK489" s="159">
        <f>Tabla1[[#This Row],[Fecha Vigencia]]-AJ489</f>
        <v>44935.625</v>
      </c>
      <c r="AL489" s="68"/>
      <c r="AM489" s="91"/>
      <c r="AN489" s="68"/>
      <c r="AO489" s="157"/>
      <c r="AP489" s="68"/>
      <c r="AQ489" s="69"/>
      <c r="AR489" s="68"/>
      <c r="AS489" s="156"/>
      <c r="AT489" s="157"/>
      <c r="AU489" s="68"/>
      <c r="AV489" s="68"/>
      <c r="AW489" s="68"/>
      <c r="AX489" s="158"/>
      <c r="AY489" s="30"/>
      <c r="AZ489" s="30"/>
      <c r="BA489" s="30"/>
      <c r="BB489" s="75"/>
      <c r="BC489" s="73"/>
    </row>
    <row r="490" spans="1:55" x14ac:dyDescent="0.25">
      <c r="A490" s="22" t="s">
        <v>2643</v>
      </c>
      <c r="B490" s="23" t="s">
        <v>2644</v>
      </c>
      <c r="C490" s="23" t="s">
        <v>2644</v>
      </c>
      <c r="D490" s="34" t="s">
        <v>2645</v>
      </c>
      <c r="E490" s="24" t="s">
        <v>2644</v>
      </c>
      <c r="F490" s="25">
        <v>1</v>
      </c>
      <c r="G490" s="23" t="s">
        <v>20</v>
      </c>
      <c r="H490" s="23" t="s">
        <v>176</v>
      </c>
      <c r="I490" s="2">
        <v>44921.445509259262</v>
      </c>
      <c r="J490" s="24">
        <f>MONTH(Tabla1[[#This Row],[Publicación]])</f>
        <v>12</v>
      </c>
      <c r="K490" s="24">
        <f>YEAR(Tabla1[[#This Row],[Publicación]])</f>
        <v>2022</v>
      </c>
      <c r="L490" s="2">
        <v>44942.708333333336</v>
      </c>
      <c r="M490" s="26">
        <v>44921</v>
      </c>
      <c r="N490" s="25" t="s">
        <v>10</v>
      </c>
      <c r="O490" s="24" t="s">
        <v>33</v>
      </c>
      <c r="P490" s="24" t="s">
        <v>11</v>
      </c>
      <c r="Q490" s="2">
        <v>44924.708333333336</v>
      </c>
      <c r="R490" s="2">
        <v>44925.708333333336</v>
      </c>
      <c r="S490" s="26">
        <v>44950</v>
      </c>
      <c r="T490" s="28">
        <v>0</v>
      </c>
      <c r="U490" s="28">
        <f>Tabla1[[#This Row],[PPTO]]/(1+'Lista Datos'!$B$1)</f>
        <v>0</v>
      </c>
      <c r="V490" s="23"/>
      <c r="W490" s="18" t="s">
        <v>11</v>
      </c>
      <c r="X490" s="102">
        <v>500000</v>
      </c>
      <c r="Y490" s="26">
        <v>44985</v>
      </c>
      <c r="Z490" s="18" t="s">
        <v>10</v>
      </c>
      <c r="AA490" s="23" t="s">
        <v>177</v>
      </c>
      <c r="AB490" s="23">
        <v>12</v>
      </c>
      <c r="AC490" s="23" t="s">
        <v>10</v>
      </c>
      <c r="AD490" s="23"/>
      <c r="AE490" s="29">
        <f>Tabla1[[#This Row],[Cierre]]+Tabla1[[#This Row],[Vigencia Oferta (días)]]</f>
        <v>44942.708333333336</v>
      </c>
      <c r="AF490" s="87"/>
      <c r="AG490" s="28"/>
      <c r="AH490" s="164">
        <f>Tabla1[[#This Row],[Unidades2]]*Tabla1[[#This Row],[Precio Unitario]]</f>
        <v>0</v>
      </c>
      <c r="AI490" s="23" t="s">
        <v>44</v>
      </c>
      <c r="AJ490" s="26">
        <v>44944</v>
      </c>
      <c r="AK490" s="172">
        <f>Tabla1[[#This Row],[Fecha Vigencia]]-AJ490</f>
        <v>-1.2916666666642413</v>
      </c>
      <c r="AL490" s="23" t="s">
        <v>45</v>
      </c>
      <c r="AM490" s="87">
        <v>414834000</v>
      </c>
      <c r="AN490" s="29">
        <v>44944</v>
      </c>
      <c r="AO490" s="29">
        <v>45309</v>
      </c>
      <c r="AP490" s="23" t="s">
        <v>177</v>
      </c>
      <c r="AQ490" s="34" t="s">
        <v>1347</v>
      </c>
      <c r="AR490" s="23" t="s">
        <v>11</v>
      </c>
      <c r="AS490" s="33">
        <v>0.05</v>
      </c>
      <c r="AT490" s="29">
        <v>45234</v>
      </c>
      <c r="AU490" s="23"/>
      <c r="AV490" s="23"/>
      <c r="AW490" s="23"/>
      <c r="AX490" t="s">
        <v>2646</v>
      </c>
      <c r="AY490" s="23"/>
      <c r="AZ490" s="23"/>
      <c r="BA490" s="23"/>
      <c r="BB490" s="32"/>
      <c r="BC490" s="73"/>
    </row>
    <row r="491" spans="1:55" x14ac:dyDescent="0.25">
      <c r="A491" s="22" t="s">
        <v>2647</v>
      </c>
      <c r="B491" s="23" t="s">
        <v>2648</v>
      </c>
      <c r="C491" s="23" t="s">
        <v>2649</v>
      </c>
      <c r="D491" s="34" t="s">
        <v>2010</v>
      </c>
      <c r="E491" s="24"/>
      <c r="F491" s="25"/>
      <c r="G491" s="23" t="s">
        <v>21</v>
      </c>
      <c r="H491" s="23" t="s">
        <v>106</v>
      </c>
      <c r="I491" s="2">
        <v>44921.478159722225</v>
      </c>
      <c r="J491" s="24">
        <f>MONTH(Tabla1[[#This Row],[Publicación]])</f>
        <v>12</v>
      </c>
      <c r="K491" s="24">
        <f>YEAR(Tabla1[[#This Row],[Publicación]])</f>
        <v>2022</v>
      </c>
      <c r="L491" s="2">
        <v>44942.625</v>
      </c>
      <c r="M491" s="26">
        <v>44922</v>
      </c>
      <c r="N491" s="25" t="s">
        <v>10</v>
      </c>
      <c r="O491" s="24" t="s">
        <v>29</v>
      </c>
      <c r="P491" s="24" t="s">
        <v>10</v>
      </c>
      <c r="Q491" s="2">
        <v>44929.625</v>
      </c>
      <c r="R491" s="2">
        <v>44935.708333333336</v>
      </c>
      <c r="S491" s="26">
        <v>45001.708333333336</v>
      </c>
      <c r="T491" s="28">
        <v>0</v>
      </c>
      <c r="U491" s="28">
        <f>Tabla1[[#This Row],[PPTO]]/(1+'Lista Datos'!$B$1)</f>
        <v>0</v>
      </c>
      <c r="V491" s="23"/>
      <c r="W491" s="18" t="s">
        <v>10</v>
      </c>
      <c r="X491" s="102"/>
      <c r="Y491" s="18" t="s">
        <v>146</v>
      </c>
      <c r="Z491" s="18" t="s">
        <v>10</v>
      </c>
      <c r="AA491" s="23"/>
      <c r="AB491" s="23"/>
      <c r="AC491" s="23"/>
      <c r="AD491" s="23"/>
      <c r="AE491" s="29">
        <f>Tabla1[[#This Row],[Cierre]]+Tabla1[[#This Row],[Vigencia Oferta (días)]]</f>
        <v>44942.625</v>
      </c>
      <c r="AF491" s="87"/>
      <c r="AG491" s="28"/>
      <c r="AH491" s="164">
        <f>Tabla1[[#This Row],[Unidades2]]*Tabla1[[#This Row],[Precio Unitario]]</f>
        <v>0</v>
      </c>
      <c r="AI491" s="23" t="s">
        <v>44</v>
      </c>
      <c r="AJ491" s="26">
        <v>45002.493344907409</v>
      </c>
      <c r="AK491" s="172">
        <f>Tabla1[[#This Row],[Fecha Vigencia]]-AJ491</f>
        <v>-59.868344907408755</v>
      </c>
      <c r="AL491" s="23" t="s">
        <v>46</v>
      </c>
      <c r="AM491" s="87">
        <v>74000000</v>
      </c>
      <c r="AN491" s="23"/>
      <c r="AO491" s="29"/>
      <c r="AP491" s="23" t="s">
        <v>177</v>
      </c>
      <c r="AQ491" s="34" t="s">
        <v>2011</v>
      </c>
      <c r="AR491" s="23" t="s">
        <v>11</v>
      </c>
      <c r="AS491" s="33">
        <v>0.05</v>
      </c>
      <c r="AT491" s="29">
        <v>45234</v>
      </c>
      <c r="AU491" s="23"/>
      <c r="AV491" s="23"/>
      <c r="AW491" s="23" t="s">
        <v>2010</v>
      </c>
      <c r="AX491" t="s">
        <v>2646</v>
      </c>
      <c r="AY491" s="23"/>
      <c r="AZ491" s="23"/>
      <c r="BA491" s="23"/>
      <c r="BB491" s="32"/>
      <c r="BC491" s="73"/>
    </row>
    <row r="492" spans="1:55" ht="11.25" x14ac:dyDescent="0.2">
      <c r="A492" s="22" t="s">
        <v>2650</v>
      </c>
      <c r="B492" s="23" t="s">
        <v>2651</v>
      </c>
      <c r="C492" s="23" t="s">
        <v>2652</v>
      </c>
      <c r="D492" s="34" t="s">
        <v>144</v>
      </c>
      <c r="E492" s="24"/>
      <c r="F492" s="25"/>
      <c r="G492" s="23" t="s">
        <v>19</v>
      </c>
      <c r="H492" s="23" t="s">
        <v>114</v>
      </c>
      <c r="I492" s="2">
        <v>44921.498692129629</v>
      </c>
      <c r="J492" s="24">
        <f>MONTH(Tabla1[[#This Row],[Publicación]])</f>
        <v>12</v>
      </c>
      <c r="K492" s="24">
        <f>YEAR(Tabla1[[#This Row],[Publicación]])</f>
        <v>2022</v>
      </c>
      <c r="L492" s="2">
        <v>44932.625694444447</v>
      </c>
      <c r="M492" s="26"/>
      <c r="N492" s="25" t="s">
        <v>10</v>
      </c>
      <c r="O492" s="24" t="s">
        <v>29</v>
      </c>
      <c r="P492" s="24" t="s">
        <v>10</v>
      </c>
      <c r="Q492" s="2">
        <v>44929.416666666664</v>
      </c>
      <c r="R492" s="2">
        <v>44931.625</v>
      </c>
      <c r="S492" s="26"/>
      <c r="T492" s="28">
        <v>271320000</v>
      </c>
      <c r="U492" s="28">
        <f>Tabla1[[#This Row],[PPTO]]/(1+'Lista Datos'!$B$1)</f>
        <v>228000000</v>
      </c>
      <c r="V492" s="23"/>
      <c r="W492" s="18"/>
      <c r="X492" s="102"/>
      <c r="Y492" s="18" t="s">
        <v>146</v>
      </c>
      <c r="Z492" s="18" t="s">
        <v>10</v>
      </c>
      <c r="AA492" s="23" t="s">
        <v>177</v>
      </c>
      <c r="AB492" s="23">
        <v>24</v>
      </c>
      <c r="AC492" s="23"/>
      <c r="AD492" s="23"/>
      <c r="AE492" s="29">
        <f>Tabla1[[#This Row],[Cierre]]+Tabla1[[#This Row],[Vigencia Oferta (días)]]</f>
        <v>44932.625694444447</v>
      </c>
      <c r="AF492" s="87"/>
      <c r="AG492" s="28"/>
      <c r="AH492" s="164">
        <f>Tabla1[[#This Row],[Unidades2]]*Tabla1[[#This Row],[Precio Unitario]]</f>
        <v>0</v>
      </c>
      <c r="AI492" s="23" t="s">
        <v>320</v>
      </c>
      <c r="AJ492" s="26"/>
      <c r="AK492" s="172">
        <f>Tabla1[[#This Row],[Fecha Vigencia]]-AJ492</f>
        <v>44932.625694444447</v>
      </c>
      <c r="AL492" s="23"/>
      <c r="AM492" s="87"/>
      <c r="AN492" s="23"/>
      <c r="AO492" s="29"/>
      <c r="AP492" s="23"/>
      <c r="AQ492" s="34" t="s">
        <v>147</v>
      </c>
      <c r="AR492" s="23"/>
      <c r="AS492" s="23"/>
      <c r="AT492" s="23"/>
      <c r="AU492" s="23"/>
      <c r="AV492" s="23"/>
      <c r="AW492" s="23"/>
      <c r="AX492" s="23"/>
      <c r="AY492" s="23"/>
      <c r="AZ492" s="23"/>
      <c r="BA492" s="23"/>
      <c r="BB492" s="32"/>
      <c r="BC492" s="73"/>
    </row>
    <row r="493" spans="1:55" x14ac:dyDescent="0.25">
      <c r="A493" s="22" t="s">
        <v>2605</v>
      </c>
      <c r="B493" s="23" t="s">
        <v>2606</v>
      </c>
      <c r="C493" s="23" t="s">
        <v>2607</v>
      </c>
      <c r="D493" s="34" t="s">
        <v>2608</v>
      </c>
      <c r="E493" s="24"/>
      <c r="F493" s="25"/>
      <c r="G493" s="23" t="s">
        <v>18</v>
      </c>
      <c r="H493" s="23" t="s">
        <v>213</v>
      </c>
      <c r="I493" s="2">
        <v>44909.498055555552</v>
      </c>
      <c r="J493" s="24">
        <f>MONTH(Tabla1[[#This Row],[Publicación]])</f>
        <v>12</v>
      </c>
      <c r="K493" s="24">
        <f>YEAR(Tabla1[[#This Row],[Publicación]])</f>
        <v>2022</v>
      </c>
      <c r="L493" s="2">
        <v>44932.625</v>
      </c>
      <c r="M493" s="26"/>
      <c r="N493" s="25" t="s">
        <v>10</v>
      </c>
      <c r="O493" s="24" t="s">
        <v>28</v>
      </c>
      <c r="P493" s="24" t="s">
        <v>10</v>
      </c>
      <c r="Q493" s="2">
        <v>44915.625</v>
      </c>
      <c r="R493" s="2">
        <v>44917.708333333336</v>
      </c>
      <c r="S493" s="26">
        <v>44964.62777777778</v>
      </c>
      <c r="T493" s="28">
        <v>0</v>
      </c>
      <c r="U493" s="28">
        <f>Tabla1[[#This Row],[PPTO]]/(1+'Lista Datos'!$B$1)</f>
        <v>0</v>
      </c>
      <c r="V493" s="23"/>
      <c r="W493" s="18" t="s">
        <v>10</v>
      </c>
      <c r="X493" s="102"/>
      <c r="Y493" s="18" t="s">
        <v>146</v>
      </c>
      <c r="Z493" s="18" t="s">
        <v>10</v>
      </c>
      <c r="AA493" s="23"/>
      <c r="AB493" s="23"/>
      <c r="AC493" s="23"/>
      <c r="AD493" s="23"/>
      <c r="AE493" s="29">
        <f>Tabla1[[#This Row],[Cierre]]+Tabla1[[#This Row],[Vigencia Oferta (días)]]</f>
        <v>44932.625</v>
      </c>
      <c r="AF493" s="87"/>
      <c r="AG493" s="28"/>
      <c r="AH493" s="164">
        <f>Tabla1[[#This Row],[Unidades2]]*Tabla1[[#This Row],[Precio Unitario]]</f>
        <v>0</v>
      </c>
      <c r="AI493" s="23" t="s">
        <v>44</v>
      </c>
      <c r="AJ493" s="26">
        <v>44984.528796296298</v>
      </c>
      <c r="AK493" s="172">
        <f>Tabla1[[#This Row],[Fecha Vigencia]]-AJ493</f>
        <v>-51.903796296297514</v>
      </c>
      <c r="AL493" s="23" t="s">
        <v>46</v>
      </c>
      <c r="AM493" s="87">
        <v>7684534</v>
      </c>
      <c r="AN493" s="23"/>
      <c r="AO493" s="29"/>
      <c r="AP493" s="23" t="s">
        <v>177</v>
      </c>
      <c r="AQ493" s="34" t="s">
        <v>630</v>
      </c>
      <c r="AR493" s="23" t="s">
        <v>11</v>
      </c>
      <c r="AS493" s="33">
        <v>0.05</v>
      </c>
      <c r="AT493" s="29">
        <v>45761</v>
      </c>
      <c r="AU493" s="23"/>
      <c r="AV493" s="23"/>
      <c r="AW493" s="23" t="s">
        <v>2609</v>
      </c>
      <c r="AX493" t="s">
        <v>2610</v>
      </c>
      <c r="AY493" s="23"/>
      <c r="AZ493" s="23"/>
      <c r="BA493" s="23"/>
      <c r="BB493" s="32"/>
      <c r="BC493" s="73"/>
    </row>
    <row r="494" spans="1:55" x14ac:dyDescent="0.25">
      <c r="A494" s="22" t="s">
        <v>2653</v>
      </c>
      <c r="B494" s="23" t="s">
        <v>2654</v>
      </c>
      <c r="C494" s="23" t="s">
        <v>2655</v>
      </c>
      <c r="D494" s="34" t="s">
        <v>1690</v>
      </c>
      <c r="E494" s="24" t="s">
        <v>2656</v>
      </c>
      <c r="F494" s="25">
        <v>8</v>
      </c>
      <c r="G494" s="23" t="s">
        <v>21</v>
      </c>
      <c r="H494" s="23" t="s">
        <v>106</v>
      </c>
      <c r="I494" s="2">
        <v>44922.580069444448</v>
      </c>
      <c r="J494" s="24">
        <f>MONTH(Tabla1[[#This Row],[Publicación]])</f>
        <v>12</v>
      </c>
      <c r="K494" s="24">
        <f>YEAR(Tabla1[[#This Row],[Publicación]])</f>
        <v>2022</v>
      </c>
      <c r="L494" s="2">
        <v>44932.416666666664</v>
      </c>
      <c r="M494" s="26"/>
      <c r="N494" s="25" t="s">
        <v>11</v>
      </c>
      <c r="O494" s="24"/>
      <c r="P494" s="24" t="s">
        <v>11</v>
      </c>
      <c r="Q494" s="2">
        <v>44925.75</v>
      </c>
      <c r="R494" s="2">
        <v>44928.75</v>
      </c>
      <c r="S494" s="26">
        <v>45000.603472222225</v>
      </c>
      <c r="T494" s="28">
        <v>0</v>
      </c>
      <c r="U494" s="28">
        <f>Tabla1[[#This Row],[PPTO]]/(1+'Lista Datos'!$B$1)</f>
        <v>0</v>
      </c>
      <c r="V494" s="23">
        <v>30</v>
      </c>
      <c r="W494" s="18" t="s">
        <v>10</v>
      </c>
      <c r="X494" s="102"/>
      <c r="Y494" s="18" t="s">
        <v>146</v>
      </c>
      <c r="Z494" s="18" t="s">
        <v>10</v>
      </c>
      <c r="AA494" s="23" t="s">
        <v>512</v>
      </c>
      <c r="AB494" s="23"/>
      <c r="AC494" s="23" t="s">
        <v>10</v>
      </c>
      <c r="AD494" s="23">
        <v>60</v>
      </c>
      <c r="AE494" s="29">
        <f>Tabla1[[#This Row],[Cierre]]+Tabla1[[#This Row],[Vigencia Oferta (días)]]</f>
        <v>44992.416666666664</v>
      </c>
      <c r="AF494" s="87">
        <v>8</v>
      </c>
      <c r="AG494" s="28">
        <v>25222</v>
      </c>
      <c r="AH494" s="164">
        <f>Tabla1[[#This Row],[Unidades2]]*Tabla1[[#This Row],[Precio Unitario]]</f>
        <v>201776</v>
      </c>
      <c r="AI494" s="23" t="s">
        <v>44</v>
      </c>
      <c r="AJ494" s="26"/>
      <c r="AK494" s="172">
        <f>Tabla1[[#This Row],[Fecha Vigencia]]-AJ494</f>
        <v>44992.416666666664</v>
      </c>
      <c r="AL494" s="23" t="s">
        <v>46</v>
      </c>
      <c r="AM494" s="87">
        <v>87200</v>
      </c>
      <c r="AN494" s="23"/>
      <c r="AO494" s="29"/>
      <c r="AP494" s="23" t="s">
        <v>292</v>
      </c>
      <c r="AQ494" s="34" t="s">
        <v>1692</v>
      </c>
      <c r="AR494" s="23" t="s">
        <v>11</v>
      </c>
      <c r="AS494" s="33">
        <v>0.05</v>
      </c>
      <c r="AT494" s="29">
        <v>45412</v>
      </c>
      <c r="AU494" s="23"/>
      <c r="AV494" s="23"/>
      <c r="AW494" s="23" t="s">
        <v>2657</v>
      </c>
      <c r="AX494" t="s">
        <v>1694</v>
      </c>
      <c r="AY494" s="23"/>
      <c r="AZ494" s="23"/>
      <c r="BA494" s="23"/>
      <c r="BB494" s="32"/>
      <c r="BC494" s="73"/>
    </row>
    <row r="495" spans="1:55" x14ac:dyDescent="0.25">
      <c r="A495" s="22" t="s">
        <v>2658</v>
      </c>
      <c r="B495" s="23" t="s">
        <v>828</v>
      </c>
      <c r="C495" s="23" t="s">
        <v>2524</v>
      </c>
      <c r="D495" s="34" t="s">
        <v>829</v>
      </c>
      <c r="E495" s="24"/>
      <c r="F495" s="25"/>
      <c r="G495" s="23" t="s">
        <v>16</v>
      </c>
      <c r="H495" s="23" t="s">
        <v>533</v>
      </c>
      <c r="I495" s="2">
        <v>44922.785277777781</v>
      </c>
      <c r="J495" s="24">
        <f>MONTH(Tabla1[[#This Row],[Publicación]])</f>
        <v>12</v>
      </c>
      <c r="K495" s="24">
        <f>YEAR(Tabla1[[#This Row],[Publicación]])</f>
        <v>2022</v>
      </c>
      <c r="L495" s="2">
        <v>44932.625</v>
      </c>
      <c r="M495" s="26"/>
      <c r="N495" s="25" t="s">
        <v>10</v>
      </c>
      <c r="O495" s="24" t="s">
        <v>25</v>
      </c>
      <c r="P495" s="24" t="s">
        <v>10</v>
      </c>
      <c r="Q495" s="2">
        <v>44925.999305555553</v>
      </c>
      <c r="R495" s="2">
        <v>44929.999305555553</v>
      </c>
      <c r="S495" s="26">
        <v>44946.600694444445</v>
      </c>
      <c r="T495" s="28">
        <v>0</v>
      </c>
      <c r="U495" s="28">
        <f>Tabla1[[#This Row],[PPTO]]/(1+'Lista Datos'!$B$1)</f>
        <v>0</v>
      </c>
      <c r="V495" s="23"/>
      <c r="W495" s="18" t="s">
        <v>11</v>
      </c>
      <c r="X495" s="102">
        <v>200000</v>
      </c>
      <c r="Y495" s="26">
        <v>45021</v>
      </c>
      <c r="Z495" s="18" t="s">
        <v>10</v>
      </c>
      <c r="AA495" s="23"/>
      <c r="AB495" s="23"/>
      <c r="AC495" s="23"/>
      <c r="AD495" s="23"/>
      <c r="AE495" s="29">
        <f>Tabla1[[#This Row],[Cierre]]+Tabla1[[#This Row],[Vigencia Oferta (días)]]</f>
        <v>44932.625</v>
      </c>
      <c r="AF495" s="87"/>
      <c r="AG495" s="28"/>
      <c r="AH495" s="164">
        <f>Tabla1[[#This Row],[Unidades2]]*Tabla1[[#This Row],[Precio Unitario]]</f>
        <v>0</v>
      </c>
      <c r="AI495" s="23" t="s">
        <v>320</v>
      </c>
      <c r="AJ495" s="26">
        <v>44932</v>
      </c>
      <c r="AK495" s="172">
        <f>Tabla1[[#This Row],[Fecha Vigencia]]-AJ495</f>
        <v>0.625</v>
      </c>
      <c r="AL495" s="23"/>
      <c r="AM495" s="87"/>
      <c r="AN495" s="23"/>
      <c r="AO495" s="29"/>
      <c r="AP495" s="23"/>
      <c r="AQ495" s="34" t="s">
        <v>830</v>
      </c>
      <c r="AR495" s="23" t="s">
        <v>11</v>
      </c>
      <c r="AS495" s="33">
        <v>0.05</v>
      </c>
      <c r="AT495" s="29">
        <v>45747</v>
      </c>
      <c r="AU495" s="23"/>
      <c r="AV495" s="23"/>
      <c r="AW495" s="23" t="s">
        <v>2525</v>
      </c>
      <c r="AX495" t="s">
        <v>2526</v>
      </c>
      <c r="AY495" s="23"/>
      <c r="AZ495" s="23"/>
      <c r="BA495" s="23"/>
      <c r="BB495" s="32"/>
      <c r="BC495" s="73"/>
    </row>
    <row r="496" spans="1:55" x14ac:dyDescent="0.25">
      <c r="A496" s="22" t="s">
        <v>2659</v>
      </c>
      <c r="B496" s="23" t="s">
        <v>2660</v>
      </c>
      <c r="C496" s="23" t="s">
        <v>2661</v>
      </c>
      <c r="D496" s="34" t="s">
        <v>770</v>
      </c>
      <c r="E496" s="24" t="s">
        <v>2662</v>
      </c>
      <c r="F496" s="25">
        <v>1</v>
      </c>
      <c r="G496" s="23" t="s">
        <v>16</v>
      </c>
      <c r="H496" s="23" t="s">
        <v>123</v>
      </c>
      <c r="I496" s="2">
        <v>44923.695011574076</v>
      </c>
      <c r="J496" s="24">
        <f>MONTH(Tabla1[[#This Row],[Publicación]])</f>
        <v>12</v>
      </c>
      <c r="K496" s="24">
        <f>YEAR(Tabla1[[#This Row],[Publicación]])</f>
        <v>2022</v>
      </c>
      <c r="L496" s="2">
        <v>44960.691666666666</v>
      </c>
      <c r="M496" s="26">
        <v>44924</v>
      </c>
      <c r="N496" s="25" t="s">
        <v>11</v>
      </c>
      <c r="O496" s="24"/>
      <c r="P496" s="24" t="s">
        <v>11</v>
      </c>
      <c r="Q496" s="2">
        <v>44932.704861111109</v>
      </c>
      <c r="R496" s="2">
        <v>44938.704861111109</v>
      </c>
      <c r="S496" s="26">
        <v>44986.692361111112</v>
      </c>
      <c r="T496" s="28">
        <v>312187550</v>
      </c>
      <c r="U496" s="28">
        <f>Tabla1[[#This Row],[PPTO]]/(1+'Lista Datos'!$B$1)</f>
        <v>262342478.99159664</v>
      </c>
      <c r="V496" s="23"/>
      <c r="W496" s="18" t="s">
        <v>11</v>
      </c>
      <c r="X496" s="102">
        <v>1000000</v>
      </c>
      <c r="Y496" s="26">
        <v>45048</v>
      </c>
      <c r="Z496" s="18" t="s">
        <v>11</v>
      </c>
      <c r="AA496" s="23" t="s">
        <v>177</v>
      </c>
      <c r="AB496" s="23">
        <v>36</v>
      </c>
      <c r="AC496" s="23" t="s">
        <v>10</v>
      </c>
      <c r="AD496" s="23"/>
      <c r="AE496" s="29">
        <f>Tabla1[[#This Row],[Cierre]]+Tabla1[[#This Row],[Vigencia Oferta (días)]]</f>
        <v>44960.691666666666</v>
      </c>
      <c r="AF496" s="87"/>
      <c r="AG496" s="28"/>
      <c r="AH496" s="164">
        <f>Tabla1[[#This Row],[Unidades2]]*Tabla1[[#This Row],[Precio Unitario]]</f>
        <v>0</v>
      </c>
      <c r="AI496" s="37" t="s">
        <v>385</v>
      </c>
      <c r="AJ496" s="26"/>
      <c r="AK496" s="172">
        <f>Tabla1[[#This Row],[Fecha Vigencia]]-AJ496</f>
        <v>44960.691666666666</v>
      </c>
      <c r="AL496" s="23"/>
      <c r="AM496" s="87"/>
      <c r="AN496" s="23"/>
      <c r="AO496" s="29"/>
      <c r="AP496" s="23" t="s">
        <v>177</v>
      </c>
      <c r="AQ496" s="34" t="s">
        <v>771</v>
      </c>
      <c r="AR496" s="23" t="s">
        <v>11</v>
      </c>
      <c r="AS496" s="33">
        <v>0.2</v>
      </c>
      <c r="AT496" s="29">
        <v>45897</v>
      </c>
      <c r="AU496" s="23"/>
      <c r="AV496" s="23"/>
      <c r="AW496" s="23" t="s">
        <v>2663</v>
      </c>
      <c r="AX496" t="s">
        <v>2664</v>
      </c>
      <c r="AY496" s="23"/>
      <c r="AZ496" s="23"/>
      <c r="BA496" s="23"/>
      <c r="BB496" s="32"/>
      <c r="BC496" s="73"/>
    </row>
    <row r="497" spans="1:55" x14ac:dyDescent="0.25">
      <c r="A497" s="22" t="s">
        <v>2665</v>
      </c>
      <c r="B497" s="23" t="s">
        <v>1907</v>
      </c>
      <c r="C497" s="23" t="s">
        <v>2126</v>
      </c>
      <c r="D497" s="34" t="s">
        <v>1114</v>
      </c>
      <c r="E497" s="24" t="s">
        <v>2666</v>
      </c>
      <c r="F497" s="25">
        <v>1</v>
      </c>
      <c r="G497" s="23" t="s">
        <v>20</v>
      </c>
      <c r="H497" s="23" t="s">
        <v>176</v>
      </c>
      <c r="I497" s="2">
        <v>44923.708043981482</v>
      </c>
      <c r="J497" s="24">
        <f>MONTH(Tabla1[[#This Row],[Publicación]])</f>
        <v>12</v>
      </c>
      <c r="K497" s="24">
        <f>YEAR(Tabla1[[#This Row],[Publicación]])</f>
        <v>2022</v>
      </c>
      <c r="L497" s="2">
        <v>44953.830555555556</v>
      </c>
      <c r="M497" s="26">
        <v>44924</v>
      </c>
      <c r="N497" s="25" t="s">
        <v>10</v>
      </c>
      <c r="O497" s="24" t="s">
        <v>26</v>
      </c>
      <c r="P497" s="24" t="s">
        <v>11</v>
      </c>
      <c r="Q497" s="2">
        <v>44938.86041666667</v>
      </c>
      <c r="R497" s="2">
        <v>44946.86041666667</v>
      </c>
      <c r="S497" s="26">
        <v>45013.831250000003</v>
      </c>
      <c r="T497" s="28">
        <v>0</v>
      </c>
      <c r="U497" s="28">
        <f>Tabla1[[#This Row],[PPTO]]/(1+'Lista Datos'!$B$1)</f>
        <v>0</v>
      </c>
      <c r="V497" s="23"/>
      <c r="W497" s="18" t="s">
        <v>11</v>
      </c>
      <c r="X497" s="102">
        <v>2000000</v>
      </c>
      <c r="Y497" s="26">
        <v>45133</v>
      </c>
      <c r="Z497" s="18" t="s">
        <v>10</v>
      </c>
      <c r="AA497" s="23" t="s">
        <v>177</v>
      </c>
      <c r="AB497" s="23">
        <v>12</v>
      </c>
      <c r="AC497" s="23" t="s">
        <v>10</v>
      </c>
      <c r="AD497" s="23"/>
      <c r="AE497" s="29">
        <f>Tabla1[[#This Row],[Cierre]]+Tabla1[[#This Row],[Vigencia Oferta (días)]]</f>
        <v>44953.830555555556</v>
      </c>
      <c r="AF497" s="87"/>
      <c r="AG497" s="28"/>
      <c r="AH497" s="164">
        <f>Tabla1[[#This Row],[Unidades2]]*Tabla1[[#This Row],[Precio Unitario]]</f>
        <v>0</v>
      </c>
      <c r="AI497" s="23" t="s">
        <v>44</v>
      </c>
      <c r="AJ497" s="26">
        <v>44971</v>
      </c>
      <c r="AK497" s="172">
        <f>Tabla1[[#This Row],[Fecha Vigencia]]-AJ497</f>
        <v>-17.169444444443798</v>
      </c>
      <c r="AL497" s="23" t="s">
        <v>472</v>
      </c>
      <c r="AM497" s="87" t="s">
        <v>2667</v>
      </c>
      <c r="AN497" s="29">
        <v>44971</v>
      </c>
      <c r="AO497" s="29">
        <v>45336</v>
      </c>
      <c r="AP497" s="23" t="s">
        <v>177</v>
      </c>
      <c r="AQ497" s="34" t="s">
        <v>1910</v>
      </c>
      <c r="AR497" s="23" t="s">
        <v>11</v>
      </c>
      <c r="AS497" s="33">
        <v>7.0000000000000007E-2</v>
      </c>
      <c r="AT497" s="29">
        <v>45510</v>
      </c>
      <c r="AU497" s="23"/>
      <c r="AV497" s="23"/>
      <c r="AW497" s="23" t="s">
        <v>2668</v>
      </c>
      <c r="AX497" t="s">
        <v>2127</v>
      </c>
      <c r="AY497" s="23"/>
      <c r="AZ497" s="23"/>
      <c r="BA497" s="23"/>
      <c r="BB497" s="32"/>
      <c r="BC497" s="73"/>
    </row>
    <row r="498" spans="1:55" x14ac:dyDescent="0.25">
      <c r="A498" s="22" t="s">
        <v>2669</v>
      </c>
      <c r="B498" s="23" t="s">
        <v>2670</v>
      </c>
      <c r="C498" s="23" t="s">
        <v>2670</v>
      </c>
      <c r="D498" s="34" t="s">
        <v>587</v>
      </c>
      <c r="E498" s="24"/>
      <c r="F498" s="25"/>
      <c r="G498" s="23" t="s">
        <v>16</v>
      </c>
      <c r="H498" s="23" t="s">
        <v>145</v>
      </c>
      <c r="I498" s="2">
        <v>44925.669247685182</v>
      </c>
      <c r="J498" s="24">
        <f>MONTH(Tabla1[[#This Row],[Publicación]])</f>
        <v>12</v>
      </c>
      <c r="K498" s="24">
        <f>YEAR(Tabla1[[#This Row],[Publicación]])</f>
        <v>2022</v>
      </c>
      <c r="L498" s="2">
        <v>44935.625694444447</v>
      </c>
      <c r="M498" s="26">
        <v>44929</v>
      </c>
      <c r="N498" s="25" t="s">
        <v>10</v>
      </c>
      <c r="O498" s="24" t="s">
        <v>33</v>
      </c>
      <c r="P498" s="24" t="s">
        <v>10</v>
      </c>
      <c r="Q498" s="2">
        <v>44929.729166666664</v>
      </c>
      <c r="R498" s="2">
        <v>44930.729861111111</v>
      </c>
      <c r="S498" s="26">
        <v>44957.729166666664</v>
      </c>
      <c r="T498" s="28">
        <v>0</v>
      </c>
      <c r="U498" s="28">
        <f>Tabla1[[#This Row],[PPTO]]/(1+'Lista Datos'!$B$1)</f>
        <v>0</v>
      </c>
      <c r="V498" s="23"/>
      <c r="W498" s="18" t="s">
        <v>10</v>
      </c>
      <c r="X498" s="102"/>
      <c r="Y498" s="18" t="s">
        <v>146</v>
      </c>
      <c r="Z498" s="18" t="s">
        <v>10</v>
      </c>
      <c r="AA498" s="23"/>
      <c r="AB498" s="23"/>
      <c r="AC498" s="23"/>
      <c r="AD498" s="23"/>
      <c r="AE498" s="29">
        <f>Tabla1[[#This Row],[Cierre]]+Tabla1[[#This Row],[Vigencia Oferta (días)]]</f>
        <v>44935.625694444447</v>
      </c>
      <c r="AF498" s="87"/>
      <c r="AG498" s="28"/>
      <c r="AH498" s="164">
        <f>Tabla1[[#This Row],[Unidades2]]*Tabla1[[#This Row],[Precio Unitario]]</f>
        <v>0</v>
      </c>
      <c r="AI498" s="23" t="s">
        <v>44</v>
      </c>
      <c r="AJ498" s="26">
        <v>44958.409166666665</v>
      </c>
      <c r="AK498" s="172">
        <f>Tabla1[[#This Row],[Fecha Vigencia]]-AJ498</f>
        <v>-22.783472222217824</v>
      </c>
      <c r="AL498" s="23" t="s">
        <v>46</v>
      </c>
      <c r="AM498" s="87">
        <v>706861</v>
      </c>
      <c r="AN498" s="23"/>
      <c r="AO498" s="29"/>
      <c r="AP498" s="23" t="s">
        <v>292</v>
      </c>
      <c r="AQ498" s="34" t="s">
        <v>588</v>
      </c>
      <c r="AR498" s="23" t="s">
        <v>10</v>
      </c>
      <c r="AS498" s="23"/>
      <c r="AT498" s="23"/>
      <c r="AU498" s="23"/>
      <c r="AV498" s="23"/>
      <c r="AW498" s="23" t="s">
        <v>2671</v>
      </c>
      <c r="AX498" t="s">
        <v>590</v>
      </c>
      <c r="AY498" s="23"/>
      <c r="AZ498" s="23"/>
      <c r="BA498" s="23"/>
      <c r="BB498" s="32"/>
      <c r="BC498" s="73"/>
    </row>
    <row r="499" spans="1:55" x14ac:dyDescent="0.25">
      <c r="A499" s="22" t="s">
        <v>2672</v>
      </c>
      <c r="B499" s="23" t="s">
        <v>2673</v>
      </c>
      <c r="C499" s="23" t="s">
        <v>2674</v>
      </c>
      <c r="D499" s="34" t="s">
        <v>2675</v>
      </c>
      <c r="E499" s="24" t="s">
        <v>2676</v>
      </c>
      <c r="F499" s="25">
        <v>1</v>
      </c>
      <c r="G499" s="23" t="s">
        <v>16</v>
      </c>
      <c r="H499" s="23" t="s">
        <v>213</v>
      </c>
      <c r="I499" s="2">
        <v>44925.58357638889</v>
      </c>
      <c r="J499" s="24">
        <f>MONTH(Tabla1[[#This Row],[Publicación]])</f>
        <v>12</v>
      </c>
      <c r="K499" s="24">
        <f>YEAR(Tabla1[[#This Row],[Publicación]])</f>
        <v>2022</v>
      </c>
      <c r="L499" s="2">
        <v>44949.625</v>
      </c>
      <c r="M499" s="26">
        <v>44929</v>
      </c>
      <c r="N499" s="25" t="s">
        <v>11</v>
      </c>
      <c r="O499" s="24"/>
      <c r="P499" s="24" t="s">
        <v>11</v>
      </c>
      <c r="Q499" s="2">
        <v>44936.791666666664</v>
      </c>
      <c r="R499" s="2">
        <v>44943.791666666664</v>
      </c>
      <c r="S499" s="26">
        <v>44988.791666666664</v>
      </c>
      <c r="T499" s="28">
        <v>110000000</v>
      </c>
      <c r="U499" s="28">
        <f>Tabla1[[#This Row],[PPTO]]/(1+'Lista Datos'!$B$1)</f>
        <v>92436974.789915964</v>
      </c>
      <c r="V499" s="23"/>
      <c r="W499" s="18" t="s">
        <v>11</v>
      </c>
      <c r="X499" s="102">
        <v>150000</v>
      </c>
      <c r="Y499" s="26">
        <v>45099</v>
      </c>
      <c r="Z499" s="18" t="s">
        <v>10</v>
      </c>
      <c r="AA499" s="23" t="s">
        <v>177</v>
      </c>
      <c r="AB499" s="23">
        <v>36</v>
      </c>
      <c r="AC499" s="23" t="s">
        <v>10</v>
      </c>
      <c r="AD499" s="23"/>
      <c r="AE499" s="29">
        <f>Tabla1[[#This Row],[Cierre]]+Tabla1[[#This Row],[Vigencia Oferta (días)]]</f>
        <v>44949.625</v>
      </c>
      <c r="AF499" s="87"/>
      <c r="AG499" s="28"/>
      <c r="AH499" s="164">
        <f>Tabla1[[#This Row],[Unidades2]]*Tabla1[[#This Row],[Precio Unitario]]</f>
        <v>0</v>
      </c>
      <c r="AI499" s="37" t="s">
        <v>44</v>
      </c>
      <c r="AJ499" s="26">
        <v>44956</v>
      </c>
      <c r="AK499" s="172">
        <f>Tabla1[[#This Row],[Fecha Vigencia]]-AJ499</f>
        <v>-6.375</v>
      </c>
      <c r="AL499" s="23" t="s">
        <v>46</v>
      </c>
      <c r="AM499" s="87">
        <v>130578859</v>
      </c>
      <c r="AN499" s="29">
        <v>44956</v>
      </c>
      <c r="AO499" s="29">
        <v>46052</v>
      </c>
      <c r="AP499" s="23" t="s">
        <v>177</v>
      </c>
      <c r="AQ499" s="34" t="s">
        <v>1230</v>
      </c>
      <c r="AR499" s="23" t="s">
        <v>11</v>
      </c>
      <c r="AS499" s="33">
        <v>0.05</v>
      </c>
      <c r="AT499" s="29">
        <v>46146</v>
      </c>
      <c r="AU499" s="23"/>
      <c r="AV499" s="23"/>
      <c r="AW499" s="23" t="s">
        <v>2677</v>
      </c>
      <c r="AX499" t="s">
        <v>1232</v>
      </c>
      <c r="AY499" s="23"/>
      <c r="AZ499" s="23"/>
      <c r="BA499" s="23"/>
      <c r="BB499" s="32"/>
      <c r="BC499" s="73"/>
    </row>
    <row r="500" spans="1:55" x14ac:dyDescent="0.25">
      <c r="A500" s="22" t="s">
        <v>2678</v>
      </c>
      <c r="B500" s="23" t="s">
        <v>2679</v>
      </c>
      <c r="C500" s="23" t="s">
        <v>2680</v>
      </c>
      <c r="D500" s="34" t="s">
        <v>936</v>
      </c>
      <c r="E500" s="24"/>
      <c r="F500" s="25"/>
      <c r="G500" s="23" t="s">
        <v>21</v>
      </c>
      <c r="H500" s="23" t="s">
        <v>106</v>
      </c>
      <c r="I500" s="2">
        <v>44924.735138888886</v>
      </c>
      <c r="J500" s="24">
        <f>MONTH(Tabla1[[#This Row],[Publicación]])</f>
        <v>12</v>
      </c>
      <c r="K500" s="24">
        <f>YEAR(Tabla1[[#This Row],[Publicación]])</f>
        <v>2022</v>
      </c>
      <c r="L500" s="2">
        <v>44936.520833333336</v>
      </c>
      <c r="M500" s="26">
        <v>44929</v>
      </c>
      <c r="N500" s="25" t="s">
        <v>10</v>
      </c>
      <c r="O500" s="24" t="s">
        <v>34</v>
      </c>
      <c r="P500" s="24" t="s">
        <v>10</v>
      </c>
      <c r="Q500" s="2">
        <v>44930.645833333336</v>
      </c>
      <c r="R500" s="2">
        <v>44932.645833333336</v>
      </c>
      <c r="S500" s="26">
        <v>45027.666666666664</v>
      </c>
      <c r="T500" s="28">
        <v>0</v>
      </c>
      <c r="U500" s="28">
        <f>Tabla1[[#This Row],[PPTO]]/(1+'Lista Datos'!$B$1)</f>
        <v>0</v>
      </c>
      <c r="V500" s="23"/>
      <c r="W500" s="18" t="s">
        <v>11</v>
      </c>
      <c r="X500" s="102">
        <v>2500000</v>
      </c>
      <c r="Y500" s="26">
        <v>45027</v>
      </c>
      <c r="Z500" s="18" t="s">
        <v>10</v>
      </c>
      <c r="AA500" s="23"/>
      <c r="AB500" s="23"/>
      <c r="AC500" s="23"/>
      <c r="AD500" s="23"/>
      <c r="AE500" s="29">
        <f>Tabla1[[#This Row],[Cierre]]+Tabla1[[#This Row],[Vigencia Oferta (días)]]</f>
        <v>44936.520833333336</v>
      </c>
      <c r="AF500" s="87"/>
      <c r="AG500" s="28"/>
      <c r="AH500" s="164">
        <f>Tabla1[[#This Row],[Unidades2]]*Tabla1[[#This Row],[Precio Unitario]]</f>
        <v>0</v>
      </c>
      <c r="AI500" s="23" t="s">
        <v>44</v>
      </c>
      <c r="AJ500" s="26">
        <v>45016.53707175926</v>
      </c>
      <c r="AK500" s="172">
        <f>Tabla1[[#This Row],[Fecha Vigencia]]-AJ500</f>
        <v>-80.016238425923802</v>
      </c>
      <c r="AL500" s="23" t="s">
        <v>205</v>
      </c>
      <c r="AM500" s="87">
        <v>47784000</v>
      </c>
      <c r="AN500" s="23"/>
      <c r="AO500" s="29"/>
      <c r="AP500" s="23" t="s">
        <v>177</v>
      </c>
      <c r="AQ500" s="34" t="s">
        <v>937</v>
      </c>
      <c r="AR500" s="23" t="s">
        <v>11</v>
      </c>
      <c r="AS500" s="33">
        <v>0.1</v>
      </c>
      <c r="AT500" s="29">
        <v>45761</v>
      </c>
      <c r="AU500" s="23"/>
      <c r="AV500" s="23"/>
      <c r="AW500" s="23" t="s">
        <v>966</v>
      </c>
      <c r="AX500" t="s">
        <v>939</v>
      </c>
      <c r="AY500" s="23"/>
      <c r="AZ500" s="23"/>
      <c r="BA500" s="23"/>
      <c r="BB500" s="32"/>
      <c r="BC500" s="73"/>
    </row>
    <row r="501" spans="1:55" x14ac:dyDescent="0.25">
      <c r="A501" s="22" t="s">
        <v>2681</v>
      </c>
      <c r="B501" s="23" t="s">
        <v>2682</v>
      </c>
      <c r="C501" s="23" t="s">
        <v>2683</v>
      </c>
      <c r="D501" s="34" t="s">
        <v>2684</v>
      </c>
      <c r="E501" s="24"/>
      <c r="F501" s="25"/>
      <c r="G501" s="23" t="s">
        <v>16</v>
      </c>
      <c r="H501" s="23" t="s">
        <v>123</v>
      </c>
      <c r="I501" s="2">
        <v>44924.501400462963</v>
      </c>
      <c r="J501" s="24">
        <f>MONTH(Tabla1[[#This Row],[Publicación]])</f>
        <v>12</v>
      </c>
      <c r="K501" s="24">
        <f>YEAR(Tabla1[[#This Row],[Publicación]])</f>
        <v>2022</v>
      </c>
      <c r="L501" s="2">
        <v>44944.5</v>
      </c>
      <c r="M501" s="26">
        <v>44929</v>
      </c>
      <c r="N501" s="25" t="s">
        <v>10</v>
      </c>
      <c r="O501" s="24" t="s">
        <v>34</v>
      </c>
      <c r="P501" s="24" t="s">
        <v>10</v>
      </c>
      <c r="Q501" s="2">
        <v>44931.708333333336</v>
      </c>
      <c r="R501" s="2">
        <v>44932.708333333336</v>
      </c>
      <c r="S501" s="26">
        <v>44979.5</v>
      </c>
      <c r="T501" s="28">
        <v>0</v>
      </c>
      <c r="U501" s="28">
        <f>Tabla1[[#This Row],[PPTO]]/(1+'Lista Datos'!$B$1)</f>
        <v>0</v>
      </c>
      <c r="V501" s="23"/>
      <c r="W501" s="18" t="s">
        <v>11</v>
      </c>
      <c r="X501" s="102">
        <v>1000000</v>
      </c>
      <c r="Y501" s="26">
        <v>45034</v>
      </c>
      <c r="Z501" s="18" t="s">
        <v>10</v>
      </c>
      <c r="AA501" s="23"/>
      <c r="AB501" s="23"/>
      <c r="AC501" s="23"/>
      <c r="AD501" s="23"/>
      <c r="AE501" s="29">
        <f>Tabla1[[#This Row],[Cierre]]+Tabla1[[#This Row],[Vigencia Oferta (días)]]</f>
        <v>44944.5</v>
      </c>
      <c r="AF501" s="87"/>
      <c r="AG501" s="28"/>
      <c r="AH501" s="164">
        <f>Tabla1[[#This Row],[Unidades2]]*Tabla1[[#This Row],[Precio Unitario]]</f>
        <v>0</v>
      </c>
      <c r="AI501" s="23" t="s">
        <v>320</v>
      </c>
      <c r="AJ501" s="26"/>
      <c r="AK501" s="172">
        <f>Tabla1[[#This Row],[Fecha Vigencia]]-AJ501</f>
        <v>44944.5</v>
      </c>
      <c r="AL501" s="23"/>
      <c r="AM501" s="87"/>
      <c r="AN501" s="23"/>
      <c r="AO501" s="29"/>
      <c r="AP501" s="23" t="s">
        <v>177</v>
      </c>
      <c r="AQ501" s="34" t="s">
        <v>2685</v>
      </c>
      <c r="AR501" s="23" t="s">
        <v>11</v>
      </c>
      <c r="AS501" s="33">
        <v>0.05</v>
      </c>
      <c r="AT501" s="29">
        <v>46892</v>
      </c>
      <c r="AU501" s="23"/>
      <c r="AV501" s="23"/>
      <c r="AW501" s="23" t="s">
        <v>2686</v>
      </c>
      <c r="AX501" t="s">
        <v>2687</v>
      </c>
      <c r="AY501" s="23"/>
      <c r="AZ501" s="23"/>
      <c r="BA501" s="23"/>
      <c r="BB501" s="32"/>
      <c r="BC501" s="73"/>
    </row>
    <row r="502" spans="1:55" x14ac:dyDescent="0.25">
      <c r="A502" s="22" t="s">
        <v>2688</v>
      </c>
      <c r="B502" s="23" t="s">
        <v>2689</v>
      </c>
      <c r="C502" s="23" t="s">
        <v>2690</v>
      </c>
      <c r="D502" s="34" t="s">
        <v>1788</v>
      </c>
      <c r="E502" s="24"/>
      <c r="F502" s="25"/>
      <c r="G502" s="23" t="s">
        <v>21</v>
      </c>
      <c r="H502" s="23" t="s">
        <v>106</v>
      </c>
      <c r="I502" s="2">
        <v>44929.516805555555</v>
      </c>
      <c r="J502" s="24">
        <f>MONTH(Tabla1[[#This Row],[Publicación]])</f>
        <v>1</v>
      </c>
      <c r="K502" s="24">
        <f>YEAR(Tabla1[[#This Row],[Publicación]])</f>
        <v>2023</v>
      </c>
      <c r="L502" s="2">
        <v>44939.666666666664</v>
      </c>
      <c r="M502" s="26">
        <v>44931</v>
      </c>
      <c r="N502" s="25" t="s">
        <v>10</v>
      </c>
      <c r="O502" s="24" t="s">
        <v>28</v>
      </c>
      <c r="P502" s="24" t="s">
        <v>10</v>
      </c>
      <c r="Q502" s="2">
        <v>44932.666666666664</v>
      </c>
      <c r="R502" s="2">
        <v>44937.75</v>
      </c>
      <c r="S502" s="26">
        <v>45026.75</v>
      </c>
      <c r="T502" s="28">
        <v>0</v>
      </c>
      <c r="U502" s="28">
        <f>Tabla1[[#This Row],[PPTO]]/(1+'Lista Datos'!$B$1)</f>
        <v>0</v>
      </c>
      <c r="V502" s="23"/>
      <c r="W502" s="18" t="s">
        <v>11</v>
      </c>
      <c r="X502" s="102">
        <v>1000000</v>
      </c>
      <c r="Y502" s="26">
        <v>45059</v>
      </c>
      <c r="Z502" s="18" t="s">
        <v>10</v>
      </c>
      <c r="AA502" s="23"/>
      <c r="AB502" s="23"/>
      <c r="AC502" s="23"/>
      <c r="AD502" s="23"/>
      <c r="AE502" s="29">
        <f>Tabla1[[#This Row],[Cierre]]+Tabla1[[#This Row],[Vigencia Oferta (días)]]</f>
        <v>44939.666666666664</v>
      </c>
      <c r="AF502" s="87"/>
      <c r="AG502" s="28"/>
      <c r="AH502" s="164">
        <f>Tabla1[[#This Row],[Unidades2]]*Tabla1[[#This Row],[Precio Unitario]]</f>
        <v>0</v>
      </c>
      <c r="AI502" s="23" t="s">
        <v>44</v>
      </c>
      <c r="AJ502" s="26">
        <v>44970.62636574074</v>
      </c>
      <c r="AK502" s="172">
        <f>Tabla1[[#This Row],[Fecha Vigencia]]-AJ502</f>
        <v>-30.959699074075615</v>
      </c>
      <c r="AL502" s="23" t="s">
        <v>205</v>
      </c>
      <c r="AM502" s="87">
        <v>125804240</v>
      </c>
      <c r="AN502" s="23"/>
      <c r="AO502" s="29"/>
      <c r="AP502" s="23" t="s">
        <v>177</v>
      </c>
      <c r="AQ502" s="34" t="s">
        <v>1014</v>
      </c>
      <c r="AR502" s="23" t="s">
        <v>11</v>
      </c>
      <c r="AS502" s="33">
        <v>0.05</v>
      </c>
      <c r="AT502" s="29">
        <v>46364</v>
      </c>
      <c r="AU502" s="23"/>
      <c r="AV502" s="23"/>
      <c r="AW502" s="23" t="s">
        <v>1015</v>
      </c>
      <c r="AX502" t="s">
        <v>2691</v>
      </c>
      <c r="AY502" s="23"/>
      <c r="AZ502" s="23"/>
      <c r="BA502" s="23"/>
      <c r="BB502" s="32"/>
      <c r="BC502" s="73"/>
    </row>
    <row r="503" spans="1:55" x14ac:dyDescent="0.25">
      <c r="A503" s="22" t="s">
        <v>2692</v>
      </c>
      <c r="B503" s="23" t="s">
        <v>2693</v>
      </c>
      <c r="C503" s="23" t="s">
        <v>2694</v>
      </c>
      <c r="D503" s="34" t="s">
        <v>2695</v>
      </c>
      <c r="E503" s="24"/>
      <c r="F503" s="25"/>
      <c r="G503" s="23" t="s">
        <v>16</v>
      </c>
      <c r="H503" s="23" t="s">
        <v>345</v>
      </c>
      <c r="I503" s="2">
        <v>44929.738749999997</v>
      </c>
      <c r="J503" s="24">
        <f>MONTH(Tabla1[[#This Row],[Publicación]])</f>
        <v>1</v>
      </c>
      <c r="K503" s="24">
        <f>YEAR(Tabla1[[#This Row],[Publicación]])</f>
        <v>2023</v>
      </c>
      <c r="L503" s="2">
        <v>44942.666666666664</v>
      </c>
      <c r="M503" s="26">
        <v>44932</v>
      </c>
      <c r="N503" s="25" t="s">
        <v>10</v>
      </c>
      <c r="O503" s="24" t="s">
        <v>33</v>
      </c>
      <c r="P503" s="24" t="s">
        <v>10</v>
      </c>
      <c r="Q503" s="2">
        <v>44932.897916666669</v>
      </c>
      <c r="R503" s="2">
        <v>44935.666666666664</v>
      </c>
      <c r="S503" s="26">
        <v>44953.784722222219</v>
      </c>
      <c r="T503" s="28">
        <v>0</v>
      </c>
      <c r="U503" s="28">
        <f>Tabla1[[#This Row],[PPTO]]/(1+'Lista Datos'!$B$1)</f>
        <v>0</v>
      </c>
      <c r="V503" s="23"/>
      <c r="W503" s="18" t="s">
        <v>10</v>
      </c>
      <c r="X503" s="102"/>
      <c r="Y503" s="18" t="s">
        <v>146</v>
      </c>
      <c r="Z503" s="18" t="s">
        <v>10</v>
      </c>
      <c r="AA503" s="23"/>
      <c r="AB503" s="23"/>
      <c r="AC503" s="23"/>
      <c r="AD503" s="23"/>
      <c r="AE503" s="29">
        <f>Tabla1[[#This Row],[Cierre]]+Tabla1[[#This Row],[Vigencia Oferta (días)]]</f>
        <v>44942.666666666664</v>
      </c>
      <c r="AF503" s="87"/>
      <c r="AG503" s="28"/>
      <c r="AH503" s="164">
        <f>Tabla1[[#This Row],[Unidades2]]*Tabla1[[#This Row],[Precio Unitario]]</f>
        <v>0</v>
      </c>
      <c r="AI503" s="23" t="s">
        <v>44</v>
      </c>
      <c r="AJ503" s="26">
        <v>44952</v>
      </c>
      <c r="AK503" s="172">
        <f>Tabla1[[#This Row],[Fecha Vigencia]]-AJ503</f>
        <v>-9.3333333333357587</v>
      </c>
      <c r="AL503" s="23" t="s">
        <v>46</v>
      </c>
      <c r="AM503" s="87">
        <v>195800</v>
      </c>
      <c r="AN503" s="23"/>
      <c r="AO503" s="29"/>
      <c r="AP503" s="23"/>
      <c r="AQ503" s="34" t="s">
        <v>253</v>
      </c>
      <c r="AR503" s="23" t="s">
        <v>10</v>
      </c>
      <c r="AS503" s="23"/>
      <c r="AT503" s="23"/>
      <c r="AU503" s="23"/>
      <c r="AV503" s="23"/>
      <c r="AW503" s="23" t="s">
        <v>254</v>
      </c>
      <c r="AX503" t="s">
        <v>2696</v>
      </c>
      <c r="AY503" s="23"/>
      <c r="AZ503" s="23"/>
      <c r="BA503" s="23"/>
      <c r="BB503" s="32"/>
      <c r="BC503" s="73"/>
    </row>
    <row r="504" spans="1:55" x14ac:dyDescent="0.25">
      <c r="A504" s="22" t="s">
        <v>2697</v>
      </c>
      <c r="B504" s="23" t="s">
        <v>2698</v>
      </c>
      <c r="C504" s="23" t="s">
        <v>2699</v>
      </c>
      <c r="D504" s="34" t="s">
        <v>2700</v>
      </c>
      <c r="E504" s="24"/>
      <c r="F504" s="25"/>
      <c r="G504" s="23" t="s">
        <v>16</v>
      </c>
      <c r="H504" s="23" t="s">
        <v>1983</v>
      </c>
      <c r="I504" s="2">
        <v>44931.692962962959</v>
      </c>
      <c r="J504" s="24">
        <f>MONTH(Tabla1[[#This Row],[Publicación]])</f>
        <v>1</v>
      </c>
      <c r="K504" s="24">
        <f>YEAR(Tabla1[[#This Row],[Publicación]])</f>
        <v>2023</v>
      </c>
      <c r="L504" s="2">
        <v>44944.629861111112</v>
      </c>
      <c r="M504" s="26">
        <v>44932</v>
      </c>
      <c r="N504" s="25" t="s">
        <v>10</v>
      </c>
      <c r="O504" s="24" t="s">
        <v>33</v>
      </c>
      <c r="P504" s="24" t="s">
        <v>10</v>
      </c>
      <c r="Q504" s="2">
        <v>44937.645833333336</v>
      </c>
      <c r="R504" s="2">
        <v>44938.830555555556</v>
      </c>
      <c r="S504" s="26">
        <v>44974.630555555559</v>
      </c>
      <c r="T504" s="28">
        <v>0</v>
      </c>
      <c r="U504" s="28">
        <f>Tabla1[[#This Row],[PPTO]]/(1+'Lista Datos'!$B$1)</f>
        <v>0</v>
      </c>
      <c r="V504" s="23"/>
      <c r="W504" s="18" t="s">
        <v>10</v>
      </c>
      <c r="X504" s="102"/>
      <c r="Y504" s="18" t="s">
        <v>146</v>
      </c>
      <c r="Z504" s="18" t="s">
        <v>10</v>
      </c>
      <c r="AA504" s="23"/>
      <c r="AB504" s="23"/>
      <c r="AC504" s="23"/>
      <c r="AD504" s="23"/>
      <c r="AE504" s="29">
        <f>Tabla1[[#This Row],[Cierre]]+Tabla1[[#This Row],[Vigencia Oferta (días)]]</f>
        <v>44944.629861111112</v>
      </c>
      <c r="AF504" s="87"/>
      <c r="AG504" s="28"/>
      <c r="AH504" s="164">
        <f>Tabla1[[#This Row],[Unidades2]]*Tabla1[[#This Row],[Precio Unitario]]</f>
        <v>0</v>
      </c>
      <c r="AI504" s="23" t="s">
        <v>320</v>
      </c>
      <c r="AJ504" s="26"/>
      <c r="AK504" s="172">
        <f>Tabla1[[#This Row],[Fecha Vigencia]]-AJ504</f>
        <v>44944.629861111112</v>
      </c>
      <c r="AL504" s="23"/>
      <c r="AM504" s="87"/>
      <c r="AN504" s="23"/>
      <c r="AO504" s="29"/>
      <c r="AP504" s="23" t="s">
        <v>292</v>
      </c>
      <c r="AQ504" s="34" t="s">
        <v>2701</v>
      </c>
      <c r="AR504" s="23" t="s">
        <v>10</v>
      </c>
      <c r="AS504" s="23"/>
      <c r="AT504" s="23"/>
      <c r="AU504" s="23"/>
      <c r="AV504" s="23"/>
      <c r="AW504" s="23" t="s">
        <v>2702</v>
      </c>
      <c r="AX504" t="s">
        <v>2703</v>
      </c>
      <c r="AY504" s="23"/>
      <c r="AZ504" s="23"/>
      <c r="BA504" s="23"/>
      <c r="BB504" s="32"/>
      <c r="BC504" s="73"/>
    </row>
    <row r="505" spans="1:55" x14ac:dyDescent="0.25">
      <c r="A505" s="22" t="s">
        <v>2704</v>
      </c>
      <c r="B505" s="23" t="s">
        <v>2705</v>
      </c>
      <c r="C505" s="23" t="s">
        <v>2706</v>
      </c>
      <c r="D505" s="34" t="s">
        <v>2230</v>
      </c>
      <c r="E505" s="24"/>
      <c r="F505" s="25"/>
      <c r="G505" s="23" t="s">
        <v>18</v>
      </c>
      <c r="H505" s="23" t="s">
        <v>213</v>
      </c>
      <c r="I505" s="2">
        <v>44932.600671296299</v>
      </c>
      <c r="J505" s="24">
        <f>MONTH(Tabla1[[#This Row],[Publicación]])</f>
        <v>1</v>
      </c>
      <c r="K505" s="24">
        <f>YEAR(Tabla1[[#This Row],[Publicación]])</f>
        <v>2023</v>
      </c>
      <c r="L505" s="2">
        <v>44942.666666666664</v>
      </c>
      <c r="M505" s="26">
        <v>44932</v>
      </c>
      <c r="N505" s="25" t="s">
        <v>10</v>
      </c>
      <c r="O505" s="24" t="s">
        <v>28</v>
      </c>
      <c r="P505" s="24" t="s">
        <v>10</v>
      </c>
      <c r="Q505" s="2">
        <v>44937.666666666664</v>
      </c>
      <c r="R505" s="2">
        <v>44938.708333333336</v>
      </c>
      <c r="S505" s="26">
        <v>44960.666666666664</v>
      </c>
      <c r="T505" s="28">
        <v>0</v>
      </c>
      <c r="U505" s="28">
        <f>Tabla1[[#This Row],[PPTO]]/(1+'Lista Datos'!$B$1)</f>
        <v>0</v>
      </c>
      <c r="V505" s="23"/>
      <c r="W505" s="18" t="s">
        <v>10</v>
      </c>
      <c r="X505" s="102"/>
      <c r="Y505" s="18" t="s">
        <v>146</v>
      </c>
      <c r="Z505" s="18" t="s">
        <v>11</v>
      </c>
      <c r="AA505" s="23"/>
      <c r="AB505" s="23"/>
      <c r="AC505" s="23"/>
      <c r="AD505" s="23"/>
      <c r="AE505" s="29">
        <f>Tabla1[[#This Row],[Cierre]]+Tabla1[[#This Row],[Vigencia Oferta (días)]]</f>
        <v>44942.666666666664</v>
      </c>
      <c r="AF505" s="87"/>
      <c r="AG505" s="28"/>
      <c r="AH505" s="164">
        <f>Tabla1[[#This Row],[Unidades2]]*Tabla1[[#This Row],[Precio Unitario]]</f>
        <v>0</v>
      </c>
      <c r="AI505" s="23" t="s">
        <v>44</v>
      </c>
      <c r="AJ505" s="26">
        <v>44946</v>
      </c>
      <c r="AK505" s="172">
        <f>Tabla1[[#This Row],[Fecha Vigencia]]-AJ505</f>
        <v>-3.3333333333357587</v>
      </c>
      <c r="AL505" s="23" t="s">
        <v>46</v>
      </c>
      <c r="AM505" s="87">
        <v>25000000</v>
      </c>
      <c r="AN505" s="23"/>
      <c r="AO505" s="29"/>
      <c r="AP505" s="23" t="s">
        <v>177</v>
      </c>
      <c r="AQ505" s="34" t="s">
        <v>2231</v>
      </c>
      <c r="AR505" s="23" t="s">
        <v>11</v>
      </c>
      <c r="AS505" s="33">
        <v>0.1</v>
      </c>
      <c r="AT505" s="29">
        <v>45719</v>
      </c>
      <c r="AU505" s="23"/>
      <c r="AV505" s="23"/>
      <c r="AW505" s="23" t="s">
        <v>2707</v>
      </c>
      <c r="AX505" t="s">
        <v>2233</v>
      </c>
      <c r="AY505" s="23"/>
      <c r="AZ505" s="23"/>
      <c r="BA505" s="23"/>
      <c r="BB505" s="32"/>
      <c r="BC505" s="73"/>
    </row>
    <row r="506" spans="1:55" x14ac:dyDescent="0.25">
      <c r="A506" s="22" t="s">
        <v>2708</v>
      </c>
      <c r="B506" s="23" t="s">
        <v>2709</v>
      </c>
      <c r="C506" s="23" t="s">
        <v>2710</v>
      </c>
      <c r="D506" s="34" t="s">
        <v>1621</v>
      </c>
      <c r="E506" s="24"/>
      <c r="F506" s="25"/>
      <c r="G506" s="23" t="s">
        <v>16</v>
      </c>
      <c r="H506" s="23" t="s">
        <v>533</v>
      </c>
      <c r="I506" s="2">
        <v>44932.590138888889</v>
      </c>
      <c r="J506" s="24">
        <f>MONTH(Tabla1[[#This Row],[Publicación]])</f>
        <v>1</v>
      </c>
      <c r="K506" s="24">
        <f>YEAR(Tabla1[[#This Row],[Publicación]])</f>
        <v>2023</v>
      </c>
      <c r="L506" s="2">
        <v>44938.622916666667</v>
      </c>
      <c r="M506" s="26">
        <v>44932</v>
      </c>
      <c r="N506" s="25" t="s">
        <v>10</v>
      </c>
      <c r="O506" s="24" t="s">
        <v>25</v>
      </c>
      <c r="P506" s="24" t="s">
        <v>10</v>
      </c>
      <c r="Q506" s="2">
        <v>44935.706250000003</v>
      </c>
      <c r="R506" s="2">
        <v>44936.706250000003</v>
      </c>
      <c r="S506" s="26">
        <v>44939.623611111114</v>
      </c>
      <c r="T506" s="28">
        <v>0</v>
      </c>
      <c r="U506" s="28">
        <f>Tabla1[[#This Row],[PPTO]]/(1+'Lista Datos'!$B$1)</f>
        <v>0</v>
      </c>
      <c r="V506" s="23"/>
      <c r="W506" s="18" t="s">
        <v>10</v>
      </c>
      <c r="X506" s="102"/>
      <c r="Y506" s="18" t="s">
        <v>146</v>
      </c>
      <c r="Z506" s="18" t="s">
        <v>10</v>
      </c>
      <c r="AA506" s="23"/>
      <c r="AB506" s="23"/>
      <c r="AC506" s="23"/>
      <c r="AD506" s="23"/>
      <c r="AE506" s="29">
        <f>Tabla1[[#This Row],[Cierre]]+Tabla1[[#This Row],[Vigencia Oferta (días)]]</f>
        <v>44938.622916666667</v>
      </c>
      <c r="AF506" s="87"/>
      <c r="AG506" s="28"/>
      <c r="AH506" s="164">
        <f>Tabla1[[#This Row],[Unidades2]]*Tabla1[[#This Row],[Precio Unitario]]</f>
        <v>0</v>
      </c>
      <c r="AI506" s="23" t="s">
        <v>320</v>
      </c>
      <c r="AJ506" s="26"/>
      <c r="AK506" s="172">
        <f>Tabla1[[#This Row],[Fecha Vigencia]]-AJ506</f>
        <v>44938.622916666667</v>
      </c>
      <c r="AL506" s="23"/>
      <c r="AM506" s="87"/>
      <c r="AN506" s="23"/>
      <c r="AO506" s="29"/>
      <c r="AP506" s="23" t="s">
        <v>177</v>
      </c>
      <c r="AQ506" s="34" t="s">
        <v>1622</v>
      </c>
      <c r="AR506" s="23" t="s">
        <v>10</v>
      </c>
      <c r="AS506" s="23"/>
      <c r="AT506" s="23"/>
      <c r="AU506" s="23"/>
      <c r="AV506" s="23"/>
      <c r="AW506" s="23" t="s">
        <v>1623</v>
      </c>
      <c r="AX506" t="s">
        <v>1624</v>
      </c>
      <c r="AY506" s="23"/>
      <c r="AZ506" s="23"/>
      <c r="BA506" s="23"/>
      <c r="BB506" s="32"/>
      <c r="BC506" s="73"/>
    </row>
    <row r="507" spans="1:55" x14ac:dyDescent="0.25">
      <c r="A507" s="22" t="s">
        <v>2711</v>
      </c>
      <c r="B507" s="23" t="s">
        <v>2712</v>
      </c>
      <c r="C507" s="23" t="s">
        <v>2713</v>
      </c>
      <c r="D507" s="34" t="s">
        <v>2714</v>
      </c>
      <c r="E507" s="24"/>
      <c r="F507" s="25"/>
      <c r="G507" s="23" t="s">
        <v>16</v>
      </c>
      <c r="H507" s="23" t="s">
        <v>145</v>
      </c>
      <c r="I507" s="2">
        <v>44932.508657407408</v>
      </c>
      <c r="J507" s="24">
        <f>MONTH(Tabla1[[#This Row],[Publicación]])</f>
        <v>1</v>
      </c>
      <c r="K507" s="24">
        <f>YEAR(Tabla1[[#This Row],[Publicación]])</f>
        <v>2023</v>
      </c>
      <c r="L507" s="2">
        <v>44942.625694444447</v>
      </c>
      <c r="M507" s="26">
        <v>44935</v>
      </c>
      <c r="N507" s="25" t="s">
        <v>10</v>
      </c>
      <c r="O507" s="24" t="s">
        <v>27</v>
      </c>
      <c r="P507" s="24" t="s">
        <v>10</v>
      </c>
      <c r="Q507" s="2">
        <v>44937.646527777775</v>
      </c>
      <c r="R507" s="2">
        <v>44939.646527777775</v>
      </c>
      <c r="S507" s="26">
        <v>44974.629861111112</v>
      </c>
      <c r="T507" s="28">
        <v>0</v>
      </c>
      <c r="U507" s="28">
        <f>Tabla1[[#This Row],[PPTO]]/(1+'Lista Datos'!$B$1)</f>
        <v>0</v>
      </c>
      <c r="V507" s="23"/>
      <c r="W507" s="18" t="s">
        <v>10</v>
      </c>
      <c r="X507" s="102"/>
      <c r="Y507" s="18" t="s">
        <v>146</v>
      </c>
      <c r="Z507" s="18" t="s">
        <v>11</v>
      </c>
      <c r="AA507" s="23"/>
      <c r="AB507" s="23"/>
      <c r="AC507" s="23"/>
      <c r="AD507" s="23"/>
      <c r="AE507" s="29">
        <f>Tabla1[[#This Row],[Cierre]]+Tabla1[[#This Row],[Vigencia Oferta (días)]]</f>
        <v>44942.625694444447</v>
      </c>
      <c r="AF507" s="87"/>
      <c r="AG507" s="28"/>
      <c r="AH507" s="164">
        <f>Tabla1[[#This Row],[Unidades2]]*Tabla1[[#This Row],[Precio Unitario]]</f>
        <v>0</v>
      </c>
      <c r="AI507" s="23" t="s">
        <v>320</v>
      </c>
      <c r="AJ507" s="26"/>
      <c r="AK507" s="172">
        <f>Tabla1[[#This Row],[Fecha Vigencia]]-AJ507</f>
        <v>44942.625694444447</v>
      </c>
      <c r="AL507" s="23"/>
      <c r="AM507" s="87"/>
      <c r="AN507" s="23"/>
      <c r="AO507" s="29"/>
      <c r="AP507" s="23" t="s">
        <v>177</v>
      </c>
      <c r="AQ507" s="34" t="s">
        <v>2715</v>
      </c>
      <c r="AR507" s="23" t="s">
        <v>10</v>
      </c>
      <c r="AS507" s="23"/>
      <c r="AT507" s="23"/>
      <c r="AU507" s="23"/>
      <c r="AV507" s="23"/>
      <c r="AW507" s="23" t="s">
        <v>2716</v>
      </c>
      <c r="AX507" t="s">
        <v>2717</v>
      </c>
      <c r="AY507" s="23"/>
      <c r="AZ507" s="23"/>
      <c r="BA507" s="23"/>
      <c r="BB507" s="32"/>
      <c r="BC507" s="73"/>
    </row>
    <row r="508" spans="1:55" x14ac:dyDescent="0.25">
      <c r="A508" s="22" t="s">
        <v>2718</v>
      </c>
      <c r="B508" s="23" t="s">
        <v>2719</v>
      </c>
      <c r="C508" s="23" t="s">
        <v>2720</v>
      </c>
      <c r="D508" s="34" t="s">
        <v>2721</v>
      </c>
      <c r="E508" s="24" t="s">
        <v>2722</v>
      </c>
      <c r="F508" s="25">
        <v>1</v>
      </c>
      <c r="G508" s="23" t="s">
        <v>21</v>
      </c>
      <c r="H508" s="23" t="s">
        <v>106</v>
      </c>
      <c r="I508" s="2">
        <v>44937.715150462966</v>
      </c>
      <c r="J508" s="24">
        <f>MONTH(Tabla1[[#This Row],[Publicación]])</f>
        <v>1</v>
      </c>
      <c r="K508" s="24">
        <f>YEAR(Tabla1[[#This Row],[Publicación]])</f>
        <v>2023</v>
      </c>
      <c r="L508" s="2">
        <v>44949.730555555558</v>
      </c>
      <c r="M508" s="26">
        <v>44938</v>
      </c>
      <c r="N508" s="25" t="s">
        <v>11</v>
      </c>
      <c r="O508" s="24"/>
      <c r="P508" s="24" t="s">
        <v>11</v>
      </c>
      <c r="Q508" s="2">
        <v>44940.870138888888</v>
      </c>
      <c r="R508" s="2">
        <v>44943.870138888888</v>
      </c>
      <c r="S508" s="26">
        <v>44960.731249999997</v>
      </c>
      <c r="T508" s="28">
        <v>8850000</v>
      </c>
      <c r="U508" s="28">
        <f>Tabla1[[#This Row],[PPTO]]/(1+'Lista Datos'!$B$1)</f>
        <v>7436974.7899159668</v>
      </c>
      <c r="V508" s="23"/>
      <c r="W508" s="18" t="s">
        <v>10</v>
      </c>
      <c r="X508" s="102"/>
      <c r="Y508" s="18" t="s">
        <v>146</v>
      </c>
      <c r="Z508" s="18" t="s">
        <v>10</v>
      </c>
      <c r="AA508" s="23" t="s">
        <v>512</v>
      </c>
      <c r="AB508" s="23"/>
      <c r="AC508" s="23" t="s">
        <v>10</v>
      </c>
      <c r="AD508" s="23"/>
      <c r="AE508" s="29">
        <f>Tabla1[[#This Row],[Cierre]]+Tabla1[[#This Row],[Vigencia Oferta (días)]]</f>
        <v>44949.730555555558</v>
      </c>
      <c r="AF508" s="87"/>
      <c r="AG508" s="28"/>
      <c r="AH508" s="164">
        <f>Tabla1[[#This Row],[Unidades2]]*Tabla1[[#This Row],[Precio Unitario]]</f>
        <v>0</v>
      </c>
      <c r="AI508" s="23" t="s">
        <v>385</v>
      </c>
      <c r="AJ508" s="26"/>
      <c r="AK508" s="172">
        <f>Tabla1[[#This Row],[Fecha Vigencia]]-AJ508</f>
        <v>44949.730555555558</v>
      </c>
      <c r="AL508" s="23"/>
      <c r="AM508" s="87"/>
      <c r="AN508" s="23"/>
      <c r="AO508" s="29"/>
      <c r="AP508" s="23" t="s">
        <v>292</v>
      </c>
      <c r="AQ508" s="34" t="s">
        <v>2723</v>
      </c>
      <c r="AR508" s="23" t="s">
        <v>10</v>
      </c>
      <c r="AS508" s="23"/>
      <c r="AT508" s="23"/>
      <c r="AU508" s="23"/>
      <c r="AV508" s="23"/>
      <c r="AW508" s="23" t="s">
        <v>2724</v>
      </c>
      <c r="AX508" t="s">
        <v>2725</v>
      </c>
      <c r="AY508" s="23"/>
      <c r="AZ508" s="23"/>
      <c r="BA508" s="23"/>
      <c r="BB508" s="32"/>
      <c r="BC508" s="73"/>
    </row>
    <row r="509" spans="1:55" x14ac:dyDescent="0.25">
      <c r="A509" s="22" t="s">
        <v>2726</v>
      </c>
      <c r="B509" s="23" t="s">
        <v>2727</v>
      </c>
      <c r="C509" s="23" t="s">
        <v>2728</v>
      </c>
      <c r="D509" s="34" t="s">
        <v>2729</v>
      </c>
      <c r="E509" s="24"/>
      <c r="F509" s="25"/>
      <c r="G509" s="23" t="s">
        <v>16</v>
      </c>
      <c r="H509" s="23" t="s">
        <v>1983</v>
      </c>
      <c r="I509" s="2">
        <v>44936.691666666666</v>
      </c>
      <c r="J509" s="24">
        <f>MONTH(Tabla1[[#This Row],[Publicación]])</f>
        <v>1</v>
      </c>
      <c r="K509" s="24">
        <f>YEAR(Tabla1[[#This Row],[Publicación]])</f>
        <v>2023</v>
      </c>
      <c r="L509" s="2">
        <v>44942.640277777777</v>
      </c>
      <c r="M509" s="26">
        <v>44938</v>
      </c>
      <c r="N509" s="25" t="s">
        <v>10</v>
      </c>
      <c r="O509" s="24" t="s">
        <v>27</v>
      </c>
      <c r="P509" s="24" t="s">
        <v>10</v>
      </c>
      <c r="Q509" s="2">
        <v>44938.59097222222</v>
      </c>
      <c r="R509" s="2">
        <v>44939.674305555556</v>
      </c>
      <c r="S509" s="26">
        <v>44942.645833333336</v>
      </c>
      <c r="T509" s="28">
        <v>0</v>
      </c>
      <c r="U509" s="28">
        <f>Tabla1[[#This Row],[PPTO]]/(1+'Lista Datos'!$B$1)</f>
        <v>0</v>
      </c>
      <c r="V509" s="23"/>
      <c r="W509" s="18" t="s">
        <v>10</v>
      </c>
      <c r="X509" s="102"/>
      <c r="Y509" s="18" t="s">
        <v>146</v>
      </c>
      <c r="Z509" s="18" t="s">
        <v>10</v>
      </c>
      <c r="AA509" s="23"/>
      <c r="AB509" s="23"/>
      <c r="AC509" s="23"/>
      <c r="AD509" s="23"/>
      <c r="AE509" s="29">
        <f>Tabla1[[#This Row],[Cierre]]+Tabla1[[#This Row],[Vigencia Oferta (días)]]</f>
        <v>44942.640277777777</v>
      </c>
      <c r="AF509" s="87"/>
      <c r="AG509" s="28"/>
      <c r="AH509" s="164">
        <f>Tabla1[[#This Row],[Unidades2]]*Tabla1[[#This Row],[Precio Unitario]]</f>
        <v>0</v>
      </c>
      <c r="AI509" s="23" t="s">
        <v>44</v>
      </c>
      <c r="AJ509" s="26">
        <v>44949</v>
      </c>
      <c r="AK509" s="172">
        <f>Tabla1[[#This Row],[Fecha Vigencia]]-AJ509</f>
        <v>-6.359722222223354</v>
      </c>
      <c r="AL509" s="23" t="s">
        <v>46</v>
      </c>
      <c r="AM509" s="87">
        <v>3080400</v>
      </c>
      <c r="AN509" s="23"/>
      <c r="AO509" s="29"/>
      <c r="AP509" s="23" t="s">
        <v>292</v>
      </c>
      <c r="AQ509" s="34" t="s">
        <v>2730</v>
      </c>
      <c r="AR509" s="23" t="s">
        <v>10</v>
      </c>
      <c r="AS509" s="23"/>
      <c r="AT509" s="23"/>
      <c r="AU509" s="23"/>
      <c r="AV509" s="23"/>
      <c r="AW509" s="23" t="s">
        <v>2731</v>
      </c>
      <c r="AX509" t="s">
        <v>2732</v>
      </c>
      <c r="AY509" s="23"/>
      <c r="AZ509" s="23"/>
      <c r="BA509" s="23"/>
      <c r="BB509" s="32"/>
      <c r="BC509" s="73"/>
    </row>
    <row r="510" spans="1:55" ht="11.25" x14ac:dyDescent="0.2">
      <c r="A510" s="22" t="s">
        <v>2733</v>
      </c>
      <c r="B510" s="23" t="s">
        <v>2734</v>
      </c>
      <c r="C510" s="23"/>
      <c r="D510" s="34" t="s">
        <v>2117</v>
      </c>
      <c r="E510" s="24"/>
      <c r="F510" s="25"/>
      <c r="G510" s="23" t="s">
        <v>21</v>
      </c>
      <c r="H510" s="23" t="s">
        <v>106</v>
      </c>
      <c r="I510" s="2">
        <v>44939.733900462961</v>
      </c>
      <c r="J510" s="24">
        <f>MONTH(Tabla1[[#This Row],[Publicación]])</f>
        <v>1</v>
      </c>
      <c r="K510" s="24">
        <f>YEAR(Tabla1[[#This Row],[Publicación]])</f>
        <v>2023</v>
      </c>
      <c r="L510" s="2">
        <v>44945.625</v>
      </c>
      <c r="M510" s="26">
        <v>44939</v>
      </c>
      <c r="N510" s="25" t="s">
        <v>10</v>
      </c>
      <c r="O510" s="24" t="s">
        <v>29</v>
      </c>
      <c r="P510" s="24" t="s">
        <v>10</v>
      </c>
      <c r="Q510" s="2">
        <v>44942.708333333336</v>
      </c>
      <c r="R510" s="2">
        <v>44943.708333333336</v>
      </c>
      <c r="S510" s="26">
        <v>44975.777777777781</v>
      </c>
      <c r="T510" s="28">
        <v>0</v>
      </c>
      <c r="U510" s="28">
        <f>Tabla1[[#This Row],[PPTO]]/(1+'Lista Datos'!$B$1)</f>
        <v>0</v>
      </c>
      <c r="V510" s="23"/>
      <c r="W510" s="18" t="s">
        <v>10</v>
      </c>
      <c r="X510" s="102"/>
      <c r="Y510" s="18"/>
      <c r="Z510" s="18" t="s">
        <v>10</v>
      </c>
      <c r="AA510" s="23"/>
      <c r="AB510" s="23"/>
      <c r="AC510" s="23"/>
      <c r="AD510" s="23"/>
      <c r="AE510" s="29">
        <f>Tabla1[[#This Row],[Cierre]]+Tabla1[[#This Row],[Vigencia Oferta (días)]]</f>
        <v>44945.625</v>
      </c>
      <c r="AF510" s="87"/>
      <c r="AG510" s="28"/>
      <c r="AH510" s="164">
        <f>Tabla1[[#This Row],[Unidades2]]*Tabla1[[#This Row],[Precio Unitario]]</f>
        <v>0</v>
      </c>
      <c r="AI510" s="23" t="s">
        <v>44</v>
      </c>
      <c r="AJ510" s="26">
        <v>44957.542870370373</v>
      </c>
      <c r="AK510" s="172">
        <f>Tabla1[[#This Row],[Fecha Vigencia]]-AJ510</f>
        <v>-11.917870370372839</v>
      </c>
      <c r="AL510" s="23" t="s">
        <v>46</v>
      </c>
      <c r="AM510" s="87">
        <v>4593008</v>
      </c>
      <c r="AN510" s="23"/>
      <c r="AO510" s="29"/>
      <c r="AP510" s="23" t="s">
        <v>292</v>
      </c>
      <c r="AQ510" s="34" t="s">
        <v>2118</v>
      </c>
      <c r="AR510" s="23" t="s">
        <v>10</v>
      </c>
      <c r="AS510" s="23"/>
      <c r="AT510" s="23"/>
      <c r="AU510" s="23"/>
      <c r="AV510" s="23"/>
      <c r="AW510" s="23"/>
      <c r="AX510" s="48"/>
      <c r="AY510" s="23"/>
      <c r="AZ510" s="23"/>
      <c r="BA510" s="23"/>
      <c r="BB510" s="32"/>
      <c r="BC510" s="73"/>
    </row>
    <row r="511" spans="1:55" x14ac:dyDescent="0.25">
      <c r="A511" s="22" t="s">
        <v>2735</v>
      </c>
      <c r="B511" s="23" t="s">
        <v>2736</v>
      </c>
      <c r="C511" s="23" t="s">
        <v>2737</v>
      </c>
      <c r="D511" s="34" t="s">
        <v>2738</v>
      </c>
      <c r="E511" s="24"/>
      <c r="F511" s="25"/>
      <c r="G511" s="23" t="s">
        <v>16</v>
      </c>
      <c r="H511" s="23" t="s">
        <v>213</v>
      </c>
      <c r="I511" s="2">
        <v>44935.447500000002</v>
      </c>
      <c r="J511" s="24">
        <f>MONTH(Tabla1[[#This Row],[Publicación]])</f>
        <v>1</v>
      </c>
      <c r="K511" s="24">
        <f>YEAR(Tabla1[[#This Row],[Publicación]])</f>
        <v>2023</v>
      </c>
      <c r="L511" s="2">
        <v>44945.708333333336</v>
      </c>
      <c r="M511" s="26">
        <v>44942</v>
      </c>
      <c r="N511" s="25" t="s">
        <v>10</v>
      </c>
      <c r="O511" s="24" t="s">
        <v>25</v>
      </c>
      <c r="P511" s="24" t="s">
        <v>10</v>
      </c>
      <c r="Q511" s="2">
        <v>44940.708333333336</v>
      </c>
      <c r="R511" s="2">
        <v>44942.833333333336</v>
      </c>
      <c r="S511" s="26">
        <v>45005.708333333336</v>
      </c>
      <c r="T511" s="28">
        <v>0</v>
      </c>
      <c r="U511" s="28">
        <f>Tabla1[[#This Row],[PPTO]]/(1+'Lista Datos'!$B$1)</f>
        <v>0</v>
      </c>
      <c r="V511" s="23"/>
      <c r="W511" s="18" t="s">
        <v>10</v>
      </c>
      <c r="X511" s="102"/>
      <c r="Y511" s="18" t="s">
        <v>146</v>
      </c>
      <c r="Z511" s="18" t="s">
        <v>10</v>
      </c>
      <c r="AA511" s="23"/>
      <c r="AB511" s="23"/>
      <c r="AC511" s="23"/>
      <c r="AD511" s="23"/>
      <c r="AE511" s="29">
        <f>Tabla1[[#This Row],[Cierre]]+Tabla1[[#This Row],[Vigencia Oferta (días)]]</f>
        <v>44945.708333333336</v>
      </c>
      <c r="AF511" s="87"/>
      <c r="AG511" s="28"/>
      <c r="AH511" s="164">
        <f>Tabla1[[#This Row],[Unidades2]]*Tabla1[[#This Row],[Precio Unitario]]</f>
        <v>0</v>
      </c>
      <c r="AI511" s="23" t="s">
        <v>44</v>
      </c>
      <c r="AJ511" s="26">
        <v>45069.652256944442</v>
      </c>
      <c r="AK511" s="172">
        <f>Tabla1[[#This Row],[Fecha Vigencia]]-AJ511</f>
        <v>-123.94392361110658</v>
      </c>
      <c r="AL511" s="23" t="s">
        <v>46</v>
      </c>
      <c r="AM511" s="87">
        <v>9773071</v>
      </c>
      <c r="AN511" s="23"/>
      <c r="AO511" s="29"/>
      <c r="AP511" s="23" t="s">
        <v>292</v>
      </c>
      <c r="AQ511" s="34" t="s">
        <v>2739</v>
      </c>
      <c r="AR511" s="23" t="s">
        <v>10</v>
      </c>
      <c r="AS511" s="23"/>
      <c r="AT511" s="23"/>
      <c r="AU511" s="23"/>
      <c r="AV511" s="23"/>
      <c r="AW511" s="23" t="s">
        <v>2740</v>
      </c>
      <c r="AX511" t="s">
        <v>2741</v>
      </c>
      <c r="AY511" s="23"/>
      <c r="AZ511" s="23"/>
      <c r="BA511" s="23"/>
      <c r="BB511" s="32"/>
      <c r="BC511" s="73"/>
    </row>
    <row r="512" spans="1:55" x14ac:dyDescent="0.25">
      <c r="A512" s="22" t="s">
        <v>2742</v>
      </c>
      <c r="B512" s="23" t="s">
        <v>2743</v>
      </c>
      <c r="C512" s="23" t="s">
        <v>2744</v>
      </c>
      <c r="D512" s="34" t="s">
        <v>2745</v>
      </c>
      <c r="E512" s="24"/>
      <c r="F512" s="25"/>
      <c r="G512" s="23" t="s">
        <v>16</v>
      </c>
      <c r="H512" s="23" t="s">
        <v>145</v>
      </c>
      <c r="I512" s="2">
        <v>44938.508680555555</v>
      </c>
      <c r="J512" s="24">
        <f>MONTH(Tabla1[[#This Row],[Publicación]])</f>
        <v>1</v>
      </c>
      <c r="K512" s="24">
        <f>YEAR(Tabla1[[#This Row],[Publicación]])</f>
        <v>2023</v>
      </c>
      <c r="L512" s="2">
        <v>44944.666666666664</v>
      </c>
      <c r="M512" s="26">
        <v>44942</v>
      </c>
      <c r="N512" s="25" t="s">
        <v>10</v>
      </c>
      <c r="O512" s="24" t="s">
        <v>34</v>
      </c>
      <c r="P512" s="24" t="s">
        <v>10</v>
      </c>
      <c r="Q512" s="2">
        <v>44942.64166666667</v>
      </c>
      <c r="R512" s="2">
        <v>44943.642361111109</v>
      </c>
      <c r="S512" s="26">
        <v>44945.559027777781</v>
      </c>
      <c r="T512" s="28">
        <v>0</v>
      </c>
      <c r="U512" s="28">
        <f>Tabla1[[#This Row],[PPTO]]/(1+'Lista Datos'!$B$1)</f>
        <v>0</v>
      </c>
      <c r="V512" s="23"/>
      <c r="W512" s="18" t="s">
        <v>10</v>
      </c>
      <c r="X512" s="102"/>
      <c r="Y512" s="18" t="s">
        <v>146</v>
      </c>
      <c r="Z512" s="18" t="s">
        <v>10</v>
      </c>
      <c r="AA512" s="23"/>
      <c r="AB512" s="23"/>
      <c r="AC512" s="23"/>
      <c r="AD512" s="23"/>
      <c r="AE512" s="29">
        <f>Tabla1[[#This Row],[Cierre]]+Tabla1[[#This Row],[Vigencia Oferta (días)]]</f>
        <v>44944.666666666664</v>
      </c>
      <c r="AF512" s="87"/>
      <c r="AG512" s="28"/>
      <c r="AH512" s="164">
        <f>Tabla1[[#This Row],[Unidades2]]*Tabla1[[#This Row],[Precio Unitario]]</f>
        <v>0</v>
      </c>
      <c r="AI512" s="23" t="s">
        <v>44</v>
      </c>
      <c r="AJ512" s="26">
        <v>44946</v>
      </c>
      <c r="AK512" s="172">
        <f>Tabla1[[#This Row],[Fecha Vigencia]]-AJ512</f>
        <v>-1.3333333333357587</v>
      </c>
      <c r="AL512" s="23" t="s">
        <v>45</v>
      </c>
      <c r="AM512" s="87">
        <v>2000000</v>
      </c>
      <c r="AN512" s="23"/>
      <c r="AO512" s="29"/>
      <c r="AP512" s="23" t="s">
        <v>292</v>
      </c>
      <c r="AQ512" s="34" t="s">
        <v>2746</v>
      </c>
      <c r="AR512" s="23" t="s">
        <v>10</v>
      </c>
      <c r="AS512" s="23"/>
      <c r="AT512" s="23"/>
      <c r="AU512" s="23"/>
      <c r="AV512" s="23"/>
      <c r="AW512" s="23" t="s">
        <v>2747</v>
      </c>
      <c r="AX512" t="s">
        <v>2748</v>
      </c>
      <c r="AY512" s="23"/>
      <c r="AZ512" s="23"/>
      <c r="BA512" s="23"/>
      <c r="BB512" s="32"/>
      <c r="BC512" s="73"/>
    </row>
    <row r="513" spans="1:55" x14ac:dyDescent="0.25">
      <c r="A513" s="22" t="s">
        <v>2749</v>
      </c>
      <c r="B513" s="23" t="s">
        <v>2750</v>
      </c>
      <c r="C513" s="23" t="s">
        <v>2751</v>
      </c>
      <c r="D513" s="34" t="s">
        <v>2752</v>
      </c>
      <c r="E513" s="24"/>
      <c r="F513" s="25"/>
      <c r="G513" s="23" t="s">
        <v>16</v>
      </c>
      <c r="H513" s="23" t="s">
        <v>123</v>
      </c>
      <c r="I513" s="2">
        <v>44938.64439814815</v>
      </c>
      <c r="J513" s="24">
        <f>MONTH(Tabla1[[#This Row],[Publicación]])</f>
        <v>1</v>
      </c>
      <c r="K513" s="24">
        <f>YEAR(Tabla1[[#This Row],[Publicación]])</f>
        <v>2023</v>
      </c>
      <c r="L513" s="2">
        <v>44945.625</v>
      </c>
      <c r="M513" s="26">
        <v>44942</v>
      </c>
      <c r="N513" s="25" t="s">
        <v>10</v>
      </c>
      <c r="O513" s="24" t="s">
        <v>33</v>
      </c>
      <c r="P513" s="24" t="s">
        <v>10</v>
      </c>
      <c r="Q513" s="2">
        <v>44942.729166666664</v>
      </c>
      <c r="R513" s="2">
        <v>44943.729166666664</v>
      </c>
      <c r="S513" s="26">
        <v>44985.729166666664</v>
      </c>
      <c r="T513" s="28">
        <v>0</v>
      </c>
      <c r="U513" s="28">
        <f>Tabla1[[#This Row],[PPTO]]/(1+'Lista Datos'!$B$1)</f>
        <v>0</v>
      </c>
      <c r="V513" s="23"/>
      <c r="W513" s="18" t="s">
        <v>10</v>
      </c>
      <c r="X513" s="102"/>
      <c r="Y513" s="18" t="s">
        <v>146</v>
      </c>
      <c r="Z513" s="18" t="s">
        <v>10</v>
      </c>
      <c r="AA513" s="23"/>
      <c r="AB513" s="23"/>
      <c r="AC513" s="23"/>
      <c r="AD513" s="23"/>
      <c r="AE513" s="29">
        <f>Tabla1[[#This Row],[Cierre]]+Tabla1[[#This Row],[Vigencia Oferta (días)]]</f>
        <v>44945.625</v>
      </c>
      <c r="AF513" s="87"/>
      <c r="AG513" s="28"/>
      <c r="AH513" s="164">
        <f>Tabla1[[#This Row],[Unidades2]]*Tabla1[[#This Row],[Precio Unitario]]</f>
        <v>0</v>
      </c>
      <c r="AI513" s="23" t="s">
        <v>44</v>
      </c>
      <c r="AJ513" s="26">
        <v>45033.463726851849</v>
      </c>
      <c r="AK513" s="172">
        <f>Tabla1[[#This Row],[Fecha Vigencia]]-AJ513</f>
        <v>-87.83872685184906</v>
      </c>
      <c r="AL513" s="23" t="s">
        <v>45</v>
      </c>
      <c r="AM513" s="87">
        <v>67548</v>
      </c>
      <c r="AN513" s="23"/>
      <c r="AO513" s="29"/>
      <c r="AP513" s="23" t="s">
        <v>177</v>
      </c>
      <c r="AQ513" s="34" t="s">
        <v>2753</v>
      </c>
      <c r="AR513" s="23" t="s">
        <v>10</v>
      </c>
      <c r="AS513" s="23"/>
      <c r="AT513" s="23"/>
      <c r="AU513" s="23"/>
      <c r="AV513" s="23"/>
      <c r="AW513" s="23" t="s">
        <v>2754</v>
      </c>
      <c r="AX513" t="s">
        <v>2755</v>
      </c>
      <c r="AY513" s="23"/>
      <c r="AZ513" s="23"/>
      <c r="BA513" s="23"/>
      <c r="BB513" s="32"/>
      <c r="BC513" s="73"/>
    </row>
    <row r="514" spans="1:55" x14ac:dyDescent="0.25">
      <c r="A514" s="22" t="s">
        <v>2756</v>
      </c>
      <c r="B514" s="23" t="s">
        <v>2757</v>
      </c>
      <c r="C514" s="23" t="s">
        <v>2758</v>
      </c>
      <c r="D514" s="34" t="s">
        <v>1092</v>
      </c>
      <c r="E514" s="24"/>
      <c r="F514" s="25"/>
      <c r="G514" s="23" t="s">
        <v>16</v>
      </c>
      <c r="H514" s="23" t="s">
        <v>123</v>
      </c>
      <c r="I514" s="2">
        <v>44931.659826388888</v>
      </c>
      <c r="J514" s="24">
        <f>MONTH(Tabla1[[#This Row],[Publicación]])</f>
        <v>1</v>
      </c>
      <c r="K514" s="24">
        <f>YEAR(Tabla1[[#This Row],[Publicación]])</f>
        <v>2023</v>
      </c>
      <c r="L514" s="2">
        <v>44942.631249999999</v>
      </c>
      <c r="M514" s="26">
        <v>44942</v>
      </c>
      <c r="N514" s="25" t="s">
        <v>10</v>
      </c>
      <c r="O514" s="24" t="s">
        <v>33</v>
      </c>
      <c r="P514" s="24" t="s">
        <v>10</v>
      </c>
      <c r="Q514" s="2">
        <v>44937.822222222225</v>
      </c>
      <c r="R514" s="2">
        <v>44939.822222222225</v>
      </c>
      <c r="S514" s="26">
        <v>44950.681250000001</v>
      </c>
      <c r="T514" s="28">
        <v>0</v>
      </c>
      <c r="U514" s="28">
        <f>Tabla1[[#This Row],[PPTO]]/(1+'Lista Datos'!$B$1)</f>
        <v>0</v>
      </c>
      <c r="V514" s="23"/>
      <c r="W514" s="18" t="s">
        <v>10</v>
      </c>
      <c r="X514" s="102"/>
      <c r="Y514" s="18" t="s">
        <v>146</v>
      </c>
      <c r="Z514" s="18" t="s">
        <v>10</v>
      </c>
      <c r="AA514" s="23"/>
      <c r="AB514" s="23"/>
      <c r="AC514" s="23"/>
      <c r="AD514" s="23"/>
      <c r="AE514" s="29">
        <f>Tabla1[[#This Row],[Cierre]]+Tabla1[[#This Row],[Vigencia Oferta (días)]]</f>
        <v>44942.631249999999</v>
      </c>
      <c r="AF514" s="87"/>
      <c r="AG514" s="28"/>
      <c r="AH514" s="164">
        <f>Tabla1[[#This Row],[Unidades2]]*Tabla1[[#This Row],[Precio Unitario]]</f>
        <v>0</v>
      </c>
      <c r="AI514" s="23" t="s">
        <v>44</v>
      </c>
      <c r="AJ514" s="26">
        <v>44957.66642361111</v>
      </c>
      <c r="AK514" s="172">
        <f>Tabla1[[#This Row],[Fecha Vigencia]]-AJ514</f>
        <v>-15.035173611111531</v>
      </c>
      <c r="AL514" s="23" t="s">
        <v>45</v>
      </c>
      <c r="AM514" s="87">
        <v>8321711</v>
      </c>
      <c r="AN514" s="23"/>
      <c r="AO514" s="29"/>
      <c r="AP514" s="23" t="s">
        <v>177</v>
      </c>
      <c r="AQ514" s="34" t="s">
        <v>1093</v>
      </c>
      <c r="AR514" s="23" t="s">
        <v>11</v>
      </c>
      <c r="AS514" s="33">
        <v>0.05</v>
      </c>
      <c r="AT514" s="29">
        <v>45688</v>
      </c>
      <c r="AU514" s="23"/>
      <c r="AV514" s="23"/>
      <c r="AW514" s="23" t="s">
        <v>1094</v>
      </c>
      <c r="AX514" t="s">
        <v>2759</v>
      </c>
      <c r="AY514" s="23"/>
      <c r="AZ514" s="23"/>
      <c r="BA514" s="23"/>
      <c r="BB514" s="32"/>
      <c r="BC514" s="73"/>
    </row>
    <row r="515" spans="1:55" x14ac:dyDescent="0.25">
      <c r="A515" s="22" t="s">
        <v>2760</v>
      </c>
      <c r="B515" s="23" t="s">
        <v>2761</v>
      </c>
      <c r="C515" s="23" t="s">
        <v>2762</v>
      </c>
      <c r="D515" s="34" t="s">
        <v>198</v>
      </c>
      <c r="E515" s="24"/>
      <c r="F515" s="25"/>
      <c r="G515" s="23" t="s">
        <v>21</v>
      </c>
      <c r="H515" s="23" t="s">
        <v>106</v>
      </c>
      <c r="I515" s="2">
        <v>44938.509814814817</v>
      </c>
      <c r="J515" s="24">
        <f>MONTH(Tabla1[[#This Row],[Publicación]])</f>
        <v>1</v>
      </c>
      <c r="K515" s="24">
        <f>YEAR(Tabla1[[#This Row],[Publicación]])</f>
        <v>2023</v>
      </c>
      <c r="L515" s="2">
        <v>44953.5</v>
      </c>
      <c r="M515" s="26">
        <v>44942</v>
      </c>
      <c r="N515" s="25" t="s">
        <v>10</v>
      </c>
      <c r="O515" s="24" t="s">
        <v>27</v>
      </c>
      <c r="P515" s="24" t="s">
        <v>10</v>
      </c>
      <c r="Q515" s="2">
        <v>44943.5</v>
      </c>
      <c r="R515" s="2">
        <v>44945.75</v>
      </c>
      <c r="S515" s="26">
        <v>45016.731944444444</v>
      </c>
      <c r="T515" s="28">
        <v>0</v>
      </c>
      <c r="U515" s="28">
        <f>Tabla1[[#This Row],[PPTO]]/(1+'Lista Datos'!$B$1)</f>
        <v>0</v>
      </c>
      <c r="V515" s="23"/>
      <c r="W515" s="18" t="s">
        <v>10</v>
      </c>
      <c r="X515" s="102"/>
      <c r="Y515" s="18" t="s">
        <v>146</v>
      </c>
      <c r="Z515" s="18" t="s">
        <v>10</v>
      </c>
      <c r="AA515" s="23"/>
      <c r="AB515" s="23"/>
      <c r="AC515" s="23"/>
      <c r="AD515" s="23"/>
      <c r="AE515" s="29">
        <f>Tabla1[[#This Row],[Cierre]]+Tabla1[[#This Row],[Vigencia Oferta (días)]]</f>
        <v>44953.5</v>
      </c>
      <c r="AF515" s="87"/>
      <c r="AG515" s="28"/>
      <c r="AH515" s="164">
        <f>Tabla1[[#This Row],[Unidades2]]*Tabla1[[#This Row],[Precio Unitario]]</f>
        <v>0</v>
      </c>
      <c r="AI515" s="23" t="s">
        <v>44</v>
      </c>
      <c r="AJ515" s="26">
        <v>45016.641898148147</v>
      </c>
      <c r="AK515" s="172">
        <f>Tabla1[[#This Row],[Fecha Vigencia]]-AJ515</f>
        <v>-63.141898148147448</v>
      </c>
      <c r="AL515" s="23" t="s">
        <v>46</v>
      </c>
      <c r="AM515" s="87">
        <v>14192297</v>
      </c>
      <c r="AN515" s="23"/>
      <c r="AO515" s="29"/>
      <c r="AP515" s="23" t="s">
        <v>292</v>
      </c>
      <c r="AQ515" s="34" t="s">
        <v>199</v>
      </c>
      <c r="AR515" s="23" t="s">
        <v>11</v>
      </c>
      <c r="AS515" s="33">
        <v>0.1</v>
      </c>
      <c r="AT515" s="29">
        <v>45166</v>
      </c>
      <c r="AU515" s="23"/>
      <c r="AV515" s="23"/>
      <c r="AW515" s="23" t="s">
        <v>2169</v>
      </c>
      <c r="AX515" t="s">
        <v>201</v>
      </c>
      <c r="AY515" s="23"/>
      <c r="AZ515" s="23"/>
      <c r="BA515" s="23"/>
      <c r="BB515" s="32"/>
      <c r="BC515" s="73"/>
    </row>
    <row r="516" spans="1:55" x14ac:dyDescent="0.25">
      <c r="A516" s="22" t="s">
        <v>2763</v>
      </c>
      <c r="B516" s="23" t="s">
        <v>1797</v>
      </c>
      <c r="C516" s="23" t="s">
        <v>1798</v>
      </c>
      <c r="D516" s="34" t="s">
        <v>2675</v>
      </c>
      <c r="E516" s="24"/>
      <c r="F516" s="25"/>
      <c r="G516" s="23" t="s">
        <v>16</v>
      </c>
      <c r="H516" s="23" t="s">
        <v>533</v>
      </c>
      <c r="I516" s="2">
        <v>44944.56858796296</v>
      </c>
      <c r="J516" s="24">
        <f>MONTH(Tabla1[[#This Row],[Publicación]])</f>
        <v>1</v>
      </c>
      <c r="K516" s="24">
        <f>YEAR(Tabla1[[#This Row],[Publicación]])</f>
        <v>2023</v>
      </c>
      <c r="L516" s="2">
        <v>44964.642361111109</v>
      </c>
      <c r="M516" s="26">
        <v>44946</v>
      </c>
      <c r="N516" s="25" t="s">
        <v>10</v>
      </c>
      <c r="O516" s="24" t="s">
        <v>33</v>
      </c>
      <c r="P516" s="24" t="s">
        <v>10</v>
      </c>
      <c r="Q516" s="2">
        <v>44949.645833333336</v>
      </c>
      <c r="R516" s="2">
        <v>44956.701388888891</v>
      </c>
      <c r="S516" s="26">
        <v>45005.701388888891</v>
      </c>
      <c r="T516" s="28">
        <v>0</v>
      </c>
      <c r="U516" s="28">
        <f>Tabla1[[#This Row],[PPTO]]/(1+'Lista Datos'!$B$1)</f>
        <v>0</v>
      </c>
      <c r="V516" s="23"/>
      <c r="W516" s="18" t="s">
        <v>11</v>
      </c>
      <c r="X516" s="102">
        <v>250000</v>
      </c>
      <c r="Y516" s="26">
        <v>45145</v>
      </c>
      <c r="Z516" s="18" t="s">
        <v>10</v>
      </c>
      <c r="AA516" s="23"/>
      <c r="AB516" s="23"/>
      <c r="AC516" s="23"/>
      <c r="AD516" s="23"/>
      <c r="AE516" s="29">
        <f>Tabla1[[#This Row],[Cierre]]+Tabla1[[#This Row],[Vigencia Oferta (días)]]</f>
        <v>44964.642361111109</v>
      </c>
      <c r="AF516" s="87"/>
      <c r="AG516" s="28"/>
      <c r="AH516" s="164">
        <f>Tabla1[[#This Row],[Unidades2]]*Tabla1[[#This Row],[Precio Unitario]]</f>
        <v>0</v>
      </c>
      <c r="AI516" s="23" t="s">
        <v>44</v>
      </c>
      <c r="AJ516" s="26">
        <v>45034.662499999999</v>
      </c>
      <c r="AK516" s="172">
        <f>Tabla1[[#This Row],[Fecha Vigencia]]-AJ516</f>
        <v>-70.020138888889051</v>
      </c>
      <c r="AL516" s="23" t="s">
        <v>191</v>
      </c>
      <c r="AM516" s="87">
        <v>63390691</v>
      </c>
      <c r="AN516" s="23"/>
      <c r="AO516" s="29"/>
      <c r="AP516" s="23" t="s">
        <v>177</v>
      </c>
      <c r="AQ516" s="34" t="s">
        <v>1230</v>
      </c>
      <c r="AR516" s="23" t="s">
        <v>11</v>
      </c>
      <c r="AS516" s="33">
        <v>0.1</v>
      </c>
      <c r="AT516" s="29">
        <v>45828</v>
      </c>
      <c r="AU516" s="23"/>
      <c r="AV516" s="23"/>
      <c r="AW516" s="23" t="s">
        <v>1231</v>
      </c>
      <c r="AX516" t="s">
        <v>1232</v>
      </c>
      <c r="AY516" s="23"/>
      <c r="AZ516" s="23"/>
      <c r="BA516" s="23"/>
      <c r="BB516" s="32"/>
      <c r="BC516" s="73"/>
    </row>
    <row r="517" spans="1:55" x14ac:dyDescent="0.25">
      <c r="A517" s="22" t="s">
        <v>2764</v>
      </c>
      <c r="B517" s="23" t="s">
        <v>2765</v>
      </c>
      <c r="C517" s="23" t="s">
        <v>2766</v>
      </c>
      <c r="D517" s="34" t="s">
        <v>2767</v>
      </c>
      <c r="E517" s="24"/>
      <c r="F517" s="25"/>
      <c r="G517" s="23" t="s">
        <v>21</v>
      </c>
      <c r="H517" s="23" t="s">
        <v>106</v>
      </c>
      <c r="I517" s="2">
        <v>44944.5159375</v>
      </c>
      <c r="J517" s="24">
        <f>MONTH(Tabla1[[#This Row],[Publicación]])</f>
        <v>1</v>
      </c>
      <c r="K517" s="24">
        <f>YEAR(Tabla1[[#This Row],[Publicación]])</f>
        <v>2023</v>
      </c>
      <c r="L517" s="2">
        <v>44951.5</v>
      </c>
      <c r="M517" s="26">
        <v>44946</v>
      </c>
      <c r="N517" s="25" t="s">
        <v>10</v>
      </c>
      <c r="O517" s="24" t="s">
        <v>27</v>
      </c>
      <c r="P517" s="24" t="s">
        <v>10</v>
      </c>
      <c r="Q517" s="2">
        <v>44946.5</v>
      </c>
      <c r="R517" s="2">
        <v>44949.5</v>
      </c>
      <c r="S517" s="26">
        <v>44965.708333333336</v>
      </c>
      <c r="T517" s="28">
        <v>0</v>
      </c>
      <c r="U517" s="28">
        <f>Tabla1[[#This Row],[PPTO]]/(1+'Lista Datos'!$B$1)</f>
        <v>0</v>
      </c>
      <c r="V517" s="23">
        <v>30</v>
      </c>
      <c r="W517" s="18" t="s">
        <v>10</v>
      </c>
      <c r="X517" s="102"/>
      <c r="Y517" s="18" t="s">
        <v>146</v>
      </c>
      <c r="Z517" s="18" t="s">
        <v>10</v>
      </c>
      <c r="AA517" s="23" t="s">
        <v>512</v>
      </c>
      <c r="AB517" s="23"/>
      <c r="AC517" s="23" t="s">
        <v>10</v>
      </c>
      <c r="AD517" s="23"/>
      <c r="AE517" s="29">
        <f>Tabla1[[#This Row],[Cierre]]+Tabla1[[#This Row],[Vigencia Oferta (días)]]</f>
        <v>44951.5</v>
      </c>
      <c r="AF517" s="87">
        <v>10</v>
      </c>
      <c r="AG517" s="28"/>
      <c r="AH517" s="164">
        <f>Tabla1[[#This Row],[Unidades2]]*Tabla1[[#This Row],[Precio Unitario]]</f>
        <v>0</v>
      </c>
      <c r="AI517" s="23" t="s">
        <v>44</v>
      </c>
      <c r="AJ517" s="26">
        <v>44972.751087962963</v>
      </c>
      <c r="AK517" s="172">
        <f>Tabla1[[#This Row],[Fecha Vigencia]]-AJ517</f>
        <v>-21.251087962962629</v>
      </c>
      <c r="AL517" s="23" t="s">
        <v>46</v>
      </c>
      <c r="AM517" s="87">
        <v>375000</v>
      </c>
      <c r="AN517" s="23"/>
      <c r="AO517" s="29"/>
      <c r="AP517" s="23" t="s">
        <v>292</v>
      </c>
      <c r="AQ517" s="34" t="s">
        <v>971</v>
      </c>
      <c r="AR517" s="23" t="s">
        <v>10</v>
      </c>
      <c r="AS517" s="23"/>
      <c r="AT517" s="23"/>
      <c r="AU517" s="23"/>
      <c r="AV517" s="23"/>
      <c r="AW517" s="23" t="s">
        <v>2044</v>
      </c>
      <c r="AX517" t="s">
        <v>2045</v>
      </c>
      <c r="AY517" s="23"/>
      <c r="AZ517" s="23"/>
      <c r="BA517" s="23"/>
      <c r="BB517" s="32"/>
      <c r="BC517" s="73"/>
    </row>
    <row r="518" spans="1:55" ht="11.25" x14ac:dyDescent="0.2">
      <c r="A518" s="36" t="s">
        <v>2768</v>
      </c>
      <c r="B518" s="37" t="s">
        <v>2769</v>
      </c>
      <c r="C518" s="37"/>
      <c r="D518" s="55" t="s">
        <v>558</v>
      </c>
      <c r="E518" s="38"/>
      <c r="F518" s="39"/>
      <c r="G518" s="37" t="s">
        <v>16</v>
      </c>
      <c r="H518" s="37" t="s">
        <v>2349</v>
      </c>
      <c r="I518" s="2">
        <v>44943.474999999999</v>
      </c>
      <c r="J518" s="24">
        <f>MONTH(Tabla1[[#This Row],[Publicación]])</f>
        <v>1</v>
      </c>
      <c r="K518" s="24">
        <f>YEAR(Tabla1[[#This Row],[Publicación]])</f>
        <v>2023</v>
      </c>
      <c r="L518" s="40">
        <v>44952.625</v>
      </c>
      <c r="M518" s="41"/>
      <c r="N518" s="39" t="s">
        <v>10</v>
      </c>
      <c r="O518" s="38" t="s">
        <v>33</v>
      </c>
      <c r="P518" s="24" t="s">
        <v>10</v>
      </c>
      <c r="Q518" s="40">
        <v>44943.474999999999</v>
      </c>
      <c r="R518" s="40">
        <v>44949.593055555553</v>
      </c>
      <c r="S518" s="41">
        <v>44967.593055555553</v>
      </c>
      <c r="T518" s="28">
        <v>2470760</v>
      </c>
      <c r="U518" s="28">
        <f>Tabla1[[#This Row],[PPTO]]/(1+'Lista Datos'!$B$1)</f>
        <v>2076268.9075630254</v>
      </c>
      <c r="V518" s="37"/>
      <c r="W518" s="19" t="s">
        <v>10</v>
      </c>
      <c r="X518" s="112" t="s">
        <v>10</v>
      </c>
      <c r="Y518" s="19" t="s">
        <v>146</v>
      </c>
      <c r="Z518" s="19" t="s">
        <v>10</v>
      </c>
      <c r="AA518" s="37" t="s">
        <v>177</v>
      </c>
      <c r="AB518" s="37">
        <v>4</v>
      </c>
      <c r="AC518" s="37"/>
      <c r="AD518" s="37"/>
      <c r="AE518" s="29">
        <f>Tabla1[[#This Row],[Cierre]]+Tabla1[[#This Row],[Vigencia Oferta (días)]]</f>
        <v>44952.625</v>
      </c>
      <c r="AF518" s="88"/>
      <c r="AG518" s="43"/>
      <c r="AH518" s="164">
        <f>Tabla1[[#This Row],[Unidades2]]*Tabla1[[#This Row],[Precio Unitario]]</f>
        <v>0</v>
      </c>
      <c r="AI518" s="37" t="s">
        <v>44</v>
      </c>
      <c r="AJ518" s="41">
        <v>44966</v>
      </c>
      <c r="AK518" s="172">
        <f>Tabla1[[#This Row],[Fecha Vigencia]]-AJ518</f>
        <v>-13.375</v>
      </c>
      <c r="AL518" s="37" t="s">
        <v>45</v>
      </c>
      <c r="AM518" s="88">
        <v>2470760</v>
      </c>
      <c r="AN518" s="50">
        <v>44966</v>
      </c>
      <c r="AO518" s="50">
        <v>45055</v>
      </c>
      <c r="AP518" s="37" t="s">
        <v>292</v>
      </c>
      <c r="AQ518" s="55"/>
      <c r="AR518" s="37" t="s">
        <v>10</v>
      </c>
      <c r="AS518" s="37"/>
      <c r="AT518" s="37"/>
      <c r="AU518" s="37"/>
      <c r="AV518" s="37"/>
      <c r="AW518" s="37"/>
      <c r="AX518" s="37"/>
      <c r="AY518" s="37"/>
      <c r="AZ518" s="37"/>
      <c r="BA518" s="37"/>
      <c r="BB518" s="44"/>
      <c r="BC518" s="73"/>
    </row>
    <row r="519" spans="1:55" ht="11.25" x14ac:dyDescent="0.2">
      <c r="A519" s="22" t="s">
        <v>2770</v>
      </c>
      <c r="B519" s="23" t="s">
        <v>2771</v>
      </c>
      <c r="C519" s="23" t="s">
        <v>2772</v>
      </c>
      <c r="D519" s="34" t="s">
        <v>175</v>
      </c>
      <c r="E519" s="24"/>
      <c r="F519" s="25"/>
      <c r="G519" s="23" t="s">
        <v>16</v>
      </c>
      <c r="H519" s="23" t="s">
        <v>345</v>
      </c>
      <c r="I519" s="2">
        <v>44945</v>
      </c>
      <c r="J519" s="24">
        <f>MONTH(Tabla1[[#This Row],[Publicación]])</f>
        <v>1</v>
      </c>
      <c r="K519" s="24">
        <f>YEAR(Tabla1[[#This Row],[Publicación]])</f>
        <v>2023</v>
      </c>
      <c r="L519" s="2">
        <v>44977</v>
      </c>
      <c r="M519" s="26">
        <v>44949</v>
      </c>
      <c r="N519" s="25" t="s">
        <v>10</v>
      </c>
      <c r="O519" s="24" t="s">
        <v>26</v>
      </c>
      <c r="P519" s="38" t="s">
        <v>10</v>
      </c>
      <c r="Q519" s="2"/>
      <c r="R519" s="2"/>
      <c r="S519" s="26"/>
      <c r="T519" s="28">
        <v>496944000</v>
      </c>
      <c r="U519" s="28">
        <f>Tabla1[[#This Row],[PPTO]]/(1+'Lista Datos'!$B$1)</f>
        <v>417600000</v>
      </c>
      <c r="V519" s="23"/>
      <c r="W519" s="18" t="s">
        <v>11</v>
      </c>
      <c r="X519" s="102" t="s">
        <v>2773</v>
      </c>
      <c r="Y519" s="26">
        <v>45158</v>
      </c>
      <c r="Z519" s="18" t="s">
        <v>11</v>
      </c>
      <c r="AA519" s="23" t="s">
        <v>177</v>
      </c>
      <c r="AB519" s="23">
        <v>36</v>
      </c>
      <c r="AC519" s="23"/>
      <c r="AD519" s="23"/>
      <c r="AE519" s="29">
        <f>Tabla1[[#This Row],[Cierre]]+Tabla1[[#This Row],[Vigencia Oferta (días)]]</f>
        <v>44977</v>
      </c>
      <c r="AF519" s="87"/>
      <c r="AG519" s="28"/>
      <c r="AH519" s="164">
        <f>Tabla1[[#This Row],[Unidades2]]*Tabla1[[#This Row],[Precio Unitario]]</f>
        <v>0</v>
      </c>
      <c r="AI519" s="23" t="s">
        <v>44</v>
      </c>
      <c r="AJ519" s="26">
        <v>45015</v>
      </c>
      <c r="AK519" s="172">
        <f>Tabla1[[#This Row],[Fecha Vigencia]]-AJ519</f>
        <v>-38</v>
      </c>
      <c r="AL519" s="23" t="s">
        <v>45</v>
      </c>
      <c r="AM519" s="87">
        <v>496944000</v>
      </c>
      <c r="AN519" s="29">
        <v>45015</v>
      </c>
      <c r="AO519" s="29">
        <v>46111</v>
      </c>
      <c r="AP519" s="23" t="s">
        <v>177</v>
      </c>
      <c r="AQ519" s="34"/>
      <c r="AR519" s="23"/>
      <c r="AS519" s="23"/>
      <c r="AT519" s="23"/>
      <c r="AU519" s="23"/>
      <c r="AV519" s="23"/>
      <c r="AW519" s="23"/>
      <c r="AX519" s="23"/>
      <c r="AY519" s="23"/>
      <c r="AZ519" s="23"/>
      <c r="BA519" s="23"/>
      <c r="BB519" s="32"/>
      <c r="BC519" s="73"/>
    </row>
    <row r="520" spans="1:55" ht="11.25" x14ac:dyDescent="0.2">
      <c r="A520" s="22" t="s">
        <v>2774</v>
      </c>
      <c r="B520" s="23" t="s">
        <v>2775</v>
      </c>
      <c r="C520" s="23" t="s">
        <v>2776</v>
      </c>
      <c r="D520" s="34" t="s">
        <v>787</v>
      </c>
      <c r="E520" s="24"/>
      <c r="F520" s="25"/>
      <c r="G520" s="23" t="s">
        <v>16</v>
      </c>
      <c r="H520" s="23" t="s">
        <v>123</v>
      </c>
      <c r="I520" s="2">
        <v>44946</v>
      </c>
      <c r="J520" s="24">
        <f>MONTH(Tabla1[[#This Row],[Publicación]])</f>
        <v>1</v>
      </c>
      <c r="K520" s="24">
        <f>YEAR(Tabla1[[#This Row],[Publicación]])</f>
        <v>2023</v>
      </c>
      <c r="L520" s="2">
        <v>44958</v>
      </c>
      <c r="M520" s="26">
        <v>44949</v>
      </c>
      <c r="N520" s="25" t="s">
        <v>10</v>
      </c>
      <c r="O520" s="24" t="s">
        <v>33</v>
      </c>
      <c r="P520" s="24" t="s">
        <v>10</v>
      </c>
      <c r="Q520" s="2"/>
      <c r="R520" s="2"/>
      <c r="S520" s="26"/>
      <c r="T520" s="28">
        <v>12000000</v>
      </c>
      <c r="U520" s="28">
        <f>Tabla1[[#This Row],[PPTO]]/(1+'Lista Datos'!$B$1)</f>
        <v>10084033.613445379</v>
      </c>
      <c r="V520" s="23"/>
      <c r="W520" s="18"/>
      <c r="X520" s="102"/>
      <c r="Y520" s="18" t="s">
        <v>146</v>
      </c>
      <c r="Z520" s="18"/>
      <c r="AA520" s="23" t="s">
        <v>177</v>
      </c>
      <c r="AB520" s="23">
        <v>12</v>
      </c>
      <c r="AC520" s="23"/>
      <c r="AD520" s="23"/>
      <c r="AE520" s="29">
        <f>Tabla1[[#This Row],[Cierre]]+Tabla1[[#This Row],[Vigencia Oferta (días)]]</f>
        <v>44958</v>
      </c>
      <c r="AF520" s="87"/>
      <c r="AG520" s="28"/>
      <c r="AH520" s="164">
        <f>Tabla1[[#This Row],[Unidades2]]*Tabla1[[#This Row],[Precio Unitario]]</f>
        <v>0</v>
      </c>
      <c r="AI520" s="23" t="s">
        <v>44</v>
      </c>
      <c r="AJ520" s="26">
        <v>44972</v>
      </c>
      <c r="AK520" s="172">
        <f>Tabla1[[#This Row],[Fecha Vigencia]]-AJ520</f>
        <v>-14</v>
      </c>
      <c r="AL520" s="23" t="s">
        <v>46</v>
      </c>
      <c r="AM520" s="87">
        <v>12000000</v>
      </c>
      <c r="AN520" s="29">
        <v>44972</v>
      </c>
      <c r="AO520" s="29">
        <v>45337</v>
      </c>
      <c r="AP520" s="23" t="s">
        <v>177</v>
      </c>
      <c r="AQ520" s="34"/>
      <c r="AR520" s="23"/>
      <c r="AS520" s="23"/>
      <c r="AT520" s="23"/>
      <c r="AU520" s="23"/>
      <c r="AV520" s="23"/>
      <c r="AW520" s="23"/>
      <c r="AX520" s="23"/>
      <c r="AY520" s="23"/>
      <c r="AZ520" s="23"/>
      <c r="BA520" s="23"/>
      <c r="BB520" s="32"/>
      <c r="BC520" s="73"/>
    </row>
    <row r="521" spans="1:55" ht="11.25" x14ac:dyDescent="0.2">
      <c r="A521" s="22" t="s">
        <v>2777</v>
      </c>
      <c r="B521" s="23" t="s">
        <v>2778</v>
      </c>
      <c r="C521" s="23" t="s">
        <v>2779</v>
      </c>
      <c r="D521" s="34" t="s">
        <v>1262</v>
      </c>
      <c r="E521" s="24"/>
      <c r="F521" s="25"/>
      <c r="G521" s="23" t="s">
        <v>21</v>
      </c>
      <c r="H521" s="23" t="s">
        <v>106</v>
      </c>
      <c r="I521" s="2">
        <v>44946</v>
      </c>
      <c r="J521" s="24">
        <f>MONTH(Tabla1[[#This Row],[Publicación]])</f>
        <v>1</v>
      </c>
      <c r="K521" s="24">
        <f>YEAR(Tabla1[[#This Row],[Publicación]])</f>
        <v>2023</v>
      </c>
      <c r="L521" s="2">
        <v>44957</v>
      </c>
      <c r="M521" s="26">
        <v>44949</v>
      </c>
      <c r="N521" s="25" t="s">
        <v>10</v>
      </c>
      <c r="O521" s="24" t="s">
        <v>27</v>
      </c>
      <c r="P521" s="24" t="s">
        <v>10</v>
      </c>
      <c r="Q521" s="2">
        <v>44949.708333333336</v>
      </c>
      <c r="R521" s="2">
        <v>44950.708333333336</v>
      </c>
      <c r="S521" s="26">
        <v>45015.602777777778</v>
      </c>
      <c r="T521" s="28">
        <v>23177021</v>
      </c>
      <c r="U521" s="28">
        <f>Tabla1[[#This Row],[PPTO]]/(1+'Lista Datos'!$B$1)</f>
        <v>19476488.235294119</v>
      </c>
      <c r="V521" s="23"/>
      <c r="W521" s="18" t="s">
        <v>10</v>
      </c>
      <c r="X521" s="102"/>
      <c r="Y521" s="18" t="s">
        <v>146</v>
      </c>
      <c r="Z521" s="18"/>
      <c r="AA521" s="23" t="s">
        <v>512</v>
      </c>
      <c r="AB521" s="23"/>
      <c r="AC521" s="23"/>
      <c r="AD521" s="23"/>
      <c r="AE521" s="29">
        <f>Tabla1[[#This Row],[Cierre]]+Tabla1[[#This Row],[Vigencia Oferta (días)]]</f>
        <v>44957</v>
      </c>
      <c r="AF521" s="87"/>
      <c r="AG521" s="28"/>
      <c r="AH521" s="164">
        <f>Tabla1[[#This Row],[Unidades2]]*Tabla1[[#This Row],[Precio Unitario]]</f>
        <v>0</v>
      </c>
      <c r="AI521" s="23" t="s">
        <v>44</v>
      </c>
      <c r="AJ521" s="26">
        <v>44964</v>
      </c>
      <c r="AK521" s="172">
        <f>Tabla1[[#This Row],[Fecha Vigencia]]-AJ521</f>
        <v>-7</v>
      </c>
      <c r="AL521" s="23" t="s">
        <v>582</v>
      </c>
      <c r="AM521" s="87">
        <v>234500</v>
      </c>
      <c r="AN521" s="23"/>
      <c r="AO521" s="29"/>
      <c r="AP521" s="23" t="s">
        <v>292</v>
      </c>
      <c r="AQ521" s="34"/>
      <c r="AR521" s="23"/>
      <c r="AS521" s="23"/>
      <c r="AT521" s="23"/>
      <c r="AU521" s="23"/>
      <c r="AV521" s="23"/>
      <c r="AW521" s="23"/>
      <c r="AX521" s="23"/>
      <c r="AY521" s="23"/>
      <c r="AZ521" s="23"/>
      <c r="BA521" s="23"/>
      <c r="BB521" s="32"/>
      <c r="BC521" s="73"/>
    </row>
    <row r="522" spans="1:55" ht="11.25" x14ac:dyDescent="0.2">
      <c r="A522" s="36" t="s">
        <v>2780</v>
      </c>
      <c r="B522" s="37" t="s">
        <v>2781</v>
      </c>
      <c r="C522" s="37" t="s">
        <v>2782</v>
      </c>
      <c r="D522" s="55" t="s">
        <v>371</v>
      </c>
      <c r="E522" s="38"/>
      <c r="F522" s="39"/>
      <c r="G522" s="37" t="s">
        <v>16</v>
      </c>
      <c r="H522" s="37" t="s">
        <v>145</v>
      </c>
      <c r="I522" s="2">
        <v>44949.714444444442</v>
      </c>
      <c r="J522" s="24">
        <f>MONTH(Tabla1[[#This Row],[Publicación]])</f>
        <v>1</v>
      </c>
      <c r="K522" s="24">
        <f>YEAR(Tabla1[[#This Row],[Publicación]])</f>
        <v>2023</v>
      </c>
      <c r="L522" s="40">
        <v>44960.625</v>
      </c>
      <c r="M522" s="41">
        <v>44950</v>
      </c>
      <c r="N522" s="39" t="s">
        <v>10</v>
      </c>
      <c r="O522" s="38" t="s">
        <v>31</v>
      </c>
      <c r="P522" s="24" t="s">
        <v>10</v>
      </c>
      <c r="Q522" s="37"/>
      <c r="R522" s="40"/>
      <c r="S522" s="41"/>
      <c r="T522" s="28">
        <v>82317060</v>
      </c>
      <c r="U522" s="28">
        <f>Tabla1[[#This Row],[PPTO]]/(1+'Lista Datos'!$B$1)</f>
        <v>69174000</v>
      </c>
      <c r="V522" s="37"/>
      <c r="W522" s="19"/>
      <c r="X522" s="112"/>
      <c r="Y522" s="19" t="s">
        <v>146</v>
      </c>
      <c r="Z522" s="19" t="s">
        <v>2783</v>
      </c>
      <c r="AA522" s="37" t="s">
        <v>177</v>
      </c>
      <c r="AB522" s="37">
        <v>18</v>
      </c>
      <c r="AC522" s="37"/>
      <c r="AD522" s="37"/>
      <c r="AE522" s="29">
        <f>Tabla1[[#This Row],[Cierre]]+Tabla1[[#This Row],[Vigencia Oferta (días)]]</f>
        <v>44960.625</v>
      </c>
      <c r="AF522" s="88"/>
      <c r="AG522" s="43"/>
      <c r="AH522" s="164">
        <f>Tabla1[[#This Row],[Unidades2]]*Tabla1[[#This Row],[Precio Unitario]]</f>
        <v>0</v>
      </c>
      <c r="AI522" s="37" t="s">
        <v>44</v>
      </c>
      <c r="AJ522" s="41">
        <v>44994</v>
      </c>
      <c r="AK522" s="172">
        <f>Tabla1[[#This Row],[Fecha Vigencia]]-AJ522</f>
        <v>-33.375</v>
      </c>
      <c r="AL522" s="37" t="s">
        <v>45</v>
      </c>
      <c r="AM522" s="88">
        <v>69174000</v>
      </c>
      <c r="AN522" s="50">
        <v>44994</v>
      </c>
      <c r="AO522" s="50">
        <v>45544</v>
      </c>
      <c r="AP522" s="37" t="s">
        <v>177</v>
      </c>
      <c r="AQ522" s="55"/>
      <c r="AR522" s="37"/>
      <c r="AS522" s="37"/>
      <c r="AT522" s="37"/>
      <c r="AU522" s="37"/>
      <c r="AV522" s="37"/>
      <c r="AW522" s="37"/>
      <c r="AX522" s="37"/>
      <c r="AY522" s="37"/>
      <c r="AZ522" s="37"/>
      <c r="BA522" s="37"/>
      <c r="BB522" s="44"/>
      <c r="BC522" s="73"/>
    </row>
    <row r="523" spans="1:55" ht="11.25" x14ac:dyDescent="0.2">
      <c r="A523" s="22" t="s">
        <v>2784</v>
      </c>
      <c r="B523" s="23" t="s">
        <v>2785</v>
      </c>
      <c r="C523" s="23" t="s">
        <v>2786</v>
      </c>
      <c r="D523" s="34" t="s">
        <v>2787</v>
      </c>
      <c r="E523" s="24"/>
      <c r="F523" s="25"/>
      <c r="G523" s="23" t="s">
        <v>15</v>
      </c>
      <c r="H523" s="23" t="s">
        <v>114</v>
      </c>
      <c r="I523" s="2">
        <v>44949.507916666669</v>
      </c>
      <c r="J523" s="24">
        <f>MONTH(Tabla1[[#This Row],[Publicación]])</f>
        <v>1</v>
      </c>
      <c r="K523" s="24">
        <f>YEAR(Tabla1[[#This Row],[Publicación]])</f>
        <v>2023</v>
      </c>
      <c r="L523" s="2">
        <v>44956.625</v>
      </c>
      <c r="M523" s="26">
        <v>44950</v>
      </c>
      <c r="N523" s="25" t="s">
        <v>10</v>
      </c>
      <c r="O523" s="24" t="s">
        <v>33</v>
      </c>
      <c r="P523" s="24" t="s">
        <v>10</v>
      </c>
      <c r="Q523" s="2"/>
      <c r="R523" s="2"/>
      <c r="S523" s="26">
        <v>44958.581689814811</v>
      </c>
      <c r="T523" s="28">
        <v>6070000</v>
      </c>
      <c r="U523" s="28">
        <f>Tabla1[[#This Row],[PPTO]]/(1+'Lista Datos'!$B$1)</f>
        <v>5100840.3361344542</v>
      </c>
      <c r="V523" s="23"/>
      <c r="W523" s="18"/>
      <c r="X523" s="102"/>
      <c r="Y523" s="18" t="s">
        <v>146</v>
      </c>
      <c r="Z523" s="18"/>
      <c r="AA523" s="23" t="s">
        <v>177</v>
      </c>
      <c r="AB523" s="23">
        <v>12</v>
      </c>
      <c r="AC523" s="23"/>
      <c r="AD523" s="23"/>
      <c r="AE523" s="29">
        <f>Tabla1[[#This Row],[Cierre]]+Tabla1[[#This Row],[Vigencia Oferta (días)]]</f>
        <v>44956.625</v>
      </c>
      <c r="AF523" s="87"/>
      <c r="AG523" s="28"/>
      <c r="AH523" s="164">
        <f>Tabla1[[#This Row],[Unidades2]]*Tabla1[[#This Row],[Precio Unitario]]</f>
        <v>0</v>
      </c>
      <c r="AI523" s="23" t="s">
        <v>44</v>
      </c>
      <c r="AJ523" s="26">
        <v>44958</v>
      </c>
      <c r="AK523" s="172">
        <f>Tabla1[[#This Row],[Fecha Vigencia]]-AJ523</f>
        <v>-1.375</v>
      </c>
      <c r="AL523" s="23" t="s">
        <v>46</v>
      </c>
      <c r="AM523" s="87">
        <v>5948810</v>
      </c>
      <c r="AN523" s="29">
        <v>44958</v>
      </c>
      <c r="AO523" s="29">
        <v>45323</v>
      </c>
      <c r="AP523" s="23" t="s">
        <v>177</v>
      </c>
      <c r="AQ523" s="34"/>
      <c r="AR523" s="23"/>
      <c r="AS523" s="23"/>
      <c r="AT523" s="23"/>
      <c r="AU523" s="23"/>
      <c r="AV523" s="23"/>
      <c r="AW523" s="23"/>
      <c r="AX523" s="23"/>
      <c r="AY523" s="23"/>
      <c r="AZ523" s="23"/>
      <c r="BA523" s="23"/>
      <c r="BB523" s="32"/>
      <c r="BC523" s="73"/>
    </row>
    <row r="524" spans="1:55" ht="11.25" x14ac:dyDescent="0.2">
      <c r="A524" s="35" t="s">
        <v>2788</v>
      </c>
      <c r="B524" s="23" t="s">
        <v>2789</v>
      </c>
      <c r="C524" s="23" t="s">
        <v>2790</v>
      </c>
      <c r="D524" s="34" t="s">
        <v>364</v>
      </c>
      <c r="E524" s="24"/>
      <c r="F524" s="25"/>
      <c r="G524" s="23" t="s">
        <v>16</v>
      </c>
      <c r="H524" s="23" t="s">
        <v>1596</v>
      </c>
      <c r="I524" s="2">
        <v>44949.642951388887</v>
      </c>
      <c r="J524" s="24">
        <f>MONTH(Tabla1[[#This Row],[Publicación]])</f>
        <v>1</v>
      </c>
      <c r="K524" s="24">
        <f>YEAR(Tabla1[[#This Row],[Publicación]])</f>
        <v>2023</v>
      </c>
      <c r="L524" s="2">
        <v>44970.645833333336</v>
      </c>
      <c r="M524" s="26">
        <v>44950</v>
      </c>
      <c r="N524" s="25" t="s">
        <v>11</v>
      </c>
      <c r="O524" s="24"/>
      <c r="P524" s="24" t="s">
        <v>11</v>
      </c>
      <c r="Q524" s="45"/>
      <c r="R524" s="2"/>
      <c r="S524" s="26"/>
      <c r="T524" s="28">
        <v>0</v>
      </c>
      <c r="U524" s="28">
        <f>Tabla1[[#This Row],[PPTO]]/(1+'Lista Datos'!$B$1)</f>
        <v>0</v>
      </c>
      <c r="V524" s="23"/>
      <c r="W524" s="18" t="s">
        <v>11</v>
      </c>
      <c r="X524" s="102"/>
      <c r="Y524" s="18" t="s">
        <v>146</v>
      </c>
      <c r="Z524" s="18" t="s">
        <v>10</v>
      </c>
      <c r="AA524" s="23" t="s">
        <v>177</v>
      </c>
      <c r="AB524" s="23">
        <v>36</v>
      </c>
      <c r="AC524" s="23" t="s">
        <v>10</v>
      </c>
      <c r="AD524" s="23"/>
      <c r="AE524" s="29">
        <f>Tabla1[[#This Row],[Cierre]]+Tabla1[[#This Row],[Vigencia Oferta (días)]]</f>
        <v>44970.645833333336</v>
      </c>
      <c r="AF524" s="87"/>
      <c r="AG524" s="28"/>
      <c r="AH524" s="164">
        <f>Tabla1[[#This Row],[Unidades2]]*Tabla1[[#This Row],[Precio Unitario]]</f>
        <v>0</v>
      </c>
      <c r="AI524" s="37" t="s">
        <v>44</v>
      </c>
      <c r="AJ524" s="26">
        <v>44985</v>
      </c>
      <c r="AK524" s="172">
        <f>Tabla1[[#This Row],[Fecha Vigencia]]-AJ524</f>
        <v>-14.354166666664241</v>
      </c>
      <c r="AL524" s="23" t="s">
        <v>115</v>
      </c>
      <c r="AM524" s="87">
        <v>161006506</v>
      </c>
      <c r="AN524" s="29">
        <v>44985</v>
      </c>
      <c r="AO524" s="29">
        <v>46081</v>
      </c>
      <c r="AP524" s="23" t="s">
        <v>177</v>
      </c>
      <c r="AQ524" s="34" t="s">
        <v>365</v>
      </c>
      <c r="AR524" s="23" t="s">
        <v>11</v>
      </c>
      <c r="AS524" s="33">
        <v>0.05</v>
      </c>
      <c r="AT524" s="23" t="s">
        <v>2791</v>
      </c>
      <c r="AU524" s="23" t="s">
        <v>2792</v>
      </c>
      <c r="AV524" s="23" t="s">
        <v>2793</v>
      </c>
      <c r="AW524" s="23" t="s">
        <v>2522</v>
      </c>
      <c r="AX524" s="23" t="s">
        <v>1600</v>
      </c>
      <c r="AY524" s="23"/>
      <c r="AZ524" s="23"/>
      <c r="BA524" s="23"/>
      <c r="BB524" s="32"/>
      <c r="BC524" s="73"/>
    </row>
    <row r="525" spans="1:55" ht="11.25" x14ac:dyDescent="0.2">
      <c r="A525" s="22" t="s">
        <v>2794</v>
      </c>
      <c r="B525" s="23" t="s">
        <v>2795</v>
      </c>
      <c r="C525" s="23" t="s">
        <v>2795</v>
      </c>
      <c r="D525" s="34" t="s">
        <v>2796</v>
      </c>
      <c r="E525" s="24"/>
      <c r="F525" s="25"/>
      <c r="G525" s="23" t="s">
        <v>21</v>
      </c>
      <c r="H525" s="23" t="s">
        <v>106</v>
      </c>
      <c r="I525" s="2">
        <v>44949.615219907406</v>
      </c>
      <c r="J525" s="24">
        <f>MONTH(Tabla1[[#This Row],[Publicación]])</f>
        <v>1</v>
      </c>
      <c r="K525" s="24">
        <f>YEAR(Tabla1[[#This Row],[Publicación]])</f>
        <v>2023</v>
      </c>
      <c r="L525" s="2">
        <v>44959.625</v>
      </c>
      <c r="M525" s="26">
        <v>44950</v>
      </c>
      <c r="N525" s="25" t="s">
        <v>10</v>
      </c>
      <c r="O525" s="24" t="s">
        <v>25</v>
      </c>
      <c r="P525" s="24" t="s">
        <v>10</v>
      </c>
      <c r="Q525" s="2"/>
      <c r="R525" s="2"/>
      <c r="S525" s="26"/>
      <c r="T525" s="28">
        <v>0</v>
      </c>
      <c r="U525" s="28">
        <f>Tabla1[[#This Row],[PPTO]]/(1+'Lista Datos'!$B$1)</f>
        <v>0</v>
      </c>
      <c r="V525" s="23"/>
      <c r="W525" s="18"/>
      <c r="X525" s="102"/>
      <c r="Y525" s="18" t="s">
        <v>146</v>
      </c>
      <c r="Z525" s="18"/>
      <c r="AA525" s="23" t="s">
        <v>512</v>
      </c>
      <c r="AB525" s="23"/>
      <c r="AC525" s="23"/>
      <c r="AD525" s="23"/>
      <c r="AE525" s="29">
        <f>Tabla1[[#This Row],[Cierre]]+Tabla1[[#This Row],[Vigencia Oferta (días)]]</f>
        <v>44959.625</v>
      </c>
      <c r="AF525" s="87"/>
      <c r="AG525" s="28"/>
      <c r="AH525" s="164">
        <f>Tabla1[[#This Row],[Unidades2]]*Tabla1[[#This Row],[Precio Unitario]]</f>
        <v>0</v>
      </c>
      <c r="AI525" s="23" t="s">
        <v>44</v>
      </c>
      <c r="AJ525" s="26">
        <v>44978</v>
      </c>
      <c r="AK525" s="172">
        <f>Tabla1[[#This Row],[Fecha Vigencia]]-AJ525</f>
        <v>-18.375</v>
      </c>
      <c r="AL525" s="23" t="s">
        <v>582</v>
      </c>
      <c r="AM525" s="87">
        <v>294000</v>
      </c>
      <c r="AN525" s="23"/>
      <c r="AO525" s="29"/>
      <c r="AP525" s="23" t="s">
        <v>292</v>
      </c>
      <c r="AQ525" s="34"/>
      <c r="AR525" s="23"/>
      <c r="AS525" s="23"/>
      <c r="AT525" s="23"/>
      <c r="AU525" s="23"/>
      <c r="AV525" s="23"/>
      <c r="AW525" s="23"/>
      <c r="AX525" s="23"/>
      <c r="AY525" s="23"/>
      <c r="AZ525" s="23"/>
      <c r="BA525" s="23"/>
      <c r="BB525" s="32"/>
      <c r="BC525" s="73"/>
    </row>
    <row r="526" spans="1:55" ht="11.25" x14ac:dyDescent="0.2">
      <c r="A526" s="36" t="s">
        <v>2797</v>
      </c>
      <c r="B526" s="37" t="s">
        <v>2798</v>
      </c>
      <c r="C526" s="37" t="s">
        <v>2799</v>
      </c>
      <c r="D526" s="55" t="s">
        <v>2800</v>
      </c>
      <c r="E526" s="38"/>
      <c r="F526" s="39"/>
      <c r="G526" s="37" t="s">
        <v>16</v>
      </c>
      <c r="H526" s="37" t="s">
        <v>145</v>
      </c>
      <c r="I526" s="2">
        <v>44949.480509259258</v>
      </c>
      <c r="J526" s="24">
        <f>MONTH(Tabla1[[#This Row],[Publicación]])</f>
        <v>1</v>
      </c>
      <c r="K526" s="24">
        <f>YEAR(Tabla1[[#This Row],[Publicación]])</f>
        <v>2023</v>
      </c>
      <c r="L526" s="40">
        <v>44959.666666666664</v>
      </c>
      <c r="M526" s="41">
        <v>44950</v>
      </c>
      <c r="N526" s="39" t="s">
        <v>10</v>
      </c>
      <c r="O526" s="38" t="s">
        <v>25</v>
      </c>
      <c r="P526" s="24" t="s">
        <v>10</v>
      </c>
      <c r="Q526" s="37"/>
      <c r="R526" s="40"/>
      <c r="S526" s="41"/>
      <c r="T526" s="28">
        <v>15000000</v>
      </c>
      <c r="U526" s="28">
        <f>Tabla1[[#This Row],[PPTO]]/(1+'Lista Datos'!$B$1)</f>
        <v>12605042.016806724</v>
      </c>
      <c r="V526" s="37"/>
      <c r="W526" s="19"/>
      <c r="X526" s="112"/>
      <c r="Y526" s="19" t="s">
        <v>146</v>
      </c>
      <c r="Z526" s="19"/>
      <c r="AA526" s="37" t="s">
        <v>177</v>
      </c>
      <c r="AB526" s="37">
        <v>24</v>
      </c>
      <c r="AC526" s="37"/>
      <c r="AD526" s="37"/>
      <c r="AE526" s="29">
        <f>Tabla1[[#This Row],[Cierre]]+Tabla1[[#This Row],[Vigencia Oferta (días)]]</f>
        <v>44959.666666666664</v>
      </c>
      <c r="AF526" s="88"/>
      <c r="AG526" s="43"/>
      <c r="AH526" s="164">
        <f>Tabla1[[#This Row],[Unidades2]]*Tabla1[[#This Row],[Precio Unitario]]</f>
        <v>0</v>
      </c>
      <c r="AI526" s="37" t="s">
        <v>44</v>
      </c>
      <c r="AJ526" s="41">
        <v>44980</v>
      </c>
      <c r="AK526" s="172">
        <f>Tabla1[[#This Row],[Fecha Vigencia]]-AJ526</f>
        <v>-20.333333333335759</v>
      </c>
      <c r="AL526" s="37" t="s">
        <v>46</v>
      </c>
      <c r="AM526" s="88">
        <v>15000000</v>
      </c>
      <c r="AN526" s="50">
        <v>44980</v>
      </c>
      <c r="AO526" s="50">
        <v>45473</v>
      </c>
      <c r="AP526" s="37" t="s">
        <v>177</v>
      </c>
      <c r="AQ526" s="55"/>
      <c r="AR526" s="37"/>
      <c r="AS526" s="37"/>
      <c r="AT526" s="37"/>
      <c r="AU526" s="37"/>
      <c r="AV526" s="37"/>
      <c r="AW526" s="37"/>
      <c r="AX526" s="37"/>
      <c r="AY526" s="37"/>
      <c r="AZ526" s="37"/>
      <c r="BA526" s="37"/>
      <c r="BB526" s="44"/>
      <c r="BC526" s="73"/>
    </row>
    <row r="527" spans="1:55" ht="11.25" x14ac:dyDescent="0.2">
      <c r="A527" s="22" t="s">
        <v>2801</v>
      </c>
      <c r="B527" s="23" t="s">
        <v>2802</v>
      </c>
      <c r="C527" s="23" t="s">
        <v>2803</v>
      </c>
      <c r="D527" s="34" t="s">
        <v>1214</v>
      </c>
      <c r="E527" s="24"/>
      <c r="F527" s="25"/>
      <c r="G527" s="23" t="s">
        <v>16</v>
      </c>
      <c r="H527" s="23" t="s">
        <v>910</v>
      </c>
      <c r="I527" s="12">
        <v>44950</v>
      </c>
      <c r="J527" s="24">
        <f>MONTH(Tabla1[[#This Row],[Publicación]])</f>
        <v>1</v>
      </c>
      <c r="K527" s="24">
        <f>YEAR(Tabla1[[#This Row],[Publicación]])</f>
        <v>2023</v>
      </c>
      <c r="L527" s="2">
        <v>44959</v>
      </c>
      <c r="M527" s="26">
        <v>44951</v>
      </c>
      <c r="N527" s="25" t="s">
        <v>10</v>
      </c>
      <c r="O527" s="24" t="s">
        <v>25</v>
      </c>
      <c r="P527" s="46" t="s">
        <v>10</v>
      </c>
      <c r="Q527" s="78"/>
      <c r="R527" s="63"/>
      <c r="S527" s="26"/>
      <c r="T527" s="28">
        <v>7525000</v>
      </c>
      <c r="U527" s="28">
        <f>Tabla1[[#This Row],[PPTO]]/(1+'Lista Datos'!$B$1)</f>
        <v>6323529.4117647065</v>
      </c>
      <c r="V527" s="23"/>
      <c r="W527" s="18"/>
      <c r="X527" s="102"/>
      <c r="Y527" s="18" t="s">
        <v>146</v>
      </c>
      <c r="Z527" s="18"/>
      <c r="AA527" s="23" t="s">
        <v>177</v>
      </c>
      <c r="AB527" s="23">
        <v>12</v>
      </c>
      <c r="AC527" s="23"/>
      <c r="AD527" s="23"/>
      <c r="AE527" s="29">
        <f>Tabla1[[#This Row],[Cierre]]+Tabla1[[#This Row],[Vigencia Oferta (días)]]</f>
        <v>44959</v>
      </c>
      <c r="AF527" s="87"/>
      <c r="AG527" s="28"/>
      <c r="AH527" s="164">
        <f>Tabla1[[#This Row],[Unidades2]]*Tabla1[[#This Row],[Precio Unitario]]</f>
        <v>0</v>
      </c>
      <c r="AI527" s="23" t="s">
        <v>44</v>
      </c>
      <c r="AJ527" s="26">
        <v>44980</v>
      </c>
      <c r="AK527" s="172">
        <f>Tabla1[[#This Row],[Fecha Vigencia]]-AJ527</f>
        <v>-21</v>
      </c>
      <c r="AL527" s="23" t="s">
        <v>45</v>
      </c>
      <c r="AM527" s="87">
        <v>7273069</v>
      </c>
      <c r="AN527" s="29">
        <v>44980</v>
      </c>
      <c r="AO527" s="29">
        <v>45345</v>
      </c>
      <c r="AP527" s="23" t="s">
        <v>177</v>
      </c>
      <c r="AQ527" s="34"/>
      <c r="AR527" s="23"/>
      <c r="AS527" s="23"/>
      <c r="AT527" s="23"/>
      <c r="AU527" s="23"/>
      <c r="AV527" s="23"/>
      <c r="AW527" s="23"/>
      <c r="AX527" s="23"/>
      <c r="AY527" s="23"/>
      <c r="AZ527" s="23"/>
      <c r="BA527" s="23"/>
      <c r="BB527" s="32"/>
      <c r="BC527" s="73"/>
    </row>
    <row r="528" spans="1:55" ht="11.25" x14ac:dyDescent="0.2">
      <c r="A528" s="22" t="s">
        <v>2804</v>
      </c>
      <c r="B528" s="23" t="s">
        <v>2805</v>
      </c>
      <c r="C528" s="23" t="s">
        <v>2806</v>
      </c>
      <c r="D528" s="34" t="s">
        <v>2422</v>
      </c>
      <c r="E528" s="60"/>
      <c r="F528" s="61"/>
      <c r="G528" s="23" t="s">
        <v>21</v>
      </c>
      <c r="H528" s="23" t="s">
        <v>106</v>
      </c>
      <c r="I528" s="2">
        <v>44950.439212962963</v>
      </c>
      <c r="J528" s="24">
        <f>MONTH(Tabla1[[#This Row],[Publicación]])</f>
        <v>1</v>
      </c>
      <c r="K528" s="24">
        <f>YEAR(Tabla1[[#This Row],[Publicación]])</f>
        <v>2023</v>
      </c>
      <c r="L528" s="62">
        <v>44984.645833333336</v>
      </c>
      <c r="M528" s="26">
        <v>44951</v>
      </c>
      <c r="N528" s="25" t="s">
        <v>10</v>
      </c>
      <c r="O528" s="24" t="s">
        <v>29</v>
      </c>
      <c r="P528" s="24" t="s">
        <v>10</v>
      </c>
      <c r="Q528" s="2">
        <v>44958.416666666664</v>
      </c>
      <c r="R528" s="63">
        <v>44963.739583333336</v>
      </c>
      <c r="S528" s="26">
        <v>45075.708333333336</v>
      </c>
      <c r="T528" s="28">
        <v>310000000</v>
      </c>
      <c r="U528" s="28">
        <f>Tabla1[[#This Row],[PPTO]]/(1+'Lista Datos'!$B$1)</f>
        <v>260504201.68067229</v>
      </c>
      <c r="V528" s="23"/>
      <c r="W528" s="18" t="s">
        <v>11</v>
      </c>
      <c r="X528" s="102">
        <v>200000</v>
      </c>
      <c r="Y528" s="26">
        <v>45076</v>
      </c>
      <c r="Z528" s="18" t="s">
        <v>10</v>
      </c>
      <c r="AA528" s="23" t="s">
        <v>512</v>
      </c>
      <c r="AB528" s="23"/>
      <c r="AC528" s="23" t="s">
        <v>10</v>
      </c>
      <c r="AD528" s="23"/>
      <c r="AE528" s="29">
        <f>Tabla1[[#This Row],[Cierre]]+Tabla1[[#This Row],[Vigencia Oferta (días)]]</f>
        <v>44984.645833333336</v>
      </c>
      <c r="AF528" s="87"/>
      <c r="AG528" s="28"/>
      <c r="AH528" s="164">
        <f>Tabla1[[#This Row],[Unidades2]]*Tabla1[[#This Row],[Precio Unitario]]</f>
        <v>0</v>
      </c>
      <c r="AI528" s="23" t="s">
        <v>44</v>
      </c>
      <c r="AJ528" s="26">
        <v>45019</v>
      </c>
      <c r="AK528" s="172">
        <f>Tabla1[[#This Row],[Fecha Vigencia]]-AJ528</f>
        <v>-34.354166666664241</v>
      </c>
      <c r="AL528" s="23" t="s">
        <v>46</v>
      </c>
      <c r="AM528" s="87">
        <v>260000000</v>
      </c>
      <c r="AN528" s="23"/>
      <c r="AO528" s="29"/>
      <c r="AP528" s="23" t="s">
        <v>292</v>
      </c>
      <c r="AQ528" s="34"/>
      <c r="AR528" s="23"/>
      <c r="AS528" s="23"/>
      <c r="AT528" s="23"/>
      <c r="AU528" s="23"/>
      <c r="AV528" s="23"/>
      <c r="AW528" s="23"/>
      <c r="AX528" s="23"/>
      <c r="AY528" s="23"/>
      <c r="AZ528" s="23"/>
      <c r="BA528" s="23"/>
      <c r="BB528" s="32"/>
      <c r="BC528" s="73"/>
    </row>
    <row r="529" spans="1:55" ht="11.25" x14ac:dyDescent="0.2">
      <c r="A529" s="22" t="s">
        <v>2807</v>
      </c>
      <c r="B529" s="23" t="s">
        <v>2808</v>
      </c>
      <c r="C529" s="23" t="s">
        <v>2809</v>
      </c>
      <c r="D529" s="34" t="s">
        <v>1533</v>
      </c>
      <c r="E529" s="24"/>
      <c r="F529" s="25"/>
      <c r="G529" s="23" t="s">
        <v>21</v>
      </c>
      <c r="H529" s="23" t="s">
        <v>106</v>
      </c>
      <c r="I529" s="12">
        <v>44950.666412037041</v>
      </c>
      <c r="J529" s="24">
        <f>MONTH(Tabla1[[#This Row],[Publicación]])</f>
        <v>1</v>
      </c>
      <c r="K529" s="24">
        <f>YEAR(Tabla1[[#This Row],[Publicación]])</f>
        <v>2023</v>
      </c>
      <c r="L529" s="2">
        <v>44960.791666666664</v>
      </c>
      <c r="M529" s="26">
        <v>44951</v>
      </c>
      <c r="N529" s="25" t="s">
        <v>10</v>
      </c>
      <c r="O529" s="24" t="s">
        <v>27</v>
      </c>
      <c r="P529" s="24" t="s">
        <v>10</v>
      </c>
      <c r="Q529" s="2">
        <v>44955.436805555553</v>
      </c>
      <c r="R529" s="63">
        <v>44957.708333333336</v>
      </c>
      <c r="S529" s="26">
        <v>44984.708333333336</v>
      </c>
      <c r="T529" s="28">
        <v>11662000</v>
      </c>
      <c r="U529" s="28">
        <f>Tabla1[[#This Row],[PPTO]]/(1+'Lista Datos'!$B$1)</f>
        <v>9800000</v>
      </c>
      <c r="V529" s="23"/>
      <c r="W529" s="18"/>
      <c r="X529" s="102"/>
      <c r="Y529" s="18" t="s">
        <v>146</v>
      </c>
      <c r="Z529" s="18"/>
      <c r="AA529" s="23" t="s">
        <v>177</v>
      </c>
      <c r="AB529" s="23">
        <v>24</v>
      </c>
      <c r="AC529" s="23"/>
      <c r="AD529" s="23"/>
      <c r="AE529" s="29">
        <f>Tabla1[[#This Row],[Cierre]]+Tabla1[[#This Row],[Vigencia Oferta (días)]]</f>
        <v>44960.791666666664</v>
      </c>
      <c r="AF529" s="87">
        <v>24</v>
      </c>
      <c r="AG529" s="28">
        <v>82117</v>
      </c>
      <c r="AH529" s="164">
        <f>Tabla1[[#This Row],[Unidades2]]*Tabla1[[#This Row],[Precio Unitario]]</f>
        <v>1970808</v>
      </c>
      <c r="AI529" s="23" t="s">
        <v>44</v>
      </c>
      <c r="AJ529" s="26">
        <v>45000</v>
      </c>
      <c r="AK529" s="172">
        <f>Tabla1[[#This Row],[Fecha Vigencia]]-AJ529</f>
        <v>-39.208333333335759</v>
      </c>
      <c r="AL529" s="23" t="s">
        <v>46</v>
      </c>
      <c r="AM529" s="87">
        <v>70000</v>
      </c>
      <c r="AN529" s="29">
        <v>45000</v>
      </c>
      <c r="AO529" s="29">
        <v>45731</v>
      </c>
      <c r="AP529" s="23" t="s">
        <v>177</v>
      </c>
      <c r="AQ529" s="34"/>
      <c r="AR529" s="23"/>
      <c r="AS529" s="23"/>
      <c r="AT529" s="23"/>
      <c r="AU529" s="23"/>
      <c r="AV529" s="23"/>
      <c r="AW529" s="23"/>
      <c r="AX529" s="23"/>
      <c r="AY529" s="23"/>
      <c r="AZ529" s="23"/>
      <c r="BA529" s="23"/>
      <c r="BB529" s="32"/>
      <c r="BC529" s="73"/>
    </row>
    <row r="530" spans="1:55" ht="11.25" x14ac:dyDescent="0.2">
      <c r="A530" s="36" t="s">
        <v>2810</v>
      </c>
      <c r="B530" s="37" t="s">
        <v>2811</v>
      </c>
      <c r="C530" s="37" t="s">
        <v>2812</v>
      </c>
      <c r="D530" s="55" t="s">
        <v>2813</v>
      </c>
      <c r="E530" s="38"/>
      <c r="F530" s="39"/>
      <c r="G530" s="37" t="s">
        <v>16</v>
      </c>
      <c r="H530" s="37" t="s">
        <v>520</v>
      </c>
      <c r="I530" s="2">
        <v>44951.520972222221</v>
      </c>
      <c r="J530" s="24">
        <f>MONTH(Tabla1[[#This Row],[Publicación]])</f>
        <v>1</v>
      </c>
      <c r="K530" s="24">
        <f>YEAR(Tabla1[[#This Row],[Publicación]])</f>
        <v>2023</v>
      </c>
      <c r="L530" s="40">
        <v>44970.625</v>
      </c>
      <c r="M530" s="41">
        <v>44952</v>
      </c>
      <c r="N530" s="39" t="s">
        <v>10</v>
      </c>
      <c r="O530" s="24" t="s">
        <v>27</v>
      </c>
      <c r="P530" s="24" t="s">
        <v>10</v>
      </c>
      <c r="Q530" s="40"/>
      <c r="R530" s="40"/>
      <c r="S530" s="41"/>
      <c r="T530" s="28">
        <v>101000000</v>
      </c>
      <c r="U530" s="28">
        <f>Tabla1[[#This Row],[PPTO]]/(1+'Lista Datos'!$B$1)</f>
        <v>84873949.579831943</v>
      </c>
      <c r="V530" s="65"/>
      <c r="W530" s="19"/>
      <c r="X530" s="112"/>
      <c r="Y530" s="19" t="s">
        <v>146</v>
      </c>
      <c r="Z530" s="19"/>
      <c r="AA530" s="65" t="s">
        <v>177</v>
      </c>
      <c r="AB530" s="65">
        <v>24</v>
      </c>
      <c r="AC530" s="65"/>
      <c r="AD530" s="65"/>
      <c r="AE530" s="29">
        <f>Tabla1[[#This Row],[Cierre]]+Tabla1[[#This Row],[Vigencia Oferta (días)]]</f>
        <v>44970.625</v>
      </c>
      <c r="AF530" s="90"/>
      <c r="AG530" s="64"/>
      <c r="AH530" s="164">
        <f>Tabla1[[#This Row],[Unidades2]]*Tabla1[[#This Row],[Precio Unitario]]</f>
        <v>0</v>
      </c>
      <c r="AI530" s="37" t="s">
        <v>44</v>
      </c>
      <c r="AJ530" s="41">
        <v>44973</v>
      </c>
      <c r="AK530" s="172">
        <f>Tabla1[[#This Row],[Fecha Vigencia]]-AJ530</f>
        <v>-2.375</v>
      </c>
      <c r="AL530" s="65" t="s">
        <v>45</v>
      </c>
      <c r="AM530" s="90">
        <v>95737435</v>
      </c>
      <c r="AN530" s="181">
        <v>44973</v>
      </c>
      <c r="AO530" s="181">
        <v>45704</v>
      </c>
      <c r="AP530" s="65" t="s">
        <v>177</v>
      </c>
      <c r="AQ530" s="66"/>
      <c r="AR530" s="65"/>
      <c r="AS530" s="65"/>
      <c r="AT530" s="65"/>
      <c r="AU530" s="65"/>
      <c r="AV530" s="65"/>
      <c r="AW530" s="65"/>
      <c r="AX530" s="65"/>
      <c r="AY530" s="37"/>
      <c r="AZ530" s="37"/>
      <c r="BA530" s="37"/>
      <c r="BB530" s="44"/>
      <c r="BC530" s="73"/>
    </row>
    <row r="531" spans="1:55" ht="11.25" x14ac:dyDescent="0.2">
      <c r="A531" s="22" t="s">
        <v>2814</v>
      </c>
      <c r="B531" s="23" t="s">
        <v>1812</v>
      </c>
      <c r="C531" s="23" t="s">
        <v>1812</v>
      </c>
      <c r="D531" s="34" t="s">
        <v>2815</v>
      </c>
      <c r="E531" s="24"/>
      <c r="F531" s="25"/>
      <c r="G531" s="23" t="s">
        <v>20</v>
      </c>
      <c r="H531" s="23" t="s">
        <v>176</v>
      </c>
      <c r="I531" s="2">
        <v>44951.704155092593</v>
      </c>
      <c r="J531" s="24">
        <f>MONTH(Tabla1[[#This Row],[Publicación]])</f>
        <v>1</v>
      </c>
      <c r="K531" s="24">
        <f>YEAR(Tabla1[[#This Row],[Publicación]])</f>
        <v>2023</v>
      </c>
      <c r="L531" s="2">
        <v>44971.75</v>
      </c>
      <c r="M531" s="26">
        <v>44952</v>
      </c>
      <c r="N531" s="25" t="s">
        <v>10</v>
      </c>
      <c r="O531" s="24" t="s">
        <v>33</v>
      </c>
      <c r="P531" s="24" t="s">
        <v>10</v>
      </c>
      <c r="Q531" s="2">
        <v>44951</v>
      </c>
      <c r="R531" s="2">
        <v>44963</v>
      </c>
      <c r="S531" s="26">
        <v>44999</v>
      </c>
      <c r="T531" s="28">
        <v>170000000</v>
      </c>
      <c r="U531" s="28">
        <f>Tabla1[[#This Row],[PPTO]]/(1+'Lista Datos'!$B$1)</f>
        <v>142857142.85714287</v>
      </c>
      <c r="V531" s="68"/>
      <c r="W531" s="18"/>
      <c r="X531" s="102"/>
      <c r="Y531" s="18" t="s">
        <v>146</v>
      </c>
      <c r="Z531" s="18"/>
      <c r="AA531" s="68" t="s">
        <v>177</v>
      </c>
      <c r="AB531" s="68">
        <v>24</v>
      </c>
      <c r="AC531" s="68" t="s">
        <v>10</v>
      </c>
      <c r="AD531" s="68"/>
      <c r="AE531" s="29">
        <f>Tabla1[[#This Row],[Cierre]]+Tabla1[[#This Row],[Vigencia Oferta (días)]]</f>
        <v>44971.75</v>
      </c>
      <c r="AF531" s="91"/>
      <c r="AG531" s="67"/>
      <c r="AH531" s="164">
        <f>Tabla1[[#This Row],[Unidades2]]*Tabla1[[#This Row],[Precio Unitario]]</f>
        <v>0</v>
      </c>
      <c r="AI531" s="23" t="s">
        <v>44</v>
      </c>
      <c r="AJ531" s="26">
        <v>45099</v>
      </c>
      <c r="AK531" s="172">
        <f>Tabla1[[#This Row],[Fecha Vigencia]]-AJ531</f>
        <v>-127.25</v>
      </c>
      <c r="AL531" s="68" t="s">
        <v>472</v>
      </c>
      <c r="AM531" s="91">
        <v>104054500</v>
      </c>
      <c r="AN531" s="157">
        <v>45099</v>
      </c>
      <c r="AO531" s="157">
        <v>45830</v>
      </c>
      <c r="AP531" s="68" t="s">
        <v>177</v>
      </c>
      <c r="AQ531" s="69"/>
      <c r="AR531" s="68"/>
      <c r="AS531" s="68"/>
      <c r="AT531" s="68"/>
      <c r="AU531" s="68"/>
      <c r="AV531" s="68"/>
      <c r="AW531" s="68"/>
      <c r="AX531" s="68"/>
      <c r="AY531" s="23"/>
      <c r="AZ531" s="23"/>
      <c r="BA531" s="23"/>
      <c r="BB531" s="32"/>
      <c r="BC531" s="73"/>
    </row>
    <row r="532" spans="1:55" ht="11.25" x14ac:dyDescent="0.2">
      <c r="A532" s="22" t="s">
        <v>2816</v>
      </c>
      <c r="B532" s="23" t="s">
        <v>2817</v>
      </c>
      <c r="C532" s="23" t="s">
        <v>2818</v>
      </c>
      <c r="D532" s="34" t="s">
        <v>1085</v>
      </c>
      <c r="E532" s="24"/>
      <c r="F532" s="25"/>
      <c r="G532" s="23" t="s">
        <v>16</v>
      </c>
      <c r="H532" s="23" t="s">
        <v>1983</v>
      </c>
      <c r="I532" s="2">
        <v>44951.499988425923</v>
      </c>
      <c r="J532" s="24">
        <f>MONTH(Tabla1[[#This Row],[Publicación]])</f>
        <v>1</v>
      </c>
      <c r="K532" s="24">
        <f>YEAR(Tabla1[[#This Row],[Publicación]])</f>
        <v>2023</v>
      </c>
      <c r="L532" s="2">
        <v>44958.737500000003</v>
      </c>
      <c r="M532" s="26">
        <v>44952</v>
      </c>
      <c r="N532" s="25" t="s">
        <v>10</v>
      </c>
      <c r="O532" s="24" t="s">
        <v>33</v>
      </c>
      <c r="P532" s="24" t="s">
        <v>10</v>
      </c>
      <c r="Q532" s="2"/>
      <c r="R532" s="2"/>
      <c r="S532" s="26"/>
      <c r="T532" s="28">
        <v>4571108</v>
      </c>
      <c r="U532" s="28">
        <f>Tabla1[[#This Row],[PPTO]]/(1+'Lista Datos'!$B$1)</f>
        <v>3841267.2268907563</v>
      </c>
      <c r="V532" s="68"/>
      <c r="W532" s="18"/>
      <c r="X532" s="102"/>
      <c r="Y532" s="18" t="s">
        <v>146</v>
      </c>
      <c r="Z532" s="18"/>
      <c r="AA532" s="68" t="s">
        <v>512</v>
      </c>
      <c r="AB532" s="68"/>
      <c r="AC532" s="68"/>
      <c r="AD532" s="68"/>
      <c r="AE532" s="29">
        <f>Tabla1[[#This Row],[Cierre]]+Tabla1[[#This Row],[Vigencia Oferta (días)]]</f>
        <v>44958.737500000003</v>
      </c>
      <c r="AF532" s="91"/>
      <c r="AG532" s="67"/>
      <c r="AH532" s="164">
        <f>Tabla1[[#This Row],[Unidades2]]*Tabla1[[#This Row],[Precio Unitario]]</f>
        <v>0</v>
      </c>
      <c r="AI532" s="23" t="s">
        <v>44</v>
      </c>
      <c r="AJ532" s="26">
        <v>45000</v>
      </c>
      <c r="AK532" s="172">
        <f>Tabla1[[#This Row],[Fecha Vigencia]]-AJ532</f>
        <v>-41.26249999999709</v>
      </c>
      <c r="AL532" s="68" t="s">
        <v>46</v>
      </c>
      <c r="AM532" s="91">
        <v>3841267</v>
      </c>
      <c r="AN532" s="68"/>
      <c r="AO532" s="157"/>
      <c r="AP532" s="23" t="s">
        <v>292</v>
      </c>
      <c r="AQ532" s="69"/>
      <c r="AR532" s="68"/>
      <c r="AS532" s="68"/>
      <c r="AT532" s="68"/>
      <c r="AU532" s="68"/>
      <c r="AV532" s="68"/>
      <c r="AW532" s="68"/>
      <c r="AX532" s="68"/>
      <c r="AY532" s="23"/>
      <c r="AZ532" s="23"/>
      <c r="BA532" s="23"/>
      <c r="BB532" s="32"/>
      <c r="BC532" s="73"/>
    </row>
    <row r="533" spans="1:55" ht="11.25" x14ac:dyDescent="0.2">
      <c r="A533" s="22" t="s">
        <v>2819</v>
      </c>
      <c r="B533" s="23" t="s">
        <v>2820</v>
      </c>
      <c r="C533" s="23" t="s">
        <v>2821</v>
      </c>
      <c r="D533" s="34" t="s">
        <v>2822</v>
      </c>
      <c r="E533" s="24"/>
      <c r="F533" s="25"/>
      <c r="G533" s="23" t="s">
        <v>17</v>
      </c>
      <c r="H533" s="23" t="s">
        <v>213</v>
      </c>
      <c r="I533" s="2">
        <v>44951.637696759259</v>
      </c>
      <c r="J533" s="24">
        <f>MONTH(Tabla1[[#This Row],[Publicación]])</f>
        <v>1</v>
      </c>
      <c r="K533" s="24">
        <f>YEAR(Tabla1[[#This Row],[Publicación]])</f>
        <v>2023</v>
      </c>
      <c r="L533" s="2">
        <v>44963.791666666664</v>
      </c>
      <c r="M533" s="26">
        <v>44952</v>
      </c>
      <c r="N533" s="25" t="s">
        <v>10</v>
      </c>
      <c r="O533" s="24" t="s">
        <v>25</v>
      </c>
      <c r="P533" s="24" t="s">
        <v>10</v>
      </c>
      <c r="Q533" s="2"/>
      <c r="R533" s="2"/>
      <c r="S533" s="26"/>
      <c r="T533" s="28">
        <v>58738507</v>
      </c>
      <c r="U533" s="28">
        <f>Tabla1[[#This Row],[PPTO]]/(1+'Lista Datos'!$B$1)</f>
        <v>49360089.915966392</v>
      </c>
      <c r="V533" s="68"/>
      <c r="W533" s="18"/>
      <c r="X533" s="102"/>
      <c r="Y533" s="18" t="s">
        <v>146</v>
      </c>
      <c r="Z533" s="18"/>
      <c r="AA533" s="68" t="s">
        <v>512</v>
      </c>
      <c r="AB533" s="68"/>
      <c r="AC533" s="68"/>
      <c r="AD533" s="68"/>
      <c r="AE533" s="29">
        <f>Tabla1[[#This Row],[Cierre]]+Tabla1[[#This Row],[Vigencia Oferta (días)]]</f>
        <v>44963.791666666664</v>
      </c>
      <c r="AF533" s="91"/>
      <c r="AG533" s="67"/>
      <c r="AH533" s="164">
        <f>Tabla1[[#This Row],[Unidades2]]*Tabla1[[#This Row],[Precio Unitario]]</f>
        <v>0</v>
      </c>
      <c r="AI533" s="23" t="s">
        <v>44</v>
      </c>
      <c r="AJ533" s="26">
        <v>44992</v>
      </c>
      <c r="AK533" s="172">
        <f>Tabla1[[#This Row],[Fecha Vigencia]]-AJ533</f>
        <v>-28.208333333335759</v>
      </c>
      <c r="AL533" s="68" t="s">
        <v>46</v>
      </c>
      <c r="AM533" s="91">
        <v>48601546</v>
      </c>
      <c r="AN533" s="68"/>
      <c r="AO533" s="157"/>
      <c r="AP533" s="23" t="s">
        <v>292</v>
      </c>
      <c r="AQ533" s="69"/>
      <c r="AR533" s="68"/>
      <c r="AS533" s="68"/>
      <c r="AT533" s="68"/>
      <c r="AU533" s="68"/>
      <c r="AV533" s="68"/>
      <c r="AW533" s="68"/>
      <c r="AX533" s="68"/>
      <c r="AY533" s="23"/>
      <c r="AZ533" s="23"/>
      <c r="BA533" s="23"/>
      <c r="BB533" s="32"/>
      <c r="BC533" s="73"/>
    </row>
    <row r="534" spans="1:55" ht="11.25" x14ac:dyDescent="0.2">
      <c r="A534" s="22" t="s">
        <v>2823</v>
      </c>
      <c r="B534" s="23" t="s">
        <v>2824</v>
      </c>
      <c r="C534" s="23" t="s">
        <v>2825</v>
      </c>
      <c r="D534" s="34" t="s">
        <v>2826</v>
      </c>
      <c r="E534" s="24"/>
      <c r="F534" s="25"/>
      <c r="G534" s="23" t="s">
        <v>21</v>
      </c>
      <c r="H534" s="23" t="s">
        <v>106</v>
      </c>
      <c r="I534" s="2">
        <v>44951.711956018517</v>
      </c>
      <c r="J534" s="24">
        <f>MONTH(Tabla1[[#This Row],[Publicación]])</f>
        <v>1</v>
      </c>
      <c r="K534" s="24">
        <f>YEAR(Tabla1[[#This Row],[Publicación]])</f>
        <v>2023</v>
      </c>
      <c r="L534" s="2">
        <v>44957.772916666669</v>
      </c>
      <c r="M534" s="26">
        <v>44952</v>
      </c>
      <c r="N534" s="25" t="s">
        <v>10</v>
      </c>
      <c r="O534" s="24" t="s">
        <v>33</v>
      </c>
      <c r="P534" s="24" t="s">
        <v>10</v>
      </c>
      <c r="Q534" s="2"/>
      <c r="R534" s="2"/>
      <c r="S534" s="26"/>
      <c r="T534" s="28">
        <v>4300000</v>
      </c>
      <c r="U534" s="28">
        <f>Tabla1[[#This Row],[PPTO]]/(1+'Lista Datos'!$B$1)</f>
        <v>3613445.3781512608</v>
      </c>
      <c r="V534" s="68"/>
      <c r="W534" s="18"/>
      <c r="X534" s="102"/>
      <c r="Y534" s="18" t="s">
        <v>146</v>
      </c>
      <c r="Z534" s="18"/>
      <c r="AA534" s="68" t="s">
        <v>512</v>
      </c>
      <c r="AB534" s="68"/>
      <c r="AC534" s="68"/>
      <c r="AD534" s="68"/>
      <c r="AE534" s="29">
        <f>Tabla1[[#This Row],[Cierre]]+Tabla1[[#This Row],[Vigencia Oferta (días)]]</f>
        <v>44957.772916666669</v>
      </c>
      <c r="AF534" s="91"/>
      <c r="AG534" s="67"/>
      <c r="AH534" s="164">
        <f>Tabla1[[#This Row],[Unidades2]]*Tabla1[[#This Row],[Precio Unitario]]</f>
        <v>0</v>
      </c>
      <c r="AI534" s="23" t="s">
        <v>44</v>
      </c>
      <c r="AJ534" s="26">
        <v>44977</v>
      </c>
      <c r="AK534" s="172">
        <f>Tabla1[[#This Row],[Fecha Vigencia]]-AJ534</f>
        <v>-19.227083333331393</v>
      </c>
      <c r="AL534" s="68" t="s">
        <v>46</v>
      </c>
      <c r="AM534" s="91">
        <v>1781000</v>
      </c>
      <c r="AN534" s="68"/>
      <c r="AO534" s="157"/>
      <c r="AP534" s="23" t="s">
        <v>292</v>
      </c>
      <c r="AQ534" s="69"/>
      <c r="AR534" s="68"/>
      <c r="AS534" s="68"/>
      <c r="AT534" s="68"/>
      <c r="AU534" s="68"/>
      <c r="AV534" s="68"/>
      <c r="AW534" s="68"/>
      <c r="AX534" s="68"/>
      <c r="AY534" s="23"/>
      <c r="AZ534" s="23"/>
      <c r="BA534" s="23"/>
      <c r="BB534" s="32"/>
      <c r="BC534" s="73"/>
    </row>
    <row r="535" spans="1:55" ht="11.25" x14ac:dyDescent="0.2">
      <c r="A535" s="22" t="s">
        <v>2827</v>
      </c>
      <c r="B535" s="23" t="s">
        <v>2828</v>
      </c>
      <c r="C535" s="23" t="s">
        <v>2829</v>
      </c>
      <c r="D535" s="34" t="s">
        <v>2830</v>
      </c>
      <c r="E535" s="24"/>
      <c r="F535" s="25"/>
      <c r="G535" s="23" t="s">
        <v>21</v>
      </c>
      <c r="H535" s="23" t="s">
        <v>106</v>
      </c>
      <c r="I535" s="2">
        <v>44951.451296296298</v>
      </c>
      <c r="J535" s="24">
        <f>MONTH(Tabla1[[#This Row],[Publicación]])</f>
        <v>1</v>
      </c>
      <c r="K535" s="24">
        <f>YEAR(Tabla1[[#This Row],[Publicación]])</f>
        <v>2023</v>
      </c>
      <c r="L535" s="2">
        <v>44958.625694444447</v>
      </c>
      <c r="M535" s="26">
        <v>44952</v>
      </c>
      <c r="N535" s="25" t="s">
        <v>10</v>
      </c>
      <c r="O535" s="24" t="s">
        <v>27</v>
      </c>
      <c r="P535" s="24" t="s">
        <v>10</v>
      </c>
      <c r="Q535" s="2"/>
      <c r="R535" s="2"/>
      <c r="S535" s="26"/>
      <c r="T535" s="28">
        <v>2892000</v>
      </c>
      <c r="U535" s="28">
        <f>Tabla1[[#This Row],[PPTO]]/(1+'Lista Datos'!$B$1)</f>
        <v>2430252.1008403362</v>
      </c>
      <c r="V535" s="68"/>
      <c r="W535" s="18"/>
      <c r="X535" s="102"/>
      <c r="Y535" s="18" t="s">
        <v>146</v>
      </c>
      <c r="Z535" s="18"/>
      <c r="AA535" s="68" t="s">
        <v>512</v>
      </c>
      <c r="AB535" s="68"/>
      <c r="AC535" s="68"/>
      <c r="AD535" s="68"/>
      <c r="AE535" s="29">
        <f>Tabla1[[#This Row],[Cierre]]+Tabla1[[#This Row],[Vigencia Oferta (días)]]</f>
        <v>44958.625694444447</v>
      </c>
      <c r="AF535" s="91"/>
      <c r="AG535" s="67"/>
      <c r="AH535" s="164">
        <f>Tabla1[[#This Row],[Unidades2]]*Tabla1[[#This Row],[Precio Unitario]]</f>
        <v>0</v>
      </c>
      <c r="AI535" s="23" t="s">
        <v>44</v>
      </c>
      <c r="AJ535" s="26">
        <v>44965</v>
      </c>
      <c r="AK535" s="172">
        <f>Tabla1[[#This Row],[Fecha Vigencia]]-AJ535</f>
        <v>-6.3743055555532919</v>
      </c>
      <c r="AL535" s="68" t="s">
        <v>46</v>
      </c>
      <c r="AM535" s="91">
        <v>192000</v>
      </c>
      <c r="AN535" s="68"/>
      <c r="AO535" s="157"/>
      <c r="AP535" s="23" t="s">
        <v>292</v>
      </c>
      <c r="AQ535" s="69"/>
      <c r="AR535" s="68"/>
      <c r="AS535" s="68"/>
      <c r="AT535" s="68"/>
      <c r="AU535" s="68"/>
      <c r="AV535" s="68"/>
      <c r="AW535" s="68"/>
      <c r="AX535" s="68"/>
      <c r="AY535" s="23"/>
      <c r="AZ535" s="23"/>
      <c r="BA535" s="23"/>
      <c r="BB535" s="32"/>
      <c r="BC535" s="73"/>
    </row>
    <row r="536" spans="1:55" ht="11.25" x14ac:dyDescent="0.2">
      <c r="A536" s="22" t="s">
        <v>2831</v>
      </c>
      <c r="B536" s="23" t="s">
        <v>2832</v>
      </c>
      <c r="C536" s="23" t="s">
        <v>2833</v>
      </c>
      <c r="D536" s="34" t="s">
        <v>606</v>
      </c>
      <c r="E536" s="24"/>
      <c r="F536" s="25"/>
      <c r="G536" s="23" t="s">
        <v>16</v>
      </c>
      <c r="H536" s="23" t="s">
        <v>520</v>
      </c>
      <c r="I536" s="2">
        <v>44952.687060185184</v>
      </c>
      <c r="J536" s="24">
        <f>MONTH(Tabla1[[#This Row],[Publicación]])</f>
        <v>1</v>
      </c>
      <c r="K536" s="24">
        <f>YEAR(Tabla1[[#This Row],[Publicación]])</f>
        <v>2023</v>
      </c>
      <c r="L536" s="2">
        <v>44960.579861111109</v>
      </c>
      <c r="M536" s="26">
        <v>44953</v>
      </c>
      <c r="N536" s="25" t="s">
        <v>10</v>
      </c>
      <c r="O536" s="24" t="s">
        <v>33</v>
      </c>
      <c r="P536" s="24" t="s">
        <v>10</v>
      </c>
      <c r="Q536" s="2"/>
      <c r="R536" s="2"/>
      <c r="S536" s="26"/>
      <c r="T536" s="28">
        <v>6400000</v>
      </c>
      <c r="U536" s="28">
        <f>Tabla1[[#This Row],[PPTO]]/(1+'Lista Datos'!$B$1)</f>
        <v>5378151.260504202</v>
      </c>
      <c r="V536" s="68"/>
      <c r="W536" s="18"/>
      <c r="X536" s="102"/>
      <c r="Y536" s="18" t="s">
        <v>146</v>
      </c>
      <c r="Z536" s="18"/>
      <c r="AA536" s="68" t="s">
        <v>177</v>
      </c>
      <c r="AB536" s="68">
        <v>36</v>
      </c>
      <c r="AC536" s="68"/>
      <c r="AD536" s="68"/>
      <c r="AE536" s="29">
        <f>Tabla1[[#This Row],[Cierre]]+Tabla1[[#This Row],[Vigencia Oferta (días)]]</f>
        <v>44960.579861111109</v>
      </c>
      <c r="AF536" s="91"/>
      <c r="AG536" s="67"/>
      <c r="AH536" s="164">
        <f>Tabla1[[#This Row],[Unidades2]]*Tabla1[[#This Row],[Precio Unitario]]</f>
        <v>0</v>
      </c>
      <c r="AI536" s="23" t="s">
        <v>137</v>
      </c>
      <c r="AJ536" s="26"/>
      <c r="AK536" s="172">
        <f>Tabla1[[#This Row],[Fecha Vigencia]]-AJ536</f>
        <v>44960.579861111109</v>
      </c>
      <c r="AL536" s="68"/>
      <c r="AM536" s="91"/>
      <c r="AN536" s="68"/>
      <c r="AO536" s="157"/>
      <c r="AP536" s="68"/>
      <c r="AQ536" s="69"/>
      <c r="AR536" s="68"/>
      <c r="AS536" s="68"/>
      <c r="AT536" s="68"/>
      <c r="AU536" s="68"/>
      <c r="AV536" s="68"/>
      <c r="AW536" s="68"/>
      <c r="AX536" s="68"/>
      <c r="AY536" s="23"/>
      <c r="AZ536" s="23"/>
      <c r="BA536" s="23"/>
      <c r="BB536" s="32"/>
      <c r="BC536" s="73"/>
    </row>
    <row r="537" spans="1:55" ht="11.25" x14ac:dyDescent="0.2">
      <c r="A537" s="22" t="s">
        <v>2834</v>
      </c>
      <c r="B537" s="23" t="s">
        <v>2835</v>
      </c>
      <c r="C537" s="23" t="s">
        <v>2836</v>
      </c>
      <c r="D537" s="34" t="s">
        <v>227</v>
      </c>
      <c r="E537" s="24"/>
      <c r="F537" s="25"/>
      <c r="G537" s="23" t="s">
        <v>16</v>
      </c>
      <c r="H537" s="23" t="s">
        <v>145</v>
      </c>
      <c r="I537" s="2">
        <v>44952.407060185185</v>
      </c>
      <c r="J537" s="24">
        <f>MONTH(Tabla1[[#This Row],[Publicación]])</f>
        <v>1</v>
      </c>
      <c r="K537" s="24">
        <f>YEAR(Tabla1[[#This Row],[Publicación]])</f>
        <v>2023</v>
      </c>
      <c r="L537" s="2">
        <v>44984.625</v>
      </c>
      <c r="M537" s="26">
        <v>44953</v>
      </c>
      <c r="N537" s="25" t="s">
        <v>10</v>
      </c>
      <c r="O537" s="24" t="s">
        <v>33</v>
      </c>
      <c r="P537" s="24" t="s">
        <v>10</v>
      </c>
      <c r="Q537" s="2"/>
      <c r="R537" s="2"/>
      <c r="S537" s="26"/>
      <c r="T537" s="28">
        <v>174000000</v>
      </c>
      <c r="U537" s="28">
        <f>Tabla1[[#This Row],[PPTO]]/(1+'Lista Datos'!$B$1)</f>
        <v>146218487.39495799</v>
      </c>
      <c r="V537" s="68"/>
      <c r="W537" s="18"/>
      <c r="X537" s="102"/>
      <c r="Y537" s="18" t="s">
        <v>146</v>
      </c>
      <c r="Z537" s="18"/>
      <c r="AA537" s="68" t="s">
        <v>177</v>
      </c>
      <c r="AB537" s="68">
        <v>12</v>
      </c>
      <c r="AC537" s="68"/>
      <c r="AD537" s="68"/>
      <c r="AE537" s="29">
        <f>Tabla1[[#This Row],[Cierre]]+Tabla1[[#This Row],[Vigencia Oferta (días)]]</f>
        <v>44984.625</v>
      </c>
      <c r="AF537" s="91"/>
      <c r="AG537" s="67"/>
      <c r="AH537" s="164">
        <f>Tabla1[[#This Row],[Unidades2]]*Tabla1[[#This Row],[Precio Unitario]]</f>
        <v>0</v>
      </c>
      <c r="AI537" s="23" t="s">
        <v>44</v>
      </c>
      <c r="AJ537" s="26">
        <v>45002</v>
      </c>
      <c r="AK537" s="172">
        <f>Tabla1[[#This Row],[Fecha Vigencia]]-AJ537</f>
        <v>-17.375</v>
      </c>
      <c r="AL537" s="68" t="s">
        <v>45</v>
      </c>
      <c r="AM537" s="91">
        <v>174000000</v>
      </c>
      <c r="AN537" s="157">
        <v>45002</v>
      </c>
      <c r="AO537" s="157">
        <v>45368</v>
      </c>
      <c r="AP537" s="68" t="s">
        <v>177</v>
      </c>
      <c r="AQ537" s="69"/>
      <c r="AR537" s="68"/>
      <c r="AS537" s="68"/>
      <c r="AT537" s="68"/>
      <c r="AU537" s="68"/>
      <c r="AV537" s="68"/>
      <c r="AW537" s="68"/>
      <c r="AX537" s="68"/>
      <c r="AY537" s="23"/>
      <c r="AZ537" s="23"/>
      <c r="BA537" s="23"/>
      <c r="BB537" s="32"/>
      <c r="BC537" s="73"/>
    </row>
    <row r="538" spans="1:55" ht="11.25" x14ac:dyDescent="0.2">
      <c r="A538" s="22" t="s">
        <v>2837</v>
      </c>
      <c r="B538" s="23" t="s">
        <v>2838</v>
      </c>
      <c r="C538" s="23" t="s">
        <v>2839</v>
      </c>
      <c r="D538" s="34" t="s">
        <v>2510</v>
      </c>
      <c r="E538" s="24"/>
      <c r="F538" s="25"/>
      <c r="G538" s="23" t="s">
        <v>16</v>
      </c>
      <c r="H538" s="23" t="s">
        <v>2511</v>
      </c>
      <c r="I538" s="2">
        <v>44952.585775462961</v>
      </c>
      <c r="J538" s="24">
        <f>MONTH(Tabla1[[#This Row],[Publicación]])</f>
        <v>1</v>
      </c>
      <c r="K538" s="24">
        <f>YEAR(Tabla1[[#This Row],[Publicación]])</f>
        <v>2023</v>
      </c>
      <c r="L538" s="2">
        <v>44959.8</v>
      </c>
      <c r="M538" s="26">
        <v>44953</v>
      </c>
      <c r="N538" s="25" t="s">
        <v>10</v>
      </c>
      <c r="O538" s="24" t="s">
        <v>31</v>
      </c>
      <c r="P538" s="24" t="s">
        <v>10</v>
      </c>
      <c r="Q538" s="2"/>
      <c r="R538" s="2"/>
      <c r="S538" s="26"/>
      <c r="T538" s="28">
        <v>0</v>
      </c>
      <c r="U538" s="28">
        <f>Tabla1[[#This Row],[PPTO]]/(1+'Lista Datos'!$B$1)</f>
        <v>0</v>
      </c>
      <c r="V538" s="68"/>
      <c r="W538" s="18"/>
      <c r="X538" s="102"/>
      <c r="Y538" s="18" t="s">
        <v>146</v>
      </c>
      <c r="Z538" s="18"/>
      <c r="AA538" s="68" t="s">
        <v>177</v>
      </c>
      <c r="AB538" s="68">
        <v>11</v>
      </c>
      <c r="AC538" s="68"/>
      <c r="AD538" s="68"/>
      <c r="AE538" s="29">
        <f>Tabla1[[#This Row],[Cierre]]+Tabla1[[#This Row],[Vigencia Oferta (días)]]</f>
        <v>44959.8</v>
      </c>
      <c r="AF538" s="91"/>
      <c r="AG538" s="67"/>
      <c r="AH538" s="164">
        <f>Tabla1[[#This Row],[Unidades2]]*Tabla1[[#This Row],[Precio Unitario]]</f>
        <v>0</v>
      </c>
      <c r="AI538" s="23" t="s">
        <v>44</v>
      </c>
      <c r="AJ538" s="26">
        <v>44979.700729166667</v>
      </c>
      <c r="AK538" s="172">
        <f>Tabla1[[#This Row],[Fecha Vigencia]]-AJ538</f>
        <v>-19.90072916666395</v>
      </c>
      <c r="AL538" s="68" t="s">
        <v>45</v>
      </c>
      <c r="AM538" s="91" t="s">
        <v>2840</v>
      </c>
      <c r="AN538" s="157">
        <v>44979</v>
      </c>
      <c r="AO538" s="157">
        <v>44948</v>
      </c>
      <c r="AP538" s="68" t="s">
        <v>177</v>
      </c>
      <c r="AQ538" s="69"/>
      <c r="AR538" s="68"/>
      <c r="AS538" s="68"/>
      <c r="AT538" s="68"/>
      <c r="AU538" s="68"/>
      <c r="AV538" s="68"/>
      <c r="AW538" s="68"/>
      <c r="AX538" s="68"/>
      <c r="AY538" s="23"/>
      <c r="AZ538" s="23"/>
      <c r="BA538" s="23"/>
      <c r="BB538" s="32"/>
      <c r="BC538" s="73"/>
    </row>
    <row r="539" spans="1:55" ht="11.25" x14ac:dyDescent="0.2">
      <c r="A539" s="36" t="s">
        <v>2841</v>
      </c>
      <c r="B539" s="37" t="s">
        <v>2842</v>
      </c>
      <c r="C539" s="37" t="s">
        <v>2843</v>
      </c>
      <c r="D539" s="55" t="s">
        <v>1118</v>
      </c>
      <c r="E539" s="38"/>
      <c r="F539" s="39"/>
      <c r="G539" s="37" t="s">
        <v>21</v>
      </c>
      <c r="H539" s="37" t="s">
        <v>106</v>
      </c>
      <c r="I539" s="2">
        <v>44952.55978009259</v>
      </c>
      <c r="J539" s="24">
        <f>MONTH(Tabla1[[#This Row],[Publicación]])</f>
        <v>1</v>
      </c>
      <c r="K539" s="24">
        <f>YEAR(Tabla1[[#This Row],[Publicación]])</f>
        <v>2023</v>
      </c>
      <c r="L539" s="40">
        <v>44958.632638888892</v>
      </c>
      <c r="M539" s="41">
        <v>44953</v>
      </c>
      <c r="N539" s="39" t="s">
        <v>10</v>
      </c>
      <c r="O539" s="24" t="s">
        <v>27</v>
      </c>
      <c r="P539" s="24" t="s">
        <v>10</v>
      </c>
      <c r="Q539" s="40"/>
      <c r="R539" s="40"/>
      <c r="S539" s="41"/>
      <c r="T539" s="28">
        <v>0</v>
      </c>
      <c r="U539" s="28">
        <f>Tabla1[[#This Row],[PPTO]]/(1+'Lista Datos'!$B$1)</f>
        <v>0</v>
      </c>
      <c r="V539" s="65"/>
      <c r="W539" s="19"/>
      <c r="X539" s="112"/>
      <c r="Y539" s="19" t="s">
        <v>146</v>
      </c>
      <c r="Z539" s="19"/>
      <c r="AA539" s="65"/>
      <c r="AB539" s="65"/>
      <c r="AC539" s="65"/>
      <c r="AD539" s="65"/>
      <c r="AE539" s="29">
        <f>Tabla1[[#This Row],[Cierre]]+Tabla1[[#This Row],[Vigencia Oferta (días)]]</f>
        <v>44958.632638888892</v>
      </c>
      <c r="AF539" s="90"/>
      <c r="AG539" s="64"/>
      <c r="AH539" s="164">
        <f>Tabla1[[#This Row],[Unidades2]]*Tabla1[[#This Row],[Precio Unitario]]</f>
        <v>0</v>
      </c>
      <c r="AI539" s="37" t="s">
        <v>137</v>
      </c>
      <c r="AJ539" s="41"/>
      <c r="AK539" s="172">
        <f>Tabla1[[#This Row],[Fecha Vigencia]]-AJ539</f>
        <v>44958.632638888892</v>
      </c>
      <c r="AL539" s="65"/>
      <c r="AM539" s="90"/>
      <c r="AN539" s="65"/>
      <c r="AO539" s="181"/>
      <c r="AP539" s="65"/>
      <c r="AQ539" s="66"/>
      <c r="AR539" s="65"/>
      <c r="AS539" s="65"/>
      <c r="AT539" s="65"/>
      <c r="AU539" s="65"/>
      <c r="AV539" s="65"/>
      <c r="AW539" s="65"/>
      <c r="AX539" s="65"/>
      <c r="AY539" s="37"/>
      <c r="AZ539" s="37"/>
      <c r="BA539" s="37"/>
      <c r="BB539" s="44"/>
      <c r="BC539" s="73"/>
    </row>
    <row r="540" spans="1:55" ht="11.25" x14ac:dyDescent="0.2">
      <c r="A540" s="36" t="s">
        <v>2844</v>
      </c>
      <c r="B540" s="37" t="s">
        <v>2845</v>
      </c>
      <c r="C540" s="37" t="s">
        <v>2846</v>
      </c>
      <c r="D540" s="55" t="s">
        <v>378</v>
      </c>
      <c r="E540" s="38"/>
      <c r="F540" s="39"/>
      <c r="G540" s="37" t="s">
        <v>18</v>
      </c>
      <c r="H540" s="37" t="s">
        <v>213</v>
      </c>
      <c r="I540" s="2">
        <v>44953.666979166665</v>
      </c>
      <c r="J540" s="24">
        <f>MONTH(Tabla1[[#This Row],[Publicación]])</f>
        <v>1</v>
      </c>
      <c r="K540" s="24">
        <f>YEAR(Tabla1[[#This Row],[Publicación]])</f>
        <v>2023</v>
      </c>
      <c r="L540" s="40">
        <v>44963.727083333331</v>
      </c>
      <c r="M540" s="41">
        <v>44956</v>
      </c>
      <c r="N540" s="25" t="s">
        <v>10</v>
      </c>
      <c r="O540" s="24" t="s">
        <v>25</v>
      </c>
      <c r="P540" s="24" t="s">
        <v>10</v>
      </c>
      <c r="Q540" s="40"/>
      <c r="R540" s="40"/>
      <c r="S540" s="41"/>
      <c r="T540" s="28">
        <v>0</v>
      </c>
      <c r="U540" s="28">
        <f>Tabla1[[#This Row],[PPTO]]/(1+'Lista Datos'!$B$1)</f>
        <v>0</v>
      </c>
      <c r="V540" s="65"/>
      <c r="W540" s="19"/>
      <c r="X540" s="112"/>
      <c r="Y540" s="19" t="s">
        <v>146</v>
      </c>
      <c r="Z540" s="19"/>
      <c r="AA540" s="65" t="s">
        <v>177</v>
      </c>
      <c r="AB540" s="65">
        <v>10</v>
      </c>
      <c r="AC540" s="65"/>
      <c r="AD540" s="65"/>
      <c r="AE540" s="29">
        <f>Tabla1[[#This Row],[Cierre]]+Tabla1[[#This Row],[Vigencia Oferta (días)]]</f>
        <v>44963.727083333331</v>
      </c>
      <c r="AF540" s="90"/>
      <c r="AG540" s="64"/>
      <c r="AH540" s="164">
        <f>Tabla1[[#This Row],[Unidades2]]*Tabla1[[#This Row],[Precio Unitario]]</f>
        <v>0</v>
      </c>
      <c r="AI540" s="37" t="s">
        <v>44</v>
      </c>
      <c r="AJ540" s="41">
        <v>45001</v>
      </c>
      <c r="AK540" s="172">
        <f>Tabla1[[#This Row],[Fecha Vigencia]]-AJ540</f>
        <v>-37.272916666668607</v>
      </c>
      <c r="AL540" s="65" t="s">
        <v>46</v>
      </c>
      <c r="AM540" s="90" t="s">
        <v>2847</v>
      </c>
      <c r="AN540" s="181">
        <v>45001</v>
      </c>
      <c r="AO540" s="181">
        <v>44942</v>
      </c>
      <c r="AP540" s="65" t="s">
        <v>177</v>
      </c>
      <c r="AQ540" s="66"/>
      <c r="AR540" s="65"/>
      <c r="AS540" s="65"/>
      <c r="AT540" s="65"/>
      <c r="AU540" s="65"/>
      <c r="AV540" s="65"/>
      <c r="AW540" s="65"/>
      <c r="AX540" s="65"/>
      <c r="AY540" s="37"/>
      <c r="AZ540" s="37"/>
      <c r="BA540" s="37"/>
      <c r="BB540" s="44"/>
      <c r="BC540" s="73"/>
    </row>
    <row r="541" spans="1:55" ht="11.25" x14ac:dyDescent="0.2">
      <c r="A541" s="22" t="s">
        <v>2848</v>
      </c>
      <c r="B541" s="23" t="s">
        <v>651</v>
      </c>
      <c r="C541" s="23" t="s">
        <v>651</v>
      </c>
      <c r="D541" s="34" t="s">
        <v>652</v>
      </c>
      <c r="E541" s="24"/>
      <c r="F541" s="25"/>
      <c r="G541" s="23" t="s">
        <v>16</v>
      </c>
      <c r="H541" s="23" t="s">
        <v>345</v>
      </c>
      <c r="I541" s="2">
        <v>44953.775231481479</v>
      </c>
      <c r="J541" s="24">
        <f>MONTH(Tabla1[[#This Row],[Publicación]])</f>
        <v>1</v>
      </c>
      <c r="K541" s="24">
        <f>YEAR(Tabla1[[#This Row],[Publicación]])</f>
        <v>2023</v>
      </c>
      <c r="L541" s="2">
        <v>44958.625</v>
      </c>
      <c r="M541" s="26">
        <v>44956</v>
      </c>
      <c r="N541" s="25" t="s">
        <v>10</v>
      </c>
      <c r="O541" s="24" t="s">
        <v>33</v>
      </c>
      <c r="P541" s="24" t="s">
        <v>10</v>
      </c>
      <c r="Q541" s="2"/>
      <c r="R541" s="2"/>
      <c r="S541" s="26"/>
      <c r="T541" s="28">
        <v>0</v>
      </c>
      <c r="U541" s="28">
        <f>Tabla1[[#This Row],[PPTO]]/(1+'Lista Datos'!$B$1)</f>
        <v>0</v>
      </c>
      <c r="V541" s="68"/>
      <c r="W541" s="18"/>
      <c r="X541" s="102"/>
      <c r="Y541" s="18" t="s">
        <v>146</v>
      </c>
      <c r="Z541" s="18"/>
      <c r="AA541" s="68"/>
      <c r="AB541" s="68"/>
      <c r="AC541" s="68"/>
      <c r="AD541" s="68"/>
      <c r="AE541" s="29">
        <f>Tabla1[[#This Row],[Cierre]]+Tabla1[[#This Row],[Vigencia Oferta (días)]]</f>
        <v>44958.625</v>
      </c>
      <c r="AF541" s="91"/>
      <c r="AG541" s="67"/>
      <c r="AH541" s="164">
        <f>Tabla1[[#This Row],[Unidades2]]*Tabla1[[#This Row],[Precio Unitario]]</f>
        <v>0</v>
      </c>
      <c r="AI541" s="23" t="s">
        <v>320</v>
      </c>
      <c r="AJ541" s="26"/>
      <c r="AK541" s="172">
        <f>Tabla1[[#This Row],[Fecha Vigencia]]-AJ541</f>
        <v>44958.625</v>
      </c>
      <c r="AL541" s="68"/>
      <c r="AM541" s="91"/>
      <c r="AN541" s="68"/>
      <c r="AO541" s="157"/>
      <c r="AP541" s="68"/>
      <c r="AQ541" s="69"/>
      <c r="AR541" s="68"/>
      <c r="AS541" s="68"/>
      <c r="AT541" s="68"/>
      <c r="AU541" s="68"/>
      <c r="AV541" s="68"/>
      <c r="AW541" s="68"/>
      <c r="AX541" s="68"/>
      <c r="AY541" s="23"/>
      <c r="AZ541" s="23"/>
      <c r="BA541" s="23"/>
      <c r="BB541" s="32"/>
      <c r="BC541" s="73"/>
    </row>
    <row r="542" spans="1:55" ht="11.25" x14ac:dyDescent="0.2">
      <c r="A542" s="22" t="s">
        <v>2849</v>
      </c>
      <c r="B542" s="23" t="s">
        <v>2850</v>
      </c>
      <c r="C542" s="23" t="s">
        <v>2851</v>
      </c>
      <c r="D542" s="34" t="s">
        <v>2852</v>
      </c>
      <c r="E542" s="24"/>
      <c r="F542" s="25"/>
      <c r="G542" s="23" t="s">
        <v>21</v>
      </c>
      <c r="H542" s="23" t="s">
        <v>106</v>
      </c>
      <c r="I542" s="2">
        <v>44953.64403935185</v>
      </c>
      <c r="J542" s="24">
        <f>MONTH(Tabla1[[#This Row],[Publicación]])</f>
        <v>1</v>
      </c>
      <c r="K542" s="24">
        <f>YEAR(Tabla1[[#This Row],[Publicación]])</f>
        <v>2023</v>
      </c>
      <c r="L542" s="2">
        <v>44959.625</v>
      </c>
      <c r="M542" s="26">
        <v>44956</v>
      </c>
      <c r="N542" s="25" t="s">
        <v>10</v>
      </c>
      <c r="O542" s="24" t="s">
        <v>27</v>
      </c>
      <c r="P542" s="24" t="s">
        <v>10</v>
      </c>
      <c r="Q542" s="2"/>
      <c r="R542" s="2"/>
      <c r="S542" s="26"/>
      <c r="T542" s="180">
        <f>410585*1.19</f>
        <v>488596.14999999997</v>
      </c>
      <c r="U542" s="28">
        <f>Tabla1[[#This Row],[PPTO]]/(1+'Lista Datos'!$B$1)</f>
        <v>410585</v>
      </c>
      <c r="V542" s="23"/>
      <c r="W542" s="18"/>
      <c r="X542" s="102"/>
      <c r="Y542" s="18" t="s">
        <v>146</v>
      </c>
      <c r="Z542" s="18"/>
      <c r="AA542" s="23" t="s">
        <v>512</v>
      </c>
      <c r="AB542" s="23"/>
      <c r="AC542" s="23" t="s">
        <v>10</v>
      </c>
      <c r="AD542" s="23"/>
      <c r="AE542" s="29">
        <f>Tabla1[[#This Row],[Cierre]]+Tabla1[[#This Row],[Vigencia Oferta (días)]]</f>
        <v>44959.625</v>
      </c>
      <c r="AF542" s="89">
        <v>5</v>
      </c>
      <c r="AG542" s="59">
        <v>82117</v>
      </c>
      <c r="AH542" s="164">
        <f>Tabla1[[#This Row],[Unidades2]]*Tabla1[[#This Row],[Precio Unitario]]</f>
        <v>410585</v>
      </c>
      <c r="AI542" s="23" t="s">
        <v>44</v>
      </c>
      <c r="AJ542" s="26">
        <v>44985</v>
      </c>
      <c r="AK542" s="172">
        <f>Tabla1[[#This Row],[Fecha Vigencia]]-AJ542</f>
        <v>-25.375</v>
      </c>
      <c r="AL542" s="23" t="s">
        <v>205</v>
      </c>
      <c r="AM542" s="89">
        <v>697500</v>
      </c>
      <c r="AN542" s="23"/>
      <c r="AO542" s="29"/>
      <c r="AP542" s="23" t="s">
        <v>292</v>
      </c>
      <c r="AQ542" s="34"/>
      <c r="AR542" s="23"/>
      <c r="AS542" s="23"/>
      <c r="AT542" s="23"/>
      <c r="AU542" s="23"/>
      <c r="AV542" s="23"/>
      <c r="AW542" s="23"/>
      <c r="AX542" s="23"/>
      <c r="AY542" s="23"/>
      <c r="AZ542" s="23"/>
      <c r="BA542" s="23"/>
      <c r="BB542" s="32"/>
      <c r="BC542" s="73"/>
    </row>
    <row r="543" spans="1:55" ht="22.5" x14ac:dyDescent="0.2">
      <c r="A543" s="22" t="s">
        <v>2853</v>
      </c>
      <c r="B543" s="23" t="s">
        <v>2854</v>
      </c>
      <c r="C543" s="23" t="s">
        <v>2855</v>
      </c>
      <c r="D543" s="34" t="s">
        <v>291</v>
      </c>
      <c r="E543" s="24"/>
      <c r="F543" s="25"/>
      <c r="G543" s="23" t="s">
        <v>16</v>
      </c>
      <c r="H543" s="23" t="s">
        <v>145</v>
      </c>
      <c r="I543" s="2">
        <v>44953.640810185185</v>
      </c>
      <c r="J543" s="24">
        <f>MONTH(Tabla1[[#This Row],[Publicación]])</f>
        <v>1</v>
      </c>
      <c r="K543" s="24">
        <f>YEAR(Tabla1[[#This Row],[Publicación]])</f>
        <v>2023</v>
      </c>
      <c r="L543" s="2">
        <v>44959.791666666664</v>
      </c>
      <c r="M543" s="26">
        <v>44956</v>
      </c>
      <c r="N543" s="25" t="s">
        <v>10</v>
      </c>
      <c r="O543" s="24" t="s">
        <v>29</v>
      </c>
      <c r="P543" s="24" t="s">
        <v>10</v>
      </c>
      <c r="Q543" s="2"/>
      <c r="R543" s="2"/>
      <c r="S543" s="26"/>
      <c r="T543" s="28">
        <v>6000000</v>
      </c>
      <c r="U543" s="28">
        <f>Tabla1[[#This Row],[PPTO]]/(1+'Lista Datos'!$B$1)</f>
        <v>5042016.8067226894</v>
      </c>
      <c r="V543" s="68"/>
      <c r="W543" s="18"/>
      <c r="X543" s="102"/>
      <c r="Y543" s="18" t="s">
        <v>146</v>
      </c>
      <c r="Z543" s="18"/>
      <c r="AA543" s="68" t="s">
        <v>177</v>
      </c>
      <c r="AB543" s="68">
        <v>3</v>
      </c>
      <c r="AC543" s="68"/>
      <c r="AD543" s="68"/>
      <c r="AE543" s="29">
        <f>Tabla1[[#This Row],[Cierre]]+Tabla1[[#This Row],[Vigencia Oferta (días)]]</f>
        <v>44959.791666666664</v>
      </c>
      <c r="AF543" s="91"/>
      <c r="AG543" s="67"/>
      <c r="AH543" s="164">
        <f>Tabla1[[#This Row],[Unidades2]]*Tabla1[[#This Row],[Precio Unitario]]</f>
        <v>0</v>
      </c>
      <c r="AI543" s="23" t="s">
        <v>44</v>
      </c>
      <c r="AJ543" s="26">
        <v>44977</v>
      </c>
      <c r="AK543" s="172">
        <f>Tabla1[[#This Row],[Fecha Vigencia]]-AJ543</f>
        <v>-17.208333333335759</v>
      </c>
      <c r="AL543" s="68" t="s">
        <v>45</v>
      </c>
      <c r="AM543" s="91" t="s">
        <v>2856</v>
      </c>
      <c r="AN543" s="157">
        <v>44977</v>
      </c>
      <c r="AO543" s="157">
        <v>45066</v>
      </c>
      <c r="AP543" s="68" t="s">
        <v>292</v>
      </c>
      <c r="AQ543" s="69"/>
      <c r="AR543" s="68"/>
      <c r="AS543" s="68"/>
      <c r="AT543" s="68"/>
      <c r="AU543" s="68"/>
      <c r="AV543" s="68"/>
      <c r="AW543" s="68"/>
      <c r="AX543" s="68"/>
      <c r="AY543" s="23"/>
      <c r="AZ543" s="23"/>
      <c r="BA543" s="23"/>
      <c r="BB543" s="32"/>
      <c r="BC543" s="73"/>
    </row>
    <row r="544" spans="1:55" ht="11.25" x14ac:dyDescent="0.2">
      <c r="A544" s="22" t="s">
        <v>2857</v>
      </c>
      <c r="B544" s="23" t="s">
        <v>2858</v>
      </c>
      <c r="C544" s="23" t="s">
        <v>2859</v>
      </c>
      <c r="D544" s="34" t="s">
        <v>371</v>
      </c>
      <c r="E544" s="24"/>
      <c r="F544" s="25"/>
      <c r="G544" s="23" t="s">
        <v>21</v>
      </c>
      <c r="H544" s="23" t="s">
        <v>106</v>
      </c>
      <c r="I544" s="2">
        <v>44953.697291666664</v>
      </c>
      <c r="J544" s="24">
        <f>MONTH(Tabla1[[#This Row],[Publicación]])</f>
        <v>1</v>
      </c>
      <c r="K544" s="24">
        <f>YEAR(Tabla1[[#This Row],[Publicación]])</f>
        <v>2023</v>
      </c>
      <c r="L544" s="2">
        <v>44972.625</v>
      </c>
      <c r="M544" s="26">
        <v>44956</v>
      </c>
      <c r="N544" s="25" t="s">
        <v>10</v>
      </c>
      <c r="O544" s="24" t="s">
        <v>27</v>
      </c>
      <c r="P544" s="24" t="s">
        <v>10</v>
      </c>
      <c r="Q544" s="2"/>
      <c r="R544" s="2"/>
      <c r="S544" s="26"/>
      <c r="T544" s="180">
        <f>1918224*1.19</f>
        <v>2282686.56</v>
      </c>
      <c r="U544" s="28">
        <f>Tabla1[[#This Row],[PPTO]]/(1+'Lista Datos'!$B$1)</f>
        <v>1918224.0000000002</v>
      </c>
      <c r="V544" s="68"/>
      <c r="W544" s="18"/>
      <c r="X544" s="102"/>
      <c r="Y544" s="18" t="s">
        <v>146</v>
      </c>
      <c r="Z544" s="18"/>
      <c r="AA544" s="68" t="s">
        <v>177</v>
      </c>
      <c r="AB544" s="68">
        <v>18</v>
      </c>
      <c r="AC544" s="68" t="s">
        <v>10</v>
      </c>
      <c r="AD544" s="68"/>
      <c r="AE544" s="29">
        <f>Tabla1[[#This Row],[Cierre]]+Tabla1[[#This Row],[Vigencia Oferta (días)]]</f>
        <v>44972.625</v>
      </c>
      <c r="AF544" s="91">
        <v>144</v>
      </c>
      <c r="AG544" s="67">
        <v>13321</v>
      </c>
      <c r="AH544" s="164">
        <f>Tabla1[[#This Row],[Unidades2]]*Tabla1[[#This Row],[Precio Unitario]]</f>
        <v>1918224</v>
      </c>
      <c r="AI544" s="23" t="s">
        <v>320</v>
      </c>
      <c r="AJ544" s="26"/>
      <c r="AK544" s="172">
        <f>Tabla1[[#This Row],[Fecha Vigencia]]-AJ544</f>
        <v>44972.625</v>
      </c>
      <c r="AL544" s="68"/>
      <c r="AM544" s="91"/>
      <c r="AN544" s="68"/>
      <c r="AO544" s="157"/>
      <c r="AP544" s="68"/>
      <c r="AQ544" s="69"/>
      <c r="AR544" s="68"/>
      <c r="AS544" s="68"/>
      <c r="AT544" s="68"/>
      <c r="AU544" s="68"/>
      <c r="AV544" s="68"/>
      <c r="AW544" s="68"/>
      <c r="AX544" s="68"/>
      <c r="AY544" s="23"/>
      <c r="AZ544" s="23"/>
      <c r="BA544" s="23"/>
      <c r="BB544" s="32"/>
      <c r="BC544" s="73"/>
    </row>
    <row r="545" spans="1:55" ht="11.25" x14ac:dyDescent="0.2">
      <c r="A545" s="22" t="s">
        <v>2860</v>
      </c>
      <c r="B545" s="23" t="s">
        <v>2861</v>
      </c>
      <c r="C545" s="23" t="s">
        <v>2243</v>
      </c>
      <c r="D545" s="34" t="s">
        <v>2862</v>
      </c>
      <c r="E545" s="24"/>
      <c r="F545" s="25"/>
      <c r="G545" s="23" t="s">
        <v>17</v>
      </c>
      <c r="H545" s="23" t="s">
        <v>213</v>
      </c>
      <c r="I545" s="2">
        <v>44944.705717592595</v>
      </c>
      <c r="J545" s="24">
        <f>MONTH(Tabla1[[#This Row],[Publicación]])</f>
        <v>1</v>
      </c>
      <c r="K545" s="24">
        <f>YEAR(Tabla1[[#This Row],[Publicación]])</f>
        <v>2023</v>
      </c>
      <c r="L545" s="2">
        <v>44965.708333333336</v>
      </c>
      <c r="M545" s="26">
        <v>44956</v>
      </c>
      <c r="N545" s="25" t="s">
        <v>10</v>
      </c>
      <c r="O545" s="24" t="s">
        <v>25</v>
      </c>
      <c r="P545" s="24" t="s">
        <v>10</v>
      </c>
      <c r="Q545" s="2"/>
      <c r="R545" s="2"/>
      <c r="S545" s="26"/>
      <c r="T545" s="28">
        <v>0</v>
      </c>
      <c r="U545" s="28">
        <f>Tabla1[[#This Row],[PPTO]]/(1+'Lista Datos'!$B$1)</f>
        <v>0</v>
      </c>
      <c r="V545" s="68"/>
      <c r="W545" s="18"/>
      <c r="X545" s="102"/>
      <c r="Y545" s="18" t="s">
        <v>146</v>
      </c>
      <c r="Z545" s="18"/>
      <c r="AA545" s="68"/>
      <c r="AB545" s="68"/>
      <c r="AC545" s="68"/>
      <c r="AD545" s="68"/>
      <c r="AE545" s="29">
        <f>Tabla1[[#This Row],[Cierre]]+Tabla1[[#This Row],[Vigencia Oferta (días)]]</f>
        <v>44965.708333333336</v>
      </c>
      <c r="AF545" s="91"/>
      <c r="AG545" s="67"/>
      <c r="AH545" s="164">
        <f>Tabla1[[#This Row],[Unidades2]]*Tabla1[[#This Row],[Precio Unitario]]</f>
        <v>0</v>
      </c>
      <c r="AI545" s="23" t="s">
        <v>270</v>
      </c>
      <c r="AJ545" s="26"/>
      <c r="AK545" s="172">
        <f>Tabla1[[#This Row],[Fecha Vigencia]]-AJ545</f>
        <v>44965.708333333336</v>
      </c>
      <c r="AL545" s="68"/>
      <c r="AM545" s="91"/>
      <c r="AN545" s="68"/>
      <c r="AO545" s="157"/>
      <c r="AP545" s="68"/>
      <c r="AQ545" s="69"/>
      <c r="AR545" s="68"/>
      <c r="AS545" s="68"/>
      <c r="AT545" s="68"/>
      <c r="AU545" s="68"/>
      <c r="AV545" s="68"/>
      <c r="AW545" s="68"/>
      <c r="AX545" s="68"/>
      <c r="AY545" s="23"/>
      <c r="AZ545" s="23"/>
      <c r="BA545" s="23"/>
      <c r="BB545" s="32"/>
      <c r="BC545" s="73"/>
    </row>
    <row r="546" spans="1:55" ht="11.25" x14ac:dyDescent="0.2">
      <c r="A546" s="22" t="s">
        <v>2863</v>
      </c>
      <c r="B546" s="23" t="s">
        <v>2864</v>
      </c>
      <c r="C546" s="23" t="s">
        <v>2865</v>
      </c>
      <c r="D546" s="34" t="s">
        <v>204</v>
      </c>
      <c r="E546" s="24"/>
      <c r="F546" s="25"/>
      <c r="G546" s="23" t="s">
        <v>17</v>
      </c>
      <c r="H546" s="23" t="s">
        <v>213</v>
      </c>
      <c r="I546" s="2">
        <v>44944.352106481485</v>
      </c>
      <c r="J546" s="24">
        <f>MONTH(Tabla1[[#This Row],[Publicación]])</f>
        <v>1</v>
      </c>
      <c r="K546" s="24">
        <f>YEAR(Tabla1[[#This Row],[Publicación]])</f>
        <v>2023</v>
      </c>
      <c r="L546" s="2">
        <v>44964.625</v>
      </c>
      <c r="M546" s="26">
        <v>44956</v>
      </c>
      <c r="N546" s="25" t="s">
        <v>10</v>
      </c>
      <c r="O546" s="24" t="s">
        <v>25</v>
      </c>
      <c r="P546" s="24" t="s">
        <v>10</v>
      </c>
      <c r="Q546" s="2"/>
      <c r="R546" s="2"/>
      <c r="S546" s="26"/>
      <c r="T546" s="28">
        <v>0</v>
      </c>
      <c r="U546" s="28">
        <f>Tabla1[[#This Row],[PPTO]]/(1+'Lista Datos'!$B$1)</f>
        <v>0</v>
      </c>
      <c r="V546" s="68"/>
      <c r="W546" s="18"/>
      <c r="X546" s="102"/>
      <c r="Y546" s="18" t="s">
        <v>146</v>
      </c>
      <c r="Z546" s="18"/>
      <c r="AA546" s="68"/>
      <c r="AB546" s="68"/>
      <c r="AC546" s="68"/>
      <c r="AD546" s="68"/>
      <c r="AE546" s="29">
        <f>Tabla1[[#This Row],[Cierre]]+Tabla1[[#This Row],[Vigencia Oferta (días)]]</f>
        <v>44964.625</v>
      </c>
      <c r="AF546" s="91"/>
      <c r="AG546" s="67"/>
      <c r="AH546" s="164">
        <f>Tabla1[[#This Row],[Unidades2]]*Tabla1[[#This Row],[Precio Unitario]]</f>
        <v>0</v>
      </c>
      <c r="AI546" s="23" t="s">
        <v>270</v>
      </c>
      <c r="AJ546" s="26"/>
      <c r="AK546" s="172">
        <f>Tabla1[[#This Row],[Fecha Vigencia]]-AJ546</f>
        <v>44964.625</v>
      </c>
      <c r="AL546" s="68"/>
      <c r="AM546" s="91"/>
      <c r="AN546" s="68"/>
      <c r="AO546" s="157"/>
      <c r="AP546" s="68"/>
      <c r="AQ546" s="69"/>
      <c r="AR546" s="68"/>
      <c r="AS546" s="68"/>
      <c r="AT546" s="68"/>
      <c r="AU546" s="68"/>
      <c r="AV546" s="68"/>
      <c r="AW546" s="68"/>
      <c r="AX546" s="68"/>
      <c r="AY546" s="23"/>
      <c r="AZ546" s="23"/>
      <c r="BA546" s="23"/>
      <c r="BB546" s="32"/>
      <c r="BC546" s="73"/>
    </row>
    <row r="547" spans="1:55" ht="11.25" x14ac:dyDescent="0.2">
      <c r="A547" s="22" t="s">
        <v>2866</v>
      </c>
      <c r="B547" s="23" t="s">
        <v>2867</v>
      </c>
      <c r="C547" s="23" t="s">
        <v>2868</v>
      </c>
      <c r="D547" s="34" t="s">
        <v>2869</v>
      </c>
      <c r="E547" s="24"/>
      <c r="F547" s="25"/>
      <c r="G547" s="23" t="s">
        <v>17</v>
      </c>
      <c r="H547" s="23" t="s">
        <v>213</v>
      </c>
      <c r="I547" s="2">
        <v>44939.752581018518</v>
      </c>
      <c r="J547" s="24">
        <f>MONTH(Tabla1[[#This Row],[Publicación]])</f>
        <v>1</v>
      </c>
      <c r="K547" s="24">
        <f>YEAR(Tabla1[[#This Row],[Publicación]])</f>
        <v>2023</v>
      </c>
      <c r="L547" s="2">
        <v>45006.583333333336</v>
      </c>
      <c r="M547" s="26">
        <v>44956</v>
      </c>
      <c r="N547" s="25" t="s">
        <v>10</v>
      </c>
      <c r="O547" s="24" t="s">
        <v>28</v>
      </c>
      <c r="P547" s="24" t="s">
        <v>10</v>
      </c>
      <c r="Q547" s="2"/>
      <c r="R547" s="2"/>
      <c r="S547" s="26"/>
      <c r="T547" s="28">
        <v>0</v>
      </c>
      <c r="U547" s="28">
        <f>Tabla1[[#This Row],[PPTO]]/(1+'Lista Datos'!$B$1)</f>
        <v>0</v>
      </c>
      <c r="V547" s="68"/>
      <c r="W547" s="18"/>
      <c r="X547" s="102"/>
      <c r="Y547" s="18" t="s">
        <v>146</v>
      </c>
      <c r="Z547" s="18"/>
      <c r="AA547" s="68"/>
      <c r="AB547" s="68"/>
      <c r="AC547" s="68"/>
      <c r="AD547" s="68"/>
      <c r="AE547" s="29">
        <f>Tabla1[[#This Row],[Cierre]]+Tabla1[[#This Row],[Vigencia Oferta (días)]]</f>
        <v>45006.583333333336</v>
      </c>
      <c r="AF547" s="91"/>
      <c r="AG547" s="67"/>
      <c r="AH547" s="164">
        <f>Tabla1[[#This Row],[Unidades2]]*Tabla1[[#This Row],[Precio Unitario]]</f>
        <v>0</v>
      </c>
      <c r="AI547" s="23" t="s">
        <v>270</v>
      </c>
      <c r="AJ547" s="26"/>
      <c r="AK547" s="172">
        <f>Tabla1[[#This Row],[Fecha Vigencia]]-AJ547</f>
        <v>45006.583333333336</v>
      </c>
      <c r="AL547" s="68"/>
      <c r="AM547" s="91"/>
      <c r="AN547" s="68"/>
      <c r="AO547" s="157"/>
      <c r="AP547" s="68"/>
      <c r="AQ547" s="69"/>
      <c r="AR547" s="68"/>
      <c r="AS547" s="68"/>
      <c r="AT547" s="68"/>
      <c r="AU547" s="68"/>
      <c r="AV547" s="68"/>
      <c r="AW547" s="68"/>
      <c r="AX547" s="68"/>
      <c r="AY547" s="23"/>
      <c r="AZ547" s="23"/>
      <c r="BA547" s="23"/>
      <c r="BB547" s="32"/>
      <c r="BC547" s="73"/>
    </row>
    <row r="548" spans="1:55" ht="11.25" x14ac:dyDescent="0.2">
      <c r="A548" s="36" t="s">
        <v>2870</v>
      </c>
      <c r="B548" s="37" t="s">
        <v>2871</v>
      </c>
      <c r="C548" s="37" t="s">
        <v>2872</v>
      </c>
      <c r="D548" s="55" t="s">
        <v>2873</v>
      </c>
      <c r="E548" s="38"/>
      <c r="F548" s="39"/>
      <c r="G548" s="37" t="s">
        <v>16</v>
      </c>
      <c r="H548" s="37" t="s">
        <v>533</v>
      </c>
      <c r="I548" s="2">
        <v>44956.815798611111</v>
      </c>
      <c r="J548" s="24">
        <f>MONTH(Tabla1[[#This Row],[Publicación]])</f>
        <v>1</v>
      </c>
      <c r="K548" s="24">
        <f>YEAR(Tabla1[[#This Row],[Publicación]])</f>
        <v>2023</v>
      </c>
      <c r="L548" s="40">
        <v>44987.625</v>
      </c>
      <c r="M548" s="41">
        <v>44957</v>
      </c>
      <c r="N548" s="39" t="s">
        <v>11</v>
      </c>
      <c r="O548" s="38"/>
      <c r="P548" s="24" t="s">
        <v>11</v>
      </c>
      <c r="Q548" s="40"/>
      <c r="R548" s="40"/>
      <c r="S548" s="41"/>
      <c r="T548" s="28">
        <v>0</v>
      </c>
      <c r="U548" s="28">
        <f>Tabla1[[#This Row],[PPTO]]/(1+'Lista Datos'!$B$1)</f>
        <v>0</v>
      </c>
      <c r="V548" s="65"/>
      <c r="W548" s="122" t="s">
        <v>10</v>
      </c>
      <c r="X548" s="112"/>
      <c r="Y548" s="19" t="s">
        <v>146</v>
      </c>
      <c r="Z548" s="18" t="s">
        <v>10</v>
      </c>
      <c r="AA548" s="65" t="s">
        <v>177</v>
      </c>
      <c r="AB548" s="65">
        <v>54</v>
      </c>
      <c r="AC548" s="23" t="s">
        <v>10</v>
      </c>
      <c r="AD548" s="65"/>
      <c r="AE548" s="29">
        <f>Tabla1[[#This Row],[Cierre]]+Tabla1[[#This Row],[Vigencia Oferta (días)]]</f>
        <v>44987.625</v>
      </c>
      <c r="AF548" s="90"/>
      <c r="AG548" s="64"/>
      <c r="AH548" s="164">
        <f>Tabla1[[#This Row],[Unidades2]]*Tabla1[[#This Row],[Precio Unitario]]</f>
        <v>0</v>
      </c>
      <c r="AI548" s="37" t="s">
        <v>44</v>
      </c>
      <c r="AJ548" s="41">
        <v>45020</v>
      </c>
      <c r="AK548" s="172">
        <f>Tabla1[[#This Row],[Fecha Vigencia]]-AJ548</f>
        <v>-32.375</v>
      </c>
      <c r="AL548" s="65" t="s">
        <v>45</v>
      </c>
      <c r="AM548" s="90">
        <v>347535787</v>
      </c>
      <c r="AN548" s="181">
        <v>45020</v>
      </c>
      <c r="AO548" s="181">
        <v>46664</v>
      </c>
      <c r="AP548" s="65" t="s">
        <v>177</v>
      </c>
      <c r="AQ548" s="66"/>
      <c r="AR548" s="65"/>
      <c r="AS548" s="65"/>
      <c r="AT548" s="65"/>
      <c r="AU548" s="65"/>
      <c r="AV548" s="65"/>
      <c r="AW548" s="65"/>
      <c r="AX548" s="65"/>
      <c r="AY548" s="37"/>
      <c r="AZ548" s="37"/>
      <c r="BA548" s="37"/>
      <c r="BB548" s="44"/>
      <c r="BC548" s="73"/>
    </row>
    <row r="549" spans="1:55" ht="11.25" x14ac:dyDescent="0.2">
      <c r="A549" s="36" t="s">
        <v>2874</v>
      </c>
      <c r="B549" s="37" t="s">
        <v>2875</v>
      </c>
      <c r="C549" s="37" t="s">
        <v>2876</v>
      </c>
      <c r="D549" s="55" t="s">
        <v>2877</v>
      </c>
      <c r="E549" s="38" t="s">
        <v>2878</v>
      </c>
      <c r="F549" s="39">
        <v>1</v>
      </c>
      <c r="G549" s="37" t="s">
        <v>17</v>
      </c>
      <c r="H549" s="37" t="s">
        <v>213</v>
      </c>
      <c r="I549" s="2">
        <v>44956.667384259257</v>
      </c>
      <c r="J549" s="24">
        <f>MONTH(Tabla1[[#This Row],[Publicación]])</f>
        <v>1</v>
      </c>
      <c r="K549" s="24">
        <f>YEAR(Tabla1[[#This Row],[Publicación]])</f>
        <v>2023</v>
      </c>
      <c r="L549" s="40">
        <v>44966.375</v>
      </c>
      <c r="M549" s="41">
        <v>44957</v>
      </c>
      <c r="N549" s="25" t="s">
        <v>10</v>
      </c>
      <c r="O549" s="24" t="s">
        <v>25</v>
      </c>
      <c r="P549" s="24" t="s">
        <v>10</v>
      </c>
      <c r="Q549" s="40"/>
      <c r="R549" s="40"/>
      <c r="S549" s="41"/>
      <c r="T549" s="28">
        <v>0</v>
      </c>
      <c r="U549" s="28">
        <f>Tabla1[[#This Row],[PPTO]]/(1+'Lista Datos'!$B$1)</f>
        <v>0</v>
      </c>
      <c r="V549" s="65"/>
      <c r="W549" s="19"/>
      <c r="X549" s="112"/>
      <c r="Y549" s="19" t="s">
        <v>146</v>
      </c>
      <c r="Z549" s="19"/>
      <c r="AA549" s="65"/>
      <c r="AB549" s="65"/>
      <c r="AC549" s="65"/>
      <c r="AD549" s="65"/>
      <c r="AE549" s="29">
        <f>Tabla1[[#This Row],[Cierre]]+Tabla1[[#This Row],[Vigencia Oferta (días)]]</f>
        <v>44966.375</v>
      </c>
      <c r="AF549" s="90"/>
      <c r="AG549" s="64"/>
      <c r="AH549" s="164">
        <f>Tabla1[[#This Row],[Unidades2]]*Tabla1[[#This Row],[Precio Unitario]]</f>
        <v>0</v>
      </c>
      <c r="AI549" s="37" t="s">
        <v>270</v>
      </c>
      <c r="AJ549" s="41"/>
      <c r="AK549" s="172">
        <f>Tabla1[[#This Row],[Fecha Vigencia]]-AJ549</f>
        <v>44966.375</v>
      </c>
      <c r="AL549" s="65"/>
      <c r="AM549" s="90"/>
      <c r="AN549" s="65"/>
      <c r="AO549" s="181"/>
      <c r="AP549" s="65"/>
      <c r="AQ549" s="66"/>
      <c r="AR549" s="65"/>
      <c r="AS549" s="65"/>
      <c r="AT549" s="65"/>
      <c r="AU549" s="65"/>
      <c r="AV549" s="65"/>
      <c r="AW549" s="65"/>
      <c r="AX549" s="65"/>
      <c r="AY549" s="37"/>
      <c r="AZ549" s="37"/>
      <c r="BA549" s="37"/>
      <c r="BB549" s="44"/>
      <c r="BC549" s="73"/>
    </row>
    <row r="550" spans="1:55" ht="11.25" x14ac:dyDescent="0.2">
      <c r="A550" s="22" t="s">
        <v>2879</v>
      </c>
      <c r="B550" s="23" t="s">
        <v>2880</v>
      </c>
      <c r="C550" s="23" t="s">
        <v>2880</v>
      </c>
      <c r="D550" s="34" t="s">
        <v>2881</v>
      </c>
      <c r="E550" s="24" t="s">
        <v>2882</v>
      </c>
      <c r="F550" s="25">
        <v>2</v>
      </c>
      <c r="G550" s="23" t="s">
        <v>17</v>
      </c>
      <c r="H550" s="23" t="s">
        <v>213</v>
      </c>
      <c r="I550" s="2">
        <v>44956.512708333335</v>
      </c>
      <c r="J550" s="24">
        <f>MONTH(Tabla1[[#This Row],[Publicación]])</f>
        <v>1</v>
      </c>
      <c r="K550" s="24">
        <f>YEAR(Tabla1[[#This Row],[Publicación]])</f>
        <v>2023</v>
      </c>
      <c r="L550" s="2">
        <v>44964.666666666664</v>
      </c>
      <c r="M550" s="26">
        <v>44957</v>
      </c>
      <c r="N550" s="25" t="s">
        <v>10</v>
      </c>
      <c r="O550" s="24" t="s">
        <v>27</v>
      </c>
      <c r="P550" s="24" t="s">
        <v>10</v>
      </c>
      <c r="Q550" s="2"/>
      <c r="R550" s="2"/>
      <c r="S550" s="26"/>
      <c r="T550" s="28">
        <v>0</v>
      </c>
      <c r="U550" s="28">
        <f>Tabla1[[#This Row],[PPTO]]/(1+'Lista Datos'!$B$1)</f>
        <v>0</v>
      </c>
      <c r="V550" s="68"/>
      <c r="W550" s="18"/>
      <c r="X550" s="102"/>
      <c r="Y550" s="18" t="s">
        <v>146</v>
      </c>
      <c r="Z550" s="18"/>
      <c r="AA550" s="68"/>
      <c r="AB550" s="68"/>
      <c r="AC550" s="68"/>
      <c r="AD550" s="68"/>
      <c r="AE550" s="29">
        <f>Tabla1[[#This Row],[Cierre]]+Tabla1[[#This Row],[Vigencia Oferta (días)]]</f>
        <v>44964.666666666664</v>
      </c>
      <c r="AF550" s="91"/>
      <c r="AG550" s="67"/>
      <c r="AH550" s="164">
        <f>Tabla1[[#This Row],[Unidades2]]*Tabla1[[#This Row],[Precio Unitario]]</f>
        <v>0</v>
      </c>
      <c r="AI550" s="23" t="s">
        <v>270</v>
      </c>
      <c r="AJ550" s="26"/>
      <c r="AK550" s="172">
        <f>Tabla1[[#This Row],[Fecha Vigencia]]-AJ550</f>
        <v>44964.666666666664</v>
      </c>
      <c r="AL550" s="68"/>
      <c r="AM550" s="91"/>
      <c r="AN550" s="68"/>
      <c r="AO550" s="157"/>
      <c r="AP550" s="68"/>
      <c r="AQ550" s="69"/>
      <c r="AR550" s="68"/>
      <c r="AS550" s="68"/>
      <c r="AT550" s="68"/>
      <c r="AU550" s="68"/>
      <c r="AV550" s="68"/>
      <c r="AW550" s="68"/>
      <c r="AX550" s="68"/>
      <c r="AY550" s="23"/>
      <c r="AZ550" s="23"/>
      <c r="BA550" s="23"/>
      <c r="BB550" s="32"/>
      <c r="BC550" s="73"/>
    </row>
    <row r="551" spans="1:55" ht="11.25" x14ac:dyDescent="0.2">
      <c r="A551" s="22" t="s">
        <v>2883</v>
      </c>
      <c r="B551" s="23" t="s">
        <v>2884</v>
      </c>
      <c r="C551" s="23" t="s">
        <v>2885</v>
      </c>
      <c r="D551" s="34" t="s">
        <v>464</v>
      </c>
      <c r="E551" s="24" t="s">
        <v>2886</v>
      </c>
      <c r="F551" s="25">
        <v>1</v>
      </c>
      <c r="G551" s="23" t="s">
        <v>16</v>
      </c>
      <c r="H551" s="23" t="s">
        <v>520</v>
      </c>
      <c r="I551" s="2">
        <v>44956.491261574076</v>
      </c>
      <c r="J551" s="24">
        <f>MONTH(Tabla1[[#This Row],[Publicación]])</f>
        <v>1</v>
      </c>
      <c r="K551" s="24">
        <f>YEAR(Tabla1[[#This Row],[Publicación]])</f>
        <v>2023</v>
      </c>
      <c r="L551" s="2">
        <v>44977.666666666664</v>
      </c>
      <c r="M551" s="26">
        <v>44957</v>
      </c>
      <c r="N551" s="25" t="s">
        <v>10</v>
      </c>
      <c r="O551" s="24" t="s">
        <v>31</v>
      </c>
      <c r="P551" s="38" t="s">
        <v>10</v>
      </c>
      <c r="Q551" s="2"/>
      <c r="R551" s="2"/>
      <c r="S551" s="26"/>
      <c r="T551" s="28">
        <v>0</v>
      </c>
      <c r="U551" s="28">
        <f>Tabla1[[#This Row],[PPTO]]/(1+'Lista Datos'!$B$1)</f>
        <v>0</v>
      </c>
      <c r="V551" s="68"/>
      <c r="W551" s="18"/>
      <c r="X551" s="102"/>
      <c r="Y551" s="18" t="s">
        <v>146</v>
      </c>
      <c r="Z551" s="18"/>
      <c r="AA551" s="68"/>
      <c r="AB551" s="68"/>
      <c r="AC551" s="68"/>
      <c r="AD551" s="68"/>
      <c r="AE551" s="29">
        <f>Tabla1[[#This Row],[Cierre]]+Tabla1[[#This Row],[Vigencia Oferta (días)]]</f>
        <v>44977.666666666664</v>
      </c>
      <c r="AF551" s="91"/>
      <c r="AG551" s="67"/>
      <c r="AH551" s="164">
        <f>Tabla1[[#This Row],[Unidades2]]*Tabla1[[#This Row],[Precio Unitario]]</f>
        <v>0</v>
      </c>
      <c r="AI551" s="23" t="s">
        <v>270</v>
      </c>
      <c r="AJ551" s="26"/>
      <c r="AK551" s="172">
        <f>Tabla1[[#This Row],[Fecha Vigencia]]-AJ551</f>
        <v>44977.666666666664</v>
      </c>
      <c r="AL551" s="68"/>
      <c r="AM551" s="91"/>
      <c r="AN551" s="68"/>
      <c r="AO551" s="157"/>
      <c r="AP551" s="68"/>
      <c r="AQ551" s="69"/>
      <c r="AR551" s="68"/>
      <c r="AS551" s="68"/>
      <c r="AT551" s="68"/>
      <c r="AU551" s="68"/>
      <c r="AV551" s="68"/>
      <c r="AW551" s="68"/>
      <c r="AX551" s="68"/>
      <c r="AY551" s="23"/>
      <c r="AZ551" s="23"/>
      <c r="BA551" s="23"/>
      <c r="BB551" s="32"/>
      <c r="BC551" s="73"/>
    </row>
    <row r="552" spans="1:55" ht="11.25" x14ac:dyDescent="0.2">
      <c r="A552" s="22" t="s">
        <v>2887</v>
      </c>
      <c r="B552" s="23" t="s">
        <v>2888</v>
      </c>
      <c r="C552" s="23" t="s">
        <v>2889</v>
      </c>
      <c r="D552" s="34" t="s">
        <v>2700</v>
      </c>
      <c r="E552" s="24" t="s">
        <v>2890</v>
      </c>
      <c r="F552" s="25">
        <v>1</v>
      </c>
      <c r="G552" s="23" t="s">
        <v>16</v>
      </c>
      <c r="H552" s="23" t="s">
        <v>1983</v>
      </c>
      <c r="I552" s="2">
        <v>44956.743819444448</v>
      </c>
      <c r="J552" s="24">
        <f>MONTH(Tabla1[[#This Row],[Publicación]])</f>
        <v>1</v>
      </c>
      <c r="K552" s="24">
        <f>YEAR(Tabla1[[#This Row],[Publicación]])</f>
        <v>2023</v>
      </c>
      <c r="L552" s="2">
        <v>44964.645833333336</v>
      </c>
      <c r="M552" s="26">
        <v>44957</v>
      </c>
      <c r="N552" s="25" t="s">
        <v>10</v>
      </c>
      <c r="O552" s="24" t="s">
        <v>33</v>
      </c>
      <c r="P552" s="24" t="s">
        <v>10</v>
      </c>
      <c r="Q552" s="2"/>
      <c r="R552" s="2"/>
      <c r="S552" s="26"/>
      <c r="T552" s="28">
        <v>0</v>
      </c>
      <c r="U552" s="28">
        <f>Tabla1[[#This Row],[PPTO]]/(1+'Lista Datos'!$B$1)</f>
        <v>0</v>
      </c>
      <c r="V552" s="68"/>
      <c r="W552" s="18"/>
      <c r="X552" s="102"/>
      <c r="Y552" s="18" t="s">
        <v>146</v>
      </c>
      <c r="Z552" s="18"/>
      <c r="AA552" s="68"/>
      <c r="AB552" s="68"/>
      <c r="AC552" s="68"/>
      <c r="AD552" s="68"/>
      <c r="AE552" s="29">
        <f>Tabla1[[#This Row],[Cierre]]+Tabla1[[#This Row],[Vigencia Oferta (días)]]</f>
        <v>44964.645833333336</v>
      </c>
      <c r="AF552" s="91"/>
      <c r="AG552" s="67"/>
      <c r="AH552" s="164">
        <f>Tabla1[[#This Row],[Unidades2]]*Tabla1[[#This Row],[Precio Unitario]]</f>
        <v>0</v>
      </c>
      <c r="AI552" s="23" t="s">
        <v>270</v>
      </c>
      <c r="AJ552" s="26"/>
      <c r="AK552" s="172">
        <f>Tabla1[[#This Row],[Fecha Vigencia]]-AJ552</f>
        <v>44964.645833333336</v>
      </c>
      <c r="AL552" s="68"/>
      <c r="AM552" s="91"/>
      <c r="AN552" s="68"/>
      <c r="AO552" s="157"/>
      <c r="AP552" s="68"/>
      <c r="AQ552" s="69"/>
      <c r="AR552" s="68"/>
      <c r="AS552" s="68"/>
      <c r="AT552" s="68"/>
      <c r="AU552" s="68"/>
      <c r="AV552" s="68"/>
      <c r="AW552" s="68"/>
      <c r="AX552" s="68"/>
      <c r="AY552" s="23"/>
      <c r="AZ552" s="23"/>
      <c r="BA552" s="23"/>
      <c r="BB552" s="32"/>
      <c r="BC552" s="73"/>
    </row>
    <row r="553" spans="1:55" ht="11.25" x14ac:dyDescent="0.2">
      <c r="A553" s="22" t="s">
        <v>2891</v>
      </c>
      <c r="B553" s="23" t="s">
        <v>2892</v>
      </c>
      <c r="C553" s="23" t="s">
        <v>2893</v>
      </c>
      <c r="D553" s="34" t="s">
        <v>2894</v>
      </c>
      <c r="E553" s="24" t="s">
        <v>2895</v>
      </c>
      <c r="F553" s="25">
        <v>1</v>
      </c>
      <c r="G553" s="23" t="s">
        <v>16</v>
      </c>
      <c r="H553" s="23" t="s">
        <v>123</v>
      </c>
      <c r="I553" s="2">
        <v>44957.644895833335</v>
      </c>
      <c r="J553" s="24">
        <f>MONTH(Tabla1[[#This Row],[Publicación]])</f>
        <v>1</v>
      </c>
      <c r="K553" s="24">
        <f>YEAR(Tabla1[[#This Row],[Publicación]])</f>
        <v>2023</v>
      </c>
      <c r="L553" s="2">
        <v>44967.556944444441</v>
      </c>
      <c r="M553" s="26">
        <v>44958</v>
      </c>
      <c r="N553" s="25" t="s">
        <v>10</v>
      </c>
      <c r="O553" s="24" t="s">
        <v>33</v>
      </c>
      <c r="P553" s="24" t="s">
        <v>10</v>
      </c>
      <c r="Q553" s="2"/>
      <c r="R553" s="2"/>
      <c r="S553" s="26"/>
      <c r="T553" s="28">
        <v>0</v>
      </c>
      <c r="U553" s="28">
        <f>Tabla1[[#This Row],[PPTO]]/(1+'Lista Datos'!$B$1)</f>
        <v>0</v>
      </c>
      <c r="V553" s="23"/>
      <c r="W553" s="18"/>
      <c r="X553" s="102"/>
      <c r="Y553" s="18" t="s">
        <v>146</v>
      </c>
      <c r="Z553" s="18"/>
      <c r="AA553" s="23"/>
      <c r="AB553" s="23"/>
      <c r="AC553" s="23"/>
      <c r="AD553" s="23"/>
      <c r="AE553" s="29">
        <f>Tabla1[[#This Row],[Cierre]]+Tabla1[[#This Row],[Vigencia Oferta (días)]]</f>
        <v>44967.556944444441</v>
      </c>
      <c r="AF553" s="87"/>
      <c r="AG553" s="28"/>
      <c r="AH553" s="164">
        <f>Tabla1[[#This Row],[Unidades2]]*Tabla1[[#This Row],[Precio Unitario]]</f>
        <v>0</v>
      </c>
      <c r="AI553" s="23" t="s">
        <v>270</v>
      </c>
      <c r="AJ553" s="26"/>
      <c r="AK553" s="172">
        <f>Tabla1[[#This Row],[Fecha Vigencia]]-AJ553</f>
        <v>44967.556944444441</v>
      </c>
      <c r="AL553" s="23"/>
      <c r="AM553" s="87"/>
      <c r="AN553" s="23"/>
      <c r="AO553" s="29"/>
      <c r="AP553" s="23"/>
      <c r="AQ553" s="34"/>
      <c r="AR553" s="23"/>
      <c r="AS553" s="23"/>
      <c r="AT553" s="23"/>
      <c r="AU553" s="23"/>
      <c r="AV553" s="23"/>
      <c r="AW553" s="23"/>
      <c r="AX553" s="23"/>
      <c r="AY553" s="23"/>
      <c r="AZ553" s="23"/>
      <c r="BA553" s="23"/>
      <c r="BB553" s="32"/>
      <c r="BC553" s="73"/>
    </row>
    <row r="554" spans="1:55" ht="11.25" x14ac:dyDescent="0.2">
      <c r="A554" s="22" t="s">
        <v>2896</v>
      </c>
      <c r="B554" s="23" t="s">
        <v>2897</v>
      </c>
      <c r="C554" s="23" t="s">
        <v>2898</v>
      </c>
      <c r="D554" s="34" t="s">
        <v>664</v>
      </c>
      <c r="E554" s="24" t="s">
        <v>2899</v>
      </c>
      <c r="F554" s="25">
        <v>1</v>
      </c>
      <c r="G554" s="23" t="s">
        <v>16</v>
      </c>
      <c r="H554" s="23" t="s">
        <v>2511</v>
      </c>
      <c r="I554" s="2">
        <v>44957.664386574077</v>
      </c>
      <c r="J554" s="24">
        <f>MONTH(Tabla1[[#This Row],[Publicación]])</f>
        <v>1</v>
      </c>
      <c r="K554" s="24">
        <f>YEAR(Tabla1[[#This Row],[Publicación]])</f>
        <v>2023</v>
      </c>
      <c r="L554" s="2">
        <v>44963.726388888892</v>
      </c>
      <c r="M554" s="26">
        <v>44958</v>
      </c>
      <c r="N554" s="25" t="s">
        <v>10</v>
      </c>
      <c r="O554" s="24" t="s">
        <v>33</v>
      </c>
      <c r="P554" s="24" t="s">
        <v>10</v>
      </c>
      <c r="Q554" s="2"/>
      <c r="R554" s="2"/>
      <c r="S554" s="26"/>
      <c r="T554" s="28">
        <v>0</v>
      </c>
      <c r="U554" s="28">
        <f>Tabla1[[#This Row],[PPTO]]/(1+'Lista Datos'!$B$1)</f>
        <v>0</v>
      </c>
      <c r="V554" s="68"/>
      <c r="W554" s="18"/>
      <c r="X554" s="102"/>
      <c r="Y554" s="18" t="s">
        <v>146</v>
      </c>
      <c r="Z554" s="18"/>
      <c r="AA554" s="68"/>
      <c r="AB554" s="68"/>
      <c r="AC554" s="68"/>
      <c r="AD554" s="68"/>
      <c r="AE554" s="29">
        <f>Tabla1[[#This Row],[Cierre]]+Tabla1[[#This Row],[Vigencia Oferta (días)]]</f>
        <v>44963.726388888892</v>
      </c>
      <c r="AF554" s="91"/>
      <c r="AG554" s="67"/>
      <c r="AH554" s="164">
        <f>Tabla1[[#This Row],[Unidades2]]*Tabla1[[#This Row],[Precio Unitario]]</f>
        <v>0</v>
      </c>
      <c r="AI554" s="23" t="s">
        <v>270</v>
      </c>
      <c r="AJ554" s="26"/>
      <c r="AK554" s="172">
        <f>Tabla1[[#This Row],[Fecha Vigencia]]-AJ554</f>
        <v>44963.726388888892</v>
      </c>
      <c r="AL554" s="68"/>
      <c r="AM554" s="91"/>
      <c r="AN554" s="68"/>
      <c r="AO554" s="157"/>
      <c r="AP554" s="68"/>
      <c r="AQ554" s="69"/>
      <c r="AR554" s="68"/>
      <c r="AS554" s="68"/>
      <c r="AT554" s="68"/>
      <c r="AU554" s="68"/>
      <c r="AV554" s="68"/>
      <c r="AW554" s="68"/>
      <c r="AX554" s="68"/>
      <c r="AY554" s="23"/>
      <c r="AZ554" s="23"/>
      <c r="BA554" s="23"/>
      <c r="BB554" s="32"/>
      <c r="BC554" s="73"/>
    </row>
    <row r="555" spans="1:55" ht="11.25" x14ac:dyDescent="0.2">
      <c r="A555" s="22" t="s">
        <v>2900</v>
      </c>
      <c r="B555" s="23" t="s">
        <v>2901</v>
      </c>
      <c r="C555" s="23" t="s">
        <v>2902</v>
      </c>
      <c r="D555" s="34" t="s">
        <v>136</v>
      </c>
      <c r="E555" s="24" t="s">
        <v>2903</v>
      </c>
      <c r="F555" s="25">
        <v>310000</v>
      </c>
      <c r="G555" s="23" t="s">
        <v>16</v>
      </c>
      <c r="H555" s="23" t="s">
        <v>1983</v>
      </c>
      <c r="I555" s="2">
        <v>44957.438356481478</v>
      </c>
      <c r="J555" s="24">
        <f>MONTH(Tabla1[[#This Row],[Publicación]])</f>
        <v>1</v>
      </c>
      <c r="K555" s="24">
        <f>YEAR(Tabla1[[#This Row],[Publicación]])</f>
        <v>2023</v>
      </c>
      <c r="L555" s="2">
        <v>44977.625</v>
      </c>
      <c r="M555" s="26">
        <v>44958</v>
      </c>
      <c r="N555" s="25" t="s">
        <v>10</v>
      </c>
      <c r="O555" s="24" t="s">
        <v>31</v>
      </c>
      <c r="P555" s="38" t="s">
        <v>10</v>
      </c>
      <c r="Q555" s="2"/>
      <c r="R555" s="2"/>
      <c r="S555" s="26"/>
      <c r="T555" s="28">
        <v>0</v>
      </c>
      <c r="U555" s="28">
        <f>Tabla1[[#This Row],[PPTO]]/(1+'Lista Datos'!$B$1)</f>
        <v>0</v>
      </c>
      <c r="V555" s="68"/>
      <c r="W555" s="18"/>
      <c r="X555" s="102"/>
      <c r="Y555" s="18" t="s">
        <v>146</v>
      </c>
      <c r="Z555" s="18"/>
      <c r="AA555" s="68"/>
      <c r="AB555" s="68"/>
      <c r="AC555" s="68"/>
      <c r="AD555" s="68"/>
      <c r="AE555" s="29">
        <f>Tabla1[[#This Row],[Cierre]]+Tabla1[[#This Row],[Vigencia Oferta (días)]]</f>
        <v>44977.625</v>
      </c>
      <c r="AF555" s="91"/>
      <c r="AG555" s="67"/>
      <c r="AH555" s="164">
        <f>Tabla1[[#This Row],[Unidades2]]*Tabla1[[#This Row],[Precio Unitario]]</f>
        <v>0</v>
      </c>
      <c r="AI555" s="23" t="s">
        <v>270</v>
      </c>
      <c r="AJ555" s="26"/>
      <c r="AK555" s="172">
        <f>Tabla1[[#This Row],[Fecha Vigencia]]-AJ555</f>
        <v>44977.625</v>
      </c>
      <c r="AL555" s="68"/>
      <c r="AM555" s="91"/>
      <c r="AN555" s="68"/>
      <c r="AO555" s="157"/>
      <c r="AP555" s="68"/>
      <c r="AQ555" s="69"/>
      <c r="AR555" s="68"/>
      <c r="AS555" s="68"/>
      <c r="AT555" s="68"/>
      <c r="AU555" s="68"/>
      <c r="AV555" s="68"/>
      <c r="AW555" s="68"/>
      <c r="AX555" s="68"/>
      <c r="AY555" s="23"/>
      <c r="AZ555" s="23"/>
      <c r="BA555" s="23"/>
      <c r="BB555" s="32"/>
      <c r="BC555" s="73"/>
    </row>
    <row r="556" spans="1:55" ht="11.25" x14ac:dyDescent="0.2">
      <c r="A556" s="22" t="s">
        <v>2904</v>
      </c>
      <c r="B556" s="23" t="s">
        <v>2905</v>
      </c>
      <c r="C556" s="23" t="s">
        <v>2906</v>
      </c>
      <c r="D556" s="34" t="s">
        <v>1533</v>
      </c>
      <c r="E556" s="24" t="s">
        <v>2907</v>
      </c>
      <c r="F556" s="25">
        <v>3896</v>
      </c>
      <c r="G556" s="23" t="s">
        <v>17</v>
      </c>
      <c r="H556" s="23" t="s">
        <v>213</v>
      </c>
      <c r="I556" s="2">
        <v>44957.50440972222</v>
      </c>
      <c r="J556" s="24">
        <f>MONTH(Tabla1[[#This Row],[Publicación]])</f>
        <v>1</v>
      </c>
      <c r="K556" s="24">
        <f>YEAR(Tabla1[[#This Row],[Publicación]])</f>
        <v>2023</v>
      </c>
      <c r="L556" s="2">
        <v>44967.818749999999</v>
      </c>
      <c r="M556" s="26">
        <v>44958</v>
      </c>
      <c r="N556" s="25" t="s">
        <v>10</v>
      </c>
      <c r="O556" s="24" t="s">
        <v>25</v>
      </c>
      <c r="P556" s="24" t="s">
        <v>10</v>
      </c>
      <c r="Q556" s="2"/>
      <c r="R556" s="2"/>
      <c r="S556" s="26"/>
      <c r="T556" s="28">
        <v>0</v>
      </c>
      <c r="U556" s="28">
        <f>Tabla1[[#This Row],[PPTO]]/(1+'Lista Datos'!$B$1)</f>
        <v>0</v>
      </c>
      <c r="V556" s="68"/>
      <c r="W556" s="18"/>
      <c r="X556" s="102"/>
      <c r="Y556" s="18" t="s">
        <v>146</v>
      </c>
      <c r="Z556" s="18"/>
      <c r="AA556" s="68"/>
      <c r="AB556" s="68"/>
      <c r="AC556" s="68"/>
      <c r="AD556" s="68"/>
      <c r="AE556" s="29">
        <f>Tabla1[[#This Row],[Cierre]]+Tabla1[[#This Row],[Vigencia Oferta (días)]]</f>
        <v>44967.818749999999</v>
      </c>
      <c r="AF556" s="91"/>
      <c r="AG556" s="67"/>
      <c r="AH556" s="164">
        <f>Tabla1[[#This Row],[Unidades2]]*Tabla1[[#This Row],[Precio Unitario]]</f>
        <v>0</v>
      </c>
      <c r="AI556" s="23" t="s">
        <v>270</v>
      </c>
      <c r="AJ556" s="26"/>
      <c r="AK556" s="172">
        <f>Tabla1[[#This Row],[Fecha Vigencia]]-AJ556</f>
        <v>44967.818749999999</v>
      </c>
      <c r="AL556" s="68"/>
      <c r="AM556" s="91"/>
      <c r="AN556" s="68"/>
      <c r="AO556" s="157"/>
      <c r="AP556" s="68"/>
      <c r="AQ556" s="69"/>
      <c r="AR556" s="68"/>
      <c r="AS556" s="68"/>
      <c r="AT556" s="68"/>
      <c r="AU556" s="68"/>
      <c r="AV556" s="68"/>
      <c r="AW556" s="68"/>
      <c r="AX556" s="68"/>
      <c r="AY556" s="23"/>
      <c r="AZ556" s="23"/>
      <c r="BA556" s="23"/>
      <c r="BB556" s="32"/>
      <c r="BC556" s="73"/>
    </row>
    <row r="557" spans="1:55" ht="11.25" x14ac:dyDescent="0.2">
      <c r="A557" s="22" t="s">
        <v>2908</v>
      </c>
      <c r="B557" s="23" t="s">
        <v>2909</v>
      </c>
      <c r="C557" s="23" t="s">
        <v>2910</v>
      </c>
      <c r="D557" s="34" t="s">
        <v>2911</v>
      </c>
      <c r="E557" s="24" t="s">
        <v>2912</v>
      </c>
      <c r="F557" s="25">
        <v>1</v>
      </c>
      <c r="G557" s="23" t="s">
        <v>17</v>
      </c>
      <c r="H557" s="23" t="s">
        <v>213</v>
      </c>
      <c r="I557" s="2">
        <v>44957.411724537036</v>
      </c>
      <c r="J557" s="24">
        <f>MONTH(Tabla1[[#This Row],[Publicación]])</f>
        <v>1</v>
      </c>
      <c r="K557" s="24">
        <f>YEAR(Tabla1[[#This Row],[Publicación]])</f>
        <v>2023</v>
      </c>
      <c r="L557" s="2">
        <v>44971.416666666664</v>
      </c>
      <c r="M557" s="26">
        <v>44958</v>
      </c>
      <c r="N557" s="25" t="s">
        <v>10</v>
      </c>
      <c r="O557" s="24" t="s">
        <v>25</v>
      </c>
      <c r="P557" s="24" t="s">
        <v>10</v>
      </c>
      <c r="Q557" s="2"/>
      <c r="R557" s="2"/>
      <c r="S557" s="26"/>
      <c r="T557" s="28">
        <v>0</v>
      </c>
      <c r="U557" s="28">
        <f>Tabla1[[#This Row],[PPTO]]/(1+'Lista Datos'!$B$1)</f>
        <v>0</v>
      </c>
      <c r="V557" s="68"/>
      <c r="W557" s="18"/>
      <c r="X557" s="102"/>
      <c r="Y557" s="18" t="s">
        <v>146</v>
      </c>
      <c r="Z557" s="18"/>
      <c r="AA557" s="68"/>
      <c r="AB557" s="68"/>
      <c r="AC557" s="68"/>
      <c r="AD557" s="68"/>
      <c r="AE557" s="29">
        <f>Tabla1[[#This Row],[Cierre]]+Tabla1[[#This Row],[Vigencia Oferta (días)]]</f>
        <v>44971.416666666664</v>
      </c>
      <c r="AF557" s="91"/>
      <c r="AG557" s="67"/>
      <c r="AH557" s="164">
        <f>Tabla1[[#This Row],[Unidades2]]*Tabla1[[#This Row],[Precio Unitario]]</f>
        <v>0</v>
      </c>
      <c r="AI557" s="23" t="s">
        <v>270</v>
      </c>
      <c r="AJ557" s="26"/>
      <c r="AK557" s="172">
        <f>Tabla1[[#This Row],[Fecha Vigencia]]-AJ557</f>
        <v>44971.416666666664</v>
      </c>
      <c r="AL557" s="68"/>
      <c r="AM557" s="91"/>
      <c r="AN557" s="68"/>
      <c r="AO557" s="157"/>
      <c r="AP557" s="68"/>
      <c r="AQ557" s="69"/>
      <c r="AR557" s="68"/>
      <c r="AS557" s="68"/>
      <c r="AT557" s="68"/>
      <c r="AU557" s="68"/>
      <c r="AV557" s="68"/>
      <c r="AW557" s="68"/>
      <c r="AX557" s="68"/>
      <c r="AY557" s="23"/>
      <c r="AZ557" s="23"/>
      <c r="BA557" s="23"/>
      <c r="BB557" s="32"/>
      <c r="BC557" s="73"/>
    </row>
    <row r="558" spans="1:55" ht="11.25" x14ac:dyDescent="0.2">
      <c r="A558" s="22" t="s">
        <v>2913</v>
      </c>
      <c r="B558" s="23" t="s">
        <v>1018</v>
      </c>
      <c r="C558" s="23" t="s">
        <v>2914</v>
      </c>
      <c r="D558" s="34" t="s">
        <v>1255</v>
      </c>
      <c r="E558" s="24" t="s">
        <v>2914</v>
      </c>
      <c r="F558" s="25">
        <v>1</v>
      </c>
      <c r="G558" s="23" t="s">
        <v>16</v>
      </c>
      <c r="H558" s="23" t="s">
        <v>123</v>
      </c>
      <c r="I558" s="2">
        <v>44957.360752314817</v>
      </c>
      <c r="J558" s="24">
        <f>MONTH(Tabla1[[#This Row],[Publicación]])</f>
        <v>1</v>
      </c>
      <c r="K558" s="24">
        <f>YEAR(Tabla1[[#This Row],[Publicación]])</f>
        <v>2023</v>
      </c>
      <c r="L558" s="2">
        <v>44963.635416666664</v>
      </c>
      <c r="M558" s="26">
        <v>44958</v>
      </c>
      <c r="N558" s="25" t="s">
        <v>10</v>
      </c>
      <c r="O558" s="24" t="s">
        <v>33</v>
      </c>
      <c r="P558" s="24" t="s">
        <v>10</v>
      </c>
      <c r="Q558" s="2"/>
      <c r="R558" s="2"/>
      <c r="S558" s="26"/>
      <c r="T558" s="28">
        <v>0</v>
      </c>
      <c r="U558" s="28">
        <f>Tabla1[[#This Row],[PPTO]]/(1+'Lista Datos'!$B$1)</f>
        <v>0</v>
      </c>
      <c r="V558" s="68"/>
      <c r="W558" s="18"/>
      <c r="X558" s="102"/>
      <c r="Y558" s="18" t="s">
        <v>146</v>
      </c>
      <c r="Z558" s="18"/>
      <c r="AA558" s="68"/>
      <c r="AB558" s="68"/>
      <c r="AC558" s="68"/>
      <c r="AD558" s="68"/>
      <c r="AE558" s="29">
        <f>Tabla1[[#This Row],[Cierre]]+Tabla1[[#This Row],[Vigencia Oferta (días)]]</f>
        <v>44963.635416666664</v>
      </c>
      <c r="AF558" s="91"/>
      <c r="AG558" s="67"/>
      <c r="AH558" s="164">
        <f>Tabla1[[#This Row],[Unidades2]]*Tabla1[[#This Row],[Precio Unitario]]</f>
        <v>0</v>
      </c>
      <c r="AI558" s="23" t="s">
        <v>270</v>
      </c>
      <c r="AJ558" s="26"/>
      <c r="AK558" s="172">
        <f>Tabla1[[#This Row],[Fecha Vigencia]]-AJ558</f>
        <v>44963.635416666664</v>
      </c>
      <c r="AL558" s="68"/>
      <c r="AM558" s="91"/>
      <c r="AN558" s="68"/>
      <c r="AO558" s="157"/>
      <c r="AP558" s="68"/>
      <c r="AQ558" s="69"/>
      <c r="AR558" s="68"/>
      <c r="AS558" s="68"/>
      <c r="AT558" s="68"/>
      <c r="AU558" s="68"/>
      <c r="AV558" s="68"/>
      <c r="AW558" s="68"/>
      <c r="AX558" s="68"/>
      <c r="AY558" s="23"/>
      <c r="AZ558" s="23"/>
      <c r="BA558" s="23"/>
      <c r="BB558" s="32"/>
      <c r="BC558" s="73"/>
    </row>
    <row r="559" spans="1:55" ht="11.25" x14ac:dyDescent="0.2">
      <c r="A559" s="36" t="s">
        <v>2915</v>
      </c>
      <c r="B559" s="37" t="s">
        <v>2916</v>
      </c>
      <c r="C559" s="37" t="s">
        <v>2917</v>
      </c>
      <c r="D559" s="55" t="s">
        <v>319</v>
      </c>
      <c r="E559" s="38" t="s">
        <v>2918</v>
      </c>
      <c r="F559" s="39">
        <v>120</v>
      </c>
      <c r="G559" s="37" t="s">
        <v>17</v>
      </c>
      <c r="H559" s="37" t="s">
        <v>213</v>
      </c>
      <c r="I559" s="2">
        <v>44958.695219907408</v>
      </c>
      <c r="J559" s="24">
        <f>MONTH(Tabla1[[#This Row],[Publicación]])</f>
        <v>2</v>
      </c>
      <c r="K559" s="24">
        <f>YEAR(Tabla1[[#This Row],[Publicación]])</f>
        <v>2023</v>
      </c>
      <c r="L559" s="40">
        <v>44965.645833333336</v>
      </c>
      <c r="M559" s="41">
        <v>44959</v>
      </c>
      <c r="N559" s="25" t="s">
        <v>10</v>
      </c>
      <c r="O559" s="24" t="s">
        <v>25</v>
      </c>
      <c r="P559" s="24" t="s">
        <v>10</v>
      </c>
      <c r="Q559" s="40"/>
      <c r="R559" s="40"/>
      <c r="S559" s="41"/>
      <c r="T559" s="28">
        <v>0</v>
      </c>
      <c r="U559" s="28">
        <f>Tabla1[[#This Row],[PPTO]]/(1+'Lista Datos'!$B$1)</f>
        <v>0</v>
      </c>
      <c r="V559" s="65"/>
      <c r="W559" s="19"/>
      <c r="X559" s="112"/>
      <c r="Y559" s="19" t="s">
        <v>146</v>
      </c>
      <c r="Z559" s="19"/>
      <c r="AA559" s="65"/>
      <c r="AB559" s="65"/>
      <c r="AC559" s="65"/>
      <c r="AD559" s="65"/>
      <c r="AE559" s="29">
        <f>Tabla1[[#This Row],[Cierre]]+Tabla1[[#This Row],[Vigencia Oferta (días)]]</f>
        <v>44965.645833333336</v>
      </c>
      <c r="AF559" s="90"/>
      <c r="AG559" s="64"/>
      <c r="AH559" s="164">
        <f>Tabla1[[#This Row],[Unidades2]]*Tabla1[[#This Row],[Precio Unitario]]</f>
        <v>0</v>
      </c>
      <c r="AI559" s="37" t="s">
        <v>270</v>
      </c>
      <c r="AJ559" s="41"/>
      <c r="AK559" s="172">
        <f>Tabla1[[#This Row],[Fecha Vigencia]]-AJ559</f>
        <v>44965.645833333336</v>
      </c>
      <c r="AL559" s="65"/>
      <c r="AM559" s="90"/>
      <c r="AN559" s="65"/>
      <c r="AO559" s="181"/>
      <c r="AP559" s="65"/>
      <c r="AQ559" s="66"/>
      <c r="AR559" s="65"/>
      <c r="AS559" s="65"/>
      <c r="AT559" s="65"/>
      <c r="AU559" s="65"/>
      <c r="AV559" s="65"/>
      <c r="AW559" s="65"/>
      <c r="AX559" s="65"/>
      <c r="AY559" s="37"/>
      <c r="AZ559" s="37"/>
      <c r="BA559" s="37"/>
      <c r="BB559" s="44"/>
      <c r="BC559" s="73"/>
    </row>
    <row r="560" spans="1:55" ht="11.25" x14ac:dyDescent="0.2">
      <c r="A560" s="36" t="s">
        <v>2919</v>
      </c>
      <c r="B560" s="37" t="s">
        <v>2920</v>
      </c>
      <c r="C560" s="37" t="s">
        <v>2921</v>
      </c>
      <c r="D560" s="55" t="s">
        <v>2922</v>
      </c>
      <c r="E560" s="38" t="s">
        <v>2923</v>
      </c>
      <c r="F560" s="39">
        <v>1</v>
      </c>
      <c r="G560" s="37" t="s">
        <v>16</v>
      </c>
      <c r="H560" s="37" t="s">
        <v>1983</v>
      </c>
      <c r="I560" s="2">
        <v>44959.392997685187</v>
      </c>
      <c r="J560" s="24">
        <f>MONTH(Tabla1[[#This Row],[Publicación]])</f>
        <v>2</v>
      </c>
      <c r="K560" s="24">
        <f>YEAR(Tabla1[[#This Row],[Publicación]])</f>
        <v>2023</v>
      </c>
      <c r="L560" s="40">
        <v>44970.779166666667</v>
      </c>
      <c r="M560" s="41">
        <v>44960</v>
      </c>
      <c r="N560" s="39" t="s">
        <v>11</v>
      </c>
      <c r="O560" s="38"/>
      <c r="P560" s="24" t="s">
        <v>11</v>
      </c>
      <c r="Q560" s="2" t="s">
        <v>2924</v>
      </c>
      <c r="R560" s="40" t="s">
        <v>2925</v>
      </c>
      <c r="S560" s="41">
        <v>44999</v>
      </c>
      <c r="T560" s="70">
        <v>50000000</v>
      </c>
      <c r="U560" s="28">
        <f>Tabla1[[#This Row],[PPTO]]/(1+'Lista Datos'!$B$1)</f>
        <v>42016806.722689077</v>
      </c>
      <c r="V560" s="37">
        <v>30</v>
      </c>
      <c r="W560" s="122" t="s">
        <v>10</v>
      </c>
      <c r="X560" s="112"/>
      <c r="Y560" s="19" t="s">
        <v>146</v>
      </c>
      <c r="Z560" s="19" t="s">
        <v>10</v>
      </c>
      <c r="AA560" s="37" t="s">
        <v>177</v>
      </c>
      <c r="AB560" s="37">
        <v>24</v>
      </c>
      <c r="AC560" s="37" t="s">
        <v>10</v>
      </c>
      <c r="AD560" s="37">
        <v>60</v>
      </c>
      <c r="AE560" s="29">
        <f>Tabla1[[#This Row],[Cierre]]+Tabla1[[#This Row],[Vigencia Oferta (días)]]</f>
        <v>45030.779166666667</v>
      </c>
      <c r="AF560" s="92"/>
      <c r="AG560" s="70"/>
      <c r="AH560" s="164">
        <f>Tabla1[[#This Row],[Unidades2]]*Tabla1[[#This Row],[Precio Unitario]]</f>
        <v>0</v>
      </c>
      <c r="AI560" s="37" t="s">
        <v>44</v>
      </c>
      <c r="AJ560" s="41">
        <v>45006</v>
      </c>
      <c r="AK560" s="172">
        <f>Tabla1[[#This Row],[Fecha Vigencia]]-AJ560</f>
        <v>24.779166666667152</v>
      </c>
      <c r="AL560" s="37" t="s">
        <v>115</v>
      </c>
      <c r="AM560" s="92" t="s">
        <v>2926</v>
      </c>
      <c r="AN560" s="50">
        <v>45006</v>
      </c>
      <c r="AO560" s="50">
        <v>45737</v>
      </c>
      <c r="AP560" s="37" t="s">
        <v>177</v>
      </c>
      <c r="AQ560" s="55" t="s">
        <v>2927</v>
      </c>
      <c r="AR560" s="37" t="s">
        <v>10</v>
      </c>
      <c r="AS560" s="37"/>
      <c r="AT560" s="37"/>
      <c r="AU560" s="37" t="s">
        <v>2928</v>
      </c>
      <c r="AV560" s="37" t="s">
        <v>2929</v>
      </c>
      <c r="AW560" s="37" t="s">
        <v>2930</v>
      </c>
      <c r="AX560" s="37" t="s">
        <v>2931</v>
      </c>
      <c r="AY560" s="37"/>
      <c r="AZ560" s="37"/>
      <c r="BA560" s="37"/>
      <c r="BB560" s="44"/>
      <c r="BC560" s="73"/>
    </row>
    <row r="561" spans="1:55" ht="11.25" x14ac:dyDescent="0.2">
      <c r="A561" s="36" t="s">
        <v>2932</v>
      </c>
      <c r="B561" s="37" t="s">
        <v>2933</v>
      </c>
      <c r="C561" s="37" t="s">
        <v>2934</v>
      </c>
      <c r="D561" s="55" t="s">
        <v>319</v>
      </c>
      <c r="E561" s="38" t="s">
        <v>2935</v>
      </c>
      <c r="F561" s="39">
        <v>80</v>
      </c>
      <c r="G561" s="37" t="s">
        <v>21</v>
      </c>
      <c r="H561" s="37" t="s">
        <v>106</v>
      </c>
      <c r="I561" s="2">
        <v>44961.475555555553</v>
      </c>
      <c r="J561" s="24">
        <f>MONTH(Tabla1[[#This Row],[Publicación]])</f>
        <v>2</v>
      </c>
      <c r="K561" s="24">
        <f>YEAR(Tabla1[[#This Row],[Publicación]])</f>
        <v>2023</v>
      </c>
      <c r="L561" s="40">
        <v>44966.645833333336</v>
      </c>
      <c r="M561" s="41">
        <v>44963</v>
      </c>
      <c r="N561" s="39" t="s">
        <v>10</v>
      </c>
      <c r="O561" s="24" t="s">
        <v>27</v>
      </c>
      <c r="P561" s="24" t="s">
        <v>10</v>
      </c>
      <c r="Q561" s="40"/>
      <c r="R561" s="40"/>
      <c r="S561" s="41"/>
      <c r="T561" s="28">
        <v>0</v>
      </c>
      <c r="U561" s="28">
        <f>Tabla1[[#This Row],[PPTO]]/(1+'Lista Datos'!$B$1)</f>
        <v>0</v>
      </c>
      <c r="V561" s="65"/>
      <c r="W561" s="19"/>
      <c r="X561" s="112"/>
      <c r="Y561" s="19" t="s">
        <v>146</v>
      </c>
      <c r="Z561" s="19"/>
      <c r="AA561" s="65"/>
      <c r="AB561" s="65"/>
      <c r="AC561" s="65"/>
      <c r="AD561" s="65"/>
      <c r="AE561" s="29">
        <f>Tabla1[[#This Row],[Cierre]]+Tabla1[[#This Row],[Vigencia Oferta (días)]]</f>
        <v>44966.645833333336</v>
      </c>
      <c r="AF561" s="90"/>
      <c r="AG561" s="64"/>
      <c r="AH561" s="164">
        <f>Tabla1[[#This Row],[Unidades2]]*Tabla1[[#This Row],[Precio Unitario]]</f>
        <v>0</v>
      </c>
      <c r="AI561" s="37" t="s">
        <v>270</v>
      </c>
      <c r="AJ561" s="41"/>
      <c r="AK561" s="172">
        <f>Tabla1[[#This Row],[Fecha Vigencia]]-AJ561</f>
        <v>44966.645833333336</v>
      </c>
      <c r="AL561" s="65"/>
      <c r="AM561" s="90"/>
      <c r="AN561" s="65"/>
      <c r="AO561" s="181"/>
      <c r="AP561" s="65"/>
      <c r="AQ561" s="66"/>
      <c r="AR561" s="65"/>
      <c r="AS561" s="65"/>
      <c r="AT561" s="65"/>
      <c r="AU561" s="65"/>
      <c r="AV561" s="65"/>
      <c r="AW561" s="65"/>
      <c r="AX561" s="65"/>
      <c r="AY561" s="37"/>
      <c r="AZ561" s="37"/>
      <c r="BA561" s="37"/>
      <c r="BB561" s="44"/>
      <c r="BC561" s="73"/>
    </row>
    <row r="562" spans="1:55" ht="11.25" x14ac:dyDescent="0.2">
      <c r="A562" s="22" t="s">
        <v>2936</v>
      </c>
      <c r="B562" s="23" t="s">
        <v>2937</v>
      </c>
      <c r="C562" s="23" t="s">
        <v>651</v>
      </c>
      <c r="D562" s="34" t="s">
        <v>652</v>
      </c>
      <c r="E562" s="24" t="s">
        <v>2938</v>
      </c>
      <c r="F562" s="25">
        <v>1</v>
      </c>
      <c r="G562" s="23" t="s">
        <v>16</v>
      </c>
      <c r="H562" s="23" t="s">
        <v>345</v>
      </c>
      <c r="I562" s="2">
        <v>44960.585092592592</v>
      </c>
      <c r="J562" s="24">
        <f>MONTH(Tabla1[[#This Row],[Publicación]])</f>
        <v>2</v>
      </c>
      <c r="K562" s="24">
        <f>YEAR(Tabla1[[#This Row],[Publicación]])</f>
        <v>2023</v>
      </c>
      <c r="L562" s="2">
        <v>44967.625</v>
      </c>
      <c r="M562" s="26">
        <v>44963</v>
      </c>
      <c r="N562" s="25" t="s">
        <v>10</v>
      </c>
      <c r="O562" s="24" t="s">
        <v>33</v>
      </c>
      <c r="P562" s="24" t="s">
        <v>10</v>
      </c>
      <c r="Q562" s="2"/>
      <c r="R562" s="2"/>
      <c r="S562" s="26"/>
      <c r="T562" s="28">
        <v>0</v>
      </c>
      <c r="U562" s="28">
        <f>Tabla1[[#This Row],[PPTO]]/(1+'Lista Datos'!$B$1)</f>
        <v>0</v>
      </c>
      <c r="V562" s="68"/>
      <c r="W562" s="18"/>
      <c r="X562" s="102"/>
      <c r="Y562" s="18" t="s">
        <v>146</v>
      </c>
      <c r="Z562" s="18"/>
      <c r="AA562" s="68"/>
      <c r="AB562" s="68"/>
      <c r="AC562" s="68"/>
      <c r="AD562" s="68"/>
      <c r="AE562" s="29">
        <f>Tabla1[[#This Row],[Cierre]]+Tabla1[[#This Row],[Vigencia Oferta (días)]]</f>
        <v>44967.625</v>
      </c>
      <c r="AF562" s="91"/>
      <c r="AG562" s="67"/>
      <c r="AH562" s="164">
        <f>Tabla1[[#This Row],[Unidades2]]*Tabla1[[#This Row],[Precio Unitario]]</f>
        <v>0</v>
      </c>
      <c r="AI562" s="23" t="s">
        <v>270</v>
      </c>
      <c r="AJ562" s="26"/>
      <c r="AK562" s="172">
        <f>Tabla1[[#This Row],[Fecha Vigencia]]-AJ562</f>
        <v>44967.625</v>
      </c>
      <c r="AL562" s="68"/>
      <c r="AM562" s="91"/>
      <c r="AN562" s="68"/>
      <c r="AO562" s="157"/>
      <c r="AP562" s="68"/>
      <c r="AQ562" s="69"/>
      <c r="AR562" s="68"/>
      <c r="AS562" s="68"/>
      <c r="AT562" s="68"/>
      <c r="AU562" s="68"/>
      <c r="AV562" s="68"/>
      <c r="AW562" s="68"/>
      <c r="AX562" s="68"/>
      <c r="AY562" s="23"/>
      <c r="AZ562" s="23"/>
      <c r="BA562" s="23"/>
      <c r="BB562" s="32"/>
      <c r="BC562" s="73"/>
    </row>
    <row r="563" spans="1:55" ht="11.25" x14ac:dyDescent="0.2">
      <c r="A563" s="22" t="s">
        <v>2939</v>
      </c>
      <c r="B563" s="23" t="s">
        <v>2940</v>
      </c>
      <c r="C563" s="23" t="s">
        <v>2941</v>
      </c>
      <c r="D563" s="34" t="s">
        <v>1477</v>
      </c>
      <c r="E563" s="24" t="s">
        <v>2942</v>
      </c>
      <c r="F563" s="25">
        <v>30</v>
      </c>
      <c r="G563" s="23" t="s">
        <v>21</v>
      </c>
      <c r="H563" s="23" t="s">
        <v>106</v>
      </c>
      <c r="I563" s="2">
        <v>44960.661736111113</v>
      </c>
      <c r="J563" s="24">
        <f>MONTH(Tabla1[[#This Row],[Publicación]])</f>
        <v>2</v>
      </c>
      <c r="K563" s="24">
        <f>YEAR(Tabla1[[#This Row],[Publicación]])</f>
        <v>2023</v>
      </c>
      <c r="L563" s="2">
        <v>44966.4375</v>
      </c>
      <c r="M563" s="26">
        <v>44963</v>
      </c>
      <c r="N563" s="25" t="s">
        <v>11</v>
      </c>
      <c r="O563" s="24"/>
      <c r="P563" s="24" t="s">
        <v>11</v>
      </c>
      <c r="Q563" s="2">
        <v>44963.625</v>
      </c>
      <c r="R563" s="2">
        <v>44965.416666666664</v>
      </c>
      <c r="S563" s="26">
        <v>45007.708333333336</v>
      </c>
      <c r="T563" s="28">
        <v>0</v>
      </c>
      <c r="U563" s="28">
        <f>Tabla1[[#This Row],[PPTO]]/(1+'Lista Datos'!$B$1)</f>
        <v>0</v>
      </c>
      <c r="V563" s="23">
        <v>30</v>
      </c>
      <c r="W563" s="18" t="s">
        <v>10</v>
      </c>
      <c r="X563" s="102"/>
      <c r="Y563" s="18" t="s">
        <v>146</v>
      </c>
      <c r="Z563" s="18" t="s">
        <v>10</v>
      </c>
      <c r="AA563" s="23" t="s">
        <v>512</v>
      </c>
      <c r="AB563" s="23"/>
      <c r="AC563" s="23" t="s">
        <v>10</v>
      </c>
      <c r="AD563" s="23">
        <v>45</v>
      </c>
      <c r="AE563" s="29">
        <f>Tabla1[[#This Row],[Cierre]]+Tabla1[[#This Row],[Vigencia Oferta (días)]]</f>
        <v>45011.4375</v>
      </c>
      <c r="AF563" s="87">
        <v>30</v>
      </c>
      <c r="AG563" s="28">
        <v>21927</v>
      </c>
      <c r="AH563" s="164">
        <f>Tabla1[[#This Row],[Unidades2]]*Tabla1[[#This Row],[Precio Unitario]]</f>
        <v>657810</v>
      </c>
      <c r="AI563" s="37" t="s">
        <v>44</v>
      </c>
      <c r="AJ563" s="26" t="s">
        <v>2943</v>
      </c>
      <c r="AK563" s="172" t="e">
        <f>Tabla1[[#This Row],[Fecha Vigencia]]-AJ563</f>
        <v>#VALUE!</v>
      </c>
      <c r="AL563" s="23" t="s">
        <v>46</v>
      </c>
      <c r="AM563" s="87">
        <v>384000</v>
      </c>
      <c r="AN563" s="23"/>
      <c r="AO563" s="29"/>
      <c r="AP563" s="23"/>
      <c r="AQ563" s="34"/>
      <c r="AR563" s="23"/>
      <c r="AS563" s="23"/>
      <c r="AT563" s="23"/>
      <c r="AU563" s="23"/>
      <c r="AV563" s="23"/>
      <c r="AW563" s="23"/>
      <c r="AX563" s="23"/>
      <c r="AY563" s="23"/>
      <c r="AZ563" s="23"/>
      <c r="BA563" s="23"/>
      <c r="BB563" s="32"/>
      <c r="BC563" s="73"/>
    </row>
    <row r="564" spans="1:55" ht="11.25" x14ac:dyDescent="0.2">
      <c r="A564" s="22" t="s">
        <v>2944</v>
      </c>
      <c r="B564" s="23" t="s">
        <v>2945</v>
      </c>
      <c r="C564" s="23" t="s">
        <v>2946</v>
      </c>
      <c r="D564" s="34" t="s">
        <v>2947</v>
      </c>
      <c r="E564" s="24" t="s">
        <v>2948</v>
      </c>
      <c r="F564" s="25">
        <v>20</v>
      </c>
      <c r="G564" s="23" t="s">
        <v>21</v>
      </c>
      <c r="H564" s="23" t="s">
        <v>106</v>
      </c>
      <c r="I564" s="2">
        <v>44960.343009259261</v>
      </c>
      <c r="J564" s="24">
        <f>MONTH(Tabla1[[#This Row],[Publicación]])</f>
        <v>2</v>
      </c>
      <c r="K564" s="24">
        <f>YEAR(Tabla1[[#This Row],[Publicación]])</f>
        <v>2023</v>
      </c>
      <c r="L564" s="2">
        <v>44966.5</v>
      </c>
      <c r="M564" s="26">
        <v>44963</v>
      </c>
      <c r="N564" s="25" t="s">
        <v>10</v>
      </c>
      <c r="O564" s="24" t="s">
        <v>27</v>
      </c>
      <c r="P564" s="24" t="s">
        <v>10</v>
      </c>
      <c r="Q564" s="24"/>
      <c r="R564" s="24"/>
      <c r="S564" s="18"/>
      <c r="T564" s="28">
        <v>0</v>
      </c>
      <c r="U564" s="28">
        <f>Tabla1[[#This Row],[PPTO]]/(1+'Lista Datos'!$B$1)</f>
        <v>0</v>
      </c>
      <c r="V564" s="68"/>
      <c r="W564" s="18" t="s">
        <v>10</v>
      </c>
      <c r="X564" s="102"/>
      <c r="Y564" s="18" t="s">
        <v>146</v>
      </c>
      <c r="Z564" s="18" t="s">
        <v>10</v>
      </c>
      <c r="AA564" s="68"/>
      <c r="AB564" s="68"/>
      <c r="AC564" s="68"/>
      <c r="AD564" s="68"/>
      <c r="AE564" s="29">
        <f>Tabla1[[#This Row],[Cierre]]+Tabla1[[#This Row],[Vigencia Oferta (días)]]</f>
        <v>44966.5</v>
      </c>
      <c r="AF564" s="91"/>
      <c r="AG564" s="67"/>
      <c r="AH564" s="164">
        <f>Tabla1[[#This Row],[Unidades2]]*Tabla1[[#This Row],[Precio Unitario]]</f>
        <v>0</v>
      </c>
      <c r="AI564" s="23" t="s">
        <v>270</v>
      </c>
      <c r="AJ564" s="26"/>
      <c r="AK564" s="172">
        <f>Tabla1[[#This Row],[Fecha Vigencia]]-AJ564</f>
        <v>44966.5</v>
      </c>
      <c r="AL564" s="68"/>
      <c r="AM564" s="91"/>
      <c r="AN564" s="68"/>
      <c r="AO564" s="157"/>
      <c r="AP564" s="68"/>
      <c r="AQ564" s="69"/>
      <c r="AR564" s="68"/>
      <c r="AS564" s="68"/>
      <c r="AT564" s="68"/>
      <c r="AU564" s="68"/>
      <c r="AV564" s="68"/>
      <c r="AW564" s="68"/>
      <c r="AX564" s="68"/>
      <c r="AY564" s="23"/>
      <c r="AZ564" s="23"/>
      <c r="BA564" s="23"/>
      <c r="BB564" s="32"/>
      <c r="BC564" s="73"/>
    </row>
    <row r="565" spans="1:55" ht="11.25" x14ac:dyDescent="0.2">
      <c r="A565" s="22" t="s">
        <v>2949</v>
      </c>
      <c r="B565" s="23" t="s">
        <v>2719</v>
      </c>
      <c r="C565" s="23" t="s">
        <v>2720</v>
      </c>
      <c r="D565" s="34" t="s">
        <v>2721</v>
      </c>
      <c r="E565" s="24" t="s">
        <v>2950</v>
      </c>
      <c r="F565" s="25">
        <v>1</v>
      </c>
      <c r="G565" s="23" t="s">
        <v>21</v>
      </c>
      <c r="H565" s="23" t="s">
        <v>106</v>
      </c>
      <c r="I565" s="2">
        <v>44963.700590277775</v>
      </c>
      <c r="J565" s="24">
        <f>MONTH(Tabla1[[#This Row],[Publicación]])</f>
        <v>2</v>
      </c>
      <c r="K565" s="24">
        <f>YEAR(Tabla1[[#This Row],[Publicación]])</f>
        <v>2023</v>
      </c>
      <c r="L565" s="2">
        <v>44973.509722222225</v>
      </c>
      <c r="M565" s="26">
        <v>44964</v>
      </c>
      <c r="N565" s="25" t="s">
        <v>10</v>
      </c>
      <c r="O565" s="24" t="s">
        <v>29</v>
      </c>
      <c r="P565" s="24" t="s">
        <v>10</v>
      </c>
      <c r="Q565" s="24"/>
      <c r="R565" s="24"/>
      <c r="S565" s="18"/>
      <c r="T565" s="28">
        <v>0</v>
      </c>
      <c r="U565" s="28">
        <f>Tabla1[[#This Row],[PPTO]]/(1+'Lista Datos'!$B$1)</f>
        <v>0</v>
      </c>
      <c r="V565" s="68"/>
      <c r="W565" s="18"/>
      <c r="X565" s="102"/>
      <c r="Y565" s="18" t="s">
        <v>146</v>
      </c>
      <c r="Z565" s="18"/>
      <c r="AA565" s="68"/>
      <c r="AB565" s="68"/>
      <c r="AC565" s="68"/>
      <c r="AD565" s="68"/>
      <c r="AE565" s="29">
        <f>Tabla1[[#This Row],[Cierre]]+Tabla1[[#This Row],[Vigencia Oferta (días)]]</f>
        <v>44973.509722222225</v>
      </c>
      <c r="AF565" s="91"/>
      <c r="AG565" s="67"/>
      <c r="AH565" s="164">
        <f>Tabla1[[#This Row],[Unidades2]]*Tabla1[[#This Row],[Precio Unitario]]</f>
        <v>0</v>
      </c>
      <c r="AI565" s="23" t="s">
        <v>270</v>
      </c>
      <c r="AJ565" s="26"/>
      <c r="AK565" s="172">
        <f>Tabla1[[#This Row],[Fecha Vigencia]]-AJ565</f>
        <v>44973.509722222225</v>
      </c>
      <c r="AL565" s="68"/>
      <c r="AM565" s="91"/>
      <c r="AN565" s="68"/>
      <c r="AO565" s="157"/>
      <c r="AP565" s="68"/>
      <c r="AQ565" s="69"/>
      <c r="AR565" s="68"/>
      <c r="AS565" s="68"/>
      <c r="AT565" s="68"/>
      <c r="AU565" s="68"/>
      <c r="AV565" s="68"/>
      <c r="AW565" s="68"/>
      <c r="AX565" s="68"/>
      <c r="AY565" s="23"/>
      <c r="AZ565" s="23"/>
      <c r="BA565" s="23"/>
      <c r="BB565" s="32"/>
      <c r="BC565" s="73"/>
    </row>
    <row r="566" spans="1:55" ht="11.25" x14ac:dyDescent="0.2">
      <c r="A566" s="22" t="s">
        <v>2951</v>
      </c>
      <c r="B566" s="23" t="s">
        <v>2952</v>
      </c>
      <c r="C566" s="23" t="s">
        <v>2953</v>
      </c>
      <c r="D566" s="34" t="s">
        <v>2456</v>
      </c>
      <c r="E566" s="24" t="s">
        <v>2954</v>
      </c>
      <c r="F566" s="25">
        <v>1</v>
      </c>
      <c r="G566" s="23" t="s">
        <v>17</v>
      </c>
      <c r="H566" s="23" t="s">
        <v>213</v>
      </c>
      <c r="I566" s="2">
        <v>44963.637442129628</v>
      </c>
      <c r="J566" s="24">
        <f>MONTH(Tabla1[[#This Row],[Publicación]])</f>
        <v>2</v>
      </c>
      <c r="K566" s="24">
        <f>YEAR(Tabla1[[#This Row],[Publicación]])</f>
        <v>2023</v>
      </c>
      <c r="L566" s="2">
        <v>44973.557638888888</v>
      </c>
      <c r="M566" s="26">
        <v>44964</v>
      </c>
      <c r="N566" s="25" t="s">
        <v>10</v>
      </c>
      <c r="O566" s="24" t="s">
        <v>25</v>
      </c>
      <c r="P566" s="24" t="s">
        <v>10</v>
      </c>
      <c r="Q566" s="24"/>
      <c r="R566" s="24"/>
      <c r="S566" s="18"/>
      <c r="T566" s="28">
        <v>0</v>
      </c>
      <c r="U566" s="28">
        <f>Tabla1[[#This Row],[PPTO]]/(1+'Lista Datos'!$B$1)</f>
        <v>0</v>
      </c>
      <c r="V566" s="68"/>
      <c r="W566" s="18"/>
      <c r="X566" s="102"/>
      <c r="Y566" s="18" t="s">
        <v>146</v>
      </c>
      <c r="Z566" s="18"/>
      <c r="AA566" s="68"/>
      <c r="AB566" s="68"/>
      <c r="AC566" s="68"/>
      <c r="AD566" s="68"/>
      <c r="AE566" s="29">
        <f>Tabla1[[#This Row],[Cierre]]+Tabla1[[#This Row],[Vigencia Oferta (días)]]</f>
        <v>44973.557638888888</v>
      </c>
      <c r="AF566" s="91"/>
      <c r="AG566" s="67"/>
      <c r="AH566" s="164">
        <f>Tabla1[[#This Row],[Unidades2]]*Tabla1[[#This Row],[Precio Unitario]]</f>
        <v>0</v>
      </c>
      <c r="AI566" s="23" t="s">
        <v>270</v>
      </c>
      <c r="AJ566" s="26"/>
      <c r="AK566" s="172">
        <f>Tabla1[[#This Row],[Fecha Vigencia]]-AJ566</f>
        <v>44973.557638888888</v>
      </c>
      <c r="AL566" s="68"/>
      <c r="AM566" s="91"/>
      <c r="AN566" s="68"/>
      <c r="AO566" s="157"/>
      <c r="AP566" s="68"/>
      <c r="AQ566" s="69"/>
      <c r="AR566" s="68"/>
      <c r="AS566" s="68"/>
      <c r="AT566" s="68"/>
      <c r="AU566" s="68"/>
      <c r="AV566" s="68"/>
      <c r="AW566" s="68"/>
      <c r="AX566" s="68"/>
      <c r="AY566" s="23"/>
      <c r="AZ566" s="23"/>
      <c r="BA566" s="23"/>
      <c r="BB566" s="32"/>
      <c r="BC566" s="73"/>
    </row>
    <row r="567" spans="1:55" ht="11.25" x14ac:dyDescent="0.2">
      <c r="A567" s="22" t="s">
        <v>2955</v>
      </c>
      <c r="B567" s="23" t="s">
        <v>2368</v>
      </c>
      <c r="C567" s="23" t="s">
        <v>2956</v>
      </c>
      <c r="D567" s="34" t="s">
        <v>770</v>
      </c>
      <c r="E567" s="24" t="s">
        <v>2957</v>
      </c>
      <c r="F567" s="25">
        <v>1</v>
      </c>
      <c r="G567" s="23" t="s">
        <v>19</v>
      </c>
      <c r="H567" s="23" t="s">
        <v>114</v>
      </c>
      <c r="I567" s="2">
        <v>44963.409722222219</v>
      </c>
      <c r="J567" s="24">
        <f>MONTH(Tabla1[[#This Row],[Publicación]])</f>
        <v>2</v>
      </c>
      <c r="K567" s="24">
        <f>YEAR(Tabla1[[#This Row],[Publicación]])</f>
        <v>2023</v>
      </c>
      <c r="L567" s="2">
        <v>44993.708333333336</v>
      </c>
      <c r="M567" s="26">
        <v>44964</v>
      </c>
      <c r="N567" s="25" t="s">
        <v>11</v>
      </c>
      <c r="O567" s="24"/>
      <c r="P567" s="24" t="s">
        <v>11</v>
      </c>
      <c r="Q567" s="222">
        <v>44970.625</v>
      </c>
      <c r="R567" s="222">
        <v>44972.666666666664</v>
      </c>
      <c r="S567" s="161">
        <v>45079.526469907411</v>
      </c>
      <c r="T567" s="28">
        <v>499104000</v>
      </c>
      <c r="U567" s="28">
        <f>Tabla1[[#This Row],[PPTO]]/(1+'Lista Datos'!$B$1)</f>
        <v>419415126.05042017</v>
      </c>
      <c r="V567" s="68"/>
      <c r="W567" s="18" t="s">
        <v>11</v>
      </c>
      <c r="X567" s="102">
        <v>500000</v>
      </c>
      <c r="Y567" s="26">
        <v>45117</v>
      </c>
      <c r="Z567" s="18" t="s">
        <v>10</v>
      </c>
      <c r="AA567" s="68" t="s">
        <v>177</v>
      </c>
      <c r="AB567" s="68">
        <v>36</v>
      </c>
      <c r="AC567" s="23" t="s">
        <v>10</v>
      </c>
      <c r="AD567" s="68"/>
      <c r="AE567" s="29">
        <f>Tabla1[[#This Row],[Cierre]]+Tabla1[[#This Row],[Vigencia Oferta (días)]]</f>
        <v>44993.708333333336</v>
      </c>
      <c r="AF567" s="91"/>
      <c r="AG567" s="67"/>
      <c r="AH567" s="164">
        <f>Tabla1[[#This Row],[Unidades2]]*Tabla1[[#This Row],[Precio Unitario]]</f>
        <v>0</v>
      </c>
      <c r="AI567" s="23" t="s">
        <v>44</v>
      </c>
      <c r="AJ567" s="26">
        <v>45079</v>
      </c>
      <c r="AK567" s="172">
        <f>Tabla1[[#This Row],[Fecha Vigencia]]-AJ567</f>
        <v>-85.291666666664241</v>
      </c>
      <c r="AL567" s="68" t="s">
        <v>115</v>
      </c>
      <c r="AM567" s="91">
        <v>499104000</v>
      </c>
      <c r="AN567" s="157">
        <v>45079</v>
      </c>
      <c r="AO567" s="157">
        <v>46175</v>
      </c>
      <c r="AP567" s="68" t="s">
        <v>177</v>
      </c>
      <c r="AQ567" s="69" t="s">
        <v>771</v>
      </c>
      <c r="AR567" s="68" t="s">
        <v>11</v>
      </c>
      <c r="AS567" s="156">
        <v>0.05</v>
      </c>
      <c r="AT567" s="157">
        <v>46336</v>
      </c>
      <c r="AU567" s="37" t="s">
        <v>2958</v>
      </c>
      <c r="AV567" s="37" t="s">
        <v>2959</v>
      </c>
      <c r="AW567" s="37" t="s">
        <v>772</v>
      </c>
      <c r="AX567" s="37" t="s">
        <v>2960</v>
      </c>
      <c r="AY567" s="23"/>
      <c r="AZ567" s="23"/>
      <c r="BA567" s="23"/>
      <c r="BB567" s="32"/>
      <c r="BC567" s="73"/>
    </row>
    <row r="568" spans="1:55" ht="11.25" x14ac:dyDescent="0.2">
      <c r="A568" s="22" t="s">
        <v>2961</v>
      </c>
      <c r="B568" s="23" t="s">
        <v>2962</v>
      </c>
      <c r="C568" s="23" t="s">
        <v>2963</v>
      </c>
      <c r="D568" s="34" t="s">
        <v>532</v>
      </c>
      <c r="E568" s="24" t="s">
        <v>2964</v>
      </c>
      <c r="F568" s="25">
        <v>1</v>
      </c>
      <c r="G568" s="23" t="s">
        <v>16</v>
      </c>
      <c r="H568" s="23" t="s">
        <v>533</v>
      </c>
      <c r="I568" s="2">
        <v>44963.657314814816</v>
      </c>
      <c r="J568" s="24">
        <f>MONTH(Tabla1[[#This Row],[Publicación]])</f>
        <v>2</v>
      </c>
      <c r="K568" s="24">
        <f>YEAR(Tabla1[[#This Row],[Publicación]])</f>
        <v>2023</v>
      </c>
      <c r="L568" s="2">
        <v>44970.625694444447</v>
      </c>
      <c r="M568" s="26">
        <v>44964</v>
      </c>
      <c r="N568" s="25" t="s">
        <v>10</v>
      </c>
      <c r="O568" s="24" t="s">
        <v>33</v>
      </c>
      <c r="P568" s="24" t="s">
        <v>10</v>
      </c>
      <c r="Q568" s="24"/>
      <c r="R568" s="24"/>
      <c r="S568" s="18"/>
      <c r="T568" s="28">
        <v>0</v>
      </c>
      <c r="U568" s="28">
        <f>Tabla1[[#This Row],[PPTO]]/(1+'Lista Datos'!$B$1)</f>
        <v>0</v>
      </c>
      <c r="V568" s="68"/>
      <c r="W568" s="18"/>
      <c r="X568" s="102"/>
      <c r="Y568" s="18" t="s">
        <v>146</v>
      </c>
      <c r="Z568" s="18"/>
      <c r="AA568" s="68"/>
      <c r="AB568" s="68"/>
      <c r="AC568" s="68"/>
      <c r="AD568" s="68"/>
      <c r="AE568" s="29">
        <f>Tabla1[[#This Row],[Cierre]]+Tabla1[[#This Row],[Vigencia Oferta (días)]]</f>
        <v>44970.625694444447</v>
      </c>
      <c r="AF568" s="91"/>
      <c r="AG568" s="67"/>
      <c r="AH568" s="164">
        <f>Tabla1[[#This Row],[Unidades2]]*Tabla1[[#This Row],[Precio Unitario]]</f>
        <v>0</v>
      </c>
      <c r="AI568" s="23" t="s">
        <v>270</v>
      </c>
      <c r="AJ568" s="26"/>
      <c r="AK568" s="172">
        <f>Tabla1[[#This Row],[Fecha Vigencia]]-AJ568</f>
        <v>44970.625694444447</v>
      </c>
      <c r="AL568" s="68"/>
      <c r="AM568" s="91"/>
      <c r="AN568" s="68"/>
      <c r="AO568" s="157"/>
      <c r="AP568" s="68"/>
      <c r="AQ568" s="69"/>
      <c r="AR568" s="68"/>
      <c r="AS568" s="68"/>
      <c r="AT568" s="68"/>
      <c r="AU568" s="68"/>
      <c r="AV568" s="68"/>
      <c r="AW568" s="68"/>
      <c r="AX568" s="68"/>
      <c r="AY568" s="23"/>
      <c r="AZ568" s="23"/>
      <c r="BA568" s="23"/>
      <c r="BB568" s="32"/>
      <c r="BC568" s="73"/>
    </row>
    <row r="569" spans="1:55" ht="11.25" x14ac:dyDescent="0.2">
      <c r="A569" s="36" t="s">
        <v>2965</v>
      </c>
      <c r="B569" s="37" t="s">
        <v>2966</v>
      </c>
      <c r="C569" s="37" t="s">
        <v>1012</v>
      </c>
      <c r="D569" s="55" t="s">
        <v>1013</v>
      </c>
      <c r="E569" s="38" t="s">
        <v>2967</v>
      </c>
      <c r="F569" s="39">
        <v>1</v>
      </c>
      <c r="G569" s="37" t="s">
        <v>15</v>
      </c>
      <c r="H569" s="37" t="s">
        <v>114</v>
      </c>
      <c r="I569" s="2">
        <v>44963.493263888886</v>
      </c>
      <c r="J569" s="24">
        <f>MONTH(Tabla1[[#This Row],[Publicación]])</f>
        <v>2</v>
      </c>
      <c r="K569" s="24">
        <f>YEAR(Tabla1[[#This Row],[Publicación]])</f>
        <v>2023</v>
      </c>
      <c r="L569" s="40">
        <v>44973.666666666664</v>
      </c>
      <c r="M569" s="41">
        <v>44964</v>
      </c>
      <c r="N569" s="39" t="s">
        <v>10</v>
      </c>
      <c r="O569" s="38" t="s">
        <v>29</v>
      </c>
      <c r="P569" s="38" t="s">
        <v>11</v>
      </c>
      <c r="Q569" s="38"/>
      <c r="R569" s="38"/>
      <c r="S569" s="19"/>
      <c r="T569" s="28">
        <v>0</v>
      </c>
      <c r="U569" s="28">
        <f>Tabla1[[#This Row],[PPTO]]/(1+'Lista Datos'!$B$1)</f>
        <v>0</v>
      </c>
      <c r="V569" s="65"/>
      <c r="W569" s="19"/>
      <c r="X569" s="112"/>
      <c r="Y569" s="19" t="s">
        <v>146</v>
      </c>
      <c r="Z569" s="19"/>
      <c r="AA569" s="65" t="s">
        <v>177</v>
      </c>
      <c r="AB569" s="65">
        <v>36</v>
      </c>
      <c r="AC569" s="65"/>
      <c r="AD569" s="65"/>
      <c r="AE569" s="29">
        <f>Tabla1[[#This Row],[Cierre]]+Tabla1[[#This Row],[Vigencia Oferta (días)]]</f>
        <v>44973.666666666664</v>
      </c>
      <c r="AF569" s="90"/>
      <c r="AG569" s="64"/>
      <c r="AH569" s="164">
        <f>Tabla1[[#This Row],[Unidades2]]*Tabla1[[#This Row],[Precio Unitario]]</f>
        <v>0</v>
      </c>
      <c r="AI569" s="37" t="s">
        <v>44</v>
      </c>
      <c r="AJ569" s="41">
        <v>45008</v>
      </c>
      <c r="AK569" s="172">
        <f>Tabla1[[#This Row],[Fecha Vigencia]]-AJ569</f>
        <v>-34.333333333335759</v>
      </c>
      <c r="AL569" s="65" t="s">
        <v>46</v>
      </c>
      <c r="AM569" s="90" t="s">
        <v>2968</v>
      </c>
      <c r="AN569" s="181">
        <v>45008</v>
      </c>
      <c r="AO569" s="181">
        <v>46104</v>
      </c>
      <c r="AP569" s="65" t="s">
        <v>177</v>
      </c>
      <c r="AQ569" s="66"/>
      <c r="AR569" s="65"/>
      <c r="AS569" s="65"/>
      <c r="AT569" s="65"/>
      <c r="AU569" s="65"/>
      <c r="AV569" s="65"/>
      <c r="AW569" s="65"/>
      <c r="AX569" s="65"/>
      <c r="AY569" s="37"/>
      <c r="AZ569" s="37"/>
      <c r="BA569" s="37"/>
      <c r="BB569" s="44"/>
      <c r="BC569" s="73"/>
    </row>
    <row r="570" spans="1:55" ht="11.25" x14ac:dyDescent="0.2">
      <c r="A570" s="36" t="s">
        <v>2969</v>
      </c>
      <c r="B570" s="37" t="s">
        <v>2970</v>
      </c>
      <c r="C570" s="37" t="s">
        <v>2971</v>
      </c>
      <c r="D570" s="55" t="s">
        <v>2416</v>
      </c>
      <c r="E570" s="38" t="s">
        <v>2972</v>
      </c>
      <c r="F570" s="39">
        <v>24</v>
      </c>
      <c r="G570" s="37" t="s">
        <v>21</v>
      </c>
      <c r="H570" s="37" t="s">
        <v>106</v>
      </c>
      <c r="I570" s="2">
        <v>44964.485613425924</v>
      </c>
      <c r="J570" s="24">
        <f>MONTH(Tabla1[[#This Row],[Publicación]])</f>
        <v>2</v>
      </c>
      <c r="K570" s="24">
        <f>YEAR(Tabla1[[#This Row],[Publicación]])</f>
        <v>2023</v>
      </c>
      <c r="L570" s="40">
        <v>44994.666666666664</v>
      </c>
      <c r="M570" s="41">
        <v>44965</v>
      </c>
      <c r="N570" s="39" t="s">
        <v>10</v>
      </c>
      <c r="O570" s="38" t="s">
        <v>28</v>
      </c>
      <c r="P570" s="24" t="s">
        <v>10</v>
      </c>
      <c r="Q570" s="38"/>
      <c r="R570" s="38"/>
      <c r="S570" s="19"/>
      <c r="T570" s="28">
        <v>0</v>
      </c>
      <c r="U570" s="28">
        <f>Tabla1[[#This Row],[PPTO]]/(1+'Lista Datos'!$B$1)</f>
        <v>0</v>
      </c>
      <c r="V570" s="65"/>
      <c r="W570" s="19"/>
      <c r="X570" s="112"/>
      <c r="Y570" s="19" t="s">
        <v>146</v>
      </c>
      <c r="Z570" s="19"/>
      <c r="AA570" s="65"/>
      <c r="AB570" s="65"/>
      <c r="AC570" s="65"/>
      <c r="AD570" s="65"/>
      <c r="AE570" s="29">
        <f>Tabla1[[#This Row],[Cierre]]+Tabla1[[#This Row],[Vigencia Oferta (días)]]</f>
        <v>44994.666666666664</v>
      </c>
      <c r="AF570" s="90"/>
      <c r="AG570" s="64"/>
      <c r="AH570" s="164">
        <f>Tabla1[[#This Row],[Unidades2]]*Tabla1[[#This Row],[Precio Unitario]]</f>
        <v>0</v>
      </c>
      <c r="AI570" s="37" t="s">
        <v>270</v>
      </c>
      <c r="AJ570" s="41"/>
      <c r="AK570" s="172">
        <f>Tabla1[[#This Row],[Fecha Vigencia]]-AJ570</f>
        <v>44994.666666666664</v>
      </c>
      <c r="AL570" s="65"/>
      <c r="AM570" s="90"/>
      <c r="AN570" s="65"/>
      <c r="AO570" s="181"/>
      <c r="AP570" s="65"/>
      <c r="AQ570" s="66"/>
      <c r="AR570" s="65"/>
      <c r="AS570" s="65"/>
      <c r="AT570" s="65"/>
      <c r="AU570" s="65"/>
      <c r="AV570" s="65"/>
      <c r="AW570" s="65"/>
      <c r="AX570" s="65"/>
      <c r="AY570" s="37"/>
      <c r="AZ570" s="37"/>
      <c r="BA570" s="37"/>
      <c r="BB570" s="44"/>
      <c r="BC570" s="73"/>
    </row>
    <row r="571" spans="1:55" ht="11.25" x14ac:dyDescent="0.2">
      <c r="A571" s="22" t="s">
        <v>2973</v>
      </c>
      <c r="B571" s="23" t="s">
        <v>2974</v>
      </c>
      <c r="C571" s="23" t="s">
        <v>2975</v>
      </c>
      <c r="D571" s="34" t="s">
        <v>2976</v>
      </c>
      <c r="E571" s="24" t="s">
        <v>2977</v>
      </c>
      <c r="F571" s="25">
        <v>1</v>
      </c>
      <c r="G571" s="23" t="s">
        <v>16</v>
      </c>
      <c r="H571" s="23" t="s">
        <v>533</v>
      </c>
      <c r="I571" s="2">
        <v>44964.661689814813</v>
      </c>
      <c r="J571" s="24">
        <f>MONTH(Tabla1[[#This Row],[Publicación]])</f>
        <v>2</v>
      </c>
      <c r="K571" s="24">
        <f>YEAR(Tabla1[[#This Row],[Publicación]])</f>
        <v>2023</v>
      </c>
      <c r="L571" s="2">
        <v>44973.634027777778</v>
      </c>
      <c r="M571" s="26">
        <v>44965</v>
      </c>
      <c r="N571" s="25" t="s">
        <v>10</v>
      </c>
      <c r="O571" s="24" t="s">
        <v>33</v>
      </c>
      <c r="P571" s="24" t="s">
        <v>10</v>
      </c>
      <c r="Q571" s="24"/>
      <c r="R571" s="24"/>
      <c r="S571" s="18"/>
      <c r="T571" s="28">
        <v>0</v>
      </c>
      <c r="U571" s="28">
        <f>Tabla1[[#This Row],[PPTO]]/(1+'Lista Datos'!$B$1)</f>
        <v>0</v>
      </c>
      <c r="V571" s="68"/>
      <c r="W571" s="18"/>
      <c r="X571" s="102"/>
      <c r="Y571" s="18" t="s">
        <v>146</v>
      </c>
      <c r="Z571" s="18"/>
      <c r="AA571" s="68"/>
      <c r="AB571" s="68"/>
      <c r="AC571" s="68"/>
      <c r="AD571" s="68"/>
      <c r="AE571" s="29">
        <f>Tabla1[[#This Row],[Cierre]]+Tabla1[[#This Row],[Vigencia Oferta (días)]]</f>
        <v>44973.634027777778</v>
      </c>
      <c r="AF571" s="91"/>
      <c r="AG571" s="67"/>
      <c r="AH571" s="164">
        <f>Tabla1[[#This Row],[Unidades2]]*Tabla1[[#This Row],[Precio Unitario]]</f>
        <v>0</v>
      </c>
      <c r="AI571" s="23" t="s">
        <v>270</v>
      </c>
      <c r="AJ571" s="26"/>
      <c r="AK571" s="172">
        <f>Tabla1[[#This Row],[Fecha Vigencia]]-AJ571</f>
        <v>44973.634027777778</v>
      </c>
      <c r="AL571" s="68"/>
      <c r="AM571" s="91"/>
      <c r="AN571" s="68"/>
      <c r="AO571" s="157"/>
      <c r="AP571" s="68"/>
      <c r="AQ571" s="69"/>
      <c r="AR571" s="68"/>
      <c r="AS571" s="68"/>
      <c r="AT571" s="68"/>
      <c r="AU571" s="68"/>
      <c r="AV571" s="68"/>
      <c r="AW571" s="68"/>
      <c r="AX571" s="68"/>
      <c r="AY571" s="23"/>
      <c r="AZ571" s="23"/>
      <c r="BA571" s="23"/>
      <c r="BB571" s="32"/>
      <c r="BC571" s="73"/>
    </row>
    <row r="572" spans="1:55" ht="11.25" x14ac:dyDescent="0.2">
      <c r="A572" s="36" t="s">
        <v>2978</v>
      </c>
      <c r="B572" s="37" t="s">
        <v>2979</v>
      </c>
      <c r="C572" s="37" t="s">
        <v>2980</v>
      </c>
      <c r="D572" s="55" t="s">
        <v>319</v>
      </c>
      <c r="E572" s="38" t="s">
        <v>2981</v>
      </c>
      <c r="F572" s="39">
        <v>25</v>
      </c>
      <c r="G572" s="37" t="s">
        <v>21</v>
      </c>
      <c r="H572" s="37" t="s">
        <v>106</v>
      </c>
      <c r="I572" s="2">
        <v>44964.599432870367</v>
      </c>
      <c r="J572" s="24">
        <f>MONTH(Tabla1[[#This Row],[Publicación]])</f>
        <v>2</v>
      </c>
      <c r="K572" s="24">
        <f>YEAR(Tabla1[[#This Row],[Publicación]])</f>
        <v>2023</v>
      </c>
      <c r="L572" s="40">
        <v>44970.645833333336</v>
      </c>
      <c r="M572" s="41">
        <v>44965</v>
      </c>
      <c r="N572" s="39" t="s">
        <v>10</v>
      </c>
      <c r="O572" s="24" t="s">
        <v>27</v>
      </c>
      <c r="P572" s="24" t="s">
        <v>10</v>
      </c>
      <c r="Q572" s="38"/>
      <c r="R572" s="38"/>
      <c r="S572" s="19"/>
      <c r="T572" s="28">
        <v>0</v>
      </c>
      <c r="U572" s="28">
        <f>Tabla1[[#This Row],[PPTO]]/(1+'Lista Datos'!$B$1)</f>
        <v>0</v>
      </c>
      <c r="V572" s="65"/>
      <c r="W572" s="19"/>
      <c r="X572" s="112"/>
      <c r="Y572" s="19" t="s">
        <v>146</v>
      </c>
      <c r="Z572" s="19"/>
      <c r="AA572" s="65" t="s">
        <v>177</v>
      </c>
      <c r="AB572" s="65">
        <v>24</v>
      </c>
      <c r="AC572" s="65"/>
      <c r="AD572" s="65"/>
      <c r="AE572" s="29">
        <f>Tabla1[[#This Row],[Cierre]]+Tabla1[[#This Row],[Vigencia Oferta (días)]]</f>
        <v>44970.645833333336</v>
      </c>
      <c r="AF572" s="90"/>
      <c r="AG572" s="64"/>
      <c r="AH572" s="164">
        <f>Tabla1[[#This Row],[Unidades2]]*Tabla1[[#This Row],[Precio Unitario]]</f>
        <v>0</v>
      </c>
      <c r="AI572" s="37" t="s">
        <v>270</v>
      </c>
      <c r="AJ572" s="41"/>
      <c r="AK572" s="172">
        <f>Tabla1[[#This Row],[Fecha Vigencia]]-AJ572</f>
        <v>44970.645833333336</v>
      </c>
      <c r="AL572" s="65"/>
      <c r="AM572" s="90"/>
      <c r="AN572" s="65"/>
      <c r="AO572" s="181"/>
      <c r="AP572" s="65"/>
      <c r="AQ572" s="66"/>
      <c r="AR572" s="65"/>
      <c r="AS572" s="65"/>
      <c r="AT572" s="65"/>
      <c r="AU572" s="65"/>
      <c r="AV572" s="65"/>
      <c r="AW572" s="65"/>
      <c r="AX572" s="65"/>
      <c r="AY572" s="37"/>
      <c r="AZ572" s="37"/>
      <c r="BA572" s="37"/>
      <c r="BB572" s="44"/>
      <c r="BC572" s="73"/>
    </row>
    <row r="573" spans="1:55" ht="11.25" x14ac:dyDescent="0.2">
      <c r="A573" s="22" t="s">
        <v>2982</v>
      </c>
      <c r="B573" s="23" t="s">
        <v>2983</v>
      </c>
      <c r="C573" s="23" t="s">
        <v>2984</v>
      </c>
      <c r="D573" s="34" t="s">
        <v>2985</v>
      </c>
      <c r="E573" s="24" t="s">
        <v>2986</v>
      </c>
      <c r="F573" s="25">
        <v>1</v>
      </c>
      <c r="G573" s="23" t="s">
        <v>18</v>
      </c>
      <c r="H573" s="23" t="s">
        <v>213</v>
      </c>
      <c r="I573" s="2">
        <v>44964.52547453704</v>
      </c>
      <c r="J573" s="24">
        <f>MONTH(Tabla1[[#This Row],[Publicación]])</f>
        <v>2</v>
      </c>
      <c r="K573" s="24">
        <f>YEAR(Tabla1[[#This Row],[Publicación]])</f>
        <v>2023</v>
      </c>
      <c r="L573" s="2">
        <v>44974.736805555556</v>
      </c>
      <c r="M573" s="26">
        <v>44965</v>
      </c>
      <c r="N573" s="25" t="s">
        <v>10</v>
      </c>
      <c r="O573" s="24" t="s">
        <v>25</v>
      </c>
      <c r="P573" s="24" t="s">
        <v>10</v>
      </c>
      <c r="Q573" s="24"/>
      <c r="R573" s="24"/>
      <c r="S573" s="18"/>
      <c r="T573" s="28">
        <v>0</v>
      </c>
      <c r="U573" s="28">
        <f>Tabla1[[#This Row],[PPTO]]/(1+'Lista Datos'!$B$1)</f>
        <v>0</v>
      </c>
      <c r="V573" s="68"/>
      <c r="W573" s="18"/>
      <c r="X573" s="102"/>
      <c r="Y573" s="18" t="s">
        <v>146</v>
      </c>
      <c r="Z573" s="18"/>
      <c r="AA573" s="68"/>
      <c r="AB573" s="68"/>
      <c r="AC573" s="68"/>
      <c r="AD573" s="68"/>
      <c r="AE573" s="29">
        <f>Tabla1[[#This Row],[Cierre]]+Tabla1[[#This Row],[Vigencia Oferta (días)]]</f>
        <v>44974.736805555556</v>
      </c>
      <c r="AF573" s="91"/>
      <c r="AG573" s="67"/>
      <c r="AH573" s="164">
        <f>Tabla1[[#This Row],[Unidades2]]*Tabla1[[#This Row],[Precio Unitario]]</f>
        <v>0</v>
      </c>
      <c r="AI573" s="23" t="s">
        <v>270</v>
      </c>
      <c r="AJ573" s="26"/>
      <c r="AK573" s="172">
        <f>Tabla1[[#This Row],[Fecha Vigencia]]-AJ573</f>
        <v>44974.736805555556</v>
      </c>
      <c r="AL573" s="68"/>
      <c r="AM573" s="91"/>
      <c r="AN573" s="68"/>
      <c r="AO573" s="157"/>
      <c r="AP573" s="68"/>
      <c r="AQ573" s="69"/>
      <c r="AR573" s="68"/>
      <c r="AS573" s="68"/>
      <c r="AT573" s="68"/>
      <c r="AU573" s="68"/>
      <c r="AV573" s="68"/>
      <c r="AW573" s="68"/>
      <c r="AX573" s="68"/>
      <c r="AY573" s="23"/>
      <c r="AZ573" s="23"/>
      <c r="BA573" s="23"/>
      <c r="BB573" s="32"/>
      <c r="BC573" s="73"/>
    </row>
    <row r="574" spans="1:55" ht="11.25" x14ac:dyDescent="0.2">
      <c r="A574" s="22" t="s">
        <v>2987</v>
      </c>
      <c r="B574" s="23" t="s">
        <v>2988</v>
      </c>
      <c r="C574" s="23" t="s">
        <v>2989</v>
      </c>
      <c r="D574" s="34" t="s">
        <v>2990</v>
      </c>
      <c r="E574" s="24" t="s">
        <v>2991</v>
      </c>
      <c r="F574" s="25">
        <v>1</v>
      </c>
      <c r="G574" s="23" t="s">
        <v>17</v>
      </c>
      <c r="H574" s="23" t="s">
        <v>213</v>
      </c>
      <c r="I574" s="2">
        <v>44964.440844907411</v>
      </c>
      <c r="J574" s="24">
        <f>MONTH(Tabla1[[#This Row],[Publicación]])</f>
        <v>2</v>
      </c>
      <c r="K574" s="24">
        <f>YEAR(Tabla1[[#This Row],[Publicación]])</f>
        <v>2023</v>
      </c>
      <c r="L574" s="2">
        <v>44970.625</v>
      </c>
      <c r="M574" s="26">
        <v>44965</v>
      </c>
      <c r="N574" s="25" t="s">
        <v>10</v>
      </c>
      <c r="O574" s="24" t="s">
        <v>25</v>
      </c>
      <c r="P574" s="24" t="s">
        <v>10</v>
      </c>
      <c r="Q574" s="24"/>
      <c r="R574" s="24"/>
      <c r="S574" s="18"/>
      <c r="T574" s="28">
        <v>0</v>
      </c>
      <c r="U574" s="28">
        <f>Tabla1[[#This Row],[PPTO]]/(1+'Lista Datos'!$B$1)</f>
        <v>0</v>
      </c>
      <c r="V574" s="68"/>
      <c r="W574" s="18"/>
      <c r="X574" s="102"/>
      <c r="Y574" s="18" t="s">
        <v>146</v>
      </c>
      <c r="Z574" s="18"/>
      <c r="AA574" s="68"/>
      <c r="AB574" s="68"/>
      <c r="AC574" s="68"/>
      <c r="AD574" s="68"/>
      <c r="AE574" s="29">
        <f>Tabla1[[#This Row],[Cierre]]+Tabla1[[#This Row],[Vigencia Oferta (días)]]</f>
        <v>44970.625</v>
      </c>
      <c r="AF574" s="91"/>
      <c r="AG574" s="67"/>
      <c r="AH574" s="164">
        <f>Tabla1[[#This Row],[Unidades2]]*Tabla1[[#This Row],[Precio Unitario]]</f>
        <v>0</v>
      </c>
      <c r="AI574" s="23" t="s">
        <v>270</v>
      </c>
      <c r="AJ574" s="26"/>
      <c r="AK574" s="172">
        <f>Tabla1[[#This Row],[Fecha Vigencia]]-AJ574</f>
        <v>44970.625</v>
      </c>
      <c r="AL574" s="68"/>
      <c r="AM574" s="91"/>
      <c r="AN574" s="68"/>
      <c r="AO574" s="157"/>
      <c r="AP574" s="68"/>
      <c r="AQ574" s="69"/>
      <c r="AR574" s="68"/>
      <c r="AS574" s="68"/>
      <c r="AT574" s="68"/>
      <c r="AU574" s="68"/>
      <c r="AV574" s="68"/>
      <c r="AW574" s="68"/>
      <c r="AX574" s="68"/>
      <c r="AY574" s="23"/>
      <c r="AZ574" s="23"/>
      <c r="BA574" s="23"/>
      <c r="BB574" s="32"/>
      <c r="BC574" s="73"/>
    </row>
    <row r="575" spans="1:55" ht="11.25" x14ac:dyDescent="0.2">
      <c r="A575" s="36" t="s">
        <v>2992</v>
      </c>
      <c r="B575" s="37" t="s">
        <v>2993</v>
      </c>
      <c r="C575" s="37" t="s">
        <v>2994</v>
      </c>
      <c r="D575" s="55" t="s">
        <v>2995</v>
      </c>
      <c r="E575" s="38" t="s">
        <v>2996</v>
      </c>
      <c r="F575" s="39">
        <v>65</v>
      </c>
      <c r="G575" s="37" t="s">
        <v>17</v>
      </c>
      <c r="H575" s="37" t="s">
        <v>213</v>
      </c>
      <c r="I575" s="2">
        <v>44965.471817129626</v>
      </c>
      <c r="J575" s="24">
        <f>MONTH(Tabla1[[#This Row],[Publicación]])</f>
        <v>2</v>
      </c>
      <c r="K575" s="24">
        <f>YEAR(Tabla1[[#This Row],[Publicación]])</f>
        <v>2023</v>
      </c>
      <c r="L575" s="40">
        <v>44977.830555555556</v>
      </c>
      <c r="M575" s="41">
        <v>44966</v>
      </c>
      <c r="N575" s="25" t="s">
        <v>10</v>
      </c>
      <c r="O575" s="24" t="s">
        <v>25</v>
      </c>
      <c r="P575" s="24" t="s">
        <v>10</v>
      </c>
      <c r="Q575" s="38"/>
      <c r="R575" s="38"/>
      <c r="S575" s="19"/>
      <c r="T575" s="28">
        <v>0</v>
      </c>
      <c r="U575" s="28">
        <f>Tabla1[[#This Row],[PPTO]]/(1+'Lista Datos'!$B$1)</f>
        <v>0</v>
      </c>
      <c r="V575" s="37"/>
      <c r="W575" s="19"/>
      <c r="X575" s="112"/>
      <c r="Y575" s="19" t="s">
        <v>146</v>
      </c>
      <c r="Z575" s="19"/>
      <c r="AA575" s="37"/>
      <c r="AB575" s="37"/>
      <c r="AC575" s="37"/>
      <c r="AD575" s="37"/>
      <c r="AE575" s="29">
        <f>Tabla1[[#This Row],[Cierre]]+Tabla1[[#This Row],[Vigencia Oferta (días)]]</f>
        <v>44977.830555555556</v>
      </c>
      <c r="AF575" s="88"/>
      <c r="AG575" s="43"/>
      <c r="AH575" s="164">
        <f>Tabla1[[#This Row],[Unidades2]]*Tabla1[[#This Row],[Precio Unitario]]</f>
        <v>0</v>
      </c>
      <c r="AI575" s="37" t="s">
        <v>270</v>
      </c>
      <c r="AJ575" s="41"/>
      <c r="AK575" s="172">
        <f>Tabla1[[#This Row],[Fecha Vigencia]]-AJ575</f>
        <v>44977.830555555556</v>
      </c>
      <c r="AL575" s="37"/>
      <c r="AM575" s="88"/>
      <c r="AN575" s="37"/>
      <c r="AO575" s="50"/>
      <c r="AP575" s="37"/>
      <c r="AQ575" s="55"/>
      <c r="AR575" s="37"/>
      <c r="AS575" s="37"/>
      <c r="AT575" s="37"/>
      <c r="AU575" s="37"/>
      <c r="AV575" s="37"/>
      <c r="AW575" s="37"/>
      <c r="AX575" s="37"/>
      <c r="AY575" s="37"/>
      <c r="AZ575" s="37"/>
      <c r="BA575" s="37"/>
      <c r="BB575" s="44"/>
      <c r="BC575" s="73"/>
    </row>
    <row r="576" spans="1:55" ht="11.25" x14ac:dyDescent="0.2">
      <c r="A576" s="22" t="s">
        <v>2997</v>
      </c>
      <c r="B576" s="23" t="s">
        <v>2998</v>
      </c>
      <c r="C576" s="23" t="s">
        <v>2999</v>
      </c>
      <c r="D576" s="34" t="s">
        <v>3000</v>
      </c>
      <c r="E576" s="24" t="s">
        <v>3001</v>
      </c>
      <c r="F576" s="25">
        <v>6</v>
      </c>
      <c r="G576" s="23" t="s">
        <v>21</v>
      </c>
      <c r="H576" s="23" t="s">
        <v>106</v>
      </c>
      <c r="I576" s="2">
        <v>44965.757870370369</v>
      </c>
      <c r="J576" s="24">
        <f>MONTH(Tabla1[[#This Row],[Publicación]])</f>
        <v>2</v>
      </c>
      <c r="K576" s="24">
        <f>YEAR(Tabla1[[#This Row],[Publicación]])</f>
        <v>2023</v>
      </c>
      <c r="L576" s="2">
        <v>44977.727777777778</v>
      </c>
      <c r="M576" s="26">
        <v>44966</v>
      </c>
      <c r="N576" s="25" t="s">
        <v>10</v>
      </c>
      <c r="O576" s="24" t="s">
        <v>27</v>
      </c>
      <c r="P576" s="38" t="s">
        <v>10</v>
      </c>
      <c r="Q576" s="24"/>
      <c r="R576" s="24"/>
      <c r="S576" s="18"/>
      <c r="T576" s="28">
        <v>0</v>
      </c>
      <c r="U576" s="28">
        <f>Tabla1[[#This Row],[PPTO]]/(1+'Lista Datos'!$B$1)</f>
        <v>0</v>
      </c>
      <c r="V576" s="68"/>
      <c r="W576" s="18"/>
      <c r="X576" s="102"/>
      <c r="Y576" s="18" t="s">
        <v>146</v>
      </c>
      <c r="Z576" s="18"/>
      <c r="AA576" s="68"/>
      <c r="AB576" s="68"/>
      <c r="AC576" s="68"/>
      <c r="AD576" s="68"/>
      <c r="AE576" s="29">
        <f>Tabla1[[#This Row],[Cierre]]+Tabla1[[#This Row],[Vigencia Oferta (días)]]</f>
        <v>44977.727777777778</v>
      </c>
      <c r="AF576" s="91"/>
      <c r="AG576" s="67"/>
      <c r="AH576" s="164">
        <f>Tabla1[[#This Row],[Unidades2]]*Tabla1[[#This Row],[Precio Unitario]]</f>
        <v>0</v>
      </c>
      <c r="AI576" s="23" t="s">
        <v>270</v>
      </c>
      <c r="AJ576" s="26"/>
      <c r="AK576" s="172">
        <f>Tabla1[[#This Row],[Fecha Vigencia]]-AJ576</f>
        <v>44977.727777777778</v>
      </c>
      <c r="AL576" s="68"/>
      <c r="AM576" s="91"/>
      <c r="AN576" s="68"/>
      <c r="AO576" s="157"/>
      <c r="AP576" s="68"/>
      <c r="AQ576" s="69"/>
      <c r="AR576" s="68"/>
      <c r="AS576" s="68"/>
      <c r="AT576" s="68"/>
      <c r="AU576" s="68"/>
      <c r="AV576" s="68"/>
      <c r="AW576" s="68"/>
      <c r="AX576" s="68"/>
      <c r="AY576" s="23"/>
      <c r="AZ576" s="23"/>
      <c r="BA576" s="23"/>
      <c r="BB576" s="32"/>
      <c r="BC576" s="73"/>
    </row>
    <row r="577" spans="1:55" ht="11.25" x14ac:dyDescent="0.2">
      <c r="A577" s="36" t="s">
        <v>3002</v>
      </c>
      <c r="B577" s="37" t="s">
        <v>3003</v>
      </c>
      <c r="C577" s="37" t="s">
        <v>3004</v>
      </c>
      <c r="D577" s="55" t="s">
        <v>2101</v>
      </c>
      <c r="E577" s="38" t="s">
        <v>3005</v>
      </c>
      <c r="F577" s="39">
        <v>1</v>
      </c>
      <c r="G577" s="37" t="s">
        <v>18</v>
      </c>
      <c r="H577" s="37" t="s">
        <v>213</v>
      </c>
      <c r="I577" s="2">
        <v>44966.43608796296</v>
      </c>
      <c r="J577" s="24">
        <f>MONTH(Tabla1[[#This Row],[Publicación]])</f>
        <v>2</v>
      </c>
      <c r="K577" s="24">
        <f>YEAR(Tabla1[[#This Row],[Publicación]])</f>
        <v>2023</v>
      </c>
      <c r="L577" s="40">
        <v>44974.416666666664</v>
      </c>
      <c r="M577" s="41">
        <v>44967</v>
      </c>
      <c r="N577" s="39" t="s">
        <v>10</v>
      </c>
      <c r="O577" s="38" t="s">
        <v>33</v>
      </c>
      <c r="P577" s="24" t="s">
        <v>10</v>
      </c>
      <c r="Q577" s="38"/>
      <c r="R577" s="38"/>
      <c r="S577" s="19"/>
      <c r="T577" s="28">
        <v>0</v>
      </c>
      <c r="U577" s="28">
        <f>Tabla1[[#This Row],[PPTO]]/(1+'Lista Datos'!$B$1)</f>
        <v>0</v>
      </c>
      <c r="V577" s="65"/>
      <c r="W577" s="19"/>
      <c r="X577" s="112"/>
      <c r="Y577" s="19" t="s">
        <v>146</v>
      </c>
      <c r="Z577" s="19"/>
      <c r="AA577" s="65"/>
      <c r="AB577" s="65"/>
      <c r="AC577" s="65"/>
      <c r="AD577" s="65"/>
      <c r="AE577" s="29">
        <f>Tabla1[[#This Row],[Cierre]]+Tabla1[[#This Row],[Vigencia Oferta (días)]]</f>
        <v>44974.416666666664</v>
      </c>
      <c r="AF577" s="90"/>
      <c r="AG577" s="64"/>
      <c r="AH577" s="164">
        <f>Tabla1[[#This Row],[Unidades2]]*Tabla1[[#This Row],[Precio Unitario]]</f>
        <v>0</v>
      </c>
      <c r="AI577" s="37" t="s">
        <v>270</v>
      </c>
      <c r="AJ577" s="41"/>
      <c r="AK577" s="172">
        <f>Tabla1[[#This Row],[Fecha Vigencia]]-AJ577</f>
        <v>44974.416666666664</v>
      </c>
      <c r="AL577" s="65"/>
      <c r="AM577" s="90"/>
      <c r="AN577" s="65"/>
      <c r="AO577" s="181"/>
      <c r="AP577" s="65"/>
      <c r="AQ577" s="66"/>
      <c r="AR577" s="65"/>
      <c r="AS577" s="65"/>
      <c r="AT577" s="65"/>
      <c r="AU577" s="65"/>
      <c r="AV577" s="65"/>
      <c r="AW577" s="65"/>
      <c r="AX577" s="65"/>
      <c r="AY577" s="37"/>
      <c r="AZ577" s="37"/>
      <c r="BA577" s="37"/>
      <c r="BB577" s="44"/>
      <c r="BC577" s="73"/>
    </row>
    <row r="578" spans="1:55" ht="11.25" x14ac:dyDescent="0.2">
      <c r="A578" s="117" t="s">
        <v>3006</v>
      </c>
      <c r="B578" s="118" t="s">
        <v>3007</v>
      </c>
      <c r="C578" s="118" t="s">
        <v>3008</v>
      </c>
      <c r="D578" s="119" t="s">
        <v>3009</v>
      </c>
      <c r="E578" s="38" t="s">
        <v>3010</v>
      </c>
      <c r="F578" s="39">
        <v>40</v>
      </c>
      <c r="G578" s="118" t="s">
        <v>21</v>
      </c>
      <c r="H578" s="118" t="s">
        <v>106</v>
      </c>
      <c r="I578" s="40">
        <v>44967.409745370373</v>
      </c>
      <c r="J578" s="24">
        <f>MONTH(Tabla1[[#This Row],[Publicación]])</f>
        <v>2</v>
      </c>
      <c r="K578" s="24">
        <f>YEAR(Tabla1[[#This Row],[Publicación]])</f>
        <v>2023</v>
      </c>
      <c r="L578" s="40">
        <v>44977.631944444445</v>
      </c>
      <c r="M578" s="41">
        <v>44970</v>
      </c>
      <c r="N578" s="120" t="s">
        <v>10</v>
      </c>
      <c r="O578" s="40" t="s">
        <v>30</v>
      </c>
      <c r="P578" s="38" t="s">
        <v>10</v>
      </c>
      <c r="Q578" s="147">
        <v>44972.5</v>
      </c>
      <c r="R578" s="147">
        <v>44973.541666666664</v>
      </c>
      <c r="S578" s="148">
        <v>45037.625</v>
      </c>
      <c r="T578" s="27">
        <v>0</v>
      </c>
      <c r="U578" s="28">
        <f>Tabla1[[#This Row],[PPTO]]/(1+'Lista Datos'!$B$1)</f>
        <v>0</v>
      </c>
      <c r="V578" s="64"/>
      <c r="W578" s="122" t="s">
        <v>11</v>
      </c>
      <c r="X578" s="123">
        <v>250000</v>
      </c>
      <c r="Y578" s="149">
        <v>45037</v>
      </c>
      <c r="Z578" s="122" t="s">
        <v>10</v>
      </c>
      <c r="AA578" s="118"/>
      <c r="AB578" s="118"/>
      <c r="AC578" s="118"/>
      <c r="AD578" s="118"/>
      <c r="AE578" s="145">
        <f>Tabla1[[#This Row],[Cierre]]+Tabla1[[#This Row],[Vigencia Oferta (días)]]</f>
        <v>44977.631944444445</v>
      </c>
      <c r="AF578" s="90"/>
      <c r="AG578" s="64"/>
      <c r="AH578" s="167">
        <f>Tabla1[[#This Row],[Unidades2]]*Tabla1[[#This Row],[Precio Unitario]]</f>
        <v>0</v>
      </c>
      <c r="AI578" s="118" t="s">
        <v>270</v>
      </c>
      <c r="AJ578" s="149"/>
      <c r="AK578" s="125">
        <f>Tabla1[[#This Row],[Fecha Vigencia]]-AJ578</f>
        <v>44977.631944444445</v>
      </c>
      <c r="AL578" s="65"/>
      <c r="AM578" s="90"/>
      <c r="AN578" s="90"/>
      <c r="AO578" s="217"/>
      <c r="AP578" s="90"/>
      <c r="AQ578" s="66"/>
      <c r="AR578" s="65"/>
      <c r="AS578" s="65"/>
      <c r="AT578" s="65"/>
      <c r="AU578" s="65"/>
      <c r="AV578" s="65"/>
      <c r="AW578" s="65"/>
      <c r="AX578" s="65"/>
      <c r="AY578" s="118"/>
      <c r="AZ578" s="118"/>
      <c r="BA578" s="118"/>
      <c r="BB578" s="124"/>
      <c r="BC578" s="73"/>
    </row>
    <row r="579" spans="1:55" ht="11.25" x14ac:dyDescent="0.2">
      <c r="A579" s="117" t="s">
        <v>3011</v>
      </c>
      <c r="B579" s="118" t="s">
        <v>3012</v>
      </c>
      <c r="C579" s="145" t="s">
        <v>3013</v>
      </c>
      <c r="D579" s="146" t="s">
        <v>3014</v>
      </c>
      <c r="E579" s="40" t="s">
        <v>3015</v>
      </c>
      <c r="F579" s="39">
        <v>1</v>
      </c>
      <c r="G579" s="118" t="s">
        <v>16</v>
      </c>
      <c r="H579" s="118" t="s">
        <v>123</v>
      </c>
      <c r="I579" s="40">
        <v>44970.684017048603</v>
      </c>
      <c r="J579" s="24">
        <f>MONTH(Tabla1[[#This Row],[Publicación]])</f>
        <v>2</v>
      </c>
      <c r="K579" s="24">
        <f>YEAR(Tabla1[[#This Row],[Publicación]])</f>
        <v>2023</v>
      </c>
      <c r="L579" s="40">
        <v>44980.711111111101</v>
      </c>
      <c r="M579" s="41">
        <v>44971</v>
      </c>
      <c r="N579" s="120" t="s">
        <v>11</v>
      </c>
      <c r="O579" s="40"/>
      <c r="P579" s="24" t="s">
        <v>11</v>
      </c>
      <c r="Q579" s="147">
        <v>44970.709027777775</v>
      </c>
      <c r="R579" s="147">
        <v>44977.710416666669</v>
      </c>
      <c r="S579" s="148">
        <v>45069.712500000001</v>
      </c>
      <c r="T579" s="42">
        <v>61707231</v>
      </c>
      <c r="U579" s="28">
        <f>Tabla1[[#This Row],[PPTO]]/(1+'Lista Datos'!$B$1)</f>
        <v>51854815.966386557</v>
      </c>
      <c r="V579" s="65"/>
      <c r="W579" s="122" t="s">
        <v>10</v>
      </c>
      <c r="X579" s="123"/>
      <c r="Y579" s="122"/>
      <c r="Z579" s="122" t="s">
        <v>11</v>
      </c>
      <c r="AA579" s="118" t="s">
        <v>177</v>
      </c>
      <c r="AB579" s="118">
        <v>24</v>
      </c>
      <c r="AC579" s="23" t="s">
        <v>10</v>
      </c>
      <c r="AD579" s="118"/>
      <c r="AE579" s="145">
        <f>Tabla1[[#This Row],[Cierre]]+Tabla1[[#This Row],[Vigencia Oferta (días)]]</f>
        <v>44980.711111111101</v>
      </c>
      <c r="AF579" s="90"/>
      <c r="AG579" s="64"/>
      <c r="AH579" s="168">
        <f>Tabla1[[#This Row],[Unidades2]]*Tabla1[[#This Row],[Precio Unitario]]</f>
        <v>0</v>
      </c>
      <c r="AI579" s="37" t="s">
        <v>44</v>
      </c>
      <c r="AJ579" s="149">
        <v>45014</v>
      </c>
      <c r="AK579" s="125">
        <f>Tabla1[[#This Row],[Fecha Vigencia]]-AJ579</f>
        <v>-33.288888888899237</v>
      </c>
      <c r="AL579" s="65" t="s">
        <v>115</v>
      </c>
      <c r="AM579" s="90">
        <v>51854816</v>
      </c>
      <c r="AN579" s="181">
        <v>45014</v>
      </c>
      <c r="AO579" s="181">
        <v>45745</v>
      </c>
      <c r="AP579" s="65" t="s">
        <v>177</v>
      </c>
      <c r="AQ579" s="66" t="s">
        <v>3016</v>
      </c>
      <c r="AR579" s="65" t="s">
        <v>10</v>
      </c>
      <c r="AS579" s="65"/>
      <c r="AT579" s="65"/>
      <c r="AU579" s="118" t="s">
        <v>3017</v>
      </c>
      <c r="AV579" s="118" t="s">
        <v>3018</v>
      </c>
      <c r="AW579" s="118" t="s">
        <v>3019</v>
      </c>
      <c r="AX579" s="118" t="s">
        <v>3020</v>
      </c>
      <c r="AY579" s="118"/>
      <c r="AZ579" s="118"/>
      <c r="BA579" s="118"/>
      <c r="BB579" s="124"/>
      <c r="BC579" s="73"/>
    </row>
    <row r="580" spans="1:55" ht="11.25" x14ac:dyDescent="0.2">
      <c r="A580" s="117" t="s">
        <v>3021</v>
      </c>
      <c r="B580" s="118" t="s">
        <v>3022</v>
      </c>
      <c r="C580" s="118" t="s">
        <v>3023</v>
      </c>
      <c r="D580" s="119" t="s">
        <v>364</v>
      </c>
      <c r="E580" s="38" t="s">
        <v>3024</v>
      </c>
      <c r="F580" s="39">
        <v>7200</v>
      </c>
      <c r="G580" s="118" t="s">
        <v>21</v>
      </c>
      <c r="H580" s="118" t="s">
        <v>106</v>
      </c>
      <c r="I580" s="40">
        <v>44970.674393865702</v>
      </c>
      <c r="J580" s="24">
        <f>MONTH(Tabla1[[#This Row],[Publicación]])</f>
        <v>2</v>
      </c>
      <c r="K580" s="24">
        <f>YEAR(Tabla1[[#This Row],[Publicación]])</f>
        <v>2023</v>
      </c>
      <c r="L580" s="40">
        <v>44980.625</v>
      </c>
      <c r="M580" s="41">
        <v>44971</v>
      </c>
      <c r="N580" s="120" t="s">
        <v>10</v>
      </c>
      <c r="O580" s="40" t="s">
        <v>34</v>
      </c>
      <c r="P580" s="38" t="s">
        <v>10</v>
      </c>
      <c r="Q580" s="121"/>
      <c r="R580" s="121"/>
      <c r="S580" s="19"/>
      <c r="T580" s="27">
        <v>0</v>
      </c>
      <c r="U580" s="28">
        <f>Tabla1[[#This Row],[PPTO]]/(1+'Lista Datos'!$B$1)</f>
        <v>0</v>
      </c>
      <c r="V580" s="65"/>
      <c r="W580" s="122"/>
      <c r="X580" s="123"/>
      <c r="Y580" s="122"/>
      <c r="Z580" s="122"/>
      <c r="AA580" s="118"/>
      <c r="AB580" s="118"/>
      <c r="AC580" s="118"/>
      <c r="AD580" s="118"/>
      <c r="AE580" s="145">
        <f>Tabla1[[#This Row],[Cierre]]+Tabla1[[#This Row],[Vigencia Oferta (días)]]</f>
        <v>44980.625</v>
      </c>
      <c r="AF580" s="90"/>
      <c r="AG580" s="64"/>
      <c r="AH580" s="168">
        <f>Tabla1[[#This Row],[Unidades2]]*Tabla1[[#This Row],[Precio Unitario]]</f>
        <v>0</v>
      </c>
      <c r="AI580" s="118" t="s">
        <v>270</v>
      </c>
      <c r="AJ580" s="149"/>
      <c r="AK580" s="125">
        <f>Tabla1[[#This Row],[Fecha Vigencia]]-AJ580</f>
        <v>44980.625</v>
      </c>
      <c r="AL580" s="65"/>
      <c r="AM580" s="90"/>
      <c r="AN580" s="65"/>
      <c r="AO580" s="181"/>
      <c r="AP580" s="65"/>
      <c r="AQ580" s="66"/>
      <c r="AR580" s="65"/>
      <c r="AS580" s="65"/>
      <c r="AT580" s="65"/>
      <c r="AU580" s="65"/>
      <c r="AV580" s="65"/>
      <c r="AW580" s="65"/>
      <c r="AX580" s="65"/>
      <c r="AY580" s="118"/>
      <c r="AZ580" s="118"/>
      <c r="BA580" s="118"/>
      <c r="BB580" s="124"/>
      <c r="BC580" s="73"/>
    </row>
    <row r="581" spans="1:55" ht="11.25" x14ac:dyDescent="0.2">
      <c r="A581" s="117" t="s">
        <v>3025</v>
      </c>
      <c r="B581" s="118" t="s">
        <v>2832</v>
      </c>
      <c r="C581" s="118" t="s">
        <v>3026</v>
      </c>
      <c r="D581" s="119" t="s">
        <v>606</v>
      </c>
      <c r="E581" s="38" t="s">
        <v>3027</v>
      </c>
      <c r="F581" s="39">
        <v>1</v>
      </c>
      <c r="G581" s="118" t="s">
        <v>16</v>
      </c>
      <c r="H581" s="118" t="s">
        <v>123</v>
      </c>
      <c r="I581" s="40">
        <v>44970.537753588003</v>
      </c>
      <c r="J581" s="24">
        <f>MONTH(Tabla1[[#This Row],[Publicación]])</f>
        <v>2</v>
      </c>
      <c r="K581" s="24">
        <f>YEAR(Tabla1[[#This Row],[Publicación]])</f>
        <v>2023</v>
      </c>
      <c r="L581" s="40">
        <v>44980.511111111096</v>
      </c>
      <c r="M581" s="41">
        <v>44971</v>
      </c>
      <c r="N581" s="120" t="s">
        <v>10</v>
      </c>
      <c r="O581" s="40" t="s">
        <v>33</v>
      </c>
      <c r="P581" s="38" t="s">
        <v>10</v>
      </c>
      <c r="Q581" s="147">
        <v>44973.694444444445</v>
      </c>
      <c r="R581" s="147">
        <v>44974.694444444445</v>
      </c>
      <c r="S581" s="148">
        <v>44988.511805555558</v>
      </c>
      <c r="T581" s="42">
        <v>6400000</v>
      </c>
      <c r="U581" s="28">
        <f>Tabla1[[#This Row],[PPTO]]/(1+'Lista Datos'!$B$1)</f>
        <v>5378151.260504202</v>
      </c>
      <c r="V581" s="65"/>
      <c r="W581" s="122"/>
      <c r="X581" s="123"/>
      <c r="Y581" s="122"/>
      <c r="Z581" s="122"/>
      <c r="AA581" s="118"/>
      <c r="AB581" s="118"/>
      <c r="AC581" s="118"/>
      <c r="AD581" s="118"/>
      <c r="AE581" s="145">
        <f>Tabla1[[#This Row],[Cierre]]+Tabla1[[#This Row],[Vigencia Oferta (días)]]</f>
        <v>44980.511111111096</v>
      </c>
      <c r="AF581" s="90"/>
      <c r="AG581" s="64"/>
      <c r="AH581" s="168">
        <f>Tabla1[[#This Row],[Unidades2]]*Tabla1[[#This Row],[Precio Unitario]]</f>
        <v>0</v>
      </c>
      <c r="AI581" s="118" t="s">
        <v>270</v>
      </c>
      <c r="AJ581" s="149"/>
      <c r="AK581" s="125">
        <f>Tabla1[[#This Row],[Fecha Vigencia]]-AJ581</f>
        <v>44980.511111111096</v>
      </c>
      <c r="AL581" s="65"/>
      <c r="AM581" s="90"/>
      <c r="AN581" s="65"/>
      <c r="AO581" s="181"/>
      <c r="AP581" s="65"/>
      <c r="AQ581" s="66"/>
      <c r="AR581" s="65"/>
      <c r="AS581" s="65"/>
      <c r="AT581" s="65"/>
      <c r="AU581" s="65"/>
      <c r="AV581" s="65"/>
      <c r="AW581" s="65"/>
      <c r="AX581" s="65"/>
      <c r="AY581" s="118"/>
      <c r="AZ581" s="118"/>
      <c r="BA581" s="118"/>
      <c r="BB581" s="124"/>
      <c r="BC581" s="73"/>
    </row>
    <row r="582" spans="1:55" ht="11.25" x14ac:dyDescent="0.2">
      <c r="A582" s="153" t="s">
        <v>3028</v>
      </c>
      <c r="B582" s="30" t="s">
        <v>2712</v>
      </c>
      <c r="C582" s="30" t="s">
        <v>3029</v>
      </c>
      <c r="D582" s="84" t="s">
        <v>2714</v>
      </c>
      <c r="E582" s="24" t="s">
        <v>3030</v>
      </c>
      <c r="F582" s="25">
        <v>1</v>
      </c>
      <c r="G582" s="30" t="s">
        <v>16</v>
      </c>
      <c r="H582" s="30" t="s">
        <v>145</v>
      </c>
      <c r="I582" s="2">
        <v>44970.677349537036</v>
      </c>
      <c r="J582" s="24">
        <f>MONTH(Tabla1[[#This Row],[Publicación]])</f>
        <v>2</v>
      </c>
      <c r="K582" s="24">
        <f>YEAR(Tabla1[[#This Row],[Publicación]])</f>
        <v>2023</v>
      </c>
      <c r="L582" s="2">
        <v>44980.556944444441</v>
      </c>
      <c r="M582" s="26">
        <v>44971</v>
      </c>
      <c r="N582" s="85" t="s">
        <v>11</v>
      </c>
      <c r="O582" s="2"/>
      <c r="P582" s="24" t="s">
        <v>11</v>
      </c>
      <c r="Q582" s="160">
        <v>44975.810416666667</v>
      </c>
      <c r="R582" s="160">
        <v>44977.810416666667</v>
      </c>
      <c r="S582" s="161">
        <v>45008.557638888888</v>
      </c>
      <c r="T582" s="27">
        <v>0</v>
      </c>
      <c r="U582" s="28">
        <f>Tabla1[[#This Row],[PPTO]]/(1+'Lista Datos'!$B$1)</f>
        <v>0</v>
      </c>
      <c r="V582" s="68"/>
      <c r="W582" s="127" t="s">
        <v>10</v>
      </c>
      <c r="X582" s="154"/>
      <c r="Y582" s="127"/>
      <c r="Z582" s="127" t="s">
        <v>11</v>
      </c>
      <c r="AA582" s="30" t="s">
        <v>177</v>
      </c>
      <c r="AB582" s="30">
        <v>12</v>
      </c>
      <c r="AC582" s="30" t="s">
        <v>10</v>
      </c>
      <c r="AD582" s="30"/>
      <c r="AE582" s="155">
        <f>Tabla1[[#This Row],[Cierre]]+Tabla1[[#This Row],[Vigencia Oferta (días)]]</f>
        <v>44980.556944444441</v>
      </c>
      <c r="AF582" s="91"/>
      <c r="AG582" s="67"/>
      <c r="AH582" s="169">
        <f>Tabla1[[#This Row],[Unidades2]]*Tabla1[[#This Row],[Precio Unitario]]</f>
        <v>0</v>
      </c>
      <c r="AI582" s="37" t="s">
        <v>44</v>
      </c>
      <c r="AJ582" s="104">
        <v>45005</v>
      </c>
      <c r="AK582" s="159">
        <f>Tabla1[[#This Row],[Fecha Vigencia]]-AJ582</f>
        <v>-24.443055555559113</v>
      </c>
      <c r="AL582" s="68" t="s">
        <v>45</v>
      </c>
      <c r="AM582" s="91">
        <v>27684941</v>
      </c>
      <c r="AN582" s="157">
        <v>45005</v>
      </c>
      <c r="AO582" s="157">
        <v>45371</v>
      </c>
      <c r="AP582" s="68" t="s">
        <v>177</v>
      </c>
      <c r="AQ582" s="69"/>
      <c r="AR582" s="68"/>
      <c r="AS582" s="68"/>
      <c r="AT582" s="68"/>
      <c r="AU582" s="68"/>
      <c r="AV582" s="68"/>
      <c r="AW582" s="68"/>
      <c r="AX582" s="68"/>
      <c r="AY582" s="30"/>
      <c r="AZ582" s="30"/>
      <c r="BA582" s="30"/>
      <c r="BB582" s="75"/>
      <c r="BC582" s="73"/>
    </row>
    <row r="583" spans="1:55" ht="11.25" x14ac:dyDescent="0.2">
      <c r="A583" s="117" t="s">
        <v>3031</v>
      </c>
      <c r="B583" s="118" t="s">
        <v>3032</v>
      </c>
      <c r="C583" s="118" t="s">
        <v>3033</v>
      </c>
      <c r="D583" s="119" t="s">
        <v>890</v>
      </c>
      <c r="E583" s="38" t="s">
        <v>3034</v>
      </c>
      <c r="F583" s="39">
        <v>1</v>
      </c>
      <c r="G583" s="118" t="s">
        <v>20</v>
      </c>
      <c r="H583" s="118" t="s">
        <v>176</v>
      </c>
      <c r="I583" s="40">
        <v>44971.713483796295</v>
      </c>
      <c r="J583" s="24">
        <f>MONTH(Tabla1[[#This Row],[Publicación]])</f>
        <v>2</v>
      </c>
      <c r="K583" s="24">
        <f>YEAR(Tabla1[[#This Row],[Publicación]])</f>
        <v>2023</v>
      </c>
      <c r="L583" s="40">
        <v>44981.5</v>
      </c>
      <c r="M583" s="41">
        <v>44972</v>
      </c>
      <c r="N583" s="120" t="s">
        <v>11</v>
      </c>
      <c r="O583" s="40"/>
      <c r="P583" s="24" t="s">
        <v>11</v>
      </c>
      <c r="Q583" s="147">
        <v>44974.625</v>
      </c>
      <c r="R583" s="147">
        <v>44978.625</v>
      </c>
      <c r="S583" s="41">
        <v>45000.75</v>
      </c>
      <c r="T583" s="42">
        <v>27000000</v>
      </c>
      <c r="U583" s="28">
        <f>Tabla1[[#This Row],[PPTO]]/(1+'Lista Datos'!$B$1)</f>
        <v>22689075.630252101</v>
      </c>
      <c r="V583" s="65"/>
      <c r="W583" s="122" t="s">
        <v>11</v>
      </c>
      <c r="X583" s="123">
        <v>350000</v>
      </c>
      <c r="Y583" s="149">
        <v>45076</v>
      </c>
      <c r="Z583" s="122" t="s">
        <v>10</v>
      </c>
      <c r="AA583" s="118" t="s">
        <v>177</v>
      </c>
      <c r="AB583" s="118">
        <v>12</v>
      </c>
      <c r="AC583" s="118" t="s">
        <v>10</v>
      </c>
      <c r="AD583" s="118"/>
      <c r="AE583" s="145">
        <f>Tabla1[[#This Row],[Cierre]]+Tabla1[[#This Row],[Vigencia Oferta (días)]]</f>
        <v>44981.5</v>
      </c>
      <c r="AF583" s="90"/>
      <c r="AG583" s="64"/>
      <c r="AH583" s="168">
        <f>Tabla1[[#This Row],[Unidades2]]*Tabla1[[#This Row],[Precio Unitario]]</f>
        <v>0</v>
      </c>
      <c r="AI583" s="37" t="s">
        <v>44</v>
      </c>
      <c r="AJ583" s="149">
        <v>44986</v>
      </c>
      <c r="AK583" s="159">
        <f>Tabla1[[#This Row],[Fecha Vigencia]]-AJ583</f>
        <v>-4.5</v>
      </c>
      <c r="AL583" s="65" t="s">
        <v>46</v>
      </c>
      <c r="AM583" s="90">
        <v>27000000</v>
      </c>
      <c r="AN583" s="181">
        <v>44986</v>
      </c>
      <c r="AO583" s="181">
        <v>45352</v>
      </c>
      <c r="AP583" s="65" t="s">
        <v>177</v>
      </c>
      <c r="AQ583" s="66"/>
      <c r="AR583" s="65"/>
      <c r="AS583" s="65"/>
      <c r="AT583" s="65"/>
      <c r="AU583" s="65"/>
      <c r="AV583" s="65"/>
      <c r="AW583" s="65"/>
      <c r="AX583" s="65"/>
      <c r="AY583" s="118"/>
      <c r="AZ583" s="118"/>
      <c r="BA583" s="118"/>
      <c r="BB583" s="124"/>
      <c r="BC583" s="73"/>
    </row>
    <row r="584" spans="1:55" ht="11.25" x14ac:dyDescent="0.2">
      <c r="A584" s="117" t="s">
        <v>3035</v>
      </c>
      <c r="B584" s="118" t="s">
        <v>3036</v>
      </c>
      <c r="C584" s="118" t="s">
        <v>3037</v>
      </c>
      <c r="D584" s="119" t="s">
        <v>3038</v>
      </c>
      <c r="E584" s="38" t="s">
        <v>3039</v>
      </c>
      <c r="F584" s="39">
        <v>1</v>
      </c>
      <c r="G584" s="118" t="s">
        <v>16</v>
      </c>
      <c r="H584" s="118" t="s">
        <v>123</v>
      </c>
      <c r="I584" s="40">
        <v>44971.705113506898</v>
      </c>
      <c r="J584" s="24">
        <f>MONTH(Tabla1[[#This Row],[Publicación]])</f>
        <v>2</v>
      </c>
      <c r="K584" s="24">
        <f>YEAR(Tabla1[[#This Row],[Publicación]])</f>
        <v>2023</v>
      </c>
      <c r="L584" s="40">
        <v>44984.75</v>
      </c>
      <c r="M584" s="41">
        <v>44972</v>
      </c>
      <c r="N584" s="120" t="s">
        <v>10</v>
      </c>
      <c r="O584" s="40" t="s">
        <v>33</v>
      </c>
      <c r="P584" s="38" t="s">
        <v>10</v>
      </c>
      <c r="Q584" s="121"/>
      <c r="R584" s="121"/>
      <c r="S584" s="19"/>
      <c r="T584" s="27">
        <v>0</v>
      </c>
      <c r="U584" s="28">
        <f>Tabla1[[#This Row],[PPTO]]/(1+'Lista Datos'!$B$1)</f>
        <v>0</v>
      </c>
      <c r="V584" s="65"/>
      <c r="W584" s="122"/>
      <c r="X584" s="123"/>
      <c r="Y584" s="122"/>
      <c r="Z584" s="122"/>
      <c r="AA584" s="118"/>
      <c r="AB584" s="118"/>
      <c r="AC584" s="118"/>
      <c r="AD584" s="118"/>
      <c r="AE584" s="145">
        <f>Tabla1[[#This Row],[Cierre]]+Tabla1[[#This Row],[Vigencia Oferta (días)]]</f>
        <v>44984.75</v>
      </c>
      <c r="AF584" s="90"/>
      <c r="AG584" s="64"/>
      <c r="AH584" s="168">
        <f>Tabla1[[#This Row],[Unidades2]]*Tabla1[[#This Row],[Precio Unitario]]</f>
        <v>0</v>
      </c>
      <c r="AI584" s="118" t="s">
        <v>270</v>
      </c>
      <c r="AJ584" s="149"/>
      <c r="AK584" s="125">
        <f>Tabla1[[#This Row],[Fecha Vigencia]]-AJ584</f>
        <v>44984.75</v>
      </c>
      <c r="AL584" s="65"/>
      <c r="AM584" s="90"/>
      <c r="AN584" s="65"/>
      <c r="AO584" s="181"/>
      <c r="AP584" s="65"/>
      <c r="AQ584" s="66"/>
      <c r="AR584" s="65"/>
      <c r="AS584" s="65"/>
      <c r="AT584" s="65"/>
      <c r="AU584" s="65"/>
      <c r="AV584" s="65"/>
      <c r="AW584" s="65"/>
      <c r="AX584" s="65"/>
      <c r="AY584" s="118"/>
      <c r="AZ584" s="118"/>
      <c r="BA584" s="118"/>
      <c r="BB584" s="124"/>
      <c r="BC584" s="73"/>
    </row>
    <row r="585" spans="1:55" ht="11.25" x14ac:dyDescent="0.2">
      <c r="A585" s="117" t="s">
        <v>3040</v>
      </c>
      <c r="B585" s="118" t="s">
        <v>3041</v>
      </c>
      <c r="C585" s="118" t="s">
        <v>3042</v>
      </c>
      <c r="D585" s="119" t="s">
        <v>3043</v>
      </c>
      <c r="E585" s="38" t="s">
        <v>3044</v>
      </c>
      <c r="F585" s="39">
        <v>2</v>
      </c>
      <c r="G585" s="118" t="s">
        <v>21</v>
      </c>
      <c r="H585" s="118" t="s">
        <v>106</v>
      </c>
      <c r="I585" s="40">
        <v>44971.630866666703</v>
      </c>
      <c r="J585" s="24">
        <f>MONTH(Tabla1[[#This Row],[Publicación]])</f>
        <v>2</v>
      </c>
      <c r="K585" s="24">
        <f>YEAR(Tabla1[[#This Row],[Publicación]])</f>
        <v>2023</v>
      </c>
      <c r="L585" s="40">
        <v>44979.806250000001</v>
      </c>
      <c r="M585" s="41">
        <v>44972</v>
      </c>
      <c r="N585" s="120" t="s">
        <v>10</v>
      </c>
      <c r="O585" s="40" t="s">
        <v>27</v>
      </c>
      <c r="P585" s="38" t="s">
        <v>10</v>
      </c>
      <c r="Q585" s="121"/>
      <c r="R585" s="121"/>
      <c r="S585" s="19"/>
      <c r="T585" s="27">
        <v>0</v>
      </c>
      <c r="U585" s="28">
        <f>Tabla1[[#This Row],[PPTO]]/(1+'Lista Datos'!$B$1)</f>
        <v>0</v>
      </c>
      <c r="V585" s="65"/>
      <c r="W585" s="122"/>
      <c r="X585" s="123"/>
      <c r="Y585" s="122"/>
      <c r="Z585" s="122"/>
      <c r="AA585" s="118"/>
      <c r="AB585" s="118"/>
      <c r="AC585" s="118"/>
      <c r="AD585" s="118"/>
      <c r="AE585" s="145">
        <f>Tabla1[[#This Row],[Cierre]]+Tabla1[[#This Row],[Vigencia Oferta (días)]]</f>
        <v>44979.806250000001</v>
      </c>
      <c r="AF585" s="90"/>
      <c r="AG585" s="64"/>
      <c r="AH585" s="168">
        <f>Tabla1[[#This Row],[Unidades2]]*Tabla1[[#This Row],[Precio Unitario]]</f>
        <v>0</v>
      </c>
      <c r="AI585" s="118" t="s">
        <v>270</v>
      </c>
      <c r="AJ585" s="149"/>
      <c r="AK585" s="125">
        <f>Tabla1[[#This Row],[Fecha Vigencia]]-AJ585</f>
        <v>44979.806250000001</v>
      </c>
      <c r="AL585" s="65"/>
      <c r="AM585" s="90"/>
      <c r="AN585" s="65"/>
      <c r="AO585" s="181"/>
      <c r="AP585" s="65"/>
      <c r="AQ585" s="66"/>
      <c r="AR585" s="65"/>
      <c r="AS585" s="65"/>
      <c r="AT585" s="65"/>
      <c r="AU585" s="65"/>
      <c r="AV585" s="65"/>
      <c r="AW585" s="65"/>
      <c r="AX585" s="65"/>
      <c r="AY585" s="118"/>
      <c r="AZ585" s="118"/>
      <c r="BA585" s="118"/>
      <c r="BB585" s="124"/>
      <c r="BC585" s="73"/>
    </row>
    <row r="586" spans="1:55" ht="11.25" x14ac:dyDescent="0.2">
      <c r="A586" s="117" t="s">
        <v>3045</v>
      </c>
      <c r="B586" s="118" t="s">
        <v>3046</v>
      </c>
      <c r="C586" s="118" t="s">
        <v>3008</v>
      </c>
      <c r="D586" s="119" t="s">
        <v>3047</v>
      </c>
      <c r="E586" s="38" t="s">
        <v>3048</v>
      </c>
      <c r="F586" s="39">
        <v>189</v>
      </c>
      <c r="G586" s="118" t="s">
        <v>21</v>
      </c>
      <c r="H586" s="118" t="s">
        <v>106</v>
      </c>
      <c r="I586" s="40">
        <v>44971.462921412</v>
      </c>
      <c r="J586" s="24">
        <f>MONTH(Tabla1[[#This Row],[Publicación]])</f>
        <v>2</v>
      </c>
      <c r="K586" s="24">
        <f>YEAR(Tabla1[[#This Row],[Publicación]])</f>
        <v>2023</v>
      </c>
      <c r="L586" s="40">
        <v>45030.625</v>
      </c>
      <c r="M586" s="41">
        <v>44972</v>
      </c>
      <c r="N586" s="120" t="s">
        <v>10</v>
      </c>
      <c r="O586" s="40" t="s">
        <v>27</v>
      </c>
      <c r="P586" s="38" t="s">
        <v>10</v>
      </c>
      <c r="Q586" s="147">
        <v>44981.5</v>
      </c>
      <c r="R586" s="147">
        <v>44984.520833333336</v>
      </c>
      <c r="S586" s="148">
        <v>45152.625</v>
      </c>
      <c r="T586" s="27">
        <v>0</v>
      </c>
      <c r="U586" s="28">
        <f>Tabla1[[#This Row],[PPTO]]/(1+'Lista Datos'!$B$1)</f>
        <v>0</v>
      </c>
      <c r="V586" s="65"/>
      <c r="W586" s="122" t="s">
        <v>11</v>
      </c>
      <c r="X586" s="123">
        <v>250000</v>
      </c>
      <c r="Y586" s="149">
        <v>45152</v>
      </c>
      <c r="Z586" s="122" t="s">
        <v>10</v>
      </c>
      <c r="AA586" s="118" t="s">
        <v>177</v>
      </c>
      <c r="AB586" s="118">
        <v>24</v>
      </c>
      <c r="AC586" s="118"/>
      <c r="AD586" s="118"/>
      <c r="AE586" s="145">
        <f>Tabla1[[#This Row],[Cierre]]+Tabla1[[#This Row],[Vigencia Oferta (días)]]</f>
        <v>45030.625</v>
      </c>
      <c r="AF586" s="90"/>
      <c r="AG586" s="64"/>
      <c r="AH586" s="168">
        <f>Tabla1[[#This Row],[Unidades2]]*Tabla1[[#This Row],[Precio Unitario]]</f>
        <v>0</v>
      </c>
      <c r="AI586" s="118" t="s">
        <v>270</v>
      </c>
      <c r="AJ586" s="149"/>
      <c r="AK586" s="125">
        <f>Tabla1[[#This Row],[Fecha Vigencia]]-AJ586</f>
        <v>45030.625</v>
      </c>
      <c r="AL586" s="65"/>
      <c r="AM586" s="90"/>
      <c r="AN586" s="65"/>
      <c r="AO586" s="181"/>
      <c r="AP586" s="65"/>
      <c r="AQ586" s="66"/>
      <c r="AR586" s="65"/>
      <c r="AS586" s="65"/>
      <c r="AT586" s="65"/>
      <c r="AU586" s="65"/>
      <c r="AV586" s="65"/>
      <c r="AW586" s="65"/>
      <c r="AX586" s="65"/>
      <c r="AY586" s="118"/>
      <c r="AZ586" s="118"/>
      <c r="BA586" s="118"/>
      <c r="BB586" s="124"/>
      <c r="BC586" s="73"/>
    </row>
    <row r="587" spans="1:55" ht="11.25" x14ac:dyDescent="0.2">
      <c r="A587" s="117" t="s">
        <v>3049</v>
      </c>
      <c r="B587" s="118" t="s">
        <v>3050</v>
      </c>
      <c r="C587" s="118" t="s">
        <v>3051</v>
      </c>
      <c r="D587" s="119" t="s">
        <v>829</v>
      </c>
      <c r="E587" s="38" t="s">
        <v>3052</v>
      </c>
      <c r="F587" s="39">
        <v>1</v>
      </c>
      <c r="G587" s="118" t="s">
        <v>16</v>
      </c>
      <c r="H587" s="118" t="s">
        <v>1596</v>
      </c>
      <c r="I587" s="40">
        <v>44971.399820057901</v>
      </c>
      <c r="J587" s="24">
        <f>MONTH(Tabla1[[#This Row],[Publicación]])</f>
        <v>2</v>
      </c>
      <c r="K587" s="24">
        <f>YEAR(Tabla1[[#This Row],[Publicación]])</f>
        <v>2023</v>
      </c>
      <c r="L587" s="40">
        <v>44978.625</v>
      </c>
      <c r="M587" s="41">
        <v>44972</v>
      </c>
      <c r="N587" s="120" t="s">
        <v>10</v>
      </c>
      <c r="O587" s="40" t="s">
        <v>33</v>
      </c>
      <c r="P587" s="38" t="s">
        <v>10</v>
      </c>
      <c r="Q587" s="147">
        <v>44972.54791666667</v>
      </c>
      <c r="R587" s="147">
        <v>44973.54791666667</v>
      </c>
      <c r="S587" s="148">
        <v>45000.54791666667</v>
      </c>
      <c r="T587" s="27">
        <v>0</v>
      </c>
      <c r="U587" s="28">
        <f>Tabla1[[#This Row],[PPTO]]/(1+'Lista Datos'!$B$1)</f>
        <v>0</v>
      </c>
      <c r="V587" s="65"/>
      <c r="W587" s="122"/>
      <c r="X587" s="123"/>
      <c r="Y587" s="122"/>
      <c r="Z587" s="122" t="s">
        <v>10</v>
      </c>
      <c r="AA587" s="118"/>
      <c r="AB587" s="118"/>
      <c r="AC587" s="118"/>
      <c r="AD587" s="118"/>
      <c r="AE587" s="145">
        <f>Tabla1[[#This Row],[Cierre]]+Tabla1[[#This Row],[Vigencia Oferta (días)]]</f>
        <v>44978.625</v>
      </c>
      <c r="AF587" s="90"/>
      <c r="AG587" s="64"/>
      <c r="AH587" s="168">
        <f>Tabla1[[#This Row],[Unidades2]]*Tabla1[[#This Row],[Precio Unitario]]</f>
        <v>0</v>
      </c>
      <c r="AI587" s="118" t="s">
        <v>270</v>
      </c>
      <c r="AJ587" s="149"/>
      <c r="AK587" s="125">
        <f>Tabla1[[#This Row],[Fecha Vigencia]]-AJ587</f>
        <v>44978.625</v>
      </c>
      <c r="AL587" s="65"/>
      <c r="AM587" s="90"/>
      <c r="AN587" s="65"/>
      <c r="AO587" s="181"/>
      <c r="AP587" s="65"/>
      <c r="AQ587" s="66"/>
      <c r="AR587" s="65"/>
      <c r="AS587" s="65"/>
      <c r="AT587" s="65"/>
      <c r="AU587" s="65"/>
      <c r="AV587" s="65"/>
      <c r="AW587" s="65"/>
      <c r="AX587" s="65"/>
      <c r="AY587" s="118"/>
      <c r="AZ587" s="118"/>
      <c r="BA587" s="118"/>
      <c r="BB587" s="124"/>
      <c r="BC587" s="73"/>
    </row>
    <row r="588" spans="1:55" ht="11.25" x14ac:dyDescent="0.2">
      <c r="A588" s="117" t="s">
        <v>3053</v>
      </c>
      <c r="B588" s="118" t="s">
        <v>3054</v>
      </c>
      <c r="C588" s="118" t="s">
        <v>3054</v>
      </c>
      <c r="D588" s="119" t="s">
        <v>3055</v>
      </c>
      <c r="E588" s="38" t="s">
        <v>3056</v>
      </c>
      <c r="F588" s="39">
        <v>1</v>
      </c>
      <c r="G588" s="118" t="s">
        <v>16</v>
      </c>
      <c r="H588" s="118" t="s">
        <v>145</v>
      </c>
      <c r="I588" s="40">
        <v>44973.760430786999</v>
      </c>
      <c r="J588" s="24">
        <f>MONTH(Tabla1[[#This Row],[Publicación]])</f>
        <v>2</v>
      </c>
      <c r="K588" s="24">
        <f>YEAR(Tabla1[[#This Row],[Publicación]])</f>
        <v>2023</v>
      </c>
      <c r="L588" s="40">
        <v>44979.625</v>
      </c>
      <c r="M588" s="41">
        <v>44974</v>
      </c>
      <c r="N588" s="25" t="s">
        <v>10</v>
      </c>
      <c r="O588" s="24" t="s">
        <v>25</v>
      </c>
      <c r="P588" s="24" t="s">
        <v>10</v>
      </c>
      <c r="Q588" s="121"/>
      <c r="R588" s="121"/>
      <c r="S588" s="19"/>
      <c r="T588" s="27">
        <v>0</v>
      </c>
      <c r="U588" s="28">
        <f>Tabla1[[#This Row],[PPTO]]/(1+'Lista Datos'!$B$1)</f>
        <v>0</v>
      </c>
      <c r="V588" s="65"/>
      <c r="W588" s="122"/>
      <c r="X588" s="123"/>
      <c r="Y588" s="122"/>
      <c r="Z588" s="122"/>
      <c r="AA588" s="118"/>
      <c r="AB588" s="118"/>
      <c r="AC588" s="118"/>
      <c r="AD588" s="118"/>
      <c r="AE588" s="145">
        <f>Tabla1[[#This Row],[Cierre]]+Tabla1[[#This Row],[Vigencia Oferta (días)]]</f>
        <v>44979.625</v>
      </c>
      <c r="AF588" s="90"/>
      <c r="AG588" s="64"/>
      <c r="AH588" s="168">
        <f>Tabla1[[#This Row],[Unidades2]]*Tabla1[[#This Row],[Precio Unitario]]</f>
        <v>0</v>
      </c>
      <c r="AI588" s="118" t="s">
        <v>270</v>
      </c>
      <c r="AJ588" s="149"/>
      <c r="AK588" s="125">
        <f>Tabla1[[#This Row],[Fecha Vigencia]]-AJ588</f>
        <v>44979.625</v>
      </c>
      <c r="AL588" s="65"/>
      <c r="AM588" s="90"/>
      <c r="AN588" s="65"/>
      <c r="AO588" s="181"/>
      <c r="AP588" s="65"/>
      <c r="AQ588" s="66"/>
      <c r="AR588" s="65"/>
      <c r="AS588" s="65"/>
      <c r="AT588" s="65"/>
      <c r="AU588" s="65"/>
      <c r="AV588" s="65"/>
      <c r="AW588" s="65"/>
      <c r="AX588" s="65"/>
      <c r="AY588" s="118"/>
      <c r="AZ588" s="118"/>
      <c r="BA588" s="118"/>
      <c r="BB588" s="124"/>
      <c r="BC588" s="73"/>
    </row>
    <row r="589" spans="1:55" ht="11.25" x14ac:dyDescent="0.2">
      <c r="A589" s="117" t="s">
        <v>3057</v>
      </c>
      <c r="B589" s="118" t="s">
        <v>3058</v>
      </c>
      <c r="C589" s="118" t="s">
        <v>3059</v>
      </c>
      <c r="D589" s="119" t="s">
        <v>2822</v>
      </c>
      <c r="E589" s="38" t="s">
        <v>3060</v>
      </c>
      <c r="F589" s="39">
        <v>45</v>
      </c>
      <c r="G589" s="118" t="s">
        <v>14</v>
      </c>
      <c r="H589" s="118" t="s">
        <v>213</v>
      </c>
      <c r="I589" s="40">
        <v>44973.729692280103</v>
      </c>
      <c r="J589" s="24">
        <f>MONTH(Tabla1[[#This Row],[Publicación]])</f>
        <v>2</v>
      </c>
      <c r="K589" s="24">
        <f>YEAR(Tabla1[[#This Row],[Publicación]])</f>
        <v>2023</v>
      </c>
      <c r="L589" s="40">
        <v>44984.708333333299</v>
      </c>
      <c r="M589" s="41">
        <v>44974</v>
      </c>
      <c r="N589" s="25" t="s">
        <v>10</v>
      </c>
      <c r="O589" s="24" t="s">
        <v>25</v>
      </c>
      <c r="P589" s="24" t="s">
        <v>10</v>
      </c>
      <c r="Q589" s="147">
        <v>44978.375</v>
      </c>
      <c r="R589" s="147">
        <v>44981.832638888889</v>
      </c>
      <c r="S589" s="148">
        <v>45062.832638888889</v>
      </c>
      <c r="T589" s="42">
        <v>100000000</v>
      </c>
      <c r="U589" s="28">
        <f>Tabla1[[#This Row],[PPTO]]/(1+'Lista Datos'!$B$1)</f>
        <v>84033613.445378155</v>
      </c>
      <c r="V589" s="65"/>
      <c r="W589" s="122" t="s">
        <v>10</v>
      </c>
      <c r="X589" s="123"/>
      <c r="Y589" s="122"/>
      <c r="Z589" s="122" t="s">
        <v>10</v>
      </c>
      <c r="AA589" s="118" t="s">
        <v>177</v>
      </c>
      <c r="AB589" s="118">
        <v>18</v>
      </c>
      <c r="AC589" s="118"/>
      <c r="AD589" s="118"/>
      <c r="AE589" s="145">
        <f>Tabla1[[#This Row],[Cierre]]+Tabla1[[#This Row],[Vigencia Oferta (días)]]</f>
        <v>44984.708333333299</v>
      </c>
      <c r="AF589" s="90"/>
      <c r="AG589" s="64"/>
      <c r="AH589" s="168">
        <f>Tabla1[[#This Row],[Unidades2]]*Tabla1[[#This Row],[Precio Unitario]]</f>
        <v>0</v>
      </c>
      <c r="AI589" s="118" t="s">
        <v>270</v>
      </c>
      <c r="AJ589" s="149"/>
      <c r="AK589" s="125">
        <f>Tabla1[[#This Row],[Fecha Vigencia]]-AJ589</f>
        <v>44984.708333333299</v>
      </c>
      <c r="AL589" s="65"/>
      <c r="AM589" s="90"/>
      <c r="AN589" s="65"/>
      <c r="AO589" s="181"/>
      <c r="AP589" s="65"/>
      <c r="AQ589" s="66"/>
      <c r="AR589" s="65"/>
      <c r="AS589" s="65"/>
      <c r="AT589" s="65"/>
      <c r="AU589" s="65"/>
      <c r="AV589" s="65"/>
      <c r="AW589" s="65"/>
      <c r="AX589" s="65"/>
      <c r="AY589" s="118"/>
      <c r="AZ589" s="118"/>
      <c r="BA589" s="118"/>
      <c r="BB589" s="124"/>
      <c r="BC589" s="73"/>
    </row>
    <row r="590" spans="1:55" ht="11.25" x14ac:dyDescent="0.2">
      <c r="A590" s="117" t="s">
        <v>3057</v>
      </c>
      <c r="B590" s="118" t="s">
        <v>3058</v>
      </c>
      <c r="C590" s="118" t="s">
        <v>3059</v>
      </c>
      <c r="D590" s="119" t="s">
        <v>2822</v>
      </c>
      <c r="E590" s="38" t="s">
        <v>3061</v>
      </c>
      <c r="F590" s="39">
        <v>1</v>
      </c>
      <c r="G590" s="118" t="s">
        <v>21</v>
      </c>
      <c r="H590" s="118" t="s">
        <v>106</v>
      </c>
      <c r="I590" s="40">
        <v>44973.729692280103</v>
      </c>
      <c r="J590" s="24">
        <f>MONTH(Tabla1[[#This Row],[Publicación]])</f>
        <v>2</v>
      </c>
      <c r="K590" s="24">
        <f>YEAR(Tabla1[[#This Row],[Publicación]])</f>
        <v>2023</v>
      </c>
      <c r="L590" s="40">
        <v>44984.708333333299</v>
      </c>
      <c r="M590" s="41">
        <v>44974</v>
      </c>
      <c r="N590" s="120" t="s">
        <v>10</v>
      </c>
      <c r="O590" s="40" t="s">
        <v>35</v>
      </c>
      <c r="P590" s="24" t="s">
        <v>10</v>
      </c>
      <c r="Q590" s="147">
        <v>44978.375</v>
      </c>
      <c r="R590" s="147">
        <v>44981.832638888889</v>
      </c>
      <c r="S590" s="148">
        <v>45062.832638888889</v>
      </c>
      <c r="T590" s="42">
        <v>100000000</v>
      </c>
      <c r="U590" s="28">
        <f>Tabla1[[#This Row],[PPTO]]/(1+'Lista Datos'!$B$1)</f>
        <v>84033613.445378155</v>
      </c>
      <c r="V590" s="65"/>
      <c r="W590" s="122" t="s">
        <v>10</v>
      </c>
      <c r="X590" s="123"/>
      <c r="Y590" s="122"/>
      <c r="Z590" s="122" t="s">
        <v>10</v>
      </c>
      <c r="AA590" s="118" t="s">
        <v>177</v>
      </c>
      <c r="AB590" s="118">
        <v>18</v>
      </c>
      <c r="AC590" s="118"/>
      <c r="AD590" s="118"/>
      <c r="AE590" s="145">
        <f>Tabla1[[#This Row],[Cierre]]+Tabla1[[#This Row],[Vigencia Oferta (días)]]</f>
        <v>44984.708333333299</v>
      </c>
      <c r="AF590" s="90"/>
      <c r="AG590" s="64"/>
      <c r="AH590" s="168">
        <f>Tabla1[[#This Row],[Unidades2]]*Tabla1[[#This Row],[Precio Unitario]]</f>
        <v>0</v>
      </c>
      <c r="AI590" s="118" t="s">
        <v>270</v>
      </c>
      <c r="AJ590" s="149"/>
      <c r="AK590" s="125">
        <f>Tabla1[[#This Row],[Fecha Vigencia]]-AJ590</f>
        <v>44984.708333333299</v>
      </c>
      <c r="AL590" s="65"/>
      <c r="AM590" s="90"/>
      <c r="AN590" s="65"/>
      <c r="AO590" s="181"/>
      <c r="AP590" s="65"/>
      <c r="AQ590" s="66"/>
      <c r="AR590" s="65"/>
      <c r="AS590" s="65"/>
      <c r="AT590" s="65"/>
      <c r="AU590" s="65"/>
      <c r="AV590" s="65"/>
      <c r="AW590" s="65"/>
      <c r="AX590" s="65"/>
      <c r="AY590" s="118"/>
      <c r="AZ590" s="118"/>
      <c r="BA590" s="118"/>
      <c r="BB590" s="124"/>
      <c r="BC590" s="73"/>
    </row>
    <row r="591" spans="1:55" ht="11.25" x14ac:dyDescent="0.2">
      <c r="A591" s="117" t="s">
        <v>3062</v>
      </c>
      <c r="B591" s="118" t="s">
        <v>3063</v>
      </c>
      <c r="C591" s="118" t="s">
        <v>3063</v>
      </c>
      <c r="D591" s="119" t="s">
        <v>234</v>
      </c>
      <c r="E591" s="38" t="s">
        <v>3064</v>
      </c>
      <c r="F591" s="39">
        <v>9</v>
      </c>
      <c r="G591" s="118" t="s">
        <v>21</v>
      </c>
      <c r="H591" s="118" t="s">
        <v>106</v>
      </c>
      <c r="I591" s="40">
        <v>44973.6249548958</v>
      </c>
      <c r="J591" s="24">
        <f>MONTH(Tabla1[[#This Row],[Publicación]])</f>
        <v>2</v>
      </c>
      <c r="K591" s="24">
        <f>YEAR(Tabla1[[#This Row],[Publicación]])</f>
        <v>2023</v>
      </c>
      <c r="L591" s="40">
        <v>44978.410416666702</v>
      </c>
      <c r="M591" s="41">
        <v>44974</v>
      </c>
      <c r="N591" s="120" t="s">
        <v>10</v>
      </c>
      <c r="O591" s="40" t="s">
        <v>28</v>
      </c>
      <c r="P591" s="38" t="s">
        <v>10</v>
      </c>
      <c r="Q591" s="121"/>
      <c r="R591" s="121"/>
      <c r="S591" s="19"/>
      <c r="T591" s="42">
        <v>4600000</v>
      </c>
      <c r="U591" s="28">
        <f>Tabla1[[#This Row],[PPTO]]/(1+'Lista Datos'!$B$1)</f>
        <v>3865546.218487395</v>
      </c>
      <c r="V591" s="65"/>
      <c r="W591" s="122"/>
      <c r="X591" s="123"/>
      <c r="Y591" s="122"/>
      <c r="Z591" s="122"/>
      <c r="AA591" s="118"/>
      <c r="AB591" s="118"/>
      <c r="AC591" s="118"/>
      <c r="AD591" s="118"/>
      <c r="AE591" s="145">
        <f>Tabla1[[#This Row],[Cierre]]+Tabla1[[#This Row],[Vigencia Oferta (días)]]</f>
        <v>44978.410416666702</v>
      </c>
      <c r="AF591" s="90"/>
      <c r="AG591" s="64"/>
      <c r="AH591" s="168">
        <f>Tabla1[[#This Row],[Unidades2]]*Tabla1[[#This Row],[Precio Unitario]]</f>
        <v>0</v>
      </c>
      <c r="AI591" s="118" t="s">
        <v>270</v>
      </c>
      <c r="AJ591" s="149"/>
      <c r="AK591" s="125">
        <f>Tabla1[[#This Row],[Fecha Vigencia]]-AJ591</f>
        <v>44978.410416666702</v>
      </c>
      <c r="AL591" s="65"/>
      <c r="AM591" s="90"/>
      <c r="AN591" s="65"/>
      <c r="AO591" s="181"/>
      <c r="AP591" s="65"/>
      <c r="AQ591" s="66"/>
      <c r="AR591" s="65"/>
      <c r="AS591" s="65"/>
      <c r="AT591" s="65"/>
      <c r="AU591" s="65"/>
      <c r="AV591" s="65"/>
      <c r="AW591" s="65"/>
      <c r="AX591" s="65"/>
      <c r="AY591" s="118"/>
      <c r="AZ591" s="118"/>
      <c r="BA591" s="118"/>
      <c r="BB591" s="124"/>
      <c r="BC591" s="73"/>
    </row>
    <row r="592" spans="1:55" ht="11.25" x14ac:dyDescent="0.2">
      <c r="A592" s="117" t="s">
        <v>3065</v>
      </c>
      <c r="B592" s="118" t="s">
        <v>3066</v>
      </c>
      <c r="C592" s="118" t="s">
        <v>3067</v>
      </c>
      <c r="D592" s="119" t="s">
        <v>1621</v>
      </c>
      <c r="E592" s="38" t="s">
        <v>3068</v>
      </c>
      <c r="F592" s="39">
        <v>1</v>
      </c>
      <c r="G592" s="118" t="s">
        <v>16</v>
      </c>
      <c r="H592" s="118" t="s">
        <v>533</v>
      </c>
      <c r="I592" s="40">
        <v>44973.579498495397</v>
      </c>
      <c r="J592" s="24">
        <f>MONTH(Tabla1[[#This Row],[Publicación]])</f>
        <v>2</v>
      </c>
      <c r="K592" s="24">
        <f>YEAR(Tabla1[[#This Row],[Publicación]])</f>
        <v>2023</v>
      </c>
      <c r="L592" s="40">
        <v>44979.630555555603</v>
      </c>
      <c r="M592" s="41">
        <v>44974</v>
      </c>
      <c r="N592" s="25" t="s">
        <v>10</v>
      </c>
      <c r="O592" s="24" t="s">
        <v>25</v>
      </c>
      <c r="P592" s="24" t="s">
        <v>10</v>
      </c>
      <c r="Q592" s="147">
        <v>44976.713888888888</v>
      </c>
      <c r="R592" s="147">
        <v>44977.713888888888</v>
      </c>
      <c r="S592" s="148">
        <v>44980.631249999999</v>
      </c>
      <c r="T592" s="42">
        <v>3000000</v>
      </c>
      <c r="U592" s="28">
        <f>Tabla1[[#This Row],[PPTO]]/(1+'Lista Datos'!$B$1)</f>
        <v>2521008.4033613447</v>
      </c>
      <c r="V592" s="65"/>
      <c r="W592" s="122" t="s">
        <v>10</v>
      </c>
      <c r="X592" s="123"/>
      <c r="Y592" s="122"/>
      <c r="Z592" s="122" t="s">
        <v>10</v>
      </c>
      <c r="AA592" s="118" t="s">
        <v>177</v>
      </c>
      <c r="AB592" s="118">
        <v>12</v>
      </c>
      <c r="AC592" s="118"/>
      <c r="AD592" s="118"/>
      <c r="AE592" s="145">
        <f>Tabla1[[#This Row],[Cierre]]+Tabla1[[#This Row],[Vigencia Oferta (días)]]</f>
        <v>44979.630555555603</v>
      </c>
      <c r="AF592" s="90"/>
      <c r="AG592" s="64"/>
      <c r="AH592" s="168">
        <f>Tabla1[[#This Row],[Unidades2]]*Tabla1[[#This Row],[Precio Unitario]]</f>
        <v>0</v>
      </c>
      <c r="AI592" s="118" t="s">
        <v>270</v>
      </c>
      <c r="AJ592" s="149"/>
      <c r="AK592" s="125">
        <f>Tabla1[[#This Row],[Fecha Vigencia]]-AJ592</f>
        <v>44979.630555555603</v>
      </c>
      <c r="AL592" s="65"/>
      <c r="AM592" s="90"/>
      <c r="AN592" s="65"/>
      <c r="AO592" s="181"/>
      <c r="AP592" s="65"/>
      <c r="AQ592" s="66"/>
      <c r="AR592" s="65"/>
      <c r="AS592" s="65"/>
      <c r="AT592" s="65"/>
      <c r="AU592" s="65"/>
      <c r="AV592" s="65"/>
      <c r="AW592" s="65"/>
      <c r="AX592" s="65"/>
      <c r="AY592" s="118"/>
      <c r="AZ592" s="118"/>
      <c r="BA592" s="118"/>
      <c r="BB592" s="124"/>
      <c r="BC592" s="73"/>
    </row>
    <row r="593" spans="1:55" ht="11.25" x14ac:dyDescent="0.2">
      <c r="A593" s="117" t="s">
        <v>3069</v>
      </c>
      <c r="B593" s="118" t="s">
        <v>3070</v>
      </c>
      <c r="C593" s="118" t="s">
        <v>3071</v>
      </c>
      <c r="D593" s="119" t="s">
        <v>3072</v>
      </c>
      <c r="E593" s="38" t="s">
        <v>3073</v>
      </c>
      <c r="F593" s="39">
        <v>1</v>
      </c>
      <c r="G593" s="118" t="s">
        <v>16</v>
      </c>
      <c r="H593" s="118" t="s">
        <v>2511</v>
      </c>
      <c r="I593" s="40">
        <v>44973.544862118099</v>
      </c>
      <c r="J593" s="24">
        <f>MONTH(Tabla1[[#This Row],[Publicación]])</f>
        <v>2</v>
      </c>
      <c r="K593" s="24">
        <f>YEAR(Tabla1[[#This Row],[Publicación]])</f>
        <v>2023</v>
      </c>
      <c r="L593" s="40">
        <v>44981.5</v>
      </c>
      <c r="M593" s="41">
        <v>44974</v>
      </c>
      <c r="N593" s="25" t="s">
        <v>10</v>
      </c>
      <c r="O593" s="24" t="s">
        <v>25</v>
      </c>
      <c r="P593" s="24" t="s">
        <v>10</v>
      </c>
      <c r="Q593" s="147">
        <v>44977.708333333336</v>
      </c>
      <c r="R593" s="147">
        <v>44978.708333333336</v>
      </c>
      <c r="S593" s="148">
        <v>45002.708333333336</v>
      </c>
      <c r="T593" s="27">
        <v>0</v>
      </c>
      <c r="U593" s="28">
        <f>Tabla1[[#This Row],[PPTO]]/(1+'Lista Datos'!$B$1)</f>
        <v>0</v>
      </c>
      <c r="V593" s="65"/>
      <c r="W593" s="122" t="s">
        <v>10</v>
      </c>
      <c r="X593" s="123"/>
      <c r="Y593" s="122"/>
      <c r="Z593" s="122"/>
      <c r="AA593" s="118"/>
      <c r="AB593" s="118"/>
      <c r="AC593" s="118"/>
      <c r="AD593" s="118"/>
      <c r="AE593" s="145">
        <f>Tabla1[[#This Row],[Cierre]]+Tabla1[[#This Row],[Vigencia Oferta (días)]]</f>
        <v>44981.5</v>
      </c>
      <c r="AF593" s="90"/>
      <c r="AG593" s="64"/>
      <c r="AH593" s="168">
        <f>Tabla1[[#This Row],[Unidades2]]*Tabla1[[#This Row],[Precio Unitario]]</f>
        <v>0</v>
      </c>
      <c r="AI593" s="118" t="s">
        <v>270</v>
      </c>
      <c r="AJ593" s="149"/>
      <c r="AK593" s="125">
        <f>Tabla1[[#This Row],[Fecha Vigencia]]-AJ593</f>
        <v>44981.5</v>
      </c>
      <c r="AL593" s="65"/>
      <c r="AM593" s="90"/>
      <c r="AN593" s="65"/>
      <c r="AO593" s="181"/>
      <c r="AP593" s="65"/>
      <c r="AQ593" s="66"/>
      <c r="AR593" s="65"/>
      <c r="AS593" s="65"/>
      <c r="AT593" s="65"/>
      <c r="AU593" s="65"/>
      <c r="AV593" s="65"/>
      <c r="AW593" s="65"/>
      <c r="AX593" s="65"/>
      <c r="AY593" s="118"/>
      <c r="AZ593" s="118"/>
      <c r="BA593" s="118"/>
      <c r="BB593" s="124"/>
      <c r="BC593" s="73"/>
    </row>
    <row r="594" spans="1:55" ht="11.25" x14ac:dyDescent="0.2">
      <c r="A594" s="117" t="s">
        <v>3074</v>
      </c>
      <c r="B594" s="118" t="s">
        <v>3075</v>
      </c>
      <c r="C594" s="118" t="s">
        <v>3076</v>
      </c>
      <c r="D594" s="119" t="s">
        <v>758</v>
      </c>
      <c r="E594" s="38" t="s">
        <v>3077</v>
      </c>
      <c r="F594" s="39">
        <v>1</v>
      </c>
      <c r="G594" s="118" t="s">
        <v>16</v>
      </c>
      <c r="H594" s="118" t="s">
        <v>533</v>
      </c>
      <c r="I594" s="40">
        <v>44973.543490705997</v>
      </c>
      <c r="J594" s="24">
        <f>MONTH(Tabla1[[#This Row],[Publicación]])</f>
        <v>2</v>
      </c>
      <c r="K594" s="24">
        <f>YEAR(Tabla1[[#This Row],[Publicación]])</f>
        <v>2023</v>
      </c>
      <c r="L594" s="40">
        <v>44979.458333333299</v>
      </c>
      <c r="M594" s="41">
        <v>44974</v>
      </c>
      <c r="N594" s="25" t="s">
        <v>10</v>
      </c>
      <c r="O594" s="24" t="s">
        <v>25</v>
      </c>
      <c r="P594" s="24" t="s">
        <v>10</v>
      </c>
      <c r="Q594" s="147">
        <v>44976.604166666664</v>
      </c>
      <c r="R594" s="147">
        <v>44978.708333333336</v>
      </c>
      <c r="S594" s="148">
        <v>44991.732638888891</v>
      </c>
      <c r="T594" s="27">
        <v>0</v>
      </c>
      <c r="U594" s="28">
        <f>Tabla1[[#This Row],[PPTO]]/(1+'Lista Datos'!$B$1)</f>
        <v>0</v>
      </c>
      <c r="V594" s="65"/>
      <c r="W594" s="122"/>
      <c r="X594" s="123"/>
      <c r="Y594" s="122"/>
      <c r="Z594" s="122"/>
      <c r="AA594" s="118"/>
      <c r="AB594" s="118"/>
      <c r="AC594" s="118"/>
      <c r="AD594" s="118"/>
      <c r="AE594" s="145">
        <f>Tabla1[[#This Row],[Cierre]]+Tabla1[[#This Row],[Vigencia Oferta (días)]]</f>
        <v>44979.458333333299</v>
      </c>
      <c r="AF594" s="90"/>
      <c r="AG594" s="64"/>
      <c r="AH594" s="168">
        <f>Tabla1[[#This Row],[Unidades2]]*Tabla1[[#This Row],[Precio Unitario]]</f>
        <v>0</v>
      </c>
      <c r="AI594" s="118" t="s">
        <v>270</v>
      </c>
      <c r="AJ594" s="149"/>
      <c r="AK594" s="125">
        <f>Tabla1[[#This Row],[Fecha Vigencia]]-AJ594</f>
        <v>44979.458333333299</v>
      </c>
      <c r="AL594" s="65"/>
      <c r="AM594" s="90"/>
      <c r="AN594" s="65"/>
      <c r="AO594" s="181"/>
      <c r="AP594" s="65"/>
      <c r="AQ594" s="66"/>
      <c r="AR594" s="65"/>
      <c r="AS594" s="65"/>
      <c r="AT594" s="65"/>
      <c r="AU594" s="65"/>
      <c r="AV594" s="65"/>
      <c r="AW594" s="65"/>
      <c r="AX594" s="65"/>
      <c r="AY594" s="118"/>
      <c r="AZ594" s="118"/>
      <c r="BA594" s="118"/>
      <c r="BB594" s="124"/>
      <c r="BC594" s="73"/>
    </row>
    <row r="595" spans="1:55" ht="11.25" x14ac:dyDescent="0.2">
      <c r="A595" s="153" t="s">
        <v>3078</v>
      </c>
      <c r="B595" s="30" t="s">
        <v>3079</v>
      </c>
      <c r="C595" s="30" t="s">
        <v>3080</v>
      </c>
      <c r="D595" s="84" t="s">
        <v>553</v>
      </c>
      <c r="E595" s="24" t="s">
        <v>3081</v>
      </c>
      <c r="F595" s="25">
        <v>150</v>
      </c>
      <c r="G595" s="30" t="s">
        <v>21</v>
      </c>
      <c r="H595" s="30" t="s">
        <v>106</v>
      </c>
      <c r="I595" s="2">
        <v>44973.530084143502</v>
      </c>
      <c r="J595" s="24">
        <f>MONTH(Tabla1[[#This Row],[Publicación]])</f>
        <v>2</v>
      </c>
      <c r="K595" s="24">
        <f>YEAR(Tabla1[[#This Row],[Publicación]])</f>
        <v>2023</v>
      </c>
      <c r="L595" s="2">
        <v>44979.824305555601</v>
      </c>
      <c r="M595" s="41">
        <v>44974</v>
      </c>
      <c r="N595" s="85" t="s">
        <v>11</v>
      </c>
      <c r="O595" s="2"/>
      <c r="P595" s="24" t="s">
        <v>11</v>
      </c>
      <c r="Q595" s="160">
        <v>44974.692361111112</v>
      </c>
      <c r="R595" s="160">
        <v>44977.692361111112</v>
      </c>
      <c r="S595" s="161">
        <v>45044.824999999997</v>
      </c>
      <c r="T595" s="27">
        <v>50000000</v>
      </c>
      <c r="U595" s="28">
        <f>Tabla1[[#This Row],[PPTO]]/(1+'Lista Datos'!$B$1)</f>
        <v>42016806.722689077</v>
      </c>
      <c r="V595" s="68">
        <v>30</v>
      </c>
      <c r="W595" s="127" t="s">
        <v>10</v>
      </c>
      <c r="X595" s="154"/>
      <c r="Y595" s="127"/>
      <c r="Z595" s="127" t="s">
        <v>10</v>
      </c>
      <c r="AA595" s="30" t="s">
        <v>512</v>
      </c>
      <c r="AB595" s="30"/>
      <c r="AC595" s="30" t="s">
        <v>10</v>
      </c>
      <c r="AD595" s="30">
        <v>90</v>
      </c>
      <c r="AE595" s="155">
        <f>Tabla1[[#This Row],[Cierre]]+Tabla1[[#This Row],[Vigencia Oferta (días)]]</f>
        <v>45069.824305555601</v>
      </c>
      <c r="AF595" s="91">
        <v>150</v>
      </c>
      <c r="AG595" s="67">
        <v>21832</v>
      </c>
      <c r="AH595" s="169">
        <f>Tabla1[[#This Row],[Unidades2]]*Tabla1[[#This Row],[Precio Unitario]]</f>
        <v>3274800</v>
      </c>
      <c r="AI595" s="37" t="s">
        <v>44</v>
      </c>
      <c r="AJ595" s="104">
        <v>45070</v>
      </c>
      <c r="AK595" s="159">
        <f>Tabla1[[#This Row],[Fecha Vigencia]]-AJ595</f>
        <v>-0.17569444439868676</v>
      </c>
      <c r="AL595" s="68" t="s">
        <v>46</v>
      </c>
      <c r="AM595" s="91">
        <v>1198500</v>
      </c>
      <c r="AN595" s="68"/>
      <c r="AO595" s="157"/>
      <c r="AP595" s="30" t="s">
        <v>292</v>
      </c>
      <c r="AQ595" s="69"/>
      <c r="AR595" s="68"/>
      <c r="AS595" s="68"/>
      <c r="AT595" s="68"/>
      <c r="AU595" s="68"/>
      <c r="AV595" s="68"/>
      <c r="AW595" s="68"/>
      <c r="AX595" s="68"/>
      <c r="AY595" s="30"/>
      <c r="AZ595" s="30"/>
      <c r="BA595" s="30"/>
      <c r="BB595" s="75"/>
      <c r="BC595" s="73"/>
    </row>
    <row r="596" spans="1:55" ht="11.25" x14ac:dyDescent="0.2">
      <c r="A596" s="117" t="s">
        <v>3078</v>
      </c>
      <c r="B596" s="118" t="s">
        <v>3079</v>
      </c>
      <c r="C596" s="118" t="s">
        <v>3080</v>
      </c>
      <c r="D596" s="119" t="s">
        <v>553</v>
      </c>
      <c r="E596" s="38" t="s">
        <v>3082</v>
      </c>
      <c r="F596" s="39">
        <v>762</v>
      </c>
      <c r="G596" s="118" t="s">
        <v>14</v>
      </c>
      <c r="H596" s="118" t="s">
        <v>213</v>
      </c>
      <c r="I596" s="40">
        <v>44973.530084143502</v>
      </c>
      <c r="J596" s="24">
        <f>MONTH(Tabla1[[#This Row],[Publicación]])</f>
        <v>2</v>
      </c>
      <c r="K596" s="24">
        <f>YEAR(Tabla1[[#This Row],[Publicación]])</f>
        <v>2023</v>
      </c>
      <c r="L596" s="40">
        <v>44979.824305555601</v>
      </c>
      <c r="M596" s="41">
        <v>44974</v>
      </c>
      <c r="N596" s="120" t="s">
        <v>11</v>
      </c>
      <c r="O596" s="40"/>
      <c r="P596" s="24" t="s">
        <v>11</v>
      </c>
      <c r="Q596" s="160">
        <v>44974.692361111112</v>
      </c>
      <c r="R596" s="160">
        <v>44977.692361111112</v>
      </c>
      <c r="S596" s="161">
        <v>45044.824999999997</v>
      </c>
      <c r="T596" s="42">
        <v>50000000</v>
      </c>
      <c r="U596" s="28">
        <f>Tabla1[[#This Row],[PPTO]]/(1+'Lista Datos'!$B$1)</f>
        <v>42016806.722689077</v>
      </c>
      <c r="V596" s="65"/>
      <c r="W596" s="122" t="s">
        <v>10</v>
      </c>
      <c r="X596" s="123"/>
      <c r="Y596" s="122"/>
      <c r="Z596" s="122" t="s">
        <v>10</v>
      </c>
      <c r="AA596" s="118" t="s">
        <v>512</v>
      </c>
      <c r="AB596" s="118"/>
      <c r="AC596" s="23" t="s">
        <v>10</v>
      </c>
      <c r="AD596" s="118"/>
      <c r="AE596" s="145">
        <f>Tabla1[[#This Row],[Cierre]]+Tabla1[[#This Row],[Vigencia Oferta (días)]]</f>
        <v>44979.824305555601</v>
      </c>
      <c r="AF596" s="90"/>
      <c r="AG596" s="64"/>
      <c r="AH596" s="168">
        <f>Tabla1[[#This Row],[Unidades2]]*Tabla1[[#This Row],[Precio Unitario]]</f>
        <v>0</v>
      </c>
      <c r="AI596" s="37" t="s">
        <v>44</v>
      </c>
      <c r="AJ596" s="149">
        <v>45070</v>
      </c>
      <c r="AK596" s="125">
        <f>Tabla1[[#This Row],[Fecha Vigencia]]-AJ596</f>
        <v>-90.175694444398687</v>
      </c>
      <c r="AL596" s="65" t="s">
        <v>46</v>
      </c>
      <c r="AM596" s="90">
        <v>3200000</v>
      </c>
      <c r="AN596" s="65"/>
      <c r="AO596" s="181"/>
      <c r="AP596" s="30" t="s">
        <v>292</v>
      </c>
      <c r="AQ596" s="66"/>
      <c r="AR596" s="65"/>
      <c r="AS596" s="65"/>
      <c r="AT596" s="65"/>
      <c r="AU596" s="65"/>
      <c r="AV596" s="65"/>
      <c r="AW596" s="65"/>
      <c r="AX596" s="65"/>
      <c r="AY596" s="118"/>
      <c r="AZ596" s="118"/>
      <c r="BA596" s="118"/>
      <c r="BB596" s="124"/>
      <c r="BC596" s="73"/>
    </row>
    <row r="597" spans="1:55" ht="11.25" x14ac:dyDescent="0.2">
      <c r="A597" s="117" t="s">
        <v>3083</v>
      </c>
      <c r="B597" s="118" t="s">
        <v>3084</v>
      </c>
      <c r="C597" s="118" t="s">
        <v>1849</v>
      </c>
      <c r="D597" s="119" t="s">
        <v>2822</v>
      </c>
      <c r="E597" s="38" t="s">
        <v>3085</v>
      </c>
      <c r="F597" s="39">
        <v>1</v>
      </c>
      <c r="G597" s="118" t="s">
        <v>20</v>
      </c>
      <c r="H597" s="118" t="s">
        <v>176</v>
      </c>
      <c r="I597" s="40">
        <v>44973.451879201399</v>
      </c>
      <c r="J597" s="24">
        <f>MONTH(Tabla1[[#This Row],[Publicación]])</f>
        <v>2</v>
      </c>
      <c r="K597" s="24">
        <f>YEAR(Tabla1[[#This Row],[Publicación]])</f>
        <v>2023</v>
      </c>
      <c r="L597" s="40">
        <v>44984.708333333299</v>
      </c>
      <c r="M597" s="41">
        <v>44974</v>
      </c>
      <c r="N597" s="120" t="s">
        <v>11</v>
      </c>
      <c r="O597" s="40"/>
      <c r="P597" s="24" t="s">
        <v>11</v>
      </c>
      <c r="Q597" s="147">
        <v>44978.375</v>
      </c>
      <c r="R597" s="147">
        <v>44981.791666666664</v>
      </c>
      <c r="S597" s="148">
        <v>45062.832638888889</v>
      </c>
      <c r="T597" s="42">
        <v>53000000</v>
      </c>
      <c r="U597" s="28">
        <f>Tabla1[[#This Row],[PPTO]]/(1+'Lista Datos'!$B$1)</f>
        <v>44537815.12605042</v>
      </c>
      <c r="V597" s="65"/>
      <c r="W597" s="122" t="s">
        <v>10</v>
      </c>
      <c r="X597" s="123"/>
      <c r="Y597" s="122"/>
      <c r="Z597" s="122" t="s">
        <v>10</v>
      </c>
      <c r="AA597" s="118" t="s">
        <v>177</v>
      </c>
      <c r="AB597" s="118">
        <v>12</v>
      </c>
      <c r="AC597" s="23" t="s">
        <v>10</v>
      </c>
      <c r="AD597" s="118"/>
      <c r="AE597" s="145">
        <f>Tabla1[[#This Row],[Cierre]]+Tabla1[[#This Row],[Vigencia Oferta (días)]]</f>
        <v>44984.708333333299</v>
      </c>
      <c r="AF597" s="90"/>
      <c r="AG597" s="64"/>
      <c r="AH597" s="168">
        <f>Tabla1[[#This Row],[Unidades2]]*Tabla1[[#This Row],[Precio Unitario]]</f>
        <v>0</v>
      </c>
      <c r="AI597" s="37" t="s">
        <v>44</v>
      </c>
      <c r="AJ597" s="149">
        <v>45040.665335648147</v>
      </c>
      <c r="AK597" s="125">
        <f>Tabla1[[#This Row],[Fecha Vigencia]]-AJ597</f>
        <v>-55.957002314848069</v>
      </c>
      <c r="AL597" s="65" t="s">
        <v>115</v>
      </c>
      <c r="AM597" s="90">
        <v>44537815</v>
      </c>
      <c r="AN597" s="181">
        <v>45040</v>
      </c>
      <c r="AO597" s="181">
        <v>45406</v>
      </c>
      <c r="AP597" s="65" t="s">
        <v>177</v>
      </c>
      <c r="AQ597" s="66" t="s">
        <v>572</v>
      </c>
      <c r="AR597" s="65" t="s">
        <v>10</v>
      </c>
      <c r="AS597" s="65"/>
      <c r="AT597" s="65"/>
      <c r="AU597" s="118" t="s">
        <v>3086</v>
      </c>
      <c r="AV597" s="118" t="s">
        <v>3087</v>
      </c>
      <c r="AW597" s="118" t="s">
        <v>2603</v>
      </c>
      <c r="AX597" s="118" t="s">
        <v>3088</v>
      </c>
      <c r="AY597" s="118"/>
      <c r="AZ597" s="118"/>
      <c r="BA597" s="118"/>
      <c r="BB597" s="124"/>
      <c r="BC597" s="73"/>
    </row>
    <row r="598" spans="1:55" ht="11.25" x14ac:dyDescent="0.2">
      <c r="A598" s="117" t="s">
        <v>3089</v>
      </c>
      <c r="B598" s="118" t="s">
        <v>3090</v>
      </c>
      <c r="C598" s="118" t="s">
        <v>3090</v>
      </c>
      <c r="D598" s="119" t="s">
        <v>234</v>
      </c>
      <c r="E598" s="38" t="s">
        <v>3091</v>
      </c>
      <c r="F598" s="39">
        <v>70</v>
      </c>
      <c r="G598" s="118" t="s">
        <v>21</v>
      </c>
      <c r="H598" s="118" t="s">
        <v>106</v>
      </c>
      <c r="I598" s="40">
        <v>44973.441903356499</v>
      </c>
      <c r="J598" s="24">
        <f>MONTH(Tabla1[[#This Row],[Publicación]])</f>
        <v>2</v>
      </c>
      <c r="K598" s="24">
        <f>YEAR(Tabla1[[#This Row],[Publicación]])</f>
        <v>2023</v>
      </c>
      <c r="L598" s="40">
        <v>44978.390277777798</v>
      </c>
      <c r="M598" s="41">
        <v>44974</v>
      </c>
      <c r="N598" s="120" t="s">
        <v>10</v>
      </c>
      <c r="O598" s="40" t="s">
        <v>34</v>
      </c>
      <c r="P598" s="38" t="s">
        <v>10</v>
      </c>
      <c r="Q598" s="147">
        <v>44974.598611111112</v>
      </c>
      <c r="R598" s="147">
        <v>44975.598611111112</v>
      </c>
      <c r="S598" s="148">
        <v>44998.598611111112</v>
      </c>
      <c r="T598" s="179">
        <v>2450000</v>
      </c>
      <c r="U598" s="28">
        <f>Tabla1[[#This Row],[PPTO]]/(1+'Lista Datos'!$B$1)</f>
        <v>2058823.5294117648</v>
      </c>
      <c r="V598" s="65"/>
      <c r="W598" s="122" t="s">
        <v>10</v>
      </c>
      <c r="X598" s="123"/>
      <c r="Y598" s="122"/>
      <c r="Z598" s="122" t="s">
        <v>10</v>
      </c>
      <c r="AA598" s="118"/>
      <c r="AB598" s="118"/>
      <c r="AC598" s="118"/>
      <c r="AD598" s="118"/>
      <c r="AE598" s="145">
        <f>Tabla1[[#This Row],[Cierre]]+Tabla1[[#This Row],[Vigencia Oferta (días)]]</f>
        <v>44978.390277777798</v>
      </c>
      <c r="AF598" s="90"/>
      <c r="AG598" s="64"/>
      <c r="AH598" s="168">
        <f>Tabla1[[#This Row],[Unidades2]]*Tabla1[[#This Row],[Precio Unitario]]</f>
        <v>0</v>
      </c>
      <c r="AI598" s="118" t="s">
        <v>270</v>
      </c>
      <c r="AJ598" s="149"/>
      <c r="AK598" s="125">
        <f>Tabla1[[#This Row],[Fecha Vigencia]]-AJ598</f>
        <v>44978.390277777798</v>
      </c>
      <c r="AL598" s="65"/>
      <c r="AM598" s="90"/>
      <c r="AN598" s="65"/>
      <c r="AO598" s="181"/>
      <c r="AP598" s="65"/>
      <c r="AQ598" s="66"/>
      <c r="AR598" s="65"/>
      <c r="AS598" s="65"/>
      <c r="AT598" s="65"/>
      <c r="AU598" s="65"/>
      <c r="AV598" s="65"/>
      <c r="AW598" s="65"/>
      <c r="AX598" s="65"/>
      <c r="AY598" s="118"/>
      <c r="AZ598" s="118"/>
      <c r="BA598" s="118"/>
      <c r="BB598" s="124"/>
      <c r="BC598" s="73"/>
    </row>
    <row r="599" spans="1:55" ht="11.25" x14ac:dyDescent="0.2">
      <c r="A599" s="117" t="s">
        <v>3092</v>
      </c>
      <c r="B599" s="118" t="s">
        <v>3093</v>
      </c>
      <c r="C599" s="118" t="s">
        <v>3094</v>
      </c>
      <c r="D599" s="119" t="s">
        <v>1183</v>
      </c>
      <c r="E599" s="38" t="s">
        <v>3095</v>
      </c>
      <c r="F599" s="39">
        <v>1</v>
      </c>
      <c r="G599" s="118" t="s">
        <v>16</v>
      </c>
      <c r="H599" s="118" t="s">
        <v>345</v>
      </c>
      <c r="I599" s="40">
        <v>44973.426459756898</v>
      </c>
      <c r="J599" s="24">
        <f>MONTH(Tabla1[[#This Row],[Publicación]])</f>
        <v>2</v>
      </c>
      <c r="K599" s="24">
        <f>YEAR(Tabla1[[#This Row],[Publicación]])</f>
        <v>2023</v>
      </c>
      <c r="L599" s="40">
        <v>44985.666666666701</v>
      </c>
      <c r="M599" s="41">
        <v>44974</v>
      </c>
      <c r="N599" s="25" t="s">
        <v>10</v>
      </c>
      <c r="O599" s="24" t="s">
        <v>25</v>
      </c>
      <c r="P599" s="24" t="s">
        <v>10</v>
      </c>
      <c r="Q599" s="147">
        <v>44977.625</v>
      </c>
      <c r="R599" s="147">
        <v>44980.635416666664</v>
      </c>
      <c r="S599" s="148">
        <v>45044.666666666664</v>
      </c>
      <c r="T599" s="42">
        <v>30000000</v>
      </c>
      <c r="U599" s="28">
        <f>Tabla1[[#This Row],[PPTO]]/(1+'Lista Datos'!$B$1)</f>
        <v>25210084.033613447</v>
      </c>
      <c r="V599" s="65"/>
      <c r="W599" s="122" t="s">
        <v>11</v>
      </c>
      <c r="X599" s="123">
        <v>200000</v>
      </c>
      <c r="Y599" s="122" t="s">
        <v>3096</v>
      </c>
      <c r="Z599" s="122" t="s">
        <v>10</v>
      </c>
      <c r="AA599" s="118" t="s">
        <v>177</v>
      </c>
      <c r="AB599" s="118">
        <v>36</v>
      </c>
      <c r="AC599" s="118"/>
      <c r="AD599" s="118"/>
      <c r="AE599" s="145">
        <f>Tabla1[[#This Row],[Cierre]]+Tabla1[[#This Row],[Vigencia Oferta (días)]]</f>
        <v>44985.666666666701</v>
      </c>
      <c r="AF599" s="90"/>
      <c r="AG599" s="64"/>
      <c r="AH599" s="168">
        <f>Tabla1[[#This Row],[Unidades2]]*Tabla1[[#This Row],[Precio Unitario]]</f>
        <v>0</v>
      </c>
      <c r="AI599" s="118" t="s">
        <v>270</v>
      </c>
      <c r="AJ599" s="149"/>
      <c r="AK599" s="125">
        <f>Tabla1[[#This Row],[Fecha Vigencia]]-AJ599</f>
        <v>44985.666666666701</v>
      </c>
      <c r="AL599" s="65"/>
      <c r="AM599" s="90"/>
      <c r="AN599" s="65"/>
      <c r="AO599" s="181"/>
      <c r="AP599" s="65"/>
      <c r="AQ599" s="66"/>
      <c r="AR599" s="65"/>
      <c r="AS599" s="65"/>
      <c r="AT599" s="65"/>
      <c r="AU599" s="65"/>
      <c r="AV599" s="65"/>
      <c r="AW599" s="65"/>
      <c r="AX599" s="65"/>
      <c r="AY599" s="118"/>
      <c r="AZ599" s="118"/>
      <c r="BA599" s="118"/>
      <c r="BB599" s="124"/>
      <c r="BC599" s="73"/>
    </row>
    <row r="600" spans="1:55" ht="11.25" x14ac:dyDescent="0.2">
      <c r="A600" s="117" t="s">
        <v>3097</v>
      </c>
      <c r="B600" s="118" t="s">
        <v>3098</v>
      </c>
      <c r="C600" s="118" t="s">
        <v>3099</v>
      </c>
      <c r="D600" s="119" t="s">
        <v>3100</v>
      </c>
      <c r="E600" s="38" t="s">
        <v>3101</v>
      </c>
      <c r="F600" s="39">
        <v>10</v>
      </c>
      <c r="G600" s="118" t="s">
        <v>14</v>
      </c>
      <c r="H600" s="118" t="s">
        <v>213</v>
      </c>
      <c r="I600" s="40">
        <v>44974.524285879597</v>
      </c>
      <c r="J600" s="24">
        <f>MONTH(Tabla1[[#This Row],[Publicación]])</f>
        <v>2</v>
      </c>
      <c r="K600" s="24">
        <f>YEAR(Tabla1[[#This Row],[Publicación]])</f>
        <v>2023</v>
      </c>
      <c r="L600" s="40">
        <v>44981.625694444403</v>
      </c>
      <c r="M600" s="41">
        <v>44977</v>
      </c>
      <c r="N600" s="120" t="s">
        <v>10</v>
      </c>
      <c r="O600" s="40" t="s">
        <v>27</v>
      </c>
      <c r="P600" s="24" t="s">
        <v>10</v>
      </c>
      <c r="Q600" s="121"/>
      <c r="R600" s="121"/>
      <c r="S600" s="19"/>
      <c r="T600" s="27">
        <v>0</v>
      </c>
      <c r="U600" s="28">
        <f>Tabla1[[#This Row],[PPTO]]/(1+'Lista Datos'!$B$1)</f>
        <v>0</v>
      </c>
      <c r="V600" s="65"/>
      <c r="W600" s="122"/>
      <c r="X600" s="123"/>
      <c r="Y600" s="122"/>
      <c r="Z600" s="122"/>
      <c r="AA600" s="118"/>
      <c r="AB600" s="118"/>
      <c r="AC600" s="118"/>
      <c r="AD600" s="118"/>
      <c r="AE600" s="145">
        <f>Tabla1[[#This Row],[Cierre]]+Tabla1[[#This Row],[Vigencia Oferta (días)]]</f>
        <v>44981.625694444403</v>
      </c>
      <c r="AF600" s="90"/>
      <c r="AG600" s="64"/>
      <c r="AH600" s="168">
        <f>Tabla1[[#This Row],[Unidades2]]*Tabla1[[#This Row],[Precio Unitario]]</f>
        <v>0</v>
      </c>
      <c r="AI600" s="118" t="s">
        <v>270</v>
      </c>
      <c r="AJ600" s="149"/>
      <c r="AK600" s="125">
        <f>Tabla1[[#This Row],[Fecha Vigencia]]-AJ600</f>
        <v>44981.625694444403</v>
      </c>
      <c r="AL600" s="65"/>
      <c r="AM600" s="90"/>
      <c r="AN600" s="65"/>
      <c r="AO600" s="181"/>
      <c r="AP600" s="65"/>
      <c r="AQ600" s="66"/>
      <c r="AR600" s="65"/>
      <c r="AS600" s="65"/>
      <c r="AT600" s="65"/>
      <c r="AU600" s="65"/>
      <c r="AV600" s="65"/>
      <c r="AW600" s="65"/>
      <c r="AX600" s="65"/>
      <c r="AY600" s="118"/>
      <c r="AZ600" s="118"/>
      <c r="BA600" s="118"/>
      <c r="BB600" s="124"/>
      <c r="BC600" s="73"/>
    </row>
    <row r="601" spans="1:55" ht="11.25" x14ac:dyDescent="0.2">
      <c r="A601" s="117" t="s">
        <v>3102</v>
      </c>
      <c r="B601" s="118" t="s">
        <v>3103</v>
      </c>
      <c r="C601" s="118" t="s">
        <v>3104</v>
      </c>
      <c r="D601" s="119" t="s">
        <v>444</v>
      </c>
      <c r="E601" s="38" t="s">
        <v>3105</v>
      </c>
      <c r="F601" s="39">
        <v>1</v>
      </c>
      <c r="G601" s="118" t="s">
        <v>16</v>
      </c>
      <c r="H601" s="118" t="s">
        <v>345</v>
      </c>
      <c r="I601" s="40">
        <v>44974.516887847203</v>
      </c>
      <c r="J601" s="24">
        <f>MONTH(Tabla1[[#This Row],[Publicación]])</f>
        <v>2</v>
      </c>
      <c r="K601" s="24">
        <f>YEAR(Tabla1[[#This Row],[Publicación]])</f>
        <v>2023</v>
      </c>
      <c r="L601" s="40">
        <v>44991.625</v>
      </c>
      <c r="M601" s="41">
        <v>44977</v>
      </c>
      <c r="N601" s="120" t="s">
        <v>10</v>
      </c>
      <c r="O601" s="40" t="s">
        <v>33</v>
      </c>
      <c r="P601" s="24" t="s">
        <v>10</v>
      </c>
      <c r="Q601" s="147">
        <v>44981.625</v>
      </c>
      <c r="R601" s="147">
        <v>44984.625</v>
      </c>
      <c r="S601" s="148">
        <v>45006.75</v>
      </c>
      <c r="T601" s="27">
        <v>0</v>
      </c>
      <c r="U601" s="28">
        <f>Tabla1[[#This Row],[PPTO]]/(1+'Lista Datos'!$B$1)</f>
        <v>0</v>
      </c>
      <c r="V601" s="65"/>
      <c r="W601" s="122" t="s">
        <v>11</v>
      </c>
      <c r="X601" s="123">
        <v>500000</v>
      </c>
      <c r="Y601" s="149">
        <v>45122</v>
      </c>
      <c r="Z601" s="122" t="s">
        <v>11</v>
      </c>
      <c r="AA601" s="118" t="s">
        <v>177</v>
      </c>
      <c r="AB601" s="118">
        <v>24</v>
      </c>
      <c r="AC601" s="118"/>
      <c r="AD601" s="118"/>
      <c r="AE601" s="145">
        <f>Tabla1[[#This Row],[Cierre]]+Tabla1[[#This Row],[Vigencia Oferta (días)]]</f>
        <v>44991.625</v>
      </c>
      <c r="AF601" s="90"/>
      <c r="AG601" s="64"/>
      <c r="AH601" s="168">
        <f>Tabla1[[#This Row],[Unidades2]]*Tabla1[[#This Row],[Precio Unitario]]</f>
        <v>0</v>
      </c>
      <c r="AI601" s="118" t="s">
        <v>270</v>
      </c>
      <c r="AJ601" s="149"/>
      <c r="AK601" s="125">
        <f>Tabla1[[#This Row],[Fecha Vigencia]]-AJ601</f>
        <v>44991.625</v>
      </c>
      <c r="AL601" s="65"/>
      <c r="AM601" s="90"/>
      <c r="AN601" s="65"/>
      <c r="AO601" s="181"/>
      <c r="AP601" s="65"/>
      <c r="AQ601" s="66"/>
      <c r="AR601" s="65"/>
      <c r="AS601" s="65"/>
      <c r="AT601" s="65"/>
      <c r="AU601" s="65"/>
      <c r="AV601" s="65"/>
      <c r="AW601" s="65"/>
      <c r="AX601" s="65"/>
      <c r="AY601" s="118"/>
      <c r="AZ601" s="118"/>
      <c r="BA601" s="118"/>
      <c r="BB601" s="124"/>
      <c r="BC601" s="73"/>
    </row>
    <row r="602" spans="1:55" ht="11.25" x14ac:dyDescent="0.2">
      <c r="A602" s="117" t="s">
        <v>3106</v>
      </c>
      <c r="B602" s="118" t="s">
        <v>3107</v>
      </c>
      <c r="C602" s="118" t="s">
        <v>3108</v>
      </c>
      <c r="D602" s="119" t="s">
        <v>3109</v>
      </c>
      <c r="E602" s="38" t="s">
        <v>3110</v>
      </c>
      <c r="F602" s="39">
        <v>3100</v>
      </c>
      <c r="G602" s="118" t="s">
        <v>16</v>
      </c>
      <c r="H602" s="118" t="s">
        <v>123</v>
      </c>
      <c r="I602" s="40">
        <v>44974.453708414403</v>
      </c>
      <c r="J602" s="24">
        <f>MONTH(Tabla1[[#This Row],[Publicación]])</f>
        <v>2</v>
      </c>
      <c r="K602" s="24">
        <f>YEAR(Tabla1[[#This Row],[Publicación]])</f>
        <v>2023</v>
      </c>
      <c r="L602" s="40">
        <v>44984.791666666701</v>
      </c>
      <c r="M602" s="41">
        <v>44977</v>
      </c>
      <c r="N602" s="120" t="s">
        <v>11</v>
      </c>
      <c r="O602" s="40"/>
      <c r="P602" s="24" t="s">
        <v>11</v>
      </c>
      <c r="Q602" s="147">
        <v>44978.604166666664</v>
      </c>
      <c r="R602" s="147">
        <v>44980.645833333336</v>
      </c>
      <c r="S602" s="148">
        <v>44994.6875</v>
      </c>
      <c r="T602" s="27">
        <v>0</v>
      </c>
      <c r="U602" s="28">
        <f>Tabla1[[#This Row],[PPTO]]/(1+'Lista Datos'!$B$1)</f>
        <v>0</v>
      </c>
      <c r="V602" s="65"/>
      <c r="W602" s="122" t="s">
        <v>11</v>
      </c>
      <c r="X602" s="123">
        <v>200000</v>
      </c>
      <c r="Y602" s="149">
        <v>45075</v>
      </c>
      <c r="Z602" s="122" t="s">
        <v>10</v>
      </c>
      <c r="AA602" s="118" t="s">
        <v>177</v>
      </c>
      <c r="AB602" s="118">
        <v>36</v>
      </c>
      <c r="AC602" s="23" t="s">
        <v>10</v>
      </c>
      <c r="AD602" s="118"/>
      <c r="AE602" s="145">
        <f>Tabla1[[#This Row],[Cierre]]+Tabla1[[#This Row],[Vigencia Oferta (días)]]</f>
        <v>44984.791666666701</v>
      </c>
      <c r="AF602" s="90"/>
      <c r="AG602" s="64"/>
      <c r="AH602" s="168">
        <f>Tabla1[[#This Row],[Unidades2]]*Tabla1[[#This Row],[Precio Unitario]]</f>
        <v>0</v>
      </c>
      <c r="AI602" s="37" t="s">
        <v>44</v>
      </c>
      <c r="AJ602" s="149">
        <v>45007.66988425926</v>
      </c>
      <c r="AK602" s="125">
        <f>Tabla1[[#This Row],[Fecha Vigencia]]-AJ602</f>
        <v>-22.87821759255894</v>
      </c>
      <c r="AL602" s="65" t="s">
        <v>46</v>
      </c>
      <c r="AM602" s="90">
        <v>77798749</v>
      </c>
      <c r="AN602" s="181">
        <v>45007</v>
      </c>
      <c r="AO602" s="181">
        <v>46103</v>
      </c>
      <c r="AP602" s="65" t="s">
        <v>177</v>
      </c>
      <c r="AQ602" s="66"/>
      <c r="AR602" s="65"/>
      <c r="AS602" s="65"/>
      <c r="AT602" s="65"/>
      <c r="AU602" s="65"/>
      <c r="AV602" s="65"/>
      <c r="AW602" s="65"/>
      <c r="AX602" s="65"/>
      <c r="AY602" s="118"/>
      <c r="AZ602" s="118"/>
      <c r="BA602" s="118"/>
      <c r="BB602" s="124"/>
      <c r="BC602" s="73"/>
    </row>
    <row r="603" spans="1:55" ht="11.25" x14ac:dyDescent="0.2">
      <c r="A603" s="117" t="s">
        <v>3111</v>
      </c>
      <c r="B603" s="118" t="s">
        <v>3112</v>
      </c>
      <c r="C603" s="118" t="s">
        <v>3113</v>
      </c>
      <c r="D603" s="119" t="s">
        <v>702</v>
      </c>
      <c r="E603" s="38" t="s">
        <v>3114</v>
      </c>
      <c r="F603" s="39">
        <v>1</v>
      </c>
      <c r="G603" s="118" t="s">
        <v>16</v>
      </c>
      <c r="H603" s="118" t="s">
        <v>123</v>
      </c>
      <c r="I603" s="40">
        <v>44974.3924175926</v>
      </c>
      <c r="J603" s="24">
        <f>MONTH(Tabla1[[#This Row],[Publicación]])</f>
        <v>2</v>
      </c>
      <c r="K603" s="24">
        <f>YEAR(Tabla1[[#This Row],[Publicación]])</f>
        <v>2023</v>
      </c>
      <c r="L603" s="40">
        <v>44980.375</v>
      </c>
      <c r="M603" s="41">
        <v>44977</v>
      </c>
      <c r="N603" s="120" t="s">
        <v>10</v>
      </c>
      <c r="O603" s="40" t="s">
        <v>33</v>
      </c>
      <c r="P603" s="24" t="s">
        <v>10</v>
      </c>
      <c r="Q603" s="121"/>
      <c r="R603" s="121"/>
      <c r="S603" s="19"/>
      <c r="T603" s="27">
        <v>0</v>
      </c>
      <c r="U603" s="28">
        <f>Tabla1[[#This Row],[PPTO]]/(1+'Lista Datos'!$B$1)</f>
        <v>0</v>
      </c>
      <c r="V603" s="65"/>
      <c r="W603" s="122"/>
      <c r="X603" s="123"/>
      <c r="Y603" s="122"/>
      <c r="Z603" s="122"/>
      <c r="AA603" s="118"/>
      <c r="AB603" s="118"/>
      <c r="AC603" s="118"/>
      <c r="AD603" s="118"/>
      <c r="AE603" s="145"/>
      <c r="AF603" s="90"/>
      <c r="AG603" s="64"/>
      <c r="AH603" s="168"/>
      <c r="AI603" s="118" t="s">
        <v>270</v>
      </c>
      <c r="AJ603" s="149"/>
      <c r="AK603" s="125"/>
      <c r="AL603" s="65"/>
      <c r="AM603" s="90"/>
      <c r="AN603" s="65"/>
      <c r="AO603" s="181"/>
      <c r="AP603" s="65"/>
      <c r="AQ603" s="66"/>
      <c r="AR603" s="65"/>
      <c r="AS603" s="65"/>
      <c r="AT603" s="65"/>
      <c r="AU603" s="65"/>
      <c r="AV603" s="65"/>
      <c r="AW603" s="65"/>
      <c r="AX603" s="65"/>
      <c r="AY603" s="118"/>
      <c r="AZ603" s="118"/>
      <c r="BA603" s="118"/>
      <c r="BB603" s="124"/>
      <c r="BC603" s="73"/>
    </row>
    <row r="604" spans="1:55" ht="11.25" x14ac:dyDescent="0.2">
      <c r="A604" s="117" t="s">
        <v>3115</v>
      </c>
      <c r="B604" s="118" t="s">
        <v>2581</v>
      </c>
      <c r="C604" s="118" t="s">
        <v>2582</v>
      </c>
      <c r="D604" s="119" t="s">
        <v>3116</v>
      </c>
      <c r="E604" s="38" t="s">
        <v>3117</v>
      </c>
      <c r="F604" s="39">
        <v>1</v>
      </c>
      <c r="G604" s="118" t="s">
        <v>18</v>
      </c>
      <c r="H604" s="118" t="s">
        <v>213</v>
      </c>
      <c r="I604" s="40">
        <v>44977.764280474497</v>
      </c>
      <c r="J604" s="24">
        <f>MONTH(Tabla1[[#This Row],[Publicación]])</f>
        <v>2</v>
      </c>
      <c r="K604" s="24">
        <f>YEAR(Tabla1[[#This Row],[Publicación]])</f>
        <v>2023</v>
      </c>
      <c r="L604" s="40">
        <v>44988.679166666698</v>
      </c>
      <c r="M604" s="41">
        <v>44978</v>
      </c>
      <c r="N604" s="120" t="s">
        <v>10</v>
      </c>
      <c r="O604" s="40" t="s">
        <v>28</v>
      </c>
      <c r="P604" s="24" t="s">
        <v>10</v>
      </c>
      <c r="Q604" s="121"/>
      <c r="R604" s="121"/>
      <c r="S604" s="19"/>
      <c r="T604" s="27">
        <v>0</v>
      </c>
      <c r="U604" s="28">
        <f>Tabla1[[#This Row],[PPTO]]/(1+'Lista Datos'!$B$1)</f>
        <v>0</v>
      </c>
      <c r="V604" s="65"/>
      <c r="W604" s="122"/>
      <c r="X604" s="123"/>
      <c r="Y604" s="122"/>
      <c r="Z604" s="122"/>
      <c r="AA604" s="118"/>
      <c r="AB604" s="118"/>
      <c r="AC604" s="118"/>
      <c r="AD604" s="118"/>
      <c r="AE604" s="145">
        <f>Tabla1[[#This Row],[Cierre]]+Tabla1[[#This Row],[Vigencia Oferta (días)]]</f>
        <v>44988.679166666698</v>
      </c>
      <c r="AF604" s="90"/>
      <c r="AG604" s="64"/>
      <c r="AH604" s="168">
        <f>Tabla1[[#This Row],[Unidades2]]*Tabla1[[#This Row],[Precio Unitario]]</f>
        <v>0</v>
      </c>
      <c r="AI604" s="118" t="s">
        <v>270</v>
      </c>
      <c r="AJ604" s="149"/>
      <c r="AK604" s="125">
        <f>Tabla1[[#This Row],[Fecha Vigencia]]-AJ604</f>
        <v>44988.679166666698</v>
      </c>
      <c r="AL604" s="65"/>
      <c r="AM604" s="90"/>
      <c r="AN604" s="65"/>
      <c r="AO604" s="181"/>
      <c r="AP604" s="65"/>
      <c r="AQ604" s="66"/>
      <c r="AR604" s="65"/>
      <c r="AS604" s="65"/>
      <c r="AT604" s="65"/>
      <c r="AU604" s="65"/>
      <c r="AV604" s="65"/>
      <c r="AW604" s="65"/>
      <c r="AX604" s="65"/>
      <c r="AY604" s="118"/>
      <c r="AZ604" s="118"/>
      <c r="BA604" s="118"/>
      <c r="BB604" s="124"/>
      <c r="BC604" s="73"/>
    </row>
    <row r="605" spans="1:55" ht="11.25" x14ac:dyDescent="0.2">
      <c r="A605" s="117" t="s">
        <v>3118</v>
      </c>
      <c r="B605" s="118" t="s">
        <v>2855</v>
      </c>
      <c r="C605" s="118" t="s">
        <v>3119</v>
      </c>
      <c r="D605" s="119" t="s">
        <v>291</v>
      </c>
      <c r="E605" s="38" t="s">
        <v>3120</v>
      </c>
      <c r="F605" s="39">
        <v>1</v>
      </c>
      <c r="G605" s="118" t="s">
        <v>16</v>
      </c>
      <c r="H605" s="118" t="s">
        <v>145</v>
      </c>
      <c r="I605" s="40">
        <v>44977.736789386603</v>
      </c>
      <c r="J605" s="24">
        <f>MONTH(Tabla1[[#This Row],[Publicación]])</f>
        <v>2</v>
      </c>
      <c r="K605" s="24">
        <f>YEAR(Tabla1[[#This Row],[Publicación]])</f>
        <v>2023</v>
      </c>
      <c r="L605" s="40">
        <v>44984.645833333299</v>
      </c>
      <c r="M605" s="41">
        <v>44978</v>
      </c>
      <c r="N605" s="120" t="s">
        <v>10</v>
      </c>
      <c r="O605" s="40" t="s">
        <v>33</v>
      </c>
      <c r="P605" s="24" t="s">
        <v>10</v>
      </c>
      <c r="Q605" s="147">
        <v>44979.625</v>
      </c>
      <c r="R605" s="147">
        <v>44980.75</v>
      </c>
      <c r="S605" s="148">
        <v>45005.75</v>
      </c>
      <c r="T605" s="27">
        <v>0</v>
      </c>
      <c r="U605" s="28">
        <f>Tabla1[[#This Row],[PPTO]]/(1+'Lista Datos'!$B$1)</f>
        <v>0</v>
      </c>
      <c r="V605" s="65"/>
      <c r="W605" s="122"/>
      <c r="X605" s="123"/>
      <c r="Y605" s="122"/>
      <c r="Z605" s="122"/>
      <c r="AA605" s="118"/>
      <c r="AB605" s="118"/>
      <c r="AC605" s="118"/>
      <c r="AD605" s="118"/>
      <c r="AE605" s="145">
        <f>Tabla1[[#This Row],[Cierre]]+Tabla1[[#This Row],[Vigencia Oferta (días)]]</f>
        <v>44984.645833333299</v>
      </c>
      <c r="AF605" s="90"/>
      <c r="AG605" s="64"/>
      <c r="AH605" s="168">
        <f>Tabla1[[#This Row],[Unidades2]]*Tabla1[[#This Row],[Precio Unitario]]</f>
        <v>0</v>
      </c>
      <c r="AI605" s="118" t="s">
        <v>270</v>
      </c>
      <c r="AJ605" s="149"/>
      <c r="AK605" s="125">
        <f>Tabla1[[#This Row],[Fecha Vigencia]]-AJ605</f>
        <v>44984.645833333299</v>
      </c>
      <c r="AL605" s="65"/>
      <c r="AM605" s="90"/>
      <c r="AN605" s="65"/>
      <c r="AO605" s="181"/>
      <c r="AP605" s="65"/>
      <c r="AQ605" s="66"/>
      <c r="AR605" s="65"/>
      <c r="AS605" s="65"/>
      <c r="AT605" s="65"/>
      <c r="AU605" s="65"/>
      <c r="AV605" s="65"/>
      <c r="AW605" s="65"/>
      <c r="AX605" s="65"/>
      <c r="AY605" s="118"/>
      <c r="AZ605" s="118"/>
      <c r="BA605" s="118"/>
      <c r="BB605" s="124"/>
      <c r="BC605" s="73"/>
    </row>
    <row r="606" spans="1:55" ht="11.25" x14ac:dyDescent="0.2">
      <c r="A606" s="117" t="s">
        <v>3121</v>
      </c>
      <c r="B606" s="118" t="s">
        <v>3122</v>
      </c>
      <c r="C606" s="118" t="s">
        <v>3123</v>
      </c>
      <c r="D606" s="119" t="s">
        <v>1802</v>
      </c>
      <c r="E606" s="38" t="s">
        <v>3122</v>
      </c>
      <c r="F606" s="39">
        <v>1</v>
      </c>
      <c r="G606" s="118" t="s">
        <v>20</v>
      </c>
      <c r="H606" s="118" t="s">
        <v>176</v>
      </c>
      <c r="I606" s="40">
        <v>44977.711233911999</v>
      </c>
      <c r="J606" s="24">
        <f>MONTH(Tabla1[[#This Row],[Publicación]])</f>
        <v>2</v>
      </c>
      <c r="K606" s="24">
        <f>YEAR(Tabla1[[#This Row],[Publicación]])</f>
        <v>2023</v>
      </c>
      <c r="L606" s="40">
        <v>45008.666666666701</v>
      </c>
      <c r="M606" s="41">
        <v>44978</v>
      </c>
      <c r="N606" s="120" t="s">
        <v>11</v>
      </c>
      <c r="O606" s="40"/>
      <c r="P606" s="24" t="s">
        <v>11</v>
      </c>
      <c r="Q606" s="147">
        <v>44987.999305555553</v>
      </c>
      <c r="R606" s="147">
        <v>44998.708333333336</v>
      </c>
      <c r="S606" s="148">
        <v>45043.708333333336</v>
      </c>
      <c r="T606" s="42">
        <v>312250000</v>
      </c>
      <c r="U606" s="28">
        <f>Tabla1[[#This Row],[PPTO]]/(1+'Lista Datos'!$B$1)</f>
        <v>262394957.98319328</v>
      </c>
      <c r="V606" s="65">
        <v>30</v>
      </c>
      <c r="W606" s="122" t="s">
        <v>11</v>
      </c>
      <c r="X606" s="123">
        <v>500000</v>
      </c>
      <c r="Y606" s="149">
        <v>45218</v>
      </c>
      <c r="Z606" s="122" t="s">
        <v>10</v>
      </c>
      <c r="AA606" s="118" t="s">
        <v>177</v>
      </c>
      <c r="AB606" s="118">
        <v>24</v>
      </c>
      <c r="AC606" s="118" t="s">
        <v>10</v>
      </c>
      <c r="AD606" s="118">
        <v>180</v>
      </c>
      <c r="AE606" s="145">
        <f>Tabla1[[#This Row],[Cierre]]+Tabla1[[#This Row],[Vigencia Oferta (días)]]</f>
        <v>45188.666666666701</v>
      </c>
      <c r="AF606" s="90"/>
      <c r="AG606" s="64"/>
      <c r="AH606" s="168">
        <f>Tabla1[[#This Row],[Unidades2]]*Tabla1[[#This Row],[Precio Unitario]]</f>
        <v>0</v>
      </c>
      <c r="AI606" s="118" t="s">
        <v>44</v>
      </c>
      <c r="AJ606" s="149" t="s">
        <v>3124</v>
      </c>
      <c r="AK606" s="125" t="e">
        <f>Tabla1[[#This Row],[Fecha Vigencia]]-AJ606</f>
        <v>#VALUE!</v>
      </c>
      <c r="AL606" s="65" t="s">
        <v>45</v>
      </c>
      <c r="AM606" s="90">
        <v>515563897</v>
      </c>
      <c r="AN606" s="65"/>
      <c r="AO606" s="181"/>
      <c r="AP606" s="65"/>
      <c r="AQ606" s="66"/>
      <c r="AR606" s="65"/>
      <c r="AS606" s="65"/>
      <c r="AT606" s="65"/>
      <c r="AU606" s="65"/>
      <c r="AV606" s="65"/>
      <c r="AW606" s="65"/>
      <c r="AX606" s="65"/>
      <c r="AY606" s="118"/>
      <c r="AZ606" s="118"/>
      <c r="BA606" s="118"/>
      <c r="BB606" s="124"/>
      <c r="BC606" s="73"/>
    </row>
    <row r="607" spans="1:55" ht="11.25" x14ac:dyDescent="0.2">
      <c r="A607" s="117" t="s">
        <v>3125</v>
      </c>
      <c r="B607" s="118" t="s">
        <v>3126</v>
      </c>
      <c r="C607" s="118" t="s">
        <v>3127</v>
      </c>
      <c r="D607" s="119" t="s">
        <v>3128</v>
      </c>
      <c r="E607" s="38" t="s">
        <v>3129</v>
      </c>
      <c r="F607" s="39">
        <v>1</v>
      </c>
      <c r="G607" s="118" t="s">
        <v>16</v>
      </c>
      <c r="H607" s="118" t="s">
        <v>123</v>
      </c>
      <c r="I607" s="40">
        <v>44977.519423645797</v>
      </c>
      <c r="J607" s="24">
        <f>MONTH(Tabla1[[#This Row],[Publicación]])</f>
        <v>2</v>
      </c>
      <c r="K607" s="24">
        <f>YEAR(Tabla1[[#This Row],[Publicación]])</f>
        <v>2023</v>
      </c>
      <c r="L607" s="40">
        <v>44987.708333333299</v>
      </c>
      <c r="M607" s="41">
        <v>44978</v>
      </c>
      <c r="N607" s="120" t="s">
        <v>10</v>
      </c>
      <c r="O607" s="40" t="s">
        <v>33</v>
      </c>
      <c r="P607" s="24" t="s">
        <v>10</v>
      </c>
      <c r="Q607" s="121"/>
      <c r="R607" s="121"/>
      <c r="S607" s="19"/>
      <c r="T607" s="27">
        <v>0</v>
      </c>
      <c r="U607" s="28">
        <f>Tabla1[[#This Row],[PPTO]]/(1+'Lista Datos'!$B$1)</f>
        <v>0</v>
      </c>
      <c r="V607" s="65"/>
      <c r="W607" s="122"/>
      <c r="X607" s="123"/>
      <c r="Y607" s="122"/>
      <c r="Z607" s="122"/>
      <c r="AA607" s="118"/>
      <c r="AB607" s="118"/>
      <c r="AC607" s="118"/>
      <c r="AD607" s="118"/>
      <c r="AE607" s="145">
        <f>Tabla1[[#This Row],[Cierre]]+Tabla1[[#This Row],[Vigencia Oferta (días)]]</f>
        <v>44987.708333333299</v>
      </c>
      <c r="AF607" s="90"/>
      <c r="AG607" s="64"/>
      <c r="AH607" s="168">
        <f>Tabla1[[#This Row],[Unidades2]]*Tabla1[[#This Row],[Precio Unitario]]</f>
        <v>0</v>
      </c>
      <c r="AI607" s="118" t="s">
        <v>270</v>
      </c>
      <c r="AJ607" s="149"/>
      <c r="AK607" s="125">
        <f>Tabla1[[#This Row],[Fecha Vigencia]]-AJ607</f>
        <v>44987.708333333299</v>
      </c>
      <c r="AL607" s="65"/>
      <c r="AM607" s="90"/>
      <c r="AN607" s="65"/>
      <c r="AO607" s="181"/>
      <c r="AP607" s="65"/>
      <c r="AQ607" s="66"/>
      <c r="AR607" s="65"/>
      <c r="AS607" s="65"/>
      <c r="AT607" s="65"/>
      <c r="AU607" s="65"/>
      <c r="AV607" s="65"/>
      <c r="AW607" s="65"/>
      <c r="AX607" s="65"/>
      <c r="AY607" s="118"/>
      <c r="AZ607" s="118"/>
      <c r="BA607" s="118"/>
      <c r="BB607" s="124"/>
      <c r="BC607" s="73"/>
    </row>
    <row r="608" spans="1:55" ht="11.25" x14ac:dyDescent="0.2">
      <c r="A608" s="117" t="s">
        <v>3130</v>
      </c>
      <c r="B608" s="118" t="s">
        <v>3131</v>
      </c>
      <c r="C608" s="118" t="s">
        <v>3132</v>
      </c>
      <c r="D608" s="119" t="s">
        <v>264</v>
      </c>
      <c r="E608" s="38" t="s">
        <v>3133</v>
      </c>
      <c r="F608" s="39">
        <v>72</v>
      </c>
      <c r="G608" s="118" t="s">
        <v>16</v>
      </c>
      <c r="H608" s="118" t="s">
        <v>1596</v>
      </c>
      <c r="I608" s="40">
        <v>44978.728003854201</v>
      </c>
      <c r="J608" s="24">
        <f>MONTH(Tabla1[[#This Row],[Publicación]])</f>
        <v>2</v>
      </c>
      <c r="K608" s="24">
        <f>YEAR(Tabla1[[#This Row],[Publicación]])</f>
        <v>2023</v>
      </c>
      <c r="L608" s="40">
        <v>44991.625</v>
      </c>
      <c r="M608" s="41">
        <v>44979</v>
      </c>
      <c r="N608" s="120" t="s">
        <v>11</v>
      </c>
      <c r="O608" s="40"/>
      <c r="P608" s="24" t="s">
        <v>11</v>
      </c>
      <c r="Q608" s="147">
        <v>44984.625</v>
      </c>
      <c r="R608" s="147">
        <v>44986.708333333336</v>
      </c>
      <c r="S608" s="148">
        <v>45048.625</v>
      </c>
      <c r="T608" s="42">
        <v>290000000</v>
      </c>
      <c r="U608" s="28">
        <f>Tabla1[[#This Row],[PPTO]]/(1+'Lista Datos'!$B$1)</f>
        <v>243697478.99159664</v>
      </c>
      <c r="V608" s="65"/>
      <c r="W608" s="122" t="s">
        <v>11</v>
      </c>
      <c r="X608" s="123">
        <v>500000</v>
      </c>
      <c r="Y608" s="149">
        <v>45168</v>
      </c>
      <c r="Z608" s="122" t="s">
        <v>2783</v>
      </c>
      <c r="AA608" s="118" t="s">
        <v>177</v>
      </c>
      <c r="AB608" s="118">
        <v>18</v>
      </c>
      <c r="AC608" s="23" t="s">
        <v>10</v>
      </c>
      <c r="AD608" s="118"/>
      <c r="AE608" s="145">
        <f>Tabla1[[#This Row],[Cierre]]+Tabla1[[#This Row],[Vigencia Oferta (días)]]</f>
        <v>44991.625</v>
      </c>
      <c r="AF608" s="90"/>
      <c r="AG608" s="64"/>
      <c r="AH608" s="168">
        <f>Tabla1[[#This Row],[Unidades2]]*Tabla1[[#This Row],[Precio Unitario]]</f>
        <v>0</v>
      </c>
      <c r="AI608" s="37" t="s">
        <v>44</v>
      </c>
      <c r="AJ608" s="149">
        <v>45001</v>
      </c>
      <c r="AK608" s="125">
        <f>Tabla1[[#This Row],[Fecha Vigencia]]-AJ608</f>
        <v>-9.375</v>
      </c>
      <c r="AL608" s="65" t="s">
        <v>45</v>
      </c>
      <c r="AM608" s="90">
        <v>154367676</v>
      </c>
      <c r="AN608" s="181">
        <v>45001</v>
      </c>
      <c r="AO608" s="181">
        <v>45551</v>
      </c>
      <c r="AP608" s="65" t="s">
        <v>177</v>
      </c>
      <c r="AQ608" s="66"/>
      <c r="AR608" s="65"/>
      <c r="AS608" s="65"/>
      <c r="AT608" s="65"/>
      <c r="AU608" s="65"/>
      <c r="AV608" s="65"/>
      <c r="AW608" s="65"/>
      <c r="AX608" s="65"/>
      <c r="AY608" s="118"/>
      <c r="AZ608" s="118"/>
      <c r="BA608" s="118"/>
      <c r="BB608" s="124"/>
      <c r="BC608" s="73"/>
    </row>
    <row r="609" spans="1:55" ht="11.25" x14ac:dyDescent="0.2">
      <c r="A609" s="117" t="s">
        <v>3134</v>
      </c>
      <c r="B609" s="118" t="s">
        <v>3135</v>
      </c>
      <c r="C609" s="118" t="s">
        <v>3136</v>
      </c>
      <c r="D609" s="119" t="s">
        <v>3137</v>
      </c>
      <c r="E609" s="38" t="s">
        <v>3138</v>
      </c>
      <c r="F609" s="39">
        <v>1</v>
      </c>
      <c r="G609" s="118" t="s">
        <v>16</v>
      </c>
      <c r="H609" s="118" t="s">
        <v>520</v>
      </c>
      <c r="I609" s="40">
        <v>44978.457960914398</v>
      </c>
      <c r="J609" s="24">
        <f>MONTH(Tabla1[[#This Row],[Publicación]])</f>
        <v>2</v>
      </c>
      <c r="K609" s="24">
        <f>YEAR(Tabla1[[#This Row],[Publicación]])</f>
        <v>2023</v>
      </c>
      <c r="L609" s="40">
        <v>44991.708333333299</v>
      </c>
      <c r="M609" s="41">
        <v>44979</v>
      </c>
      <c r="N609" s="120" t="s">
        <v>11</v>
      </c>
      <c r="O609" s="40"/>
      <c r="P609" s="24" t="s">
        <v>11</v>
      </c>
      <c r="Q609" s="147">
        <v>44981.729166666664</v>
      </c>
      <c r="R609" s="147">
        <v>44984.729861111111</v>
      </c>
      <c r="S609" s="148">
        <v>45030.692361111112</v>
      </c>
      <c r="T609" s="27">
        <v>0</v>
      </c>
      <c r="U609" s="28">
        <f>Tabla1[[#This Row],[PPTO]]/(1+'Lista Datos'!$B$1)</f>
        <v>0</v>
      </c>
      <c r="V609" s="65"/>
      <c r="W609" s="122" t="s">
        <v>10</v>
      </c>
      <c r="X609" s="123"/>
      <c r="Y609" s="122"/>
      <c r="Z609" s="122" t="s">
        <v>10</v>
      </c>
      <c r="AA609" s="118"/>
      <c r="AB609" s="118"/>
      <c r="AC609" s="23" t="s">
        <v>10</v>
      </c>
      <c r="AD609" s="118"/>
      <c r="AE609" s="145">
        <f>Tabla1[[#This Row],[Cierre]]+Tabla1[[#This Row],[Vigencia Oferta (días)]]</f>
        <v>44991.708333333299</v>
      </c>
      <c r="AF609" s="90"/>
      <c r="AG609" s="64"/>
      <c r="AH609" s="168">
        <f>Tabla1[[#This Row],[Unidades2]]*Tabla1[[#This Row],[Precio Unitario]]</f>
        <v>0</v>
      </c>
      <c r="AI609" s="37" t="s">
        <v>385</v>
      </c>
      <c r="AJ609" s="149"/>
      <c r="AK609" s="125">
        <f>Tabla1[[#This Row],[Fecha Vigencia]]-AJ609</f>
        <v>44991.708333333299</v>
      </c>
      <c r="AL609" s="65"/>
      <c r="AM609" s="90"/>
      <c r="AN609" s="65"/>
      <c r="AO609" s="181"/>
      <c r="AP609" s="65"/>
      <c r="AQ609" s="66"/>
      <c r="AR609" s="65"/>
      <c r="AS609" s="65"/>
      <c r="AT609" s="65"/>
      <c r="AU609" s="65"/>
      <c r="AV609" s="65"/>
      <c r="AW609" s="65"/>
      <c r="AX609" s="65"/>
      <c r="AY609" s="118"/>
      <c r="AZ609" s="118"/>
      <c r="BA609" s="118"/>
      <c r="BB609" s="124"/>
      <c r="BC609" s="73"/>
    </row>
    <row r="610" spans="1:55" ht="11.25" x14ac:dyDescent="0.2">
      <c r="A610" s="117" t="s">
        <v>3139</v>
      </c>
      <c r="B610" s="118" t="s">
        <v>3140</v>
      </c>
      <c r="C610" s="118" t="s">
        <v>3141</v>
      </c>
      <c r="D610" s="119" t="s">
        <v>1008</v>
      </c>
      <c r="E610" s="38" t="s">
        <v>3142</v>
      </c>
      <c r="F610" s="39">
        <v>1</v>
      </c>
      <c r="G610" s="118" t="s">
        <v>16</v>
      </c>
      <c r="H610" s="118" t="s">
        <v>1983</v>
      </c>
      <c r="I610" s="40">
        <v>44979.620775462965</v>
      </c>
      <c r="J610" s="24">
        <f>MONTH(Tabla1[[#This Row],[Publicación]])</f>
        <v>2</v>
      </c>
      <c r="K610" s="24">
        <f>YEAR(Tabla1[[#This Row],[Publicación]])</f>
        <v>2023</v>
      </c>
      <c r="L610" s="40">
        <v>44999.666666666664</v>
      </c>
      <c r="M610" s="41">
        <v>44979</v>
      </c>
      <c r="N610" s="120" t="s">
        <v>11</v>
      </c>
      <c r="O610" s="40"/>
      <c r="P610" s="24" t="s">
        <v>11</v>
      </c>
      <c r="Q610" s="147">
        <v>44985.666666666664</v>
      </c>
      <c r="R610" s="147">
        <v>44988.666666666664</v>
      </c>
      <c r="S610" s="148">
        <v>45061.759722222225</v>
      </c>
      <c r="T610" s="27">
        <v>0</v>
      </c>
      <c r="U610" s="28">
        <f>Tabla1[[#This Row],[PPTO]]/(1+'Lista Datos'!$B$1)</f>
        <v>0</v>
      </c>
      <c r="V610" s="65"/>
      <c r="W610" s="122" t="s">
        <v>11</v>
      </c>
      <c r="X610" s="123">
        <v>500000</v>
      </c>
      <c r="Y610" s="149">
        <v>44925</v>
      </c>
      <c r="Z610" s="122" t="s">
        <v>2783</v>
      </c>
      <c r="AA610" s="118" t="s">
        <v>177</v>
      </c>
      <c r="AB610" s="118">
        <v>36</v>
      </c>
      <c r="AC610" s="23" t="s">
        <v>10</v>
      </c>
      <c r="AD610" s="118"/>
      <c r="AE610" s="145">
        <f>Tabla1[[#This Row],[Cierre]]+Tabla1[[#This Row],[Vigencia Oferta (días)]]</f>
        <v>44999.666666666664</v>
      </c>
      <c r="AF610" s="90"/>
      <c r="AG610" s="64"/>
      <c r="AH610" s="168">
        <f>Tabla1[[#This Row],[Unidades2]]*Tabla1[[#This Row],[Precio Unitario]]</f>
        <v>0</v>
      </c>
      <c r="AI610" s="118" t="s">
        <v>44</v>
      </c>
      <c r="AJ610" s="149">
        <v>45028</v>
      </c>
      <c r="AK610" s="125">
        <f>Tabla1[[#This Row],[Fecha Vigencia]]-AJ610</f>
        <v>-28.333333333335759</v>
      </c>
      <c r="AL610" s="65" t="s">
        <v>115</v>
      </c>
      <c r="AM610" s="90">
        <v>255000000</v>
      </c>
      <c r="AN610" s="181">
        <v>45028</v>
      </c>
      <c r="AO610" s="181">
        <v>46124</v>
      </c>
      <c r="AP610" s="65" t="s">
        <v>177</v>
      </c>
      <c r="AQ610" s="66" t="s">
        <v>554</v>
      </c>
      <c r="AR610" s="65" t="s">
        <v>11</v>
      </c>
      <c r="AS610" s="195">
        <v>0.1</v>
      </c>
      <c r="AT610" s="181">
        <v>46325</v>
      </c>
      <c r="AU610" s="118" t="s">
        <v>3143</v>
      </c>
      <c r="AV610" s="118" t="s">
        <v>3144</v>
      </c>
      <c r="AW610" s="118" t="s">
        <v>1009</v>
      </c>
      <c r="AX610" s="118" t="s">
        <v>2193</v>
      </c>
      <c r="AY610" s="118"/>
      <c r="AZ610" s="118"/>
      <c r="BA610" s="118"/>
      <c r="BB610" s="124"/>
      <c r="BC610" s="73"/>
    </row>
    <row r="611" spans="1:55" ht="11.25" x14ac:dyDescent="0.2">
      <c r="A611" s="117" t="s">
        <v>3145</v>
      </c>
      <c r="B611" s="118" t="s">
        <v>3146</v>
      </c>
      <c r="C611" s="118" t="s">
        <v>3147</v>
      </c>
      <c r="D611" s="119" t="s">
        <v>1965</v>
      </c>
      <c r="E611" s="38" t="s">
        <v>3148</v>
      </c>
      <c r="F611" s="39">
        <v>2</v>
      </c>
      <c r="G611" s="118" t="s">
        <v>14</v>
      </c>
      <c r="H611" s="118" t="s">
        <v>145</v>
      </c>
      <c r="I611" s="40">
        <v>44979.717785532397</v>
      </c>
      <c r="J611" s="24">
        <f>MONTH(Tabla1[[#This Row],[Publicación]])</f>
        <v>2</v>
      </c>
      <c r="K611" s="24">
        <f>YEAR(Tabla1[[#This Row],[Publicación]])</f>
        <v>2023</v>
      </c>
      <c r="L611" s="40">
        <v>44991.666666666701</v>
      </c>
      <c r="M611" s="41">
        <v>44980</v>
      </c>
      <c r="N611" s="120" t="s">
        <v>10</v>
      </c>
      <c r="O611" s="40" t="s">
        <v>27</v>
      </c>
      <c r="P611" s="24" t="s">
        <v>10</v>
      </c>
      <c r="Q611" s="121"/>
      <c r="R611" s="121"/>
      <c r="S611" s="19"/>
      <c r="T611" s="27">
        <v>0</v>
      </c>
      <c r="U611" s="28">
        <f>Tabla1[[#This Row],[PPTO]]/(1+'Lista Datos'!$B$1)</f>
        <v>0</v>
      </c>
      <c r="V611" s="65"/>
      <c r="W611" s="122"/>
      <c r="X611" s="123"/>
      <c r="Y611" s="122"/>
      <c r="Z611" s="122"/>
      <c r="AA611" s="118"/>
      <c r="AB611" s="118"/>
      <c r="AC611" s="118"/>
      <c r="AD611" s="118"/>
      <c r="AE611" s="145">
        <f>Tabla1[[#This Row],[Cierre]]+Tabla1[[#This Row],[Vigencia Oferta (días)]]</f>
        <v>44991.666666666701</v>
      </c>
      <c r="AF611" s="90"/>
      <c r="AG611" s="64"/>
      <c r="AH611" s="168">
        <f>Tabla1[[#This Row],[Unidades2]]*Tabla1[[#This Row],[Precio Unitario]]</f>
        <v>0</v>
      </c>
      <c r="AI611" s="118" t="s">
        <v>270</v>
      </c>
      <c r="AJ611" s="149"/>
      <c r="AK611" s="125">
        <f>Tabla1[[#This Row],[Fecha Vigencia]]-AJ611</f>
        <v>44991.666666666701</v>
      </c>
      <c r="AL611" s="65"/>
      <c r="AM611" s="90"/>
      <c r="AN611" s="65"/>
      <c r="AO611" s="181"/>
      <c r="AP611" s="65"/>
      <c r="AQ611" s="66"/>
      <c r="AR611" s="65"/>
      <c r="AS611" s="65"/>
      <c r="AT611" s="65"/>
      <c r="AU611" s="65"/>
      <c r="AV611" s="65"/>
      <c r="AW611" s="65"/>
      <c r="AX611" s="65"/>
      <c r="AY611" s="118"/>
      <c r="AZ611" s="118"/>
      <c r="BA611" s="118"/>
      <c r="BB611" s="124"/>
      <c r="BC611" s="73"/>
    </row>
    <row r="612" spans="1:55" ht="11.25" x14ac:dyDescent="0.2">
      <c r="A612" s="117" t="s">
        <v>3149</v>
      </c>
      <c r="B612" s="118" t="s">
        <v>3150</v>
      </c>
      <c r="C612" s="118" t="s">
        <v>3151</v>
      </c>
      <c r="D612" s="119" t="s">
        <v>3152</v>
      </c>
      <c r="E612" s="38" t="s">
        <v>3153</v>
      </c>
      <c r="F612" s="39">
        <v>1</v>
      </c>
      <c r="G612" s="118" t="s">
        <v>18</v>
      </c>
      <c r="H612" s="118" t="s">
        <v>213</v>
      </c>
      <c r="I612" s="40">
        <v>44979.6872526968</v>
      </c>
      <c r="J612" s="24">
        <f>MONTH(Tabla1[[#This Row],[Publicación]])</f>
        <v>2</v>
      </c>
      <c r="K612" s="24">
        <f>YEAR(Tabla1[[#This Row],[Publicación]])</f>
        <v>2023</v>
      </c>
      <c r="L612" s="40">
        <v>44991.675694444399</v>
      </c>
      <c r="M612" s="41">
        <v>44980</v>
      </c>
      <c r="N612" s="120" t="s">
        <v>10</v>
      </c>
      <c r="O612" s="40" t="s">
        <v>28</v>
      </c>
      <c r="P612" s="24" t="s">
        <v>10</v>
      </c>
      <c r="Q612" s="121"/>
      <c r="R612" s="121"/>
      <c r="S612" s="19"/>
      <c r="T612" s="27">
        <v>0</v>
      </c>
      <c r="U612" s="28">
        <f>Tabla1[[#This Row],[PPTO]]/(1+'Lista Datos'!$B$1)</f>
        <v>0</v>
      </c>
      <c r="V612" s="65"/>
      <c r="W612" s="122"/>
      <c r="X612" s="123"/>
      <c r="Y612" s="122"/>
      <c r="Z612" s="122"/>
      <c r="AA612" s="118"/>
      <c r="AB612" s="118"/>
      <c r="AC612" s="118"/>
      <c r="AD612" s="118"/>
      <c r="AE612" s="145">
        <f>Tabla1[[#This Row],[Cierre]]+Tabla1[[#This Row],[Vigencia Oferta (días)]]</f>
        <v>44991.675694444399</v>
      </c>
      <c r="AF612" s="90"/>
      <c r="AG612" s="64"/>
      <c r="AH612" s="168">
        <f>Tabla1[[#This Row],[Unidades2]]*Tabla1[[#This Row],[Precio Unitario]]</f>
        <v>0</v>
      </c>
      <c r="AI612" s="118" t="s">
        <v>270</v>
      </c>
      <c r="AJ612" s="149"/>
      <c r="AK612" s="125">
        <f>Tabla1[[#This Row],[Fecha Vigencia]]-AJ612</f>
        <v>44991.675694444399</v>
      </c>
      <c r="AL612" s="65"/>
      <c r="AM612" s="90"/>
      <c r="AN612" s="65"/>
      <c r="AO612" s="181"/>
      <c r="AP612" s="65"/>
      <c r="AQ612" s="66"/>
      <c r="AR612" s="65"/>
      <c r="AS612" s="65"/>
      <c r="AT612" s="65"/>
      <c r="AU612" s="65"/>
      <c r="AV612" s="65"/>
      <c r="AW612" s="65"/>
      <c r="AX612" s="65"/>
      <c r="AY612" s="118"/>
      <c r="AZ612" s="118"/>
      <c r="BA612" s="118"/>
      <c r="BB612" s="124"/>
      <c r="BC612" s="73"/>
    </row>
    <row r="613" spans="1:55" ht="11.25" x14ac:dyDescent="0.2">
      <c r="A613" s="117" t="s">
        <v>3154</v>
      </c>
      <c r="B613" s="118" t="s">
        <v>3155</v>
      </c>
      <c r="C613" s="118" t="s">
        <v>3156</v>
      </c>
      <c r="D613" s="119" t="s">
        <v>2101</v>
      </c>
      <c r="E613" s="38" t="s">
        <v>3157</v>
      </c>
      <c r="F613" s="39">
        <v>1</v>
      </c>
      <c r="G613" s="118" t="s">
        <v>16</v>
      </c>
      <c r="H613" s="118" t="s">
        <v>520</v>
      </c>
      <c r="I613" s="40">
        <v>44979.627193749999</v>
      </c>
      <c r="J613" s="24">
        <f>MONTH(Tabla1[[#This Row],[Publicación]])</f>
        <v>2</v>
      </c>
      <c r="K613" s="24">
        <f>YEAR(Tabla1[[#This Row],[Publicación]])</f>
        <v>2023</v>
      </c>
      <c r="L613" s="40">
        <v>44993.416666666701</v>
      </c>
      <c r="M613" s="41">
        <v>44980</v>
      </c>
      <c r="N613" s="120" t="s">
        <v>10</v>
      </c>
      <c r="O613" s="40" t="s">
        <v>35</v>
      </c>
      <c r="P613" s="38"/>
      <c r="Q613" s="147">
        <v>44985.5</v>
      </c>
      <c r="R613" s="147">
        <v>44987.6875</v>
      </c>
      <c r="S613" s="148">
        <v>45030.666666666664</v>
      </c>
      <c r="T613" s="27">
        <v>0</v>
      </c>
      <c r="U613" s="28">
        <f>Tabla1[[#This Row],[PPTO]]/(1+'Lista Datos'!$B$1)</f>
        <v>0</v>
      </c>
      <c r="V613" s="65"/>
      <c r="W613" s="122" t="s">
        <v>11</v>
      </c>
      <c r="X613" s="123">
        <v>400000</v>
      </c>
      <c r="Y613" s="149">
        <v>45083</v>
      </c>
      <c r="Z613" s="122" t="s">
        <v>10</v>
      </c>
      <c r="AA613" s="118" t="s">
        <v>177</v>
      </c>
      <c r="AB613" s="118">
        <v>18</v>
      </c>
      <c r="AC613" s="118"/>
      <c r="AD613" s="118"/>
      <c r="AE613" s="145">
        <f>Tabla1[[#This Row],[Cierre]]+Tabla1[[#This Row],[Vigencia Oferta (días)]]</f>
        <v>44993.416666666701</v>
      </c>
      <c r="AF613" s="90"/>
      <c r="AG613" s="64"/>
      <c r="AH613" s="168">
        <f>Tabla1[[#This Row],[Unidades2]]*Tabla1[[#This Row],[Precio Unitario]]</f>
        <v>0</v>
      </c>
      <c r="AI613" s="118" t="s">
        <v>270</v>
      </c>
      <c r="AJ613" s="149"/>
      <c r="AK613" s="125">
        <f>Tabla1[[#This Row],[Fecha Vigencia]]-AJ613</f>
        <v>44993.416666666701</v>
      </c>
      <c r="AL613" s="65"/>
      <c r="AM613" s="90"/>
      <c r="AN613" s="65"/>
      <c r="AO613" s="181"/>
      <c r="AP613" s="65"/>
      <c r="AQ613" s="66"/>
      <c r="AR613" s="65"/>
      <c r="AS613" s="65"/>
      <c r="AT613" s="65"/>
      <c r="AU613" s="65"/>
      <c r="AV613" s="65"/>
      <c r="AW613" s="65"/>
      <c r="AX613" s="65"/>
      <c r="AY613" s="118"/>
      <c r="AZ613" s="118"/>
      <c r="BA613" s="118"/>
      <c r="BB613" s="124"/>
      <c r="BC613" s="73"/>
    </row>
    <row r="614" spans="1:55" ht="11.25" x14ac:dyDescent="0.2">
      <c r="A614" s="117" t="s">
        <v>3158</v>
      </c>
      <c r="B614" s="118" t="s">
        <v>3159</v>
      </c>
      <c r="C614" s="118" t="s">
        <v>3160</v>
      </c>
      <c r="D614" s="119" t="s">
        <v>3161</v>
      </c>
      <c r="E614" s="38" t="s">
        <v>3162</v>
      </c>
      <c r="F614" s="39">
        <v>2800</v>
      </c>
      <c r="G614" s="118" t="s">
        <v>21</v>
      </c>
      <c r="H614" s="118" t="s">
        <v>106</v>
      </c>
      <c r="I614" s="40">
        <v>44979.579524537003</v>
      </c>
      <c r="J614" s="24">
        <f>MONTH(Tabla1[[#This Row],[Publicación]])</f>
        <v>2</v>
      </c>
      <c r="K614" s="24">
        <f>YEAR(Tabla1[[#This Row],[Publicación]])</f>
        <v>2023</v>
      </c>
      <c r="L614" s="40">
        <v>44999.708333333299</v>
      </c>
      <c r="M614" s="41">
        <v>44980</v>
      </c>
      <c r="N614" s="120" t="s">
        <v>10</v>
      </c>
      <c r="O614" s="40" t="s">
        <v>27</v>
      </c>
      <c r="P614" s="38" t="s">
        <v>10</v>
      </c>
      <c r="Q614" s="147">
        <v>44989.880555555559</v>
      </c>
      <c r="R614" s="147">
        <v>44994.880555555559</v>
      </c>
      <c r="S614" s="148">
        <v>45061.791666666664</v>
      </c>
      <c r="T614" s="27">
        <v>0</v>
      </c>
      <c r="U614" s="28">
        <f>Tabla1[[#This Row],[PPTO]]/(1+'Lista Datos'!$B$1)</f>
        <v>0</v>
      </c>
      <c r="V614" s="65"/>
      <c r="W614" s="122" t="s">
        <v>11</v>
      </c>
      <c r="X614" s="123">
        <v>500000</v>
      </c>
      <c r="Y614" s="149">
        <v>45179</v>
      </c>
      <c r="Z614" s="122" t="s">
        <v>10</v>
      </c>
      <c r="AA614" s="118" t="s">
        <v>177</v>
      </c>
      <c r="AB614" s="118">
        <v>24</v>
      </c>
      <c r="AC614" s="118"/>
      <c r="AD614" s="118"/>
      <c r="AE614" s="145">
        <f>Tabla1[[#This Row],[Cierre]]+Tabla1[[#This Row],[Vigencia Oferta (días)]]</f>
        <v>44999.708333333299</v>
      </c>
      <c r="AF614" s="90">
        <v>2800</v>
      </c>
      <c r="AG614" s="64">
        <v>1500</v>
      </c>
      <c r="AH614" s="168">
        <f>Tabla1[[#This Row],[Unidades2]]*Tabla1[[#This Row],[Precio Unitario]]</f>
        <v>4200000</v>
      </c>
      <c r="AI614" s="118" t="s">
        <v>270</v>
      </c>
      <c r="AJ614" s="149"/>
      <c r="AK614" s="125">
        <f>Tabla1[[#This Row],[Fecha Vigencia]]-AJ614</f>
        <v>44999.708333333299</v>
      </c>
      <c r="AL614" s="65"/>
      <c r="AM614" s="90"/>
      <c r="AN614" s="65"/>
      <c r="AO614" s="181"/>
      <c r="AP614" s="65"/>
      <c r="AQ614" s="66"/>
      <c r="AR614" s="65"/>
      <c r="AS614" s="65"/>
      <c r="AT614" s="65"/>
      <c r="AU614" s="65"/>
      <c r="AV614" s="65"/>
      <c r="AW614" s="65"/>
      <c r="AX614" s="65"/>
      <c r="AY614" s="118"/>
      <c r="AZ614" s="118"/>
      <c r="BA614" s="118"/>
      <c r="BB614" s="124"/>
      <c r="BC614" s="73"/>
    </row>
    <row r="615" spans="1:55" ht="11.25" x14ac:dyDescent="0.2">
      <c r="A615" s="117" t="s">
        <v>3163</v>
      </c>
      <c r="B615" s="118" t="s">
        <v>3164</v>
      </c>
      <c r="C615" s="118" t="s">
        <v>3165</v>
      </c>
      <c r="D615" s="119" t="s">
        <v>823</v>
      </c>
      <c r="E615" s="38" t="s">
        <v>3166</v>
      </c>
      <c r="F615" s="39">
        <v>1</v>
      </c>
      <c r="G615" s="118" t="s">
        <v>18</v>
      </c>
      <c r="H615" s="118" t="s">
        <v>213</v>
      </c>
      <c r="I615" s="40">
        <v>44979.524226585701</v>
      </c>
      <c r="J615" s="24">
        <f>MONTH(Tabla1[[#This Row],[Publicación]])</f>
        <v>2</v>
      </c>
      <c r="K615" s="24">
        <f>YEAR(Tabla1[[#This Row],[Publicación]])</f>
        <v>2023</v>
      </c>
      <c r="L615" s="40">
        <v>44985.586805555598</v>
      </c>
      <c r="M615" s="41">
        <v>44980</v>
      </c>
      <c r="N615" s="120" t="s">
        <v>10</v>
      </c>
      <c r="O615" s="40" t="s">
        <v>28</v>
      </c>
      <c r="P615" s="24" t="s">
        <v>10</v>
      </c>
      <c r="Q615" s="121"/>
      <c r="R615" s="121"/>
      <c r="S615" s="19"/>
      <c r="T615" s="27">
        <v>0</v>
      </c>
      <c r="U615" s="28">
        <f>Tabla1[[#This Row],[PPTO]]/(1+'Lista Datos'!$B$1)</f>
        <v>0</v>
      </c>
      <c r="V615" s="65"/>
      <c r="W615" s="122"/>
      <c r="X615" s="123"/>
      <c r="Y615" s="122"/>
      <c r="Z615" s="122"/>
      <c r="AA615" s="118"/>
      <c r="AB615" s="118"/>
      <c r="AC615" s="118"/>
      <c r="AD615" s="118"/>
      <c r="AE615" s="145">
        <f>Tabla1[[#This Row],[Cierre]]+Tabla1[[#This Row],[Vigencia Oferta (días)]]</f>
        <v>44985.586805555598</v>
      </c>
      <c r="AF615" s="90"/>
      <c r="AG615" s="64"/>
      <c r="AH615" s="168">
        <f>Tabla1[[#This Row],[Unidades2]]*Tabla1[[#This Row],[Precio Unitario]]</f>
        <v>0</v>
      </c>
      <c r="AI615" s="118" t="s">
        <v>270</v>
      </c>
      <c r="AJ615" s="149"/>
      <c r="AK615" s="125">
        <f>Tabla1[[#This Row],[Fecha Vigencia]]-AJ615</f>
        <v>44985.586805555598</v>
      </c>
      <c r="AL615" s="65"/>
      <c r="AM615" s="90"/>
      <c r="AN615" s="65"/>
      <c r="AO615" s="181"/>
      <c r="AP615" s="65"/>
      <c r="AQ615" s="66"/>
      <c r="AR615" s="65"/>
      <c r="AS615" s="65"/>
      <c r="AT615" s="65"/>
      <c r="AU615" s="65"/>
      <c r="AV615" s="65"/>
      <c r="AW615" s="65"/>
      <c r="AX615" s="65"/>
      <c r="AY615" s="118"/>
      <c r="AZ615" s="118"/>
      <c r="BA615" s="118"/>
      <c r="BB615" s="124"/>
      <c r="BC615" s="73"/>
    </row>
    <row r="616" spans="1:55" ht="11.25" x14ac:dyDescent="0.2">
      <c r="A616" s="117" t="s">
        <v>3167</v>
      </c>
      <c r="B616" s="118" t="s">
        <v>3168</v>
      </c>
      <c r="C616" s="118" t="s">
        <v>3169</v>
      </c>
      <c r="D616" s="119" t="s">
        <v>3170</v>
      </c>
      <c r="E616" s="38" t="s">
        <v>3171</v>
      </c>
      <c r="F616" s="39">
        <v>254</v>
      </c>
      <c r="G616" s="118" t="s">
        <v>21</v>
      </c>
      <c r="H616" s="118" t="s">
        <v>106</v>
      </c>
      <c r="I616" s="40">
        <v>44979.429603506898</v>
      </c>
      <c r="J616" s="24">
        <f>MONTH(Tabla1[[#This Row],[Publicación]])</f>
        <v>2</v>
      </c>
      <c r="K616" s="24">
        <f>YEAR(Tabla1[[#This Row],[Publicación]])</f>
        <v>2023</v>
      </c>
      <c r="L616" s="40">
        <v>44991.625694444403</v>
      </c>
      <c r="M616" s="41">
        <v>44980</v>
      </c>
      <c r="N616" s="120" t="s">
        <v>11</v>
      </c>
      <c r="O616" s="40"/>
      <c r="P616" s="24" t="s">
        <v>11</v>
      </c>
      <c r="Q616" s="147">
        <v>44981.583333333336</v>
      </c>
      <c r="R616" s="147">
        <v>44984.708333333336</v>
      </c>
      <c r="S616" s="148">
        <v>44998.666666666664</v>
      </c>
      <c r="T616" s="42">
        <v>25500000</v>
      </c>
      <c r="U616" s="28">
        <f>Tabla1[[#This Row],[PPTO]]/(1+'Lista Datos'!$B$1)</f>
        <v>21428571.428571429</v>
      </c>
      <c r="V616" s="65">
        <v>30</v>
      </c>
      <c r="W616" s="122" t="s">
        <v>10</v>
      </c>
      <c r="X616" s="123"/>
      <c r="Y616" s="122"/>
      <c r="Z616" s="122" t="s">
        <v>10</v>
      </c>
      <c r="AA616" s="118" t="s">
        <v>512</v>
      </c>
      <c r="AB616" s="118"/>
      <c r="AC616" s="118" t="s">
        <v>10</v>
      </c>
      <c r="AD616" s="118"/>
      <c r="AE616" s="145">
        <f>Tabla1[[#This Row],[Cierre]]+Tabla1[[#This Row],[Vigencia Oferta (días)]]</f>
        <v>44991.625694444403</v>
      </c>
      <c r="AF616" s="90">
        <v>254</v>
      </c>
      <c r="AG616" s="64">
        <v>19081</v>
      </c>
      <c r="AH616" s="168">
        <f>Tabla1[[#This Row],[Unidades2]]*Tabla1[[#This Row],[Precio Unitario]]</f>
        <v>4846574</v>
      </c>
      <c r="AI616" s="37" t="s">
        <v>320</v>
      </c>
      <c r="AJ616" s="149"/>
      <c r="AK616" s="125">
        <f>Tabla1[[#This Row],[Fecha Vigencia]]-AJ616</f>
        <v>44991.625694444403</v>
      </c>
      <c r="AL616" s="65"/>
      <c r="AM616" s="90"/>
      <c r="AN616" s="65"/>
      <c r="AO616" s="181"/>
      <c r="AP616" s="65"/>
      <c r="AQ616" s="66"/>
      <c r="AR616" s="65"/>
      <c r="AS616" s="65"/>
      <c r="AT616" s="65"/>
      <c r="AU616" s="65"/>
      <c r="AV616" s="65"/>
      <c r="AW616" s="65"/>
      <c r="AX616" s="65"/>
      <c r="AY616" s="118"/>
      <c r="AZ616" s="118"/>
      <c r="BA616" s="118"/>
      <c r="BB616" s="124"/>
      <c r="BC616" s="73"/>
    </row>
    <row r="617" spans="1:55" ht="11.25" x14ac:dyDescent="0.2">
      <c r="A617" s="117" t="s">
        <v>3172</v>
      </c>
      <c r="B617" s="118" t="s">
        <v>3173</v>
      </c>
      <c r="C617" s="118" t="s">
        <v>3174</v>
      </c>
      <c r="D617" s="119" t="s">
        <v>3175</v>
      </c>
      <c r="E617" s="38" t="s">
        <v>3176</v>
      </c>
      <c r="F617" s="39">
        <v>1</v>
      </c>
      <c r="G617" s="118" t="s">
        <v>16</v>
      </c>
      <c r="H617" s="118" t="s">
        <v>2511</v>
      </c>
      <c r="I617" s="40">
        <v>44979.402751932903</v>
      </c>
      <c r="J617" s="24">
        <f>MONTH(Tabla1[[#This Row],[Publicación]])</f>
        <v>2</v>
      </c>
      <c r="K617" s="24">
        <f>YEAR(Tabla1[[#This Row],[Publicación]])</f>
        <v>2023</v>
      </c>
      <c r="L617" s="40">
        <v>44984.791666666701</v>
      </c>
      <c r="M617" s="41">
        <v>44980</v>
      </c>
      <c r="N617" s="120" t="s">
        <v>10</v>
      </c>
      <c r="O617" s="40" t="s">
        <v>35</v>
      </c>
      <c r="P617" s="24" t="s">
        <v>10</v>
      </c>
      <c r="Q617" s="121"/>
      <c r="R617" s="121"/>
      <c r="S617" s="19"/>
      <c r="T617" s="27">
        <v>0</v>
      </c>
      <c r="U617" s="28">
        <f>Tabla1[[#This Row],[PPTO]]/(1+'Lista Datos'!$B$1)</f>
        <v>0</v>
      </c>
      <c r="V617" s="65"/>
      <c r="W617" s="122"/>
      <c r="X617" s="123"/>
      <c r="Y617" s="122"/>
      <c r="Z617" s="122"/>
      <c r="AA617" s="118"/>
      <c r="AB617" s="118"/>
      <c r="AC617" s="118"/>
      <c r="AD617" s="118"/>
      <c r="AE617" s="145">
        <f>Tabla1[[#This Row],[Cierre]]+Tabla1[[#This Row],[Vigencia Oferta (días)]]</f>
        <v>44984.791666666701</v>
      </c>
      <c r="AF617" s="90"/>
      <c r="AG617" s="64"/>
      <c r="AH617" s="168">
        <f>Tabla1[[#This Row],[Unidades2]]*Tabla1[[#This Row],[Precio Unitario]]</f>
        <v>0</v>
      </c>
      <c r="AI617" s="118" t="s">
        <v>270</v>
      </c>
      <c r="AJ617" s="149"/>
      <c r="AK617" s="125">
        <f>Tabla1[[#This Row],[Fecha Vigencia]]-AJ617</f>
        <v>44984.791666666701</v>
      </c>
      <c r="AL617" s="65"/>
      <c r="AM617" s="90"/>
      <c r="AN617" s="65"/>
      <c r="AO617" s="181"/>
      <c r="AP617" s="65"/>
      <c r="AQ617" s="66"/>
      <c r="AR617" s="65"/>
      <c r="AS617" s="65"/>
      <c r="AT617" s="65"/>
      <c r="AU617" s="65"/>
      <c r="AV617" s="65"/>
      <c r="AW617" s="65"/>
      <c r="AX617" s="65"/>
      <c r="AY617" s="118"/>
      <c r="AZ617" s="118"/>
      <c r="BA617" s="118"/>
      <c r="BB617" s="124"/>
      <c r="BC617" s="73"/>
    </row>
    <row r="618" spans="1:55" ht="11.25" x14ac:dyDescent="0.2">
      <c r="A618" s="117" t="s">
        <v>3177</v>
      </c>
      <c r="B618" s="118" t="s">
        <v>3178</v>
      </c>
      <c r="C618" s="118" t="s">
        <v>3178</v>
      </c>
      <c r="D618" s="119" t="s">
        <v>3179</v>
      </c>
      <c r="E618" s="38" t="s">
        <v>3180</v>
      </c>
      <c r="F618" s="39">
        <v>300</v>
      </c>
      <c r="G618" s="118" t="s">
        <v>16</v>
      </c>
      <c r="H618" s="118" t="s">
        <v>533</v>
      </c>
      <c r="I618" s="40">
        <v>44979.401079247698</v>
      </c>
      <c r="J618" s="24">
        <f>MONTH(Tabla1[[#This Row],[Publicación]])</f>
        <v>2</v>
      </c>
      <c r="K618" s="24">
        <f>YEAR(Tabla1[[#This Row],[Publicación]])</f>
        <v>2023</v>
      </c>
      <c r="L618" s="40">
        <v>44991.677083333299</v>
      </c>
      <c r="M618" s="41">
        <v>44980</v>
      </c>
      <c r="N618" s="120" t="s">
        <v>11</v>
      </c>
      <c r="O618" s="40"/>
      <c r="P618" s="24" t="s">
        <v>11</v>
      </c>
      <c r="Q618" s="147">
        <v>44982.517361111109</v>
      </c>
      <c r="R618" s="147">
        <v>44983.517361111109</v>
      </c>
      <c r="S618" s="148">
        <v>44992.677777777775</v>
      </c>
      <c r="T618" s="27">
        <v>0</v>
      </c>
      <c r="U618" s="28">
        <f>Tabla1[[#This Row],[PPTO]]/(1+'Lista Datos'!$B$1)</f>
        <v>0</v>
      </c>
      <c r="V618" s="65"/>
      <c r="W618" s="122" t="s">
        <v>10</v>
      </c>
      <c r="X618" s="123"/>
      <c r="Y618" s="122"/>
      <c r="Z618" s="122" t="s">
        <v>10</v>
      </c>
      <c r="AA618" s="118" t="s">
        <v>177</v>
      </c>
      <c r="AB618" s="118">
        <v>12</v>
      </c>
      <c r="AC618" s="23" t="s">
        <v>10</v>
      </c>
      <c r="AD618" s="118"/>
      <c r="AE618" s="145">
        <f>Tabla1[[#This Row],[Cierre]]+Tabla1[[#This Row],[Vigencia Oferta (días)]]</f>
        <v>44991.677083333299</v>
      </c>
      <c r="AF618" s="90"/>
      <c r="AG618" s="64"/>
      <c r="AH618" s="168">
        <f>Tabla1[[#This Row],[Unidades2]]*Tabla1[[#This Row],[Precio Unitario]]</f>
        <v>0</v>
      </c>
      <c r="AI618" s="37" t="s">
        <v>44</v>
      </c>
      <c r="AJ618" s="149">
        <v>45021.673252314817</v>
      </c>
      <c r="AK618" s="125">
        <f>Tabla1[[#This Row],[Fecha Vigencia]]-AJ618</f>
        <v>-29.996168981517258</v>
      </c>
      <c r="AL618" s="65" t="s">
        <v>46</v>
      </c>
      <c r="AM618" s="90">
        <v>28020894</v>
      </c>
      <c r="AN618" s="181">
        <v>45021</v>
      </c>
      <c r="AO618" s="181">
        <v>45387</v>
      </c>
      <c r="AP618" s="65" t="s">
        <v>177</v>
      </c>
      <c r="AQ618" s="66"/>
      <c r="AR618" s="65"/>
      <c r="AS618" s="65"/>
      <c r="AT618" s="65"/>
      <c r="AU618" s="65"/>
      <c r="AV618" s="65"/>
      <c r="AW618" s="65"/>
      <c r="AX618" s="65"/>
      <c r="AY618" s="118"/>
      <c r="AZ618" s="118"/>
      <c r="BA618" s="118"/>
      <c r="BB618" s="124"/>
      <c r="BC618" s="73"/>
    </row>
    <row r="619" spans="1:55" ht="11.25" x14ac:dyDescent="0.2">
      <c r="A619" s="117" t="s">
        <v>3181</v>
      </c>
      <c r="B619" s="118" t="s">
        <v>3182</v>
      </c>
      <c r="C619" s="118" t="s">
        <v>3183</v>
      </c>
      <c r="D619" s="119" t="s">
        <v>3184</v>
      </c>
      <c r="E619" s="38" t="s">
        <v>3185</v>
      </c>
      <c r="F619" s="39">
        <v>1</v>
      </c>
      <c r="G619" s="118" t="s">
        <v>21</v>
      </c>
      <c r="H619" s="118" t="s">
        <v>106</v>
      </c>
      <c r="I619" s="40">
        <v>44980.592303703699</v>
      </c>
      <c r="J619" s="24">
        <f>MONTH(Tabla1[[#This Row],[Publicación]])</f>
        <v>2</v>
      </c>
      <c r="K619" s="24">
        <f>YEAR(Tabla1[[#This Row],[Publicación]])</f>
        <v>2023</v>
      </c>
      <c r="L619" s="40">
        <v>44985.5</v>
      </c>
      <c r="M619" s="41">
        <v>44981</v>
      </c>
      <c r="N619" s="120" t="s">
        <v>10</v>
      </c>
      <c r="O619" s="40" t="s">
        <v>27</v>
      </c>
      <c r="P619" s="24" t="s">
        <v>10</v>
      </c>
      <c r="Q619" s="121"/>
      <c r="R619" s="121"/>
      <c r="S619" s="19"/>
      <c r="T619" s="27">
        <v>0</v>
      </c>
      <c r="U619" s="28">
        <f>Tabla1[[#This Row],[PPTO]]/(1+'Lista Datos'!$B$1)</f>
        <v>0</v>
      </c>
      <c r="V619" s="65"/>
      <c r="W619" s="122"/>
      <c r="X619" s="123"/>
      <c r="Y619" s="122"/>
      <c r="Z619" s="122"/>
      <c r="AA619" s="118"/>
      <c r="AB619" s="118"/>
      <c r="AC619" s="118"/>
      <c r="AD619" s="118"/>
      <c r="AE619" s="145">
        <f>Tabla1[[#This Row],[Cierre]]+Tabla1[[#This Row],[Vigencia Oferta (días)]]</f>
        <v>44985.5</v>
      </c>
      <c r="AF619" s="90"/>
      <c r="AG619" s="64"/>
      <c r="AH619" s="168">
        <f>Tabla1[[#This Row],[Unidades2]]*Tabla1[[#This Row],[Precio Unitario]]</f>
        <v>0</v>
      </c>
      <c r="AI619" s="118" t="s">
        <v>270</v>
      </c>
      <c r="AJ619" s="149"/>
      <c r="AK619" s="125">
        <f>Tabla1[[#This Row],[Fecha Vigencia]]-AJ619</f>
        <v>44985.5</v>
      </c>
      <c r="AL619" s="65"/>
      <c r="AM619" s="90"/>
      <c r="AN619" s="65"/>
      <c r="AO619" s="181"/>
      <c r="AP619" s="65"/>
      <c r="AQ619" s="66"/>
      <c r="AR619" s="65"/>
      <c r="AS619" s="65"/>
      <c r="AT619" s="65"/>
      <c r="AU619" s="65"/>
      <c r="AV619" s="65"/>
      <c r="AW619" s="65"/>
      <c r="AX619" s="65"/>
      <c r="AY619" s="118"/>
      <c r="AZ619" s="118"/>
      <c r="BA619" s="118"/>
      <c r="BB619" s="124"/>
      <c r="BC619" s="73"/>
    </row>
    <row r="620" spans="1:55" ht="11.25" x14ac:dyDescent="0.2">
      <c r="A620" s="117" t="s">
        <v>3186</v>
      </c>
      <c r="B620" s="118" t="s">
        <v>3187</v>
      </c>
      <c r="C620" s="118" t="s">
        <v>3188</v>
      </c>
      <c r="D620" s="119" t="s">
        <v>3189</v>
      </c>
      <c r="E620" s="38" t="s">
        <v>3190</v>
      </c>
      <c r="F620" s="39">
        <v>1</v>
      </c>
      <c r="G620" s="118" t="s">
        <v>16</v>
      </c>
      <c r="H620" s="118" t="s">
        <v>778</v>
      </c>
      <c r="I620" s="40">
        <v>44980.463154016201</v>
      </c>
      <c r="J620" s="24">
        <f>MONTH(Tabla1[[#This Row],[Publicación]])</f>
        <v>2</v>
      </c>
      <c r="K620" s="24">
        <f>YEAR(Tabla1[[#This Row],[Publicación]])</f>
        <v>2023</v>
      </c>
      <c r="L620" s="40">
        <v>44993.416666666701</v>
      </c>
      <c r="M620" s="41">
        <v>44981</v>
      </c>
      <c r="N620" s="120" t="s">
        <v>11</v>
      </c>
      <c r="O620" s="40"/>
      <c r="P620" s="24" t="s">
        <v>11</v>
      </c>
      <c r="Q620" s="160">
        <v>44984.62777777778</v>
      </c>
      <c r="R620" s="160">
        <v>44987.62777777778</v>
      </c>
      <c r="S620" s="161">
        <v>44999.708333333336</v>
      </c>
      <c r="T620" s="42">
        <v>8000000</v>
      </c>
      <c r="U620" s="28">
        <f>Tabla1[[#This Row],[PPTO]]/(1+'Lista Datos'!$B$1)</f>
        <v>6722689.0756302522</v>
      </c>
      <c r="V620" s="65"/>
      <c r="W620" s="122" t="s">
        <v>10</v>
      </c>
      <c r="X620" s="123"/>
      <c r="Y620" s="122"/>
      <c r="Z620" s="122" t="s">
        <v>10</v>
      </c>
      <c r="AA620" s="118" t="s">
        <v>512</v>
      </c>
      <c r="AB620" s="118"/>
      <c r="AC620" s="23" t="s">
        <v>10</v>
      </c>
      <c r="AD620" s="118"/>
      <c r="AE620" s="145">
        <f>Tabla1[[#This Row],[Cierre]]+Tabla1[[#This Row],[Vigencia Oferta (días)]]</f>
        <v>44993.416666666701</v>
      </c>
      <c r="AF620" s="90"/>
      <c r="AG620" s="64"/>
      <c r="AH620" s="168">
        <f>Tabla1[[#This Row],[Unidades2]]*Tabla1[[#This Row],[Precio Unitario]]</f>
        <v>0</v>
      </c>
      <c r="AI620" s="118" t="s">
        <v>320</v>
      </c>
      <c r="AJ620" s="149">
        <v>45028</v>
      </c>
      <c r="AK620" s="125">
        <f>Tabla1[[#This Row],[Fecha Vigencia]]-AJ620</f>
        <v>-34.583333333299379</v>
      </c>
      <c r="AL620" s="65" t="s">
        <v>46</v>
      </c>
      <c r="AM620" s="90">
        <v>6400000</v>
      </c>
      <c r="AN620" s="65"/>
      <c r="AO620" s="181"/>
      <c r="AP620" s="65" t="s">
        <v>177</v>
      </c>
      <c r="AQ620" s="66"/>
      <c r="AR620" s="65"/>
      <c r="AS620" s="65"/>
      <c r="AT620" s="65"/>
      <c r="AU620" s="65"/>
      <c r="AV620" s="65"/>
      <c r="AW620" s="65"/>
      <c r="AX620" s="65"/>
      <c r="AY620" s="118"/>
      <c r="AZ620" s="118"/>
      <c r="BA620" s="118"/>
      <c r="BB620" s="124"/>
      <c r="BC620" s="73"/>
    </row>
    <row r="621" spans="1:55" ht="11.25" x14ac:dyDescent="0.2">
      <c r="A621" s="117" t="s">
        <v>3191</v>
      </c>
      <c r="B621" s="118" t="s">
        <v>3192</v>
      </c>
      <c r="C621" s="118" t="s">
        <v>3193</v>
      </c>
      <c r="D621" s="119" t="s">
        <v>1641</v>
      </c>
      <c r="E621" s="38" t="s">
        <v>3194</v>
      </c>
      <c r="F621" s="39">
        <v>1</v>
      </c>
      <c r="G621" s="118" t="s">
        <v>20</v>
      </c>
      <c r="H621" s="118" t="s">
        <v>176</v>
      </c>
      <c r="I621" s="40">
        <v>44980.420148229197</v>
      </c>
      <c r="J621" s="24">
        <f>MONTH(Tabla1[[#This Row],[Publicación]])</f>
        <v>2</v>
      </c>
      <c r="K621" s="24">
        <f>YEAR(Tabla1[[#This Row],[Publicación]])</f>
        <v>2023</v>
      </c>
      <c r="L621" s="40">
        <v>44991.628472222197</v>
      </c>
      <c r="M621" s="41">
        <v>44981</v>
      </c>
      <c r="N621" s="120" t="s">
        <v>10</v>
      </c>
      <c r="O621" s="40" t="s">
        <v>32</v>
      </c>
      <c r="P621" s="38" t="s">
        <v>11</v>
      </c>
      <c r="Q621" s="147">
        <v>44985.625</v>
      </c>
      <c r="R621" s="147">
        <v>44988.708333333336</v>
      </c>
      <c r="S621" s="148">
        <v>45034.708333333336</v>
      </c>
      <c r="T621" s="42">
        <v>293860000</v>
      </c>
      <c r="U621" s="28">
        <f>Tabla1[[#This Row],[PPTO]]/(1+'Lista Datos'!$B$1)</f>
        <v>246941176.47058824</v>
      </c>
      <c r="V621" s="65">
        <v>30</v>
      </c>
      <c r="W621" s="122" t="s">
        <v>11</v>
      </c>
      <c r="X621" s="123">
        <v>100000</v>
      </c>
      <c r="Y621" s="122" t="s">
        <v>3195</v>
      </c>
      <c r="Z621" s="122" t="s">
        <v>10</v>
      </c>
      <c r="AA621" s="118" t="s">
        <v>177</v>
      </c>
      <c r="AB621" s="118">
        <v>18</v>
      </c>
      <c r="AC621" s="118" t="s">
        <v>10</v>
      </c>
      <c r="AD621" s="118">
        <v>90</v>
      </c>
      <c r="AE621" s="145">
        <f>Tabla1[[#This Row],[Cierre]]+Tabla1[[#This Row],[Vigencia Oferta (días)]]</f>
        <v>45081.628472222197</v>
      </c>
      <c r="AF621" s="90"/>
      <c r="AG621" s="64"/>
      <c r="AH621" s="168">
        <f>Tabla1[[#This Row],[Unidades2]]*Tabla1[[#This Row],[Precio Unitario]]</f>
        <v>0</v>
      </c>
      <c r="AI621" s="118" t="s">
        <v>44</v>
      </c>
      <c r="AJ621" s="149">
        <v>45035</v>
      </c>
      <c r="AK621" s="125">
        <f>Tabla1[[#This Row],[Fecha Vigencia]]-AJ621</f>
        <v>46.628472222197161</v>
      </c>
      <c r="AL621" s="65" t="s">
        <v>45</v>
      </c>
      <c r="AM621" s="90">
        <v>124775999</v>
      </c>
      <c r="AN621" s="181">
        <v>45035</v>
      </c>
      <c r="AO621" s="181">
        <v>45584</v>
      </c>
      <c r="AP621" s="65" t="s">
        <v>177</v>
      </c>
      <c r="AQ621" s="66"/>
      <c r="AR621" s="65"/>
      <c r="AS621" s="65"/>
      <c r="AT621" s="65"/>
      <c r="AU621" s="65"/>
      <c r="AV621" s="65"/>
      <c r="AW621" s="65"/>
      <c r="AX621" s="65"/>
      <c r="AY621" s="118"/>
      <c r="AZ621" s="118"/>
      <c r="BA621" s="118"/>
      <c r="BB621" s="124"/>
      <c r="BC621" s="73"/>
    </row>
    <row r="622" spans="1:55" ht="11.25" x14ac:dyDescent="0.2">
      <c r="A622" s="117" t="s">
        <v>3196</v>
      </c>
      <c r="B622" s="118" t="s">
        <v>3197</v>
      </c>
      <c r="C622" s="118" t="s">
        <v>3198</v>
      </c>
      <c r="D622" s="119" t="s">
        <v>3199</v>
      </c>
      <c r="E622" s="38" t="s">
        <v>3198</v>
      </c>
      <c r="F622" s="39">
        <v>1</v>
      </c>
      <c r="G622" s="118" t="s">
        <v>16</v>
      </c>
      <c r="H622" s="118" t="s">
        <v>123</v>
      </c>
      <c r="I622" s="40">
        <v>44981.746546793998</v>
      </c>
      <c r="J622" s="24">
        <f>MONTH(Tabla1[[#This Row],[Publicación]])</f>
        <v>2</v>
      </c>
      <c r="K622" s="24">
        <f>YEAR(Tabla1[[#This Row],[Publicación]])</f>
        <v>2023</v>
      </c>
      <c r="L622" s="40">
        <v>44991.645833333299</v>
      </c>
      <c r="M622" s="41">
        <v>44985</v>
      </c>
      <c r="N622" s="120" t="s">
        <v>10</v>
      </c>
      <c r="O622" s="40" t="s">
        <v>27</v>
      </c>
      <c r="P622" s="24" t="s">
        <v>10</v>
      </c>
      <c r="Q622" s="147">
        <v>44985.791666666664</v>
      </c>
      <c r="R622" s="147">
        <v>44986.833333333336</v>
      </c>
      <c r="S622" s="148">
        <v>45016.75</v>
      </c>
      <c r="T622" s="27">
        <v>0</v>
      </c>
      <c r="U622" s="28">
        <f>Tabla1[[#This Row],[PPTO]]/(1+'Lista Datos'!$B$1)</f>
        <v>0</v>
      </c>
      <c r="V622" s="65"/>
      <c r="W622" s="122" t="s">
        <v>10</v>
      </c>
      <c r="X622" s="123"/>
      <c r="Y622" s="122"/>
      <c r="Z622" s="122" t="s">
        <v>10</v>
      </c>
      <c r="AA622" s="118" t="s">
        <v>512</v>
      </c>
      <c r="AB622" s="118"/>
      <c r="AC622" s="118"/>
      <c r="AD622" s="118"/>
      <c r="AE622" s="145">
        <f>Tabla1[[#This Row],[Cierre]]+Tabla1[[#This Row],[Vigencia Oferta (días)]]</f>
        <v>44991.645833333299</v>
      </c>
      <c r="AF622" s="90"/>
      <c r="AG622" s="64"/>
      <c r="AH622" s="168">
        <f>Tabla1[[#This Row],[Unidades2]]*Tabla1[[#This Row],[Precio Unitario]]</f>
        <v>0</v>
      </c>
      <c r="AI622" s="118" t="s">
        <v>270</v>
      </c>
      <c r="AJ622" s="149"/>
      <c r="AK622" s="125">
        <f>Tabla1[[#This Row],[Fecha Vigencia]]-AJ622</f>
        <v>44991.645833333299</v>
      </c>
      <c r="AL622" s="65"/>
      <c r="AM622" s="90"/>
      <c r="AN622" s="65"/>
      <c r="AO622" s="181"/>
      <c r="AP622" s="65"/>
      <c r="AQ622" s="66"/>
      <c r="AR622" s="65"/>
      <c r="AS622" s="65"/>
      <c r="AT622" s="65"/>
      <c r="AU622" s="65"/>
      <c r="AV622" s="65"/>
      <c r="AW622" s="65"/>
      <c r="AX622" s="65"/>
      <c r="AY622" s="118"/>
      <c r="AZ622" s="118"/>
      <c r="BA622" s="118"/>
      <c r="BB622" s="124"/>
      <c r="BC622" s="73"/>
    </row>
    <row r="623" spans="1:55" ht="11.25" x14ac:dyDescent="0.2">
      <c r="A623" s="117" t="s">
        <v>3200</v>
      </c>
      <c r="B623" s="118" t="s">
        <v>3201</v>
      </c>
      <c r="C623" s="118" t="s">
        <v>3202</v>
      </c>
      <c r="D623" s="119" t="s">
        <v>122</v>
      </c>
      <c r="E623" s="38" t="s">
        <v>3203</v>
      </c>
      <c r="F623" s="39">
        <v>1</v>
      </c>
      <c r="G623" s="118" t="s">
        <v>21</v>
      </c>
      <c r="H623" s="118" t="s">
        <v>106</v>
      </c>
      <c r="I623" s="40">
        <v>44981.641655092601</v>
      </c>
      <c r="J623" s="24">
        <f>MONTH(Tabla1[[#This Row],[Publicación]])</f>
        <v>2</v>
      </c>
      <c r="K623" s="24">
        <f>YEAR(Tabla1[[#This Row],[Publicación]])</f>
        <v>2023</v>
      </c>
      <c r="L623" s="40">
        <v>45001.708333333299</v>
      </c>
      <c r="M623" s="41">
        <v>44985</v>
      </c>
      <c r="N623" s="120" t="s">
        <v>10</v>
      </c>
      <c r="O623" s="40" t="s">
        <v>29</v>
      </c>
      <c r="P623" s="38" t="s">
        <v>11</v>
      </c>
      <c r="Q623" s="147">
        <v>44991.708333333336</v>
      </c>
      <c r="R623" s="147">
        <v>44994.708333333336</v>
      </c>
      <c r="S623" s="148">
        <v>45001.709027777775</v>
      </c>
      <c r="T623" s="42">
        <v>16783000</v>
      </c>
      <c r="U623" s="28">
        <f>Tabla1[[#This Row],[PPTO]]/(1+'Lista Datos'!$B$1)</f>
        <v>14103361.344537815</v>
      </c>
      <c r="V623" s="65"/>
      <c r="W623" s="122" t="s">
        <v>11</v>
      </c>
      <c r="X623" s="123">
        <v>500000</v>
      </c>
      <c r="Y623" s="149">
        <v>45101</v>
      </c>
      <c r="Z623" s="122" t="s">
        <v>10</v>
      </c>
      <c r="AA623" s="118" t="s">
        <v>177</v>
      </c>
      <c r="AB623" s="118">
        <v>24</v>
      </c>
      <c r="AC623" s="118" t="s">
        <v>10</v>
      </c>
      <c r="AD623" s="118"/>
      <c r="AE623" s="145">
        <f>Tabla1[[#This Row],[Cierre]]+Tabla1[[#This Row],[Vigencia Oferta (días)]]</f>
        <v>45001.708333333299</v>
      </c>
      <c r="AF623" s="90"/>
      <c r="AG623" s="64"/>
      <c r="AH623" s="168">
        <f>Tabla1[[#This Row],[Unidades2]]*Tabla1[[#This Row],[Precio Unitario]]</f>
        <v>0</v>
      </c>
      <c r="AI623" s="118" t="s">
        <v>44</v>
      </c>
      <c r="AJ623" s="149">
        <v>45029</v>
      </c>
      <c r="AK623" s="125">
        <f>Tabla1[[#This Row],[Fecha Vigencia]]-AJ623</f>
        <v>-27.291666666700621</v>
      </c>
      <c r="AL623" s="65" t="s">
        <v>46</v>
      </c>
      <c r="AM623" s="90">
        <v>32600000</v>
      </c>
      <c r="AN623" s="181">
        <v>45029</v>
      </c>
      <c r="AO623" s="181">
        <v>45760</v>
      </c>
      <c r="AP623" s="65" t="s">
        <v>177</v>
      </c>
      <c r="AQ623" s="66"/>
      <c r="AR623" s="65"/>
      <c r="AS623" s="65"/>
      <c r="AT623" s="65"/>
      <c r="AU623" s="65"/>
      <c r="AV623" s="65"/>
      <c r="AW623" s="65"/>
      <c r="AX623" s="65"/>
      <c r="AY623" s="118"/>
      <c r="AZ623" s="118"/>
      <c r="BA623" s="118"/>
      <c r="BB623" s="124"/>
      <c r="BC623" s="73"/>
    </row>
    <row r="624" spans="1:55" ht="11.25" x14ac:dyDescent="0.2">
      <c r="A624" s="117" t="s">
        <v>3204</v>
      </c>
      <c r="B624" s="118" t="s">
        <v>3205</v>
      </c>
      <c r="C624" s="118" t="s">
        <v>3206</v>
      </c>
      <c r="D624" s="119" t="s">
        <v>3207</v>
      </c>
      <c r="E624" s="38" t="s">
        <v>3208</v>
      </c>
      <c r="F624" s="39">
        <v>1</v>
      </c>
      <c r="G624" s="118" t="s">
        <v>21</v>
      </c>
      <c r="H624" s="118" t="s">
        <v>106</v>
      </c>
      <c r="I624" s="40">
        <v>44981.637206979198</v>
      </c>
      <c r="J624" s="24">
        <f>MONTH(Tabla1[[#This Row],[Publicación]])</f>
        <v>2</v>
      </c>
      <c r="K624" s="24">
        <f>YEAR(Tabla1[[#This Row],[Publicación]])</f>
        <v>2023</v>
      </c>
      <c r="L624" s="40">
        <v>44995.645833333299</v>
      </c>
      <c r="M624" s="41">
        <v>44985</v>
      </c>
      <c r="N624" s="120" t="s">
        <v>10</v>
      </c>
      <c r="O624" s="40" t="s">
        <v>28</v>
      </c>
      <c r="P624" s="38" t="s">
        <v>10</v>
      </c>
      <c r="Q624" s="121"/>
      <c r="R624" s="121"/>
      <c r="S624" s="19"/>
      <c r="T624" s="27">
        <v>0</v>
      </c>
      <c r="U624" s="28">
        <f>Tabla1[[#This Row],[PPTO]]/(1+'Lista Datos'!$B$1)</f>
        <v>0</v>
      </c>
      <c r="V624" s="65"/>
      <c r="W624" s="122"/>
      <c r="X624" s="123"/>
      <c r="Y624" s="122"/>
      <c r="Z624" s="122"/>
      <c r="AA624" s="118"/>
      <c r="AB624" s="118"/>
      <c r="AC624" s="118"/>
      <c r="AD624" s="118"/>
      <c r="AE624" s="145">
        <f>Tabla1[[#This Row],[Cierre]]+Tabla1[[#This Row],[Vigencia Oferta (días)]]</f>
        <v>44995.645833333299</v>
      </c>
      <c r="AF624" s="90"/>
      <c r="AG624" s="64"/>
      <c r="AH624" s="168">
        <f>Tabla1[[#This Row],[Unidades2]]*Tabla1[[#This Row],[Precio Unitario]]</f>
        <v>0</v>
      </c>
      <c r="AI624" s="118" t="s">
        <v>270</v>
      </c>
      <c r="AJ624" s="149"/>
      <c r="AK624" s="125">
        <f>Tabla1[[#This Row],[Fecha Vigencia]]-AJ624</f>
        <v>44995.645833333299</v>
      </c>
      <c r="AL624" s="65"/>
      <c r="AM624" s="90"/>
      <c r="AN624" s="65"/>
      <c r="AO624" s="181"/>
      <c r="AP624" s="65"/>
      <c r="AQ624" s="66"/>
      <c r="AR624" s="65"/>
      <c r="AS624" s="65"/>
      <c r="AT624" s="65"/>
      <c r="AU624" s="65"/>
      <c r="AV624" s="65"/>
      <c r="AW624" s="65"/>
      <c r="AX624" s="65"/>
      <c r="AY624" s="118"/>
      <c r="AZ624" s="118"/>
      <c r="BA624" s="118"/>
      <c r="BB624" s="124"/>
      <c r="BC624" s="73"/>
    </row>
    <row r="625" spans="1:55" ht="11.25" x14ac:dyDescent="0.2">
      <c r="A625" s="153" t="s">
        <v>3209</v>
      </c>
      <c r="B625" s="30" t="s">
        <v>3210</v>
      </c>
      <c r="C625" s="30" t="s">
        <v>3210</v>
      </c>
      <c r="D625" s="84" t="s">
        <v>264</v>
      </c>
      <c r="E625" s="24" t="s">
        <v>3211</v>
      </c>
      <c r="F625" s="25">
        <v>1</v>
      </c>
      <c r="G625" s="30" t="s">
        <v>16</v>
      </c>
      <c r="H625" s="30" t="s">
        <v>1596</v>
      </c>
      <c r="I625" s="2">
        <v>44985.695926504603</v>
      </c>
      <c r="J625" s="24">
        <f>MONTH(Tabla1[[#This Row],[Publicación]])</f>
        <v>2</v>
      </c>
      <c r="K625" s="24">
        <f>YEAR(Tabla1[[#This Row],[Publicación]])</f>
        <v>2023</v>
      </c>
      <c r="L625" s="2">
        <v>45019.625</v>
      </c>
      <c r="M625" s="26">
        <v>44986</v>
      </c>
      <c r="N625" s="85" t="s">
        <v>11</v>
      </c>
      <c r="O625" s="2"/>
      <c r="P625" s="24"/>
      <c r="Q625" s="160">
        <v>45000.333333333336</v>
      </c>
      <c r="R625" s="160">
        <v>45005.625</v>
      </c>
      <c r="S625" s="161">
        <v>45026.625</v>
      </c>
      <c r="T625" s="27">
        <v>480000000</v>
      </c>
      <c r="U625" s="28">
        <f>Tabla1[[#This Row],[PPTO]]/(1+'Lista Datos'!$B$1)</f>
        <v>403361344.53781515</v>
      </c>
      <c r="V625" s="68"/>
      <c r="W625" s="127" t="s">
        <v>11</v>
      </c>
      <c r="X625" s="154">
        <v>1000000</v>
      </c>
      <c r="Y625" s="104">
        <v>45036</v>
      </c>
      <c r="Z625" s="127" t="s">
        <v>11</v>
      </c>
      <c r="AA625" s="30" t="s">
        <v>177</v>
      </c>
      <c r="AB625" s="30">
        <v>60</v>
      </c>
      <c r="AC625" s="30"/>
      <c r="AD625" s="30"/>
      <c r="AE625" s="145">
        <f>Tabla1[[#This Row],[Cierre]]+Tabla1[[#This Row],[Vigencia Oferta (días)]]</f>
        <v>45019.625</v>
      </c>
      <c r="AF625" s="91"/>
      <c r="AG625" s="67"/>
      <c r="AH625" s="169">
        <f>Tabla1[[#This Row],[Unidades2]]*Tabla1[[#This Row],[Precio Unitario]]</f>
        <v>0</v>
      </c>
      <c r="AI625" s="30" t="s">
        <v>44</v>
      </c>
      <c r="AJ625" s="104">
        <v>45034</v>
      </c>
      <c r="AK625" s="159">
        <f>Tabla1[[#This Row],[Fecha Vigencia]]-AJ625</f>
        <v>-14.375</v>
      </c>
      <c r="AL625" s="68" t="s">
        <v>45</v>
      </c>
      <c r="AM625" s="91">
        <v>366500000</v>
      </c>
      <c r="AN625" s="157">
        <v>45034</v>
      </c>
      <c r="AO625" s="157">
        <v>46861</v>
      </c>
      <c r="AP625" s="68" t="s">
        <v>177</v>
      </c>
      <c r="AQ625" s="69"/>
      <c r="AR625" s="68"/>
      <c r="AS625" s="68"/>
      <c r="AT625" s="68"/>
      <c r="AU625" s="68"/>
      <c r="AV625" s="68"/>
      <c r="AW625" s="68"/>
      <c r="AX625" s="68"/>
      <c r="AY625" s="30"/>
      <c r="AZ625" s="30"/>
      <c r="BA625" s="30"/>
      <c r="BB625" s="75"/>
      <c r="BC625" s="73"/>
    </row>
    <row r="626" spans="1:55" ht="11.25" x14ac:dyDescent="0.2">
      <c r="A626" s="117" t="s">
        <v>3212</v>
      </c>
      <c r="B626" s="118" t="s">
        <v>3213</v>
      </c>
      <c r="C626" s="118" t="s">
        <v>3214</v>
      </c>
      <c r="D626" s="119" t="s">
        <v>3215</v>
      </c>
      <c r="E626" s="38" t="s">
        <v>3216</v>
      </c>
      <c r="F626" s="39">
        <v>1</v>
      </c>
      <c r="G626" s="118" t="s">
        <v>20</v>
      </c>
      <c r="H626" s="118" t="s">
        <v>176</v>
      </c>
      <c r="I626" s="40">
        <v>44985.475891932903</v>
      </c>
      <c r="J626" s="24">
        <f>MONTH(Tabla1[[#This Row],[Publicación]])</f>
        <v>2</v>
      </c>
      <c r="K626" s="24">
        <f>YEAR(Tabla1[[#This Row],[Publicación]])</f>
        <v>2023</v>
      </c>
      <c r="L626" s="40">
        <v>45015.625</v>
      </c>
      <c r="M626" s="41">
        <v>44986</v>
      </c>
      <c r="N626" s="120" t="s">
        <v>11</v>
      </c>
      <c r="O626" s="40"/>
      <c r="P626" s="38" t="s">
        <v>11</v>
      </c>
      <c r="Q626" s="147">
        <v>44998.625</v>
      </c>
      <c r="R626" s="147">
        <v>45005.625</v>
      </c>
      <c r="S626" s="148">
        <v>45048.75</v>
      </c>
      <c r="T626" s="27">
        <v>800000000</v>
      </c>
      <c r="U626" s="28">
        <f>Tabla1[[#This Row],[PPTO]]/(1+'Lista Datos'!$B$1)</f>
        <v>672268907.56302524</v>
      </c>
      <c r="V626" s="65">
        <v>30</v>
      </c>
      <c r="W626" s="122" t="s">
        <v>11</v>
      </c>
      <c r="X626" s="123">
        <v>5000000</v>
      </c>
      <c r="Y626" s="149">
        <v>45135</v>
      </c>
      <c r="Z626" s="122" t="s">
        <v>10</v>
      </c>
      <c r="AA626" s="118" t="s">
        <v>177</v>
      </c>
      <c r="AB626" s="118">
        <v>60</v>
      </c>
      <c r="AC626" s="118" t="s">
        <v>10</v>
      </c>
      <c r="AD626" s="118">
        <v>120</v>
      </c>
      <c r="AE626" s="145">
        <f>Tabla1[[#This Row],[Cierre]]+Tabla1[[#This Row],[Vigencia Oferta (días)]]</f>
        <v>45135.625</v>
      </c>
      <c r="AF626" s="90"/>
      <c r="AG626" s="64"/>
      <c r="AH626" s="168">
        <f>Tabla1[[#This Row],[Unidades2]]*Tabla1[[#This Row],[Precio Unitario]]</f>
        <v>0</v>
      </c>
      <c r="AI626" s="118" t="s">
        <v>320</v>
      </c>
      <c r="AJ626" s="149"/>
      <c r="AK626" s="125">
        <f>Tabla1[[#This Row],[Fecha Vigencia]]-AJ626</f>
        <v>45135.625</v>
      </c>
      <c r="AL626" s="65"/>
      <c r="AM626" s="90"/>
      <c r="AN626" s="65"/>
      <c r="AO626" s="181"/>
      <c r="AP626" s="65"/>
      <c r="AQ626" s="66"/>
      <c r="AR626" s="65"/>
      <c r="AS626" s="65"/>
      <c r="AT626" s="65"/>
      <c r="AU626" s="65"/>
      <c r="AV626" s="65"/>
      <c r="AW626" s="65"/>
      <c r="AX626" s="65"/>
      <c r="AY626" s="118"/>
      <c r="AZ626" s="118"/>
      <c r="BA626" s="118"/>
      <c r="BB626" s="124"/>
      <c r="BC626" s="73"/>
    </row>
    <row r="627" spans="1:55" ht="11.25" x14ac:dyDescent="0.2">
      <c r="A627" s="117" t="s">
        <v>3217</v>
      </c>
      <c r="B627" s="118" t="s">
        <v>3218</v>
      </c>
      <c r="C627" s="118" t="s">
        <v>3219</v>
      </c>
      <c r="D627" s="119" t="s">
        <v>2976</v>
      </c>
      <c r="E627" s="38" t="s">
        <v>3220</v>
      </c>
      <c r="F627" s="39">
        <v>1</v>
      </c>
      <c r="G627" s="118" t="s">
        <v>17</v>
      </c>
      <c r="H627" s="118" t="s">
        <v>213</v>
      </c>
      <c r="I627" s="40">
        <v>44986.722748379601</v>
      </c>
      <c r="J627" s="24">
        <f>MONTH(Tabla1[[#This Row],[Publicación]])</f>
        <v>3</v>
      </c>
      <c r="K627" s="24">
        <f>YEAR(Tabla1[[#This Row],[Publicación]])</f>
        <v>2023</v>
      </c>
      <c r="L627" s="40">
        <v>44998.627777777801</v>
      </c>
      <c r="M627" s="41">
        <v>44987</v>
      </c>
      <c r="N627" s="120" t="s">
        <v>10</v>
      </c>
      <c r="O627" s="40" t="s">
        <v>29</v>
      </c>
      <c r="P627" s="38"/>
      <c r="Q627" s="147">
        <v>44992.832638888889</v>
      </c>
      <c r="R627" s="147">
        <v>44995.832638888889</v>
      </c>
      <c r="S627" s="148">
        <v>45005.628472222219</v>
      </c>
      <c r="T627" s="27">
        <v>0</v>
      </c>
      <c r="U627" s="28">
        <f>Tabla1[[#This Row],[PPTO]]/(1+'Lista Datos'!$B$1)</f>
        <v>0</v>
      </c>
      <c r="V627" s="65"/>
      <c r="W627" s="122" t="s">
        <v>10</v>
      </c>
      <c r="X627" s="123"/>
      <c r="Y627" s="122"/>
      <c r="Z627" s="122" t="s">
        <v>11</v>
      </c>
      <c r="AA627" s="118" t="s">
        <v>177</v>
      </c>
      <c r="AB627" s="118">
        <v>12</v>
      </c>
      <c r="AC627" s="118"/>
      <c r="AD627" s="118"/>
      <c r="AE627" s="145">
        <f>Tabla1[[#This Row],[Cierre]]+Tabla1[[#This Row],[Vigencia Oferta (días)]]</f>
        <v>44998.627777777801</v>
      </c>
      <c r="AF627" s="90"/>
      <c r="AG627" s="64"/>
      <c r="AH627" s="168">
        <f>Tabla1[[#This Row],[Unidades2]]*Tabla1[[#This Row],[Precio Unitario]]</f>
        <v>0</v>
      </c>
      <c r="AI627" s="118" t="s">
        <v>270</v>
      </c>
      <c r="AJ627" s="149"/>
      <c r="AK627" s="125">
        <f>Tabla1[[#This Row],[Fecha Vigencia]]-AJ627</f>
        <v>44998.627777777801</v>
      </c>
      <c r="AL627" s="65"/>
      <c r="AM627" s="90"/>
      <c r="AN627" s="65"/>
      <c r="AO627" s="181"/>
      <c r="AP627" s="65"/>
      <c r="AQ627" s="66"/>
      <c r="AR627" s="65"/>
      <c r="AS627" s="65"/>
      <c r="AT627" s="65"/>
      <c r="AU627" s="65"/>
      <c r="AV627" s="65"/>
      <c r="AW627" s="65"/>
      <c r="AX627" s="65"/>
      <c r="AY627" s="118"/>
      <c r="AZ627" s="118"/>
      <c r="BA627" s="118"/>
      <c r="BB627" s="124"/>
      <c r="BC627" s="73"/>
    </row>
    <row r="628" spans="1:55" ht="11.25" x14ac:dyDescent="0.2">
      <c r="A628" s="153" t="s">
        <v>3221</v>
      </c>
      <c r="B628" s="30" t="s">
        <v>3222</v>
      </c>
      <c r="C628" s="30" t="s">
        <v>3223</v>
      </c>
      <c r="D628" s="84" t="s">
        <v>3224</v>
      </c>
      <c r="E628" s="24" t="s">
        <v>3225</v>
      </c>
      <c r="F628" s="25">
        <v>700</v>
      </c>
      <c r="G628" s="30" t="s">
        <v>14</v>
      </c>
      <c r="H628" s="30" t="s">
        <v>123</v>
      </c>
      <c r="I628" s="2">
        <v>44988.498561226901</v>
      </c>
      <c r="J628" s="24">
        <f>MONTH(Tabla1[[#This Row],[Publicación]])</f>
        <v>3</v>
      </c>
      <c r="K628" s="24">
        <f>YEAR(Tabla1[[#This Row],[Publicación]])</f>
        <v>2023</v>
      </c>
      <c r="L628" s="2">
        <v>44998.791666666701</v>
      </c>
      <c r="M628" s="26">
        <v>44991</v>
      </c>
      <c r="N628" s="85" t="s">
        <v>10</v>
      </c>
      <c r="O628" s="2" t="s">
        <v>34</v>
      </c>
      <c r="P628" s="24"/>
      <c r="Q628" s="160">
        <v>44991.958333333336</v>
      </c>
      <c r="R628" s="160">
        <v>44994.708333333336</v>
      </c>
      <c r="S628" s="161">
        <v>45014.708333333336</v>
      </c>
      <c r="T628" s="27">
        <v>0</v>
      </c>
      <c r="U628" s="28">
        <f>Tabla1[[#This Row],[PPTO]]/(1+'Lista Datos'!$B$1)</f>
        <v>0</v>
      </c>
      <c r="V628" s="68"/>
      <c r="W628" s="127" t="s">
        <v>10</v>
      </c>
      <c r="X628" s="154"/>
      <c r="Y628" s="127"/>
      <c r="Z628" s="127" t="s">
        <v>10</v>
      </c>
      <c r="AA628" s="30" t="s">
        <v>177</v>
      </c>
      <c r="AB628" s="30">
        <v>12</v>
      </c>
      <c r="AC628" s="30"/>
      <c r="AD628" s="30"/>
      <c r="AE628" s="145">
        <f>Tabla1[[#This Row],[Cierre]]+Tabla1[[#This Row],[Vigencia Oferta (días)]]</f>
        <v>44998.791666666701</v>
      </c>
      <c r="AF628" s="91"/>
      <c r="AG628" s="67"/>
      <c r="AH628" s="169">
        <f>Tabla1[[#This Row],[Unidades2]]*Tabla1[[#This Row],[Precio Unitario]]</f>
        <v>0</v>
      </c>
      <c r="AI628" s="30" t="s">
        <v>270</v>
      </c>
      <c r="AJ628" s="104"/>
      <c r="AK628" s="159">
        <f>Tabla1[[#This Row],[Fecha Vigencia]]-AJ628</f>
        <v>44998.791666666701</v>
      </c>
      <c r="AL628" s="68"/>
      <c r="AM628" s="91"/>
      <c r="AN628" s="68"/>
      <c r="AO628" s="157"/>
      <c r="AP628" s="68"/>
      <c r="AQ628" s="69"/>
      <c r="AR628" s="68"/>
      <c r="AS628" s="68"/>
      <c r="AT628" s="68"/>
      <c r="AU628" s="68"/>
      <c r="AV628" s="68"/>
      <c r="AW628" s="68"/>
      <c r="AX628" s="68"/>
      <c r="AY628" s="30"/>
      <c r="AZ628" s="30"/>
      <c r="BA628" s="30"/>
      <c r="BB628" s="75"/>
      <c r="BC628" s="73"/>
    </row>
    <row r="629" spans="1:55" ht="11.25" x14ac:dyDescent="0.2">
      <c r="A629" s="117" t="s">
        <v>3226</v>
      </c>
      <c r="B629" s="118" t="s">
        <v>3227</v>
      </c>
      <c r="C629" s="118" t="s">
        <v>3228</v>
      </c>
      <c r="D629" s="119" t="s">
        <v>3229</v>
      </c>
      <c r="E629" s="38" t="s">
        <v>3230</v>
      </c>
      <c r="F629" s="39">
        <v>1</v>
      </c>
      <c r="G629" s="118" t="s">
        <v>16</v>
      </c>
      <c r="H629" s="118" t="s">
        <v>123</v>
      </c>
      <c r="I629" s="40">
        <v>44988.496790937497</v>
      </c>
      <c r="J629" s="24">
        <f>MONTH(Tabla1[[#This Row],[Publicación]])</f>
        <v>3</v>
      </c>
      <c r="K629" s="24">
        <f>YEAR(Tabla1[[#This Row],[Publicación]])</f>
        <v>2023</v>
      </c>
      <c r="L629" s="40">
        <v>44999.627083333296</v>
      </c>
      <c r="M629" s="41">
        <v>44991</v>
      </c>
      <c r="N629" s="120" t="s">
        <v>10</v>
      </c>
      <c r="O629" s="40" t="s">
        <v>33</v>
      </c>
      <c r="P629" s="38"/>
      <c r="Q629" s="121"/>
      <c r="R629" s="121"/>
      <c r="S629" s="19"/>
      <c r="T629" s="27">
        <v>0</v>
      </c>
      <c r="U629" s="28">
        <f>Tabla1[[#This Row],[PPTO]]/(1+'Lista Datos'!$B$1)</f>
        <v>0</v>
      </c>
      <c r="V629" s="65"/>
      <c r="W629" s="122"/>
      <c r="X629" s="123"/>
      <c r="Y629" s="122"/>
      <c r="Z629" s="122"/>
      <c r="AA629" s="118"/>
      <c r="AB629" s="118"/>
      <c r="AC629" s="118"/>
      <c r="AD629" s="118"/>
      <c r="AE629" s="145">
        <f>Tabla1[[#This Row],[Cierre]]+Tabla1[[#This Row],[Vigencia Oferta (días)]]</f>
        <v>44999.627083333296</v>
      </c>
      <c r="AF629" s="90"/>
      <c r="AG629" s="64"/>
      <c r="AH629" s="168">
        <f>Tabla1[[#This Row],[Unidades2]]*Tabla1[[#This Row],[Precio Unitario]]</f>
        <v>0</v>
      </c>
      <c r="AI629" s="118" t="s">
        <v>270</v>
      </c>
      <c r="AJ629" s="149"/>
      <c r="AK629" s="125">
        <f>Tabla1[[#This Row],[Fecha Vigencia]]-AJ629</f>
        <v>44999.627083333296</v>
      </c>
      <c r="AL629" s="65"/>
      <c r="AM629" s="90"/>
      <c r="AN629" s="65"/>
      <c r="AO629" s="181"/>
      <c r="AP629" s="65"/>
      <c r="AQ629" s="66"/>
      <c r="AR629" s="65"/>
      <c r="AS629" s="65"/>
      <c r="AT629" s="65"/>
      <c r="AU629" s="65"/>
      <c r="AV629" s="65"/>
      <c r="AW629" s="65"/>
      <c r="AX629" s="65"/>
      <c r="AY629" s="118"/>
      <c r="AZ629" s="118"/>
      <c r="BA629" s="118"/>
      <c r="BB629" s="124"/>
      <c r="BC629" s="73"/>
    </row>
    <row r="630" spans="1:55" ht="11.25" x14ac:dyDescent="0.2">
      <c r="A630" s="153" t="s">
        <v>3231</v>
      </c>
      <c r="B630" s="30" t="s">
        <v>3232</v>
      </c>
      <c r="C630" s="30" t="s">
        <v>3233</v>
      </c>
      <c r="D630" s="84" t="s">
        <v>1448</v>
      </c>
      <c r="E630" s="24" t="s">
        <v>3234</v>
      </c>
      <c r="F630" s="25">
        <v>6500</v>
      </c>
      <c r="G630" s="30" t="s">
        <v>16</v>
      </c>
      <c r="H630" s="30" t="s">
        <v>145</v>
      </c>
      <c r="I630" s="2">
        <v>44991.772605243103</v>
      </c>
      <c r="J630" s="24">
        <f>MONTH(Tabla1[[#This Row],[Publicación]])</f>
        <v>3</v>
      </c>
      <c r="K630" s="24">
        <f>YEAR(Tabla1[[#This Row],[Publicación]])</f>
        <v>2023</v>
      </c>
      <c r="L630" s="2">
        <v>45002.708333333299</v>
      </c>
      <c r="M630" s="26">
        <v>44992</v>
      </c>
      <c r="N630" s="85" t="s">
        <v>11</v>
      </c>
      <c r="O630" s="2"/>
      <c r="P630" s="24"/>
      <c r="Q630" s="160">
        <v>44995.708333333336</v>
      </c>
      <c r="R630" s="160">
        <v>44998.708333333336</v>
      </c>
      <c r="S630" s="161">
        <v>45062.646527777775</v>
      </c>
      <c r="T630" s="27"/>
      <c r="U630" s="67">
        <f>Tabla1[[#This Row],[PPTO]]/(1+'Lista Datos'!$B$1)</f>
        <v>0</v>
      </c>
      <c r="V630" s="68"/>
      <c r="W630" s="127" t="s">
        <v>11</v>
      </c>
      <c r="X630" s="154">
        <v>500000</v>
      </c>
      <c r="Y630" s="104">
        <v>45096</v>
      </c>
      <c r="Z630" s="127" t="s">
        <v>11</v>
      </c>
      <c r="AA630" s="30" t="s">
        <v>177</v>
      </c>
      <c r="AB630" s="30">
        <v>24</v>
      </c>
      <c r="AC630" s="30"/>
      <c r="AD630" s="30"/>
      <c r="AE630" s="145">
        <f>Tabla1[[#This Row],[Cierre]]+Tabla1[[#This Row],[Vigencia Oferta (días)]]</f>
        <v>45002.708333333299</v>
      </c>
      <c r="AF630" s="91"/>
      <c r="AG630" s="67"/>
      <c r="AH630" s="169">
        <f>Tabla1[[#This Row],[Unidades2]]*Tabla1[[#This Row],[Precio Unitario]]</f>
        <v>0</v>
      </c>
      <c r="AI630" s="30" t="s">
        <v>44</v>
      </c>
      <c r="AJ630" s="104">
        <v>45064</v>
      </c>
      <c r="AK630" s="159">
        <f>Tabla1[[#This Row],[Fecha Vigencia]]-AJ630</f>
        <v>-61.291666666700621</v>
      </c>
      <c r="AL630" s="68" t="s">
        <v>45</v>
      </c>
      <c r="AM630" s="91">
        <v>68640000</v>
      </c>
      <c r="AN630" s="157">
        <v>45064</v>
      </c>
      <c r="AO630" s="157">
        <v>45795</v>
      </c>
      <c r="AP630" s="68" t="s">
        <v>177</v>
      </c>
      <c r="AQ630" s="69"/>
      <c r="AR630" s="68"/>
      <c r="AS630" s="68"/>
      <c r="AT630" s="68"/>
      <c r="AU630" s="68"/>
      <c r="AV630" s="68"/>
      <c r="AW630" s="68"/>
      <c r="AX630" s="68"/>
      <c r="AY630" s="30"/>
      <c r="AZ630" s="30"/>
      <c r="BA630" s="30"/>
      <c r="BB630" s="75"/>
      <c r="BC630" s="73"/>
    </row>
    <row r="631" spans="1:55" ht="11.25" x14ac:dyDescent="0.2">
      <c r="A631" s="117" t="s">
        <v>3235</v>
      </c>
      <c r="B631" s="118" t="s">
        <v>814</v>
      </c>
      <c r="C631" s="118" t="s">
        <v>3236</v>
      </c>
      <c r="D631" s="119" t="s">
        <v>3237</v>
      </c>
      <c r="E631" s="38" t="s">
        <v>3238</v>
      </c>
      <c r="F631" s="39">
        <v>1</v>
      </c>
      <c r="G631" s="118" t="s">
        <v>16</v>
      </c>
      <c r="H631" s="118" t="s">
        <v>533</v>
      </c>
      <c r="I631" s="40">
        <v>44991.5345113773</v>
      </c>
      <c r="J631" s="24">
        <f>MONTH(Tabla1[[#This Row],[Publicación]])</f>
        <v>3</v>
      </c>
      <c r="K631" s="24">
        <f>YEAR(Tabla1[[#This Row],[Publicación]])</f>
        <v>2023</v>
      </c>
      <c r="L631" s="40">
        <v>44999.666666666701</v>
      </c>
      <c r="M631" s="41">
        <v>44992</v>
      </c>
      <c r="N631" s="25" t="s">
        <v>10</v>
      </c>
      <c r="O631" s="24" t="s">
        <v>28</v>
      </c>
      <c r="P631" s="24" t="s">
        <v>10</v>
      </c>
      <c r="Q631" s="121"/>
      <c r="R631" s="121"/>
      <c r="S631" s="19"/>
      <c r="T631" s="42"/>
      <c r="U631" s="64">
        <f>Tabla1[[#This Row],[PPTO]]/(1+'Lista Datos'!$B$1)</f>
        <v>0</v>
      </c>
      <c r="V631" s="65"/>
      <c r="W631" s="122"/>
      <c r="X631" s="123"/>
      <c r="Y631" s="122"/>
      <c r="Z631" s="122"/>
      <c r="AA631" s="118"/>
      <c r="AB631" s="118"/>
      <c r="AC631" s="118"/>
      <c r="AD631" s="118"/>
      <c r="AE631" s="145">
        <f>Tabla1[[#This Row],[Cierre]]+Tabla1[[#This Row],[Vigencia Oferta (días)]]</f>
        <v>44999.666666666701</v>
      </c>
      <c r="AF631" s="90"/>
      <c r="AG631" s="64"/>
      <c r="AH631" s="168">
        <f>Tabla1[[#This Row],[Unidades2]]*Tabla1[[#This Row],[Precio Unitario]]</f>
        <v>0</v>
      </c>
      <c r="AI631" s="118" t="s">
        <v>270</v>
      </c>
      <c r="AJ631" s="149"/>
      <c r="AK631" s="125">
        <f>Tabla1[[#This Row],[Fecha Vigencia]]-AJ631</f>
        <v>44999.666666666701</v>
      </c>
      <c r="AL631" s="65"/>
      <c r="AM631" s="90"/>
      <c r="AN631" s="65"/>
      <c r="AO631" s="181"/>
      <c r="AP631" s="65"/>
      <c r="AQ631" s="66"/>
      <c r="AR631" s="65"/>
      <c r="AS631" s="65"/>
      <c r="AT631" s="65"/>
      <c r="AU631" s="65"/>
      <c r="AV631" s="65"/>
      <c r="AW631" s="65"/>
      <c r="AX631" s="65"/>
      <c r="AY631" s="118"/>
      <c r="AZ631" s="118"/>
      <c r="BA631" s="118"/>
      <c r="BB631" s="124"/>
      <c r="BC631" s="73"/>
    </row>
    <row r="632" spans="1:55" ht="11.25" x14ac:dyDescent="0.2">
      <c r="A632" s="117" t="s">
        <v>3239</v>
      </c>
      <c r="B632" s="118" t="s">
        <v>3240</v>
      </c>
      <c r="C632" s="118" t="s">
        <v>3241</v>
      </c>
      <c r="D632" s="119" t="s">
        <v>3242</v>
      </c>
      <c r="E632" s="38" t="s">
        <v>3243</v>
      </c>
      <c r="F632" s="39">
        <v>250</v>
      </c>
      <c r="G632" s="118" t="s">
        <v>21</v>
      </c>
      <c r="H632" s="118" t="s">
        <v>106</v>
      </c>
      <c r="I632" s="40">
        <v>44992.6708596065</v>
      </c>
      <c r="J632" s="24">
        <f>MONTH(Tabla1[[#This Row],[Publicación]])</f>
        <v>3</v>
      </c>
      <c r="K632" s="24">
        <f>YEAR(Tabla1[[#This Row],[Publicación]])</f>
        <v>2023</v>
      </c>
      <c r="L632" s="40">
        <v>45002.625</v>
      </c>
      <c r="M632" s="41">
        <v>44993</v>
      </c>
      <c r="N632" s="120" t="s">
        <v>10</v>
      </c>
      <c r="O632" s="40" t="s">
        <v>34</v>
      </c>
      <c r="P632" s="38"/>
      <c r="Q632" s="121"/>
      <c r="R632" s="121"/>
      <c r="S632" s="19"/>
      <c r="T632" s="42"/>
      <c r="U632" s="64">
        <f>Tabla1[[#This Row],[PPTO]]/(1+'Lista Datos'!$B$1)</f>
        <v>0</v>
      </c>
      <c r="V632" s="65"/>
      <c r="W632" s="122"/>
      <c r="X632" s="123"/>
      <c r="Y632" s="122"/>
      <c r="Z632" s="122"/>
      <c r="AA632" s="118"/>
      <c r="AB632" s="118"/>
      <c r="AC632" s="118"/>
      <c r="AD632" s="118"/>
      <c r="AE632" s="145">
        <f>Tabla1[[#This Row],[Cierre]]+Tabla1[[#This Row],[Vigencia Oferta (días)]]</f>
        <v>45002.625</v>
      </c>
      <c r="AF632" s="90"/>
      <c r="AG632" s="64"/>
      <c r="AH632" s="168">
        <f>Tabla1[[#This Row],[Unidades2]]*Tabla1[[#This Row],[Precio Unitario]]</f>
        <v>0</v>
      </c>
      <c r="AI632" s="118" t="s">
        <v>270</v>
      </c>
      <c r="AJ632" s="149"/>
      <c r="AK632" s="125">
        <f>Tabla1[[#This Row],[Fecha Vigencia]]-AJ632</f>
        <v>45002.625</v>
      </c>
      <c r="AL632" s="65"/>
      <c r="AM632" s="90"/>
      <c r="AN632" s="65"/>
      <c r="AO632" s="181"/>
      <c r="AP632" s="65"/>
      <c r="AQ632" s="66"/>
      <c r="AR632" s="65"/>
      <c r="AS632" s="65"/>
      <c r="AT632" s="65"/>
      <c r="AU632" s="65"/>
      <c r="AV632" s="65"/>
      <c r="AW632" s="65"/>
      <c r="AX632" s="65"/>
      <c r="AY632" s="118"/>
      <c r="AZ632" s="118"/>
      <c r="BA632" s="118"/>
      <c r="BB632" s="124"/>
      <c r="BC632" s="73"/>
    </row>
    <row r="633" spans="1:55" ht="11.25" x14ac:dyDescent="0.2">
      <c r="A633" s="117" t="s">
        <v>3244</v>
      </c>
      <c r="B633" s="118" t="s">
        <v>3245</v>
      </c>
      <c r="C633" s="118" t="s">
        <v>3246</v>
      </c>
      <c r="D633" s="119" t="s">
        <v>3055</v>
      </c>
      <c r="E633" s="38" t="s">
        <v>3056</v>
      </c>
      <c r="F633" s="39">
        <v>1</v>
      </c>
      <c r="G633" s="118" t="s">
        <v>16</v>
      </c>
      <c r="H633" s="118" t="s">
        <v>145</v>
      </c>
      <c r="I633" s="40">
        <v>44992.646727465297</v>
      </c>
      <c r="J633" s="24">
        <f>MONTH(Tabla1[[#This Row],[Publicación]])</f>
        <v>3</v>
      </c>
      <c r="K633" s="24">
        <f>YEAR(Tabla1[[#This Row],[Publicación]])</f>
        <v>2023</v>
      </c>
      <c r="L633" s="40">
        <v>44998.625</v>
      </c>
      <c r="M633" s="41">
        <v>44993</v>
      </c>
      <c r="N633" s="120" t="s">
        <v>10</v>
      </c>
      <c r="O633" s="40" t="s">
        <v>33</v>
      </c>
      <c r="P633" s="38"/>
      <c r="Q633" s="147">
        <v>44994.626388888886</v>
      </c>
      <c r="R633" s="147">
        <v>44995.626388888886</v>
      </c>
      <c r="S633" s="148">
        <v>45034.645833333336</v>
      </c>
      <c r="T633" s="42"/>
      <c r="U633" s="64">
        <f>Tabla1[[#This Row],[PPTO]]/(1+'Lista Datos'!$B$1)</f>
        <v>0</v>
      </c>
      <c r="V633" s="65"/>
      <c r="W633" s="122"/>
      <c r="X633" s="123"/>
      <c r="Y633" s="122"/>
      <c r="Z633" s="122"/>
      <c r="AA633" s="118"/>
      <c r="AB633" s="118"/>
      <c r="AC633" s="118"/>
      <c r="AD633" s="118"/>
      <c r="AE633" s="145">
        <f>Tabla1[[#This Row],[Cierre]]+Tabla1[[#This Row],[Vigencia Oferta (días)]]</f>
        <v>44998.625</v>
      </c>
      <c r="AF633" s="90"/>
      <c r="AG633" s="64"/>
      <c r="AH633" s="168">
        <f>Tabla1[[#This Row],[Unidades2]]*Tabla1[[#This Row],[Precio Unitario]]</f>
        <v>0</v>
      </c>
      <c r="AI633" s="118" t="s">
        <v>270</v>
      </c>
      <c r="AJ633" s="149"/>
      <c r="AK633" s="125">
        <f>Tabla1[[#This Row],[Fecha Vigencia]]-AJ633</f>
        <v>44998.625</v>
      </c>
      <c r="AL633" s="65"/>
      <c r="AM633" s="90"/>
      <c r="AN633" s="65"/>
      <c r="AO633" s="181"/>
      <c r="AP633" s="65"/>
      <c r="AQ633" s="66"/>
      <c r="AR633" s="65"/>
      <c r="AS633" s="65"/>
      <c r="AT633" s="65"/>
      <c r="AU633" s="65"/>
      <c r="AV633" s="65"/>
      <c r="AW633" s="65"/>
      <c r="AX633" s="65"/>
      <c r="AY633" s="118"/>
      <c r="AZ633" s="118"/>
      <c r="BA633" s="118"/>
      <c r="BB633" s="124"/>
      <c r="BC633" s="73"/>
    </row>
    <row r="634" spans="1:55" ht="22.5" x14ac:dyDescent="0.2">
      <c r="A634" s="117" t="s">
        <v>3247</v>
      </c>
      <c r="B634" s="118" t="s">
        <v>3248</v>
      </c>
      <c r="C634" s="118" t="s">
        <v>3249</v>
      </c>
      <c r="D634" s="119" t="s">
        <v>3109</v>
      </c>
      <c r="E634" s="38" t="s">
        <v>3044</v>
      </c>
      <c r="F634" s="39">
        <v>62</v>
      </c>
      <c r="G634" s="118" t="s">
        <v>21</v>
      </c>
      <c r="H634" s="118" t="s">
        <v>106</v>
      </c>
      <c r="I634" s="40">
        <v>44992.5680133102</v>
      </c>
      <c r="J634" s="24">
        <f>MONTH(Tabla1[[#This Row],[Publicación]])</f>
        <v>3</v>
      </c>
      <c r="K634" s="24">
        <f>YEAR(Tabla1[[#This Row],[Publicación]])</f>
        <v>2023</v>
      </c>
      <c r="L634" s="40">
        <v>45002.416666666701</v>
      </c>
      <c r="M634" s="41">
        <v>44993</v>
      </c>
      <c r="N634" s="120" t="s">
        <v>11</v>
      </c>
      <c r="O634" s="40"/>
      <c r="P634" s="38" t="s">
        <v>11</v>
      </c>
      <c r="Q634" s="147">
        <v>44994.5</v>
      </c>
      <c r="R634" s="147">
        <v>44998.625</v>
      </c>
      <c r="S634" s="148">
        <v>45012.708333333336</v>
      </c>
      <c r="T634" s="42">
        <f>1306760*1.19</f>
        <v>1555044.4</v>
      </c>
      <c r="U634" s="64">
        <f>Tabla1[[#This Row],[PPTO]]/(1+'Lista Datos'!$B$1)</f>
        <v>1306760</v>
      </c>
      <c r="V634" s="65">
        <v>45</v>
      </c>
      <c r="W634" s="122" t="s">
        <v>10</v>
      </c>
      <c r="X634" s="123"/>
      <c r="Y634" s="122"/>
      <c r="Z634" s="122" t="s">
        <v>10</v>
      </c>
      <c r="AA634" s="118" t="s">
        <v>512</v>
      </c>
      <c r="AB634" s="118"/>
      <c r="AC634" s="118" t="s">
        <v>10</v>
      </c>
      <c r="AD634" s="118">
        <v>90</v>
      </c>
      <c r="AE634" s="145">
        <f>Tabla1[[#This Row],[Cierre]]+Tabla1[[#This Row],[Vigencia Oferta (días)]]</f>
        <v>45092.416666666701</v>
      </c>
      <c r="AF634" s="90">
        <v>1</v>
      </c>
      <c r="AG634" s="64">
        <f>(10*11233)+(62*19265)</f>
        <v>1306760</v>
      </c>
      <c r="AH634" s="168">
        <f>Tabla1[[#This Row],[Unidades2]]*Tabla1[[#This Row],[Precio Unitario]]</f>
        <v>1306760</v>
      </c>
      <c r="AI634" s="118" t="s">
        <v>44</v>
      </c>
      <c r="AJ634" s="149">
        <v>45058</v>
      </c>
      <c r="AK634" s="125">
        <f>Tabla1[[#This Row],[Fecha Vigencia]]-AJ634</f>
        <v>34.416666666700621</v>
      </c>
      <c r="AL634" s="65" t="s">
        <v>115</v>
      </c>
      <c r="AM634" s="90">
        <v>11233</v>
      </c>
      <c r="AN634" s="65"/>
      <c r="AO634" s="181"/>
      <c r="AP634" s="65" t="s">
        <v>292</v>
      </c>
      <c r="AQ634" s="66" t="s">
        <v>2022</v>
      </c>
      <c r="AR634" s="65" t="s">
        <v>10</v>
      </c>
      <c r="AS634" s="65"/>
      <c r="AT634" s="65"/>
      <c r="AU634" s="118" t="s">
        <v>3250</v>
      </c>
      <c r="AV634" s="118" t="s">
        <v>3251</v>
      </c>
      <c r="AW634" s="118" t="s">
        <v>3252</v>
      </c>
      <c r="AX634" s="118" t="s">
        <v>3253</v>
      </c>
      <c r="AY634" s="118"/>
      <c r="AZ634" s="118"/>
      <c r="BA634" s="118"/>
      <c r="BB634" s="124"/>
      <c r="BC634" s="73"/>
    </row>
    <row r="635" spans="1:55" ht="11.25" x14ac:dyDescent="0.2">
      <c r="A635" s="117" t="s">
        <v>3254</v>
      </c>
      <c r="B635" s="118" t="s">
        <v>2832</v>
      </c>
      <c r="C635" s="118" t="s">
        <v>3255</v>
      </c>
      <c r="D635" s="119" t="s">
        <v>606</v>
      </c>
      <c r="E635" s="38" t="s">
        <v>3027</v>
      </c>
      <c r="F635" s="39">
        <v>1</v>
      </c>
      <c r="G635" s="118" t="s">
        <v>16</v>
      </c>
      <c r="H635" s="118" t="s">
        <v>123</v>
      </c>
      <c r="I635" s="40">
        <v>44992.448413692102</v>
      </c>
      <c r="J635" s="24">
        <f>MONTH(Tabla1[[#This Row],[Publicación]])</f>
        <v>3</v>
      </c>
      <c r="K635" s="24">
        <f>YEAR(Tabla1[[#This Row],[Publicación]])</f>
        <v>2023</v>
      </c>
      <c r="L635" s="40">
        <v>45001.375</v>
      </c>
      <c r="M635" s="41">
        <v>44993</v>
      </c>
      <c r="N635" s="120" t="s">
        <v>10</v>
      </c>
      <c r="O635" s="40" t="s">
        <v>33</v>
      </c>
      <c r="P635" s="38"/>
      <c r="Q635" s="121"/>
      <c r="R635" s="121"/>
      <c r="S635" s="19"/>
      <c r="T635" s="42"/>
      <c r="U635" s="64">
        <f>Tabla1[[#This Row],[PPTO]]/(1+'Lista Datos'!$B$1)</f>
        <v>0</v>
      </c>
      <c r="V635" s="65"/>
      <c r="W635" s="122"/>
      <c r="X635" s="123"/>
      <c r="Y635" s="122"/>
      <c r="Z635" s="122"/>
      <c r="AA635" s="118"/>
      <c r="AB635" s="118"/>
      <c r="AC635" s="118"/>
      <c r="AD635" s="118"/>
      <c r="AE635" s="145">
        <f>Tabla1[[#This Row],[Cierre]]+Tabla1[[#This Row],[Vigencia Oferta (días)]]</f>
        <v>45001.375</v>
      </c>
      <c r="AF635" s="90"/>
      <c r="AG635" s="64"/>
      <c r="AH635" s="168">
        <f>Tabla1[[#This Row],[Unidades2]]*Tabla1[[#This Row],[Precio Unitario]]</f>
        <v>0</v>
      </c>
      <c r="AI635" s="118" t="s">
        <v>270</v>
      </c>
      <c r="AJ635" s="149"/>
      <c r="AK635" s="125">
        <f>Tabla1[[#This Row],[Fecha Vigencia]]-AJ635</f>
        <v>45001.375</v>
      </c>
      <c r="AL635" s="65"/>
      <c r="AM635" s="90"/>
      <c r="AN635" s="65"/>
      <c r="AO635" s="181"/>
      <c r="AP635" s="65"/>
      <c r="AQ635" s="66"/>
      <c r="AR635" s="65"/>
      <c r="AS635" s="65"/>
      <c r="AT635" s="65"/>
      <c r="AU635" s="65"/>
      <c r="AV635" s="65"/>
      <c r="AW635" s="65"/>
      <c r="AX635" s="65"/>
      <c r="AY635" s="118"/>
      <c r="AZ635" s="118"/>
      <c r="BA635" s="118"/>
      <c r="BB635" s="124"/>
      <c r="BC635" s="73"/>
    </row>
    <row r="636" spans="1:55" ht="11.25" x14ac:dyDescent="0.2">
      <c r="A636" s="117" t="s">
        <v>3256</v>
      </c>
      <c r="B636" s="118" t="s">
        <v>3257</v>
      </c>
      <c r="C636" s="118" t="s">
        <v>3258</v>
      </c>
      <c r="D636" s="119" t="s">
        <v>378</v>
      </c>
      <c r="E636" s="38" t="s">
        <v>3259</v>
      </c>
      <c r="F636" s="39">
        <v>12</v>
      </c>
      <c r="G636" s="118" t="s">
        <v>21</v>
      </c>
      <c r="H636" s="118" t="s">
        <v>106</v>
      </c>
      <c r="I636" s="40">
        <v>44993.599137349498</v>
      </c>
      <c r="J636" s="24">
        <f>MONTH(Tabla1[[#This Row],[Publicación]])</f>
        <v>3</v>
      </c>
      <c r="K636" s="24">
        <f>YEAR(Tabla1[[#This Row],[Publicación]])</f>
        <v>2023</v>
      </c>
      <c r="L636" s="40">
        <v>45012.666666666701</v>
      </c>
      <c r="M636" s="41">
        <v>44994</v>
      </c>
      <c r="N636" s="120" t="s">
        <v>10</v>
      </c>
      <c r="O636" s="40" t="s">
        <v>27</v>
      </c>
      <c r="P636" s="38"/>
      <c r="Q636" s="121"/>
      <c r="R636" s="121"/>
      <c r="S636" s="19"/>
      <c r="T636" s="42"/>
      <c r="U636" s="64">
        <f>Tabla1[[#This Row],[PPTO]]/(1+'Lista Datos'!$B$1)</f>
        <v>0</v>
      </c>
      <c r="V636" s="65"/>
      <c r="W636" s="122"/>
      <c r="X636" s="123"/>
      <c r="Y636" s="122"/>
      <c r="Z636" s="122"/>
      <c r="AA636" s="118"/>
      <c r="AB636" s="118"/>
      <c r="AC636" s="118"/>
      <c r="AD636" s="118"/>
      <c r="AE636" s="145">
        <f>Tabla1[[#This Row],[Cierre]]+Tabla1[[#This Row],[Vigencia Oferta (días)]]</f>
        <v>45012.666666666701</v>
      </c>
      <c r="AF636" s="90"/>
      <c r="AG636" s="64"/>
      <c r="AH636" s="168">
        <f>Tabla1[[#This Row],[Unidades2]]*Tabla1[[#This Row],[Precio Unitario]]</f>
        <v>0</v>
      </c>
      <c r="AI636" s="118" t="s">
        <v>270</v>
      </c>
      <c r="AJ636" s="149"/>
      <c r="AK636" s="125">
        <f>Tabla1[[#This Row],[Fecha Vigencia]]-AJ636</f>
        <v>45012.666666666701</v>
      </c>
      <c r="AL636" s="65"/>
      <c r="AM636" s="90"/>
      <c r="AN636" s="65"/>
      <c r="AO636" s="181"/>
      <c r="AP636" s="65"/>
      <c r="AQ636" s="66"/>
      <c r="AR636" s="65"/>
      <c r="AS636" s="65"/>
      <c r="AT636" s="65"/>
      <c r="AU636" s="65"/>
      <c r="AV636" s="65"/>
      <c r="AW636" s="65"/>
      <c r="AX636" s="65"/>
      <c r="AY636" s="118"/>
      <c r="AZ636" s="118"/>
      <c r="BA636" s="118"/>
      <c r="BB636" s="124"/>
      <c r="BC636" s="73"/>
    </row>
    <row r="637" spans="1:55" ht="11.25" x14ac:dyDescent="0.2">
      <c r="A637" s="117" t="s">
        <v>3260</v>
      </c>
      <c r="B637" s="118" t="s">
        <v>3261</v>
      </c>
      <c r="C637" s="118" t="s">
        <v>3262</v>
      </c>
      <c r="D637" s="119" t="s">
        <v>3263</v>
      </c>
      <c r="E637" s="38" t="s">
        <v>3264</v>
      </c>
      <c r="F637" s="39">
        <v>20</v>
      </c>
      <c r="G637" s="118" t="s">
        <v>21</v>
      </c>
      <c r="H637" s="118" t="s">
        <v>106</v>
      </c>
      <c r="I637" s="40">
        <v>44993.595215277797</v>
      </c>
      <c r="J637" s="24">
        <f>MONTH(Tabla1[[#This Row],[Publicación]])</f>
        <v>3</v>
      </c>
      <c r="K637" s="24">
        <f>YEAR(Tabla1[[#This Row],[Publicación]])</f>
        <v>2023</v>
      </c>
      <c r="L637" s="40">
        <v>45026.625694444403</v>
      </c>
      <c r="M637" s="41">
        <v>44994</v>
      </c>
      <c r="N637" s="120" t="s">
        <v>10</v>
      </c>
      <c r="O637" s="40" t="s">
        <v>27</v>
      </c>
      <c r="P637" s="38"/>
      <c r="Q637" s="121"/>
      <c r="R637" s="121"/>
      <c r="S637" s="19"/>
      <c r="T637" s="42"/>
      <c r="U637" s="64">
        <f>Tabla1[[#This Row],[PPTO]]/(1+'Lista Datos'!$B$1)</f>
        <v>0</v>
      </c>
      <c r="V637" s="65"/>
      <c r="W637" s="122"/>
      <c r="X637" s="123"/>
      <c r="Y637" s="122"/>
      <c r="Z637" s="122"/>
      <c r="AA637" s="118"/>
      <c r="AB637" s="118"/>
      <c r="AC637" s="118"/>
      <c r="AD637" s="118"/>
      <c r="AE637" s="145">
        <f>Tabla1[[#This Row],[Cierre]]+Tabla1[[#This Row],[Vigencia Oferta (días)]]</f>
        <v>45026.625694444403</v>
      </c>
      <c r="AF637" s="90"/>
      <c r="AG637" s="64"/>
      <c r="AH637" s="168">
        <f>Tabla1[[#This Row],[Unidades2]]*Tabla1[[#This Row],[Precio Unitario]]</f>
        <v>0</v>
      </c>
      <c r="AI637" s="118" t="s">
        <v>270</v>
      </c>
      <c r="AJ637" s="149"/>
      <c r="AK637" s="125">
        <f>Tabla1[[#This Row],[Fecha Vigencia]]-AJ637</f>
        <v>45026.625694444403</v>
      </c>
      <c r="AL637" s="65"/>
      <c r="AM637" s="90"/>
      <c r="AN637" s="65"/>
      <c r="AO637" s="181"/>
      <c r="AP637" s="65"/>
      <c r="AQ637" s="66"/>
      <c r="AR637" s="65"/>
      <c r="AS637" s="65"/>
      <c r="AT637" s="65"/>
      <c r="AU637" s="65"/>
      <c r="AV637" s="65"/>
      <c r="AW637" s="65"/>
      <c r="AX637" s="65"/>
      <c r="AY637" s="118"/>
      <c r="AZ637" s="118"/>
      <c r="BA637" s="118"/>
      <c r="BB637" s="124"/>
      <c r="BC637" s="73"/>
    </row>
    <row r="638" spans="1:55" ht="11.25" x14ac:dyDescent="0.2">
      <c r="A638" s="117" t="s">
        <v>3265</v>
      </c>
      <c r="B638" s="118" t="s">
        <v>3266</v>
      </c>
      <c r="C638" s="118" t="s">
        <v>3267</v>
      </c>
      <c r="D638" s="119" t="s">
        <v>553</v>
      </c>
      <c r="E638" s="38" t="s">
        <v>3268</v>
      </c>
      <c r="F638" s="39">
        <v>450</v>
      </c>
      <c r="G638" s="118" t="s">
        <v>21</v>
      </c>
      <c r="H638" s="118" t="s">
        <v>106</v>
      </c>
      <c r="I638" s="40">
        <v>44993.463419293999</v>
      </c>
      <c r="J638" s="24">
        <f>MONTH(Tabla1[[#This Row],[Publicación]])</f>
        <v>3</v>
      </c>
      <c r="K638" s="24">
        <f>YEAR(Tabla1[[#This Row],[Publicación]])</f>
        <v>2023</v>
      </c>
      <c r="L638" s="40">
        <v>44999.500694444403</v>
      </c>
      <c r="M638" s="41">
        <v>44994</v>
      </c>
      <c r="N638" s="120" t="s">
        <v>10</v>
      </c>
      <c r="O638" s="40" t="s">
        <v>27</v>
      </c>
      <c r="P638" s="38"/>
      <c r="Q638" s="121"/>
      <c r="R638" s="121"/>
      <c r="S638" s="19"/>
      <c r="T638" s="42"/>
      <c r="U638" s="64">
        <f>Tabla1[[#This Row],[PPTO]]/(1+'Lista Datos'!$B$1)</f>
        <v>0</v>
      </c>
      <c r="V638" s="65"/>
      <c r="W638" s="122"/>
      <c r="X638" s="123"/>
      <c r="Y638" s="122"/>
      <c r="Z638" s="122"/>
      <c r="AA638" s="118" t="s">
        <v>177</v>
      </c>
      <c r="AB638" s="118">
        <v>12</v>
      </c>
      <c r="AC638" s="118"/>
      <c r="AD638" s="118"/>
      <c r="AE638" s="145">
        <f>Tabla1[[#This Row],[Cierre]]+Tabla1[[#This Row],[Vigencia Oferta (días)]]</f>
        <v>44999.500694444403</v>
      </c>
      <c r="AF638" s="90"/>
      <c r="AG638" s="64"/>
      <c r="AH638" s="168">
        <f>Tabla1[[#This Row],[Unidades2]]*Tabla1[[#This Row],[Precio Unitario]]</f>
        <v>0</v>
      </c>
      <c r="AI638" s="118" t="s">
        <v>270</v>
      </c>
      <c r="AJ638" s="149"/>
      <c r="AK638" s="125">
        <f>Tabla1[[#This Row],[Fecha Vigencia]]-AJ638</f>
        <v>44999.500694444403</v>
      </c>
      <c r="AL638" s="65"/>
      <c r="AM638" s="90"/>
      <c r="AN638" s="65"/>
      <c r="AO638" s="181"/>
      <c r="AP638" s="65"/>
      <c r="AQ638" s="66"/>
      <c r="AR638" s="65"/>
      <c r="AS638" s="65"/>
      <c r="AT638" s="65"/>
      <c r="AU638" s="65"/>
      <c r="AV638" s="65"/>
      <c r="AW638" s="65"/>
      <c r="AX638" s="65"/>
      <c r="AY638" s="118"/>
      <c r="AZ638" s="118"/>
      <c r="BA638" s="118"/>
      <c r="BB638" s="124"/>
      <c r="BC638" s="73"/>
    </row>
    <row r="639" spans="1:55" ht="11.25" x14ac:dyDescent="0.2">
      <c r="A639" s="153" t="s">
        <v>3269</v>
      </c>
      <c r="B639" s="30" t="s">
        <v>2555</v>
      </c>
      <c r="C639" s="30" t="s">
        <v>1502</v>
      </c>
      <c r="D639" s="84" t="s">
        <v>1178</v>
      </c>
      <c r="E639" s="24" t="s">
        <v>3270</v>
      </c>
      <c r="F639" s="25">
        <v>12</v>
      </c>
      <c r="G639" s="30" t="s">
        <v>21</v>
      </c>
      <c r="H639" s="30" t="s">
        <v>106</v>
      </c>
      <c r="I639" s="2">
        <v>44994.692162766201</v>
      </c>
      <c r="J639" s="24">
        <f>MONTH(Tabla1[[#This Row],[Publicación]])</f>
        <v>3</v>
      </c>
      <c r="K639" s="24">
        <f>YEAR(Tabla1[[#This Row],[Publicación]])</f>
        <v>2023</v>
      </c>
      <c r="L639" s="2">
        <v>45001.666666666701</v>
      </c>
      <c r="M639" s="26">
        <v>44995</v>
      </c>
      <c r="N639" s="85" t="s">
        <v>10</v>
      </c>
      <c r="O639" s="2" t="s">
        <v>28</v>
      </c>
      <c r="P639" s="24" t="s">
        <v>10</v>
      </c>
      <c r="Q639" s="60"/>
      <c r="R639" s="60"/>
      <c r="S639" s="18"/>
      <c r="T639" s="27"/>
      <c r="U639" s="67">
        <f>Tabla1[[#This Row],[PPTO]]/(1+'Lista Datos'!$B$1)</f>
        <v>0</v>
      </c>
      <c r="V639" s="68"/>
      <c r="W639" s="127"/>
      <c r="X639" s="154"/>
      <c r="Y639" s="127"/>
      <c r="Z639" s="127"/>
      <c r="AA639" s="30"/>
      <c r="AB639" s="30"/>
      <c r="AC639" s="30"/>
      <c r="AD639" s="30"/>
      <c r="AE639" s="145">
        <f>Tabla1[[#This Row],[Cierre]]+Tabla1[[#This Row],[Vigencia Oferta (días)]]</f>
        <v>45001.666666666701</v>
      </c>
      <c r="AF639" s="91"/>
      <c r="AG639" s="67"/>
      <c r="AH639" s="169">
        <f>Tabla1[[#This Row],[Unidades2]]*Tabla1[[#This Row],[Precio Unitario]]</f>
        <v>0</v>
      </c>
      <c r="AI639" s="30" t="s">
        <v>270</v>
      </c>
      <c r="AJ639" s="104"/>
      <c r="AK639" s="159">
        <f>Tabla1[[#This Row],[Fecha Vigencia]]-AJ639</f>
        <v>45001.666666666701</v>
      </c>
      <c r="AL639" s="68"/>
      <c r="AM639" s="91"/>
      <c r="AN639" s="68"/>
      <c r="AO639" s="157"/>
      <c r="AP639" s="68"/>
      <c r="AQ639" s="69"/>
      <c r="AR639" s="68"/>
      <c r="AS639" s="68"/>
      <c r="AT639" s="68"/>
      <c r="AU639" s="68"/>
      <c r="AV639" s="68"/>
      <c r="AW639" s="68"/>
      <c r="AX639" s="68"/>
      <c r="AY639" s="30"/>
      <c r="AZ639" s="30"/>
      <c r="BA639" s="30"/>
      <c r="BB639" s="75"/>
      <c r="BC639" s="73"/>
    </row>
    <row r="640" spans="1:55" ht="11.25" x14ac:dyDescent="0.2">
      <c r="A640" s="117" t="s">
        <v>3271</v>
      </c>
      <c r="B640" s="118" t="s">
        <v>3272</v>
      </c>
      <c r="C640" s="118" t="s">
        <v>3273</v>
      </c>
      <c r="D640" s="119" t="s">
        <v>130</v>
      </c>
      <c r="E640" s="38" t="s">
        <v>3274</v>
      </c>
      <c r="F640" s="39">
        <v>1</v>
      </c>
      <c r="G640" s="118" t="s">
        <v>16</v>
      </c>
      <c r="H640" s="118" t="s">
        <v>123</v>
      </c>
      <c r="I640" s="40">
        <v>44994.6517864583</v>
      </c>
      <c r="J640" s="24">
        <f>MONTH(Tabla1[[#This Row],[Publicación]])</f>
        <v>3</v>
      </c>
      <c r="K640" s="24">
        <f>YEAR(Tabla1[[#This Row],[Publicación]])</f>
        <v>2023</v>
      </c>
      <c r="L640" s="40">
        <v>45005.697222222203</v>
      </c>
      <c r="M640" s="41">
        <v>44995</v>
      </c>
      <c r="N640" s="120" t="s">
        <v>10</v>
      </c>
      <c r="O640" s="40" t="s">
        <v>33</v>
      </c>
      <c r="P640" s="38"/>
      <c r="Q640" s="121"/>
      <c r="R640" s="121"/>
      <c r="S640" s="19"/>
      <c r="T640" s="42"/>
      <c r="U640" s="64">
        <f>Tabla1[[#This Row],[PPTO]]/(1+'Lista Datos'!$B$1)</f>
        <v>0</v>
      </c>
      <c r="V640" s="65"/>
      <c r="W640" s="122"/>
      <c r="X640" s="123"/>
      <c r="Y640" s="122"/>
      <c r="Z640" s="122"/>
      <c r="AA640" s="118"/>
      <c r="AB640" s="118"/>
      <c r="AC640" s="118"/>
      <c r="AD640" s="118"/>
      <c r="AE640" s="145">
        <f>Tabla1[[#This Row],[Cierre]]+Tabla1[[#This Row],[Vigencia Oferta (días)]]</f>
        <v>45005.697222222203</v>
      </c>
      <c r="AF640" s="90"/>
      <c r="AG640" s="64"/>
      <c r="AH640" s="168">
        <f>Tabla1[[#This Row],[Unidades2]]*Tabla1[[#This Row],[Precio Unitario]]</f>
        <v>0</v>
      </c>
      <c r="AI640" s="118" t="s">
        <v>270</v>
      </c>
      <c r="AJ640" s="149"/>
      <c r="AK640" s="125">
        <f>Tabla1[[#This Row],[Fecha Vigencia]]-AJ640</f>
        <v>45005.697222222203</v>
      </c>
      <c r="AL640" s="65"/>
      <c r="AM640" s="90"/>
      <c r="AN640" s="65"/>
      <c r="AO640" s="181"/>
      <c r="AP640" s="65"/>
      <c r="AQ640" s="66"/>
      <c r="AR640" s="65"/>
      <c r="AS640" s="65"/>
      <c r="AT640" s="65"/>
      <c r="AU640" s="65"/>
      <c r="AV640" s="65"/>
      <c r="AW640" s="65"/>
      <c r="AX640" s="65"/>
      <c r="AY640" s="118"/>
      <c r="AZ640" s="118"/>
      <c r="BA640" s="118"/>
      <c r="BB640" s="124"/>
      <c r="BC640" s="73"/>
    </row>
    <row r="641" spans="1:55" ht="11.25" x14ac:dyDescent="0.2">
      <c r="A641" s="117" t="s">
        <v>3275</v>
      </c>
      <c r="B641" s="118" t="s">
        <v>3276</v>
      </c>
      <c r="C641" s="118" t="s">
        <v>3277</v>
      </c>
      <c r="D641" s="119" t="s">
        <v>3278</v>
      </c>
      <c r="E641" s="38" t="s">
        <v>3279</v>
      </c>
      <c r="F641" s="39">
        <v>1</v>
      </c>
      <c r="G641" s="118" t="s">
        <v>18</v>
      </c>
      <c r="H641" s="118" t="s">
        <v>213</v>
      </c>
      <c r="I641" s="40">
        <v>44995.409450844898</v>
      </c>
      <c r="J641" s="24">
        <f>MONTH(Tabla1[[#This Row],[Publicación]])</f>
        <v>3</v>
      </c>
      <c r="K641" s="24">
        <f>YEAR(Tabla1[[#This Row],[Publicación]])</f>
        <v>2023</v>
      </c>
      <c r="L641" s="40">
        <v>45005.625</v>
      </c>
      <c r="M641" s="41">
        <v>44998</v>
      </c>
      <c r="N641" s="120" t="s">
        <v>10</v>
      </c>
      <c r="O641" s="40" t="s">
        <v>28</v>
      </c>
      <c r="P641" s="38"/>
      <c r="Q641" s="121"/>
      <c r="R641" s="121"/>
      <c r="S641" s="19"/>
      <c r="T641" s="42"/>
      <c r="U641" s="64">
        <f>Tabla1[[#This Row],[PPTO]]/(1+'Lista Datos'!$B$1)</f>
        <v>0</v>
      </c>
      <c r="V641" s="65"/>
      <c r="W641" s="122"/>
      <c r="X641" s="123"/>
      <c r="Y641" s="122"/>
      <c r="Z641" s="122"/>
      <c r="AA641" s="118"/>
      <c r="AB641" s="118"/>
      <c r="AC641" s="118"/>
      <c r="AD641" s="118"/>
      <c r="AE641" s="145">
        <f>Tabla1[[#This Row],[Cierre]]+Tabla1[[#This Row],[Vigencia Oferta (días)]]</f>
        <v>45005.625</v>
      </c>
      <c r="AF641" s="90"/>
      <c r="AG641" s="64"/>
      <c r="AH641" s="168">
        <f>Tabla1[[#This Row],[Unidades2]]*Tabla1[[#This Row],[Precio Unitario]]</f>
        <v>0</v>
      </c>
      <c r="AI641" s="118" t="s">
        <v>270</v>
      </c>
      <c r="AJ641" s="149"/>
      <c r="AK641" s="125">
        <f>Tabla1[[#This Row],[Fecha Vigencia]]-AJ641</f>
        <v>45005.625</v>
      </c>
      <c r="AL641" s="65"/>
      <c r="AM641" s="90"/>
      <c r="AN641" s="65"/>
      <c r="AO641" s="181"/>
      <c r="AP641" s="65"/>
      <c r="AQ641" s="66"/>
      <c r="AR641" s="65"/>
      <c r="AS641" s="65"/>
      <c r="AT641" s="65"/>
      <c r="AU641" s="65"/>
      <c r="AV641" s="65"/>
      <c r="AW641" s="65"/>
      <c r="AX641" s="65"/>
      <c r="AY641" s="118"/>
      <c r="AZ641" s="118"/>
      <c r="BA641" s="118"/>
      <c r="BB641" s="124"/>
      <c r="BC641" s="73"/>
    </row>
    <row r="642" spans="1:55" ht="11.25" x14ac:dyDescent="0.2">
      <c r="A642" s="117" t="s">
        <v>3280</v>
      </c>
      <c r="B642" s="118" t="s">
        <v>3281</v>
      </c>
      <c r="C642" s="118" t="s">
        <v>3282</v>
      </c>
      <c r="D642" s="119" t="s">
        <v>984</v>
      </c>
      <c r="E642" s="38" t="s">
        <v>3283</v>
      </c>
      <c r="F642" s="39">
        <v>1</v>
      </c>
      <c r="G642" s="118" t="s">
        <v>14</v>
      </c>
      <c r="H642" s="118" t="s">
        <v>533</v>
      </c>
      <c r="I642" s="40">
        <v>44998.682814699103</v>
      </c>
      <c r="J642" s="24">
        <f>MONTH(Tabla1[[#This Row],[Publicación]])</f>
        <v>3</v>
      </c>
      <c r="K642" s="24">
        <f>YEAR(Tabla1[[#This Row],[Publicación]])</f>
        <v>2023</v>
      </c>
      <c r="L642" s="40">
        <v>45008.417361111096</v>
      </c>
      <c r="M642" s="41">
        <v>44999</v>
      </c>
      <c r="N642" s="120" t="s">
        <v>10</v>
      </c>
      <c r="O642" s="40" t="s">
        <v>25</v>
      </c>
      <c r="P642" s="38" t="s">
        <v>10</v>
      </c>
      <c r="Q642" s="121"/>
      <c r="R642" s="121"/>
      <c r="S642" s="19"/>
      <c r="T642" s="42"/>
      <c r="U642" s="64">
        <f>Tabla1[[#This Row],[PPTO]]/(1+'Lista Datos'!$B$1)</f>
        <v>0</v>
      </c>
      <c r="V642" s="65"/>
      <c r="W642" s="122"/>
      <c r="X642" s="123"/>
      <c r="Y642" s="122"/>
      <c r="Z642" s="122"/>
      <c r="AA642" s="118"/>
      <c r="AB642" s="118"/>
      <c r="AC642" s="118"/>
      <c r="AD642" s="118"/>
      <c r="AE642" s="145">
        <f>Tabla1[[#This Row],[Cierre]]+Tabla1[[#This Row],[Vigencia Oferta (días)]]</f>
        <v>45008.417361111096</v>
      </c>
      <c r="AF642" s="90"/>
      <c r="AG642" s="64"/>
      <c r="AH642" s="168">
        <f>Tabla1[[#This Row],[Unidades2]]*Tabla1[[#This Row],[Precio Unitario]]</f>
        <v>0</v>
      </c>
      <c r="AI642" s="118" t="s">
        <v>270</v>
      </c>
      <c r="AJ642" s="149"/>
      <c r="AK642" s="125">
        <f>Tabla1[[#This Row],[Fecha Vigencia]]-AJ642</f>
        <v>45008.417361111096</v>
      </c>
      <c r="AL642" s="65"/>
      <c r="AM642" s="90"/>
      <c r="AN642" s="65"/>
      <c r="AO642" s="181"/>
      <c r="AP642" s="65"/>
      <c r="AQ642" s="66"/>
      <c r="AR642" s="65"/>
      <c r="AS642" s="65"/>
      <c r="AT642" s="65"/>
      <c r="AU642" s="65"/>
      <c r="AV642" s="65"/>
      <c r="AW642" s="65"/>
      <c r="AX642" s="65"/>
      <c r="AY642" s="118"/>
      <c r="AZ642" s="118"/>
      <c r="BA642" s="118"/>
      <c r="BB642" s="124"/>
      <c r="BC642" s="73"/>
    </row>
    <row r="643" spans="1:55" ht="11.25" x14ac:dyDescent="0.2">
      <c r="A643" s="117" t="s">
        <v>3280</v>
      </c>
      <c r="B643" s="118" t="s">
        <v>3281</v>
      </c>
      <c r="C643" s="118" t="s">
        <v>3282</v>
      </c>
      <c r="D643" s="119" t="s">
        <v>984</v>
      </c>
      <c r="E643" s="38" t="s">
        <v>3284</v>
      </c>
      <c r="F643" s="39">
        <v>2</v>
      </c>
      <c r="G643" s="118" t="s">
        <v>21</v>
      </c>
      <c r="H643" s="118" t="s">
        <v>106</v>
      </c>
      <c r="I643" s="40">
        <v>44998.682814699103</v>
      </c>
      <c r="J643" s="24">
        <f>MONTH(Tabla1[[#This Row],[Publicación]])</f>
        <v>3</v>
      </c>
      <c r="K643" s="24">
        <f>YEAR(Tabla1[[#This Row],[Publicación]])</f>
        <v>2023</v>
      </c>
      <c r="L643" s="40">
        <v>45008.417361111096</v>
      </c>
      <c r="M643" s="41">
        <v>44999</v>
      </c>
      <c r="N643" s="120" t="s">
        <v>10</v>
      </c>
      <c r="O643" s="40" t="s">
        <v>27</v>
      </c>
      <c r="P643" s="38" t="s">
        <v>10</v>
      </c>
      <c r="Q643" s="121"/>
      <c r="R643" s="121"/>
      <c r="S643" s="19"/>
      <c r="T643" s="42"/>
      <c r="U643" s="64">
        <f>Tabla1[[#This Row],[PPTO]]/(1+'Lista Datos'!$B$1)</f>
        <v>0</v>
      </c>
      <c r="V643" s="65"/>
      <c r="W643" s="122"/>
      <c r="X643" s="123"/>
      <c r="Y643" s="122"/>
      <c r="Z643" s="122"/>
      <c r="AA643" s="118"/>
      <c r="AB643" s="118"/>
      <c r="AC643" s="118"/>
      <c r="AD643" s="118"/>
      <c r="AE643" s="145">
        <f>Tabla1[[#This Row],[Cierre]]+Tabla1[[#This Row],[Vigencia Oferta (días)]]</f>
        <v>45008.417361111096</v>
      </c>
      <c r="AF643" s="90"/>
      <c r="AG643" s="64"/>
      <c r="AH643" s="168">
        <f>Tabla1[[#This Row],[Unidades2]]*Tabla1[[#This Row],[Precio Unitario]]</f>
        <v>0</v>
      </c>
      <c r="AI643" s="118" t="s">
        <v>270</v>
      </c>
      <c r="AJ643" s="149"/>
      <c r="AK643" s="125">
        <f>Tabla1[[#This Row],[Fecha Vigencia]]-AJ643</f>
        <v>45008.417361111096</v>
      </c>
      <c r="AL643" s="65"/>
      <c r="AM643" s="90"/>
      <c r="AN643" s="65"/>
      <c r="AO643" s="181"/>
      <c r="AP643" s="65"/>
      <c r="AQ643" s="66"/>
      <c r="AR643" s="65"/>
      <c r="AS643" s="65"/>
      <c r="AT643" s="65"/>
      <c r="AU643" s="65"/>
      <c r="AV643" s="65"/>
      <c r="AW643" s="65"/>
      <c r="AX643" s="65"/>
      <c r="AY643" s="118"/>
      <c r="AZ643" s="118"/>
      <c r="BA643" s="118"/>
      <c r="BB643" s="124"/>
      <c r="BC643" s="73"/>
    </row>
    <row r="644" spans="1:55" ht="11.25" x14ac:dyDescent="0.2">
      <c r="A644" s="117" t="s">
        <v>3285</v>
      </c>
      <c r="B644" s="118" t="s">
        <v>3286</v>
      </c>
      <c r="C644" s="118" t="s">
        <v>3287</v>
      </c>
      <c r="D644" s="119" t="s">
        <v>144</v>
      </c>
      <c r="E644" s="38" t="s">
        <v>3288</v>
      </c>
      <c r="F644" s="39">
        <v>12</v>
      </c>
      <c r="G644" s="118" t="s">
        <v>15</v>
      </c>
      <c r="H644" s="118" t="s">
        <v>114</v>
      </c>
      <c r="I644" s="40">
        <v>44998.533770833303</v>
      </c>
      <c r="J644" s="24">
        <f>MONTH(Tabla1[[#This Row],[Publicación]])</f>
        <v>3</v>
      </c>
      <c r="K644" s="24">
        <f>YEAR(Tabla1[[#This Row],[Publicación]])</f>
        <v>2023</v>
      </c>
      <c r="L644" s="40">
        <v>45008.625</v>
      </c>
      <c r="M644" s="41">
        <v>44999</v>
      </c>
      <c r="N644" s="120" t="s">
        <v>10</v>
      </c>
      <c r="O644" s="40" t="s">
        <v>29</v>
      </c>
      <c r="P644" s="38"/>
      <c r="Q644" s="147">
        <v>45005.416666666664</v>
      </c>
      <c r="R644" s="147">
        <v>45006.604166666664</v>
      </c>
      <c r="S644" s="148">
        <v>45068.75</v>
      </c>
      <c r="T644" s="42">
        <v>118890453</v>
      </c>
      <c r="U644" s="64">
        <f>Tabla1[[#This Row],[PPTO]]/(1+'Lista Datos'!$B$1)</f>
        <v>99907943.697478995</v>
      </c>
      <c r="V644" s="65"/>
      <c r="W644" s="122" t="s">
        <v>11</v>
      </c>
      <c r="X644" s="123">
        <v>200000</v>
      </c>
      <c r="Y644" s="149">
        <v>45128</v>
      </c>
      <c r="Z644" s="122" t="s">
        <v>10</v>
      </c>
      <c r="AA644" s="118" t="s">
        <v>177</v>
      </c>
      <c r="AB644" s="118">
        <v>12</v>
      </c>
      <c r="AC644" s="118"/>
      <c r="AD644" s="118"/>
      <c r="AE644" s="145">
        <f>Tabla1[[#This Row],[Cierre]]+Tabla1[[#This Row],[Vigencia Oferta (días)]]</f>
        <v>45008.625</v>
      </c>
      <c r="AF644" s="90"/>
      <c r="AG644" s="64"/>
      <c r="AH644" s="168">
        <f>Tabla1[[#This Row],[Unidades2]]*Tabla1[[#This Row],[Precio Unitario]]</f>
        <v>0</v>
      </c>
      <c r="AI644" s="118" t="s">
        <v>270</v>
      </c>
      <c r="AJ644" s="149"/>
      <c r="AK644" s="125">
        <f>Tabla1[[#This Row],[Fecha Vigencia]]-AJ644</f>
        <v>45008.625</v>
      </c>
      <c r="AL644" s="65"/>
      <c r="AM644" s="90"/>
      <c r="AN644" s="65"/>
      <c r="AO644" s="181"/>
      <c r="AP644" s="65"/>
      <c r="AQ644" s="66"/>
      <c r="AR644" s="65"/>
      <c r="AS644" s="65"/>
      <c r="AT644" s="65"/>
      <c r="AU644" s="65"/>
      <c r="AV644" s="65"/>
      <c r="AW644" s="65"/>
      <c r="AX644" s="65"/>
      <c r="AY644" s="118"/>
      <c r="AZ644" s="118"/>
      <c r="BA644" s="118"/>
      <c r="BB644" s="124"/>
      <c r="BC644" s="73"/>
    </row>
    <row r="645" spans="1:55" ht="11.25" x14ac:dyDescent="0.2">
      <c r="A645" s="117" t="s">
        <v>3289</v>
      </c>
      <c r="B645" s="118" t="s">
        <v>3290</v>
      </c>
      <c r="C645" s="118" t="s">
        <v>3291</v>
      </c>
      <c r="D645" s="119" t="s">
        <v>3292</v>
      </c>
      <c r="E645" s="38" t="s">
        <v>3293</v>
      </c>
      <c r="F645" s="39">
        <v>50</v>
      </c>
      <c r="G645" s="118" t="s">
        <v>14</v>
      </c>
      <c r="H645" s="118" t="s">
        <v>520</v>
      </c>
      <c r="I645" s="40">
        <v>44999.7507112616</v>
      </c>
      <c r="J645" s="24">
        <f>MONTH(Tabla1[[#This Row],[Publicación]])</f>
        <v>3</v>
      </c>
      <c r="K645" s="24">
        <f>YEAR(Tabla1[[#This Row],[Publicación]])</f>
        <v>2023</v>
      </c>
      <c r="L645" s="40">
        <v>45006.625</v>
      </c>
      <c r="M645" s="41">
        <v>45000</v>
      </c>
      <c r="N645" s="25" t="s">
        <v>10</v>
      </c>
      <c r="O645" s="24" t="s">
        <v>28</v>
      </c>
      <c r="P645" s="24" t="s">
        <v>10</v>
      </c>
      <c r="Q645" s="147">
        <v>45001.5</v>
      </c>
      <c r="R645" s="147">
        <v>45002.791666666664</v>
      </c>
      <c r="S645" s="148">
        <v>45009.791666666664</v>
      </c>
      <c r="T645" s="42"/>
      <c r="U645" s="64">
        <f>Tabla1[[#This Row],[PPTO]]/(1+'Lista Datos'!$B$1)</f>
        <v>0</v>
      </c>
      <c r="V645" s="65"/>
      <c r="W645" s="122" t="s">
        <v>10</v>
      </c>
      <c r="X645" s="123"/>
      <c r="Y645" s="122"/>
      <c r="Z645" s="122" t="s">
        <v>10</v>
      </c>
      <c r="AA645" s="118" t="s">
        <v>512</v>
      </c>
      <c r="AB645" s="118"/>
      <c r="AC645" s="118"/>
      <c r="AD645" s="118"/>
      <c r="AE645" s="145">
        <f>Tabla1[[#This Row],[Cierre]]+Tabla1[[#This Row],[Vigencia Oferta (días)]]</f>
        <v>45006.625</v>
      </c>
      <c r="AF645" s="90"/>
      <c r="AG645" s="64"/>
      <c r="AH645" s="168">
        <f>Tabla1[[#This Row],[Unidades2]]*Tabla1[[#This Row],[Precio Unitario]]</f>
        <v>0</v>
      </c>
      <c r="AI645" s="118" t="s">
        <v>270</v>
      </c>
      <c r="AJ645" s="149"/>
      <c r="AK645" s="125">
        <f>Tabla1[[#This Row],[Fecha Vigencia]]-AJ645</f>
        <v>45006.625</v>
      </c>
      <c r="AL645" s="65"/>
      <c r="AM645" s="90"/>
      <c r="AN645" s="65"/>
      <c r="AO645" s="181"/>
      <c r="AP645" s="65"/>
      <c r="AQ645" s="66"/>
      <c r="AR645" s="65"/>
      <c r="AS645" s="65"/>
      <c r="AT645" s="65"/>
      <c r="AU645" s="65"/>
      <c r="AV645" s="65"/>
      <c r="AW645" s="65"/>
      <c r="AX645" s="65"/>
      <c r="AY645" s="118"/>
      <c r="AZ645" s="118"/>
      <c r="BA645" s="118"/>
      <c r="BB645" s="124"/>
      <c r="BC645" s="73"/>
    </row>
    <row r="646" spans="1:55" ht="11.25" x14ac:dyDescent="0.2">
      <c r="A646" s="117" t="s">
        <v>3294</v>
      </c>
      <c r="B646" s="118" t="s">
        <v>3295</v>
      </c>
      <c r="C646" s="118" t="s">
        <v>3296</v>
      </c>
      <c r="D646" s="119" t="s">
        <v>227</v>
      </c>
      <c r="E646" s="38" t="s">
        <v>3297</v>
      </c>
      <c r="F646" s="39">
        <v>5</v>
      </c>
      <c r="G646" s="118" t="s">
        <v>14</v>
      </c>
      <c r="H646" s="118" t="s">
        <v>145</v>
      </c>
      <c r="I646" s="40">
        <v>44999.627303819398</v>
      </c>
      <c r="J646" s="24">
        <f>MONTH(Tabla1[[#This Row],[Publicación]])</f>
        <v>3</v>
      </c>
      <c r="K646" s="24">
        <f>YEAR(Tabla1[[#This Row],[Publicación]])</f>
        <v>2023</v>
      </c>
      <c r="L646" s="40">
        <v>45009.625</v>
      </c>
      <c r="M646" s="41">
        <v>45000</v>
      </c>
      <c r="N646" s="120" t="s">
        <v>10</v>
      </c>
      <c r="O646" s="40" t="s">
        <v>27</v>
      </c>
      <c r="P646" s="38"/>
      <c r="Q646" s="121"/>
      <c r="R646" s="121"/>
      <c r="S646" s="19"/>
      <c r="T646" s="42"/>
      <c r="U646" s="64">
        <f>Tabla1[[#This Row],[PPTO]]/(1+'Lista Datos'!$B$1)</f>
        <v>0</v>
      </c>
      <c r="V646" s="65"/>
      <c r="W646" s="122"/>
      <c r="X646" s="123"/>
      <c r="Y646" s="122"/>
      <c r="Z646" s="122"/>
      <c r="AA646" s="118"/>
      <c r="AB646" s="118"/>
      <c r="AC646" s="118"/>
      <c r="AD646" s="118"/>
      <c r="AE646" s="145">
        <f>Tabla1[[#This Row],[Cierre]]+Tabla1[[#This Row],[Vigencia Oferta (días)]]</f>
        <v>45009.625</v>
      </c>
      <c r="AF646" s="90"/>
      <c r="AG646" s="64"/>
      <c r="AH646" s="168">
        <f>Tabla1[[#This Row],[Unidades2]]*Tabla1[[#This Row],[Precio Unitario]]</f>
        <v>0</v>
      </c>
      <c r="AI646" s="118" t="s">
        <v>270</v>
      </c>
      <c r="AJ646" s="149"/>
      <c r="AK646" s="125">
        <f>Tabla1[[#This Row],[Fecha Vigencia]]-AJ646</f>
        <v>45009.625</v>
      </c>
      <c r="AL646" s="65"/>
      <c r="AM646" s="90"/>
      <c r="AN646" s="65"/>
      <c r="AO646" s="181"/>
      <c r="AP646" s="65"/>
      <c r="AQ646" s="66"/>
      <c r="AR646" s="65"/>
      <c r="AS646" s="65"/>
      <c r="AT646" s="65"/>
      <c r="AU646" s="65"/>
      <c r="AV646" s="65"/>
      <c r="AW646" s="65"/>
      <c r="AX646" s="65"/>
      <c r="AY646" s="118"/>
      <c r="AZ646" s="118"/>
      <c r="BA646" s="118"/>
      <c r="BB646" s="124"/>
      <c r="BC646" s="73"/>
    </row>
    <row r="647" spans="1:55" ht="11.25" x14ac:dyDescent="0.2">
      <c r="A647" s="117" t="s">
        <v>3298</v>
      </c>
      <c r="B647" s="118" t="s">
        <v>3299</v>
      </c>
      <c r="C647" s="118" t="s">
        <v>3300</v>
      </c>
      <c r="D647" s="119" t="s">
        <v>994</v>
      </c>
      <c r="E647" s="38" t="s">
        <v>3301</v>
      </c>
      <c r="F647" s="39">
        <v>1</v>
      </c>
      <c r="G647" s="118" t="s">
        <v>16</v>
      </c>
      <c r="H647" s="118" t="s">
        <v>1983</v>
      </c>
      <c r="I647" s="40">
        <v>44999.497818553202</v>
      </c>
      <c r="J647" s="24">
        <f>MONTH(Tabla1[[#This Row],[Publicación]])</f>
        <v>3</v>
      </c>
      <c r="K647" s="24">
        <f>YEAR(Tabla1[[#This Row],[Publicación]])</f>
        <v>2023</v>
      </c>
      <c r="L647" s="40">
        <v>45019.625</v>
      </c>
      <c r="M647" s="41">
        <v>45000</v>
      </c>
      <c r="N647" s="120" t="s">
        <v>10</v>
      </c>
      <c r="O647" s="40" t="s">
        <v>25</v>
      </c>
      <c r="P647" s="38"/>
      <c r="Q647" s="121"/>
      <c r="R647" s="121"/>
      <c r="S647" s="19"/>
      <c r="T647" s="42"/>
      <c r="U647" s="64">
        <f>Tabla1[[#This Row],[PPTO]]/(1+'Lista Datos'!$B$1)</f>
        <v>0</v>
      </c>
      <c r="V647" s="65"/>
      <c r="W647" s="122"/>
      <c r="X647" s="123"/>
      <c r="Y647" s="122"/>
      <c r="Z647" s="122"/>
      <c r="AA647" s="118"/>
      <c r="AB647" s="118"/>
      <c r="AC647" s="118"/>
      <c r="AD647" s="118"/>
      <c r="AE647" s="145">
        <f>Tabla1[[#This Row],[Cierre]]+Tabla1[[#This Row],[Vigencia Oferta (días)]]</f>
        <v>45019.625</v>
      </c>
      <c r="AF647" s="90"/>
      <c r="AG647" s="64"/>
      <c r="AH647" s="168">
        <f>Tabla1[[#This Row],[Unidades2]]*Tabla1[[#This Row],[Precio Unitario]]</f>
        <v>0</v>
      </c>
      <c r="AI647" s="118" t="s">
        <v>270</v>
      </c>
      <c r="AJ647" s="149"/>
      <c r="AK647" s="125">
        <f>Tabla1[[#This Row],[Fecha Vigencia]]-AJ647</f>
        <v>45019.625</v>
      </c>
      <c r="AL647" s="65"/>
      <c r="AM647" s="90"/>
      <c r="AN647" s="65"/>
      <c r="AO647" s="181"/>
      <c r="AP647" s="65"/>
      <c r="AQ647" s="66"/>
      <c r="AR647" s="65"/>
      <c r="AS647" s="65"/>
      <c r="AT647" s="65"/>
      <c r="AU647" s="65"/>
      <c r="AV647" s="65"/>
      <c r="AW647" s="65"/>
      <c r="AX647" s="65"/>
      <c r="AY647" s="118"/>
      <c r="AZ647" s="118"/>
      <c r="BA647" s="118"/>
      <c r="BB647" s="124"/>
      <c r="BC647" s="73"/>
    </row>
    <row r="648" spans="1:55" ht="11.25" x14ac:dyDescent="0.2">
      <c r="A648" s="117" t="s">
        <v>3302</v>
      </c>
      <c r="B648" s="118" t="s">
        <v>3303</v>
      </c>
      <c r="C648" s="118" t="s">
        <v>3304</v>
      </c>
      <c r="D648" s="119" t="s">
        <v>319</v>
      </c>
      <c r="E648" s="38" t="s">
        <v>3305</v>
      </c>
      <c r="F648" s="39">
        <v>1</v>
      </c>
      <c r="G648" s="118" t="s">
        <v>16</v>
      </c>
      <c r="H648" s="118" t="s">
        <v>213</v>
      </c>
      <c r="I648" s="40">
        <v>44999.454698726899</v>
      </c>
      <c r="J648" s="24">
        <f>MONTH(Tabla1[[#This Row],[Publicación]])</f>
        <v>3</v>
      </c>
      <c r="K648" s="24">
        <f>YEAR(Tabla1[[#This Row],[Publicación]])</f>
        <v>2023</v>
      </c>
      <c r="L648" s="40">
        <v>45009.645833333299</v>
      </c>
      <c r="M648" s="41">
        <v>45000</v>
      </c>
      <c r="N648" s="120" t="s">
        <v>11</v>
      </c>
      <c r="O648" s="40"/>
      <c r="P648" s="38"/>
      <c r="Q648" s="147">
        <v>45005.5</v>
      </c>
      <c r="R648" s="147">
        <v>45007.541666666664</v>
      </c>
      <c r="S648" s="148">
        <v>45026.75</v>
      </c>
      <c r="T648" s="42"/>
      <c r="U648" s="64">
        <f>Tabla1[[#This Row],[PPTO]]/(1+'Lista Datos'!$B$1)</f>
        <v>0</v>
      </c>
      <c r="V648" s="65"/>
      <c r="W648" s="122" t="s">
        <v>10</v>
      </c>
      <c r="X648" s="123"/>
      <c r="Y648" s="122"/>
      <c r="Z648" s="122" t="s">
        <v>10</v>
      </c>
      <c r="AA648" s="118" t="s">
        <v>177</v>
      </c>
      <c r="AB648" s="118">
        <v>12</v>
      </c>
      <c r="AC648" s="118"/>
      <c r="AD648" s="118"/>
      <c r="AE648" s="145">
        <f>Tabla1[[#This Row],[Cierre]]+Tabla1[[#This Row],[Vigencia Oferta (días)]]</f>
        <v>45009.645833333299</v>
      </c>
      <c r="AF648" s="90"/>
      <c r="AG648" s="64"/>
      <c r="AH648" s="168">
        <f>Tabla1[[#This Row],[Unidades2]]*Tabla1[[#This Row],[Precio Unitario]]</f>
        <v>0</v>
      </c>
      <c r="AI648" s="118" t="s">
        <v>320</v>
      </c>
      <c r="AJ648" s="149"/>
      <c r="AK648" s="125">
        <f>Tabla1[[#This Row],[Fecha Vigencia]]-AJ648</f>
        <v>45009.645833333299</v>
      </c>
      <c r="AL648" s="65"/>
      <c r="AM648" s="90"/>
      <c r="AN648" s="65"/>
      <c r="AO648" s="181"/>
      <c r="AP648" s="65"/>
      <c r="AQ648" s="66"/>
      <c r="AR648" s="65"/>
      <c r="AS648" s="65"/>
      <c r="AT648" s="65"/>
      <c r="AU648" s="65"/>
      <c r="AV648" s="65"/>
      <c r="AW648" s="65"/>
      <c r="AX648" s="65"/>
      <c r="AY648" s="118"/>
      <c r="AZ648" s="118"/>
      <c r="BA648" s="118"/>
      <c r="BB648" s="124"/>
      <c r="BC648" s="73"/>
    </row>
    <row r="649" spans="1:55" ht="11.25" x14ac:dyDescent="0.2">
      <c r="A649" s="117" t="s">
        <v>3306</v>
      </c>
      <c r="B649" s="118" t="s">
        <v>3307</v>
      </c>
      <c r="C649" s="118" t="s">
        <v>3308</v>
      </c>
      <c r="D649" s="119" t="s">
        <v>319</v>
      </c>
      <c r="E649" s="38" t="s">
        <v>3309</v>
      </c>
      <c r="F649" s="39">
        <v>1</v>
      </c>
      <c r="G649" s="118" t="s">
        <v>14</v>
      </c>
      <c r="H649" s="118" t="s">
        <v>520</v>
      </c>
      <c r="I649" s="40">
        <v>44999.446717511601</v>
      </c>
      <c r="J649" s="24">
        <f>MONTH(Tabla1[[#This Row],[Publicación]])</f>
        <v>3</v>
      </c>
      <c r="K649" s="24">
        <f>YEAR(Tabla1[[#This Row],[Publicación]])</f>
        <v>2023</v>
      </c>
      <c r="L649" s="40">
        <v>45009.645833333299</v>
      </c>
      <c r="M649" s="41">
        <v>45000</v>
      </c>
      <c r="N649" s="25" t="s">
        <v>10</v>
      </c>
      <c r="O649" s="24" t="s">
        <v>28</v>
      </c>
      <c r="P649" s="24" t="s">
        <v>10</v>
      </c>
      <c r="Q649" s="147">
        <v>45005.5</v>
      </c>
      <c r="R649" s="147">
        <v>45007.541666666664</v>
      </c>
      <c r="S649" s="148">
        <v>45027.75</v>
      </c>
      <c r="T649" s="42"/>
      <c r="U649" s="64">
        <f>Tabla1[[#This Row],[PPTO]]/(1+'Lista Datos'!$B$1)</f>
        <v>0</v>
      </c>
      <c r="V649" s="65"/>
      <c r="W649" s="122" t="s">
        <v>10</v>
      </c>
      <c r="X649" s="123"/>
      <c r="Y649" s="122"/>
      <c r="Z649" s="122" t="s">
        <v>10</v>
      </c>
      <c r="AA649" s="118" t="s">
        <v>177</v>
      </c>
      <c r="AB649" s="118">
        <v>12</v>
      </c>
      <c r="AC649" s="118"/>
      <c r="AD649" s="118"/>
      <c r="AE649" s="145">
        <f>Tabla1[[#This Row],[Cierre]]+Tabla1[[#This Row],[Vigencia Oferta (días)]]</f>
        <v>45009.645833333299</v>
      </c>
      <c r="AF649" s="90"/>
      <c r="AG649" s="64"/>
      <c r="AH649" s="168">
        <f>Tabla1[[#This Row],[Unidades2]]*Tabla1[[#This Row],[Precio Unitario]]</f>
        <v>0</v>
      </c>
      <c r="AI649" s="118" t="s">
        <v>270</v>
      </c>
      <c r="AJ649" s="149"/>
      <c r="AK649" s="125">
        <f>Tabla1[[#This Row],[Fecha Vigencia]]-AJ649</f>
        <v>45009.645833333299</v>
      </c>
      <c r="AL649" s="65"/>
      <c r="AM649" s="90"/>
      <c r="AN649" s="65"/>
      <c r="AO649" s="181"/>
      <c r="AP649" s="65"/>
      <c r="AQ649" s="66"/>
      <c r="AR649" s="65"/>
      <c r="AS649" s="65"/>
      <c r="AT649" s="65"/>
      <c r="AU649" s="65"/>
      <c r="AV649" s="65"/>
      <c r="AW649" s="65"/>
      <c r="AX649" s="65"/>
      <c r="AY649" s="118"/>
      <c r="AZ649" s="118"/>
      <c r="BA649" s="118"/>
      <c r="BB649" s="124"/>
      <c r="BC649" s="73"/>
    </row>
    <row r="650" spans="1:55" ht="11.25" x14ac:dyDescent="0.2">
      <c r="A650" s="117" t="s">
        <v>3310</v>
      </c>
      <c r="B650" s="118" t="s">
        <v>3311</v>
      </c>
      <c r="C650" s="118" t="s">
        <v>3312</v>
      </c>
      <c r="D650" s="119" t="s">
        <v>3313</v>
      </c>
      <c r="E650" s="38" t="s">
        <v>3314</v>
      </c>
      <c r="F650" s="39">
        <v>60</v>
      </c>
      <c r="G650" s="118" t="s">
        <v>16</v>
      </c>
      <c r="H650" s="118" t="s">
        <v>123</v>
      </c>
      <c r="I650" s="40">
        <v>44999.4310766204</v>
      </c>
      <c r="J650" s="24">
        <f>MONTH(Tabla1[[#This Row],[Publicación]])</f>
        <v>3</v>
      </c>
      <c r="K650" s="24">
        <f>YEAR(Tabla1[[#This Row],[Publicación]])</f>
        <v>2023</v>
      </c>
      <c r="L650" s="40">
        <v>45019.629166666702</v>
      </c>
      <c r="M650" s="41">
        <v>45000</v>
      </c>
      <c r="N650" s="120" t="s">
        <v>10</v>
      </c>
      <c r="O650" s="40" t="s">
        <v>25</v>
      </c>
      <c r="P650" s="38"/>
      <c r="Q650" s="121"/>
      <c r="R650" s="121"/>
      <c r="S650" s="19"/>
      <c r="T650" s="42"/>
      <c r="U650" s="64">
        <f>Tabla1[[#This Row],[PPTO]]/(1+'Lista Datos'!$B$1)</f>
        <v>0</v>
      </c>
      <c r="V650" s="65"/>
      <c r="W650" s="122"/>
      <c r="X650" s="123"/>
      <c r="Y650" s="122"/>
      <c r="Z650" s="122"/>
      <c r="AA650" s="118"/>
      <c r="AB650" s="118"/>
      <c r="AC650" s="118"/>
      <c r="AD650" s="118"/>
      <c r="AE650" s="145">
        <f>Tabla1[[#This Row],[Cierre]]+Tabla1[[#This Row],[Vigencia Oferta (días)]]</f>
        <v>45019.629166666702</v>
      </c>
      <c r="AF650" s="90"/>
      <c r="AG650" s="64"/>
      <c r="AH650" s="168">
        <f>Tabla1[[#This Row],[Unidades2]]*Tabla1[[#This Row],[Precio Unitario]]</f>
        <v>0</v>
      </c>
      <c r="AI650" s="118" t="s">
        <v>270</v>
      </c>
      <c r="AJ650" s="149"/>
      <c r="AK650" s="125">
        <f>Tabla1[[#This Row],[Fecha Vigencia]]-AJ650</f>
        <v>45019.629166666702</v>
      </c>
      <c r="AL650" s="65"/>
      <c r="AM650" s="90"/>
      <c r="AN650" s="65"/>
      <c r="AO650" s="181"/>
      <c r="AP650" s="65"/>
      <c r="AQ650" s="66"/>
      <c r="AR650" s="65"/>
      <c r="AS650" s="65"/>
      <c r="AT650" s="65"/>
      <c r="AU650" s="65"/>
      <c r="AV650" s="65"/>
      <c r="AW650" s="65"/>
      <c r="AX650" s="65"/>
      <c r="AY650" s="118"/>
      <c r="AZ650" s="118"/>
      <c r="BA650" s="118"/>
      <c r="BB650" s="124"/>
      <c r="BC650" s="73"/>
    </row>
    <row r="651" spans="1:55" ht="11.25" x14ac:dyDescent="0.2">
      <c r="A651" s="153" t="s">
        <v>3315</v>
      </c>
      <c r="B651" s="30" t="s">
        <v>3316</v>
      </c>
      <c r="C651" s="30" t="s">
        <v>3316</v>
      </c>
      <c r="D651" s="84" t="s">
        <v>3317</v>
      </c>
      <c r="E651" s="24" t="s">
        <v>3318</v>
      </c>
      <c r="F651" s="25">
        <v>1</v>
      </c>
      <c r="G651" s="30" t="s">
        <v>21</v>
      </c>
      <c r="H651" s="30" t="s">
        <v>106</v>
      </c>
      <c r="I651" s="2">
        <v>45000.699124340303</v>
      </c>
      <c r="J651" s="24">
        <f>MONTH(Tabla1[[#This Row],[Publicación]])</f>
        <v>3</v>
      </c>
      <c r="K651" s="24">
        <f>YEAR(Tabla1[[#This Row],[Publicación]])</f>
        <v>2023</v>
      </c>
      <c r="L651" s="2">
        <v>45014.708333333299</v>
      </c>
      <c r="M651" s="26">
        <v>45001</v>
      </c>
      <c r="N651" s="85" t="s">
        <v>10</v>
      </c>
      <c r="O651" s="2" t="s">
        <v>27</v>
      </c>
      <c r="P651" s="24"/>
      <c r="Q651" s="60"/>
      <c r="R651" s="60"/>
      <c r="S651" s="18"/>
      <c r="T651" s="27"/>
      <c r="U651" s="67">
        <f>Tabla1[[#This Row],[PPTO]]/(1+'Lista Datos'!$B$1)</f>
        <v>0</v>
      </c>
      <c r="V651" s="68"/>
      <c r="W651" s="127"/>
      <c r="X651" s="154"/>
      <c r="Y651" s="127"/>
      <c r="Z651" s="127"/>
      <c r="AA651" s="30"/>
      <c r="AB651" s="30"/>
      <c r="AC651" s="30"/>
      <c r="AD651" s="30"/>
      <c r="AE651" s="145">
        <f>Tabla1[[#This Row],[Cierre]]+Tabla1[[#This Row],[Vigencia Oferta (días)]]</f>
        <v>45014.708333333299</v>
      </c>
      <c r="AF651" s="91"/>
      <c r="AG651" s="67"/>
      <c r="AH651" s="169">
        <f>Tabla1[[#This Row],[Unidades2]]*Tabla1[[#This Row],[Precio Unitario]]</f>
        <v>0</v>
      </c>
      <c r="AI651" s="30" t="s">
        <v>270</v>
      </c>
      <c r="AJ651" s="104"/>
      <c r="AK651" s="159">
        <f>Tabla1[[#This Row],[Fecha Vigencia]]-AJ651</f>
        <v>45014.708333333299</v>
      </c>
      <c r="AL651" s="68"/>
      <c r="AM651" s="91"/>
      <c r="AN651" s="68"/>
      <c r="AO651" s="157"/>
      <c r="AP651" s="68"/>
      <c r="AQ651" s="69"/>
      <c r="AR651" s="68"/>
      <c r="AS651" s="68"/>
      <c r="AT651" s="68"/>
      <c r="AU651" s="68"/>
      <c r="AV651" s="68"/>
      <c r="AW651" s="68"/>
      <c r="AX651" s="68"/>
      <c r="AY651" s="30"/>
      <c r="AZ651" s="30"/>
      <c r="BA651" s="30"/>
      <c r="BB651" s="75"/>
      <c r="BC651" s="73"/>
    </row>
    <row r="652" spans="1:55" ht="11.25" x14ac:dyDescent="0.2">
      <c r="A652" s="117" t="s">
        <v>3319</v>
      </c>
      <c r="B652" s="118" t="s">
        <v>3320</v>
      </c>
      <c r="C652" s="118" t="s">
        <v>3321</v>
      </c>
      <c r="D652" s="119" t="s">
        <v>1413</v>
      </c>
      <c r="E652" s="38" t="s">
        <v>3322</v>
      </c>
      <c r="F652" s="39">
        <v>12</v>
      </c>
      <c r="G652" s="118" t="s">
        <v>21</v>
      </c>
      <c r="H652" s="118" t="s">
        <v>106</v>
      </c>
      <c r="I652" s="40">
        <v>45000.389240659701</v>
      </c>
      <c r="J652" s="24">
        <f>MONTH(Tabla1[[#This Row],[Publicación]])</f>
        <v>3</v>
      </c>
      <c r="K652" s="24">
        <f>YEAR(Tabla1[[#This Row],[Publicación]])</f>
        <v>2023</v>
      </c>
      <c r="L652" s="40">
        <v>45006.681250000001</v>
      </c>
      <c r="M652" s="41">
        <v>45001</v>
      </c>
      <c r="N652" s="120" t="s">
        <v>10</v>
      </c>
      <c r="O652" s="40" t="s">
        <v>27</v>
      </c>
      <c r="P652" s="38"/>
      <c r="Q652" s="121"/>
      <c r="R652" s="121"/>
      <c r="S652" s="19"/>
      <c r="T652" s="42"/>
      <c r="U652" s="64">
        <f>Tabla1[[#This Row],[PPTO]]/(1+'Lista Datos'!$B$1)</f>
        <v>0</v>
      </c>
      <c r="V652" s="65"/>
      <c r="W652" s="122"/>
      <c r="X652" s="123"/>
      <c r="Y652" s="122"/>
      <c r="Z652" s="122"/>
      <c r="AA652" s="118"/>
      <c r="AB652" s="118"/>
      <c r="AC652" s="118"/>
      <c r="AD652" s="118"/>
      <c r="AE652" s="145">
        <f>Tabla1[[#This Row],[Cierre]]+Tabla1[[#This Row],[Vigencia Oferta (días)]]</f>
        <v>45006.681250000001</v>
      </c>
      <c r="AF652" s="90"/>
      <c r="AG652" s="64"/>
      <c r="AH652" s="168">
        <f>Tabla1[[#This Row],[Unidades2]]*Tabla1[[#This Row],[Precio Unitario]]</f>
        <v>0</v>
      </c>
      <c r="AI652" s="118" t="s">
        <v>270</v>
      </c>
      <c r="AJ652" s="149"/>
      <c r="AK652" s="125">
        <f>Tabla1[[#This Row],[Fecha Vigencia]]-AJ652</f>
        <v>45006.681250000001</v>
      </c>
      <c r="AL652" s="65"/>
      <c r="AM652" s="90"/>
      <c r="AN652" s="65"/>
      <c r="AO652" s="181"/>
      <c r="AP652" s="65"/>
      <c r="AQ652" s="66"/>
      <c r="AR652" s="65"/>
      <c r="AS652" s="65"/>
      <c r="AT652" s="65"/>
      <c r="AU652" s="65"/>
      <c r="AV652" s="65"/>
      <c r="AW652" s="65"/>
      <c r="AX652" s="65"/>
      <c r="AY652" s="118"/>
      <c r="AZ652" s="118"/>
      <c r="BA652" s="118"/>
      <c r="BB652" s="124"/>
      <c r="BC652" s="73"/>
    </row>
    <row r="653" spans="1:55" ht="11.25" x14ac:dyDescent="0.2">
      <c r="A653" s="153" t="s">
        <v>3323</v>
      </c>
      <c r="B653" s="30" t="s">
        <v>3324</v>
      </c>
      <c r="C653" s="30" t="s">
        <v>3325</v>
      </c>
      <c r="D653" s="84" t="s">
        <v>3326</v>
      </c>
      <c r="E653" s="24" t="s">
        <v>3327</v>
      </c>
      <c r="F653" s="25">
        <v>1</v>
      </c>
      <c r="G653" s="30" t="s">
        <v>16</v>
      </c>
      <c r="H653" s="30" t="s">
        <v>145</v>
      </c>
      <c r="I653" s="2">
        <v>45005.414120370369</v>
      </c>
      <c r="J653" s="24">
        <f>MONTH(Tabla1[[#This Row],[Publicación]])</f>
        <v>3</v>
      </c>
      <c r="K653" s="24">
        <f>YEAR(Tabla1[[#This Row],[Publicación]])</f>
        <v>2023</v>
      </c>
      <c r="L653" s="2">
        <v>45015.831250000003</v>
      </c>
      <c r="M653" s="26">
        <v>45005</v>
      </c>
      <c r="N653" s="85" t="s">
        <v>11</v>
      </c>
      <c r="O653" s="2"/>
      <c r="P653" s="24"/>
      <c r="Q653" s="160">
        <v>45008.645138888889</v>
      </c>
      <c r="R653" s="160">
        <v>45009.645138888889</v>
      </c>
      <c r="S653" s="161">
        <v>45044.831944444442</v>
      </c>
      <c r="T653" s="27"/>
      <c r="U653" s="67">
        <f>Tabla1[[#This Row],[PPTO]]/(1+'Lista Datos'!$B$1)</f>
        <v>0</v>
      </c>
      <c r="V653" s="68"/>
      <c r="W653" s="127" t="s">
        <v>10</v>
      </c>
      <c r="X653" s="154"/>
      <c r="Y653" s="127"/>
      <c r="Z653" s="127" t="s">
        <v>10</v>
      </c>
      <c r="AA653" s="30" t="s">
        <v>177</v>
      </c>
      <c r="AB653" s="30">
        <v>24</v>
      </c>
      <c r="AC653" s="30"/>
      <c r="AD653" s="30"/>
      <c r="AE653" s="145">
        <f>Tabla1[[#This Row],[Cierre]]+Tabla1[[#This Row],[Vigencia Oferta (días)]]</f>
        <v>45015.831250000003</v>
      </c>
      <c r="AF653" s="91"/>
      <c r="AG653" s="67"/>
      <c r="AH653" s="169">
        <f>Tabla1[[#This Row],[Unidades2]]*Tabla1[[#This Row],[Precio Unitario]]</f>
        <v>0</v>
      </c>
      <c r="AI653" s="30" t="s">
        <v>44</v>
      </c>
      <c r="AJ653" s="104">
        <v>45054</v>
      </c>
      <c r="AK653" s="159">
        <f>Tabla1[[#This Row],[Fecha Vigencia]]-AJ653</f>
        <v>-38.16874999999709</v>
      </c>
      <c r="AL653" s="68" t="s">
        <v>115</v>
      </c>
      <c r="AM653" s="91">
        <v>6500000</v>
      </c>
      <c r="AN653" s="157">
        <v>45054</v>
      </c>
      <c r="AO653" s="157">
        <v>45785</v>
      </c>
      <c r="AP653" s="68" t="s">
        <v>177</v>
      </c>
      <c r="AQ653" s="69" t="s">
        <v>3328</v>
      </c>
      <c r="AR653" s="68" t="s">
        <v>11</v>
      </c>
      <c r="AS653" s="156">
        <v>0.05</v>
      </c>
      <c r="AT653" s="157">
        <v>45777</v>
      </c>
      <c r="AU653" s="23" t="s">
        <v>3329</v>
      </c>
      <c r="AV653" s="23" t="s">
        <v>3330</v>
      </c>
      <c r="AW653" s="23" t="s">
        <v>3329</v>
      </c>
      <c r="AX653" s="23" t="s">
        <v>3330</v>
      </c>
      <c r="AY653" s="30"/>
      <c r="AZ653" s="30"/>
      <c r="BA653" s="30"/>
      <c r="BB653" s="75"/>
      <c r="BC653" s="73"/>
    </row>
    <row r="654" spans="1:55" ht="11.25" x14ac:dyDescent="0.2">
      <c r="A654" s="153" t="s">
        <v>3331</v>
      </c>
      <c r="B654" s="30" t="s">
        <v>3332</v>
      </c>
      <c r="C654" s="30" t="s">
        <v>3333</v>
      </c>
      <c r="D654" s="84" t="s">
        <v>3334</v>
      </c>
      <c r="E654" s="24" t="s">
        <v>3335</v>
      </c>
      <c r="F654" s="25">
        <v>1</v>
      </c>
      <c r="G654" s="30" t="s">
        <v>16</v>
      </c>
      <c r="H654" s="30" t="s">
        <v>123</v>
      </c>
      <c r="I654" s="2">
        <v>45005.39471064815</v>
      </c>
      <c r="J654" s="24">
        <f>MONTH(Tabla1[[#This Row],[Publicación]])</f>
        <v>3</v>
      </c>
      <c r="K654" s="24">
        <f>YEAR(Tabla1[[#This Row],[Publicación]])</f>
        <v>2023</v>
      </c>
      <c r="L654" s="2">
        <v>45012.662499999999</v>
      </c>
      <c r="M654" s="26">
        <v>45005</v>
      </c>
      <c r="N654" s="85" t="s">
        <v>10</v>
      </c>
      <c r="O654" s="2" t="s">
        <v>33</v>
      </c>
      <c r="P654" s="24"/>
      <c r="Q654" s="60"/>
      <c r="R654" s="60"/>
      <c r="S654" s="18"/>
      <c r="T654" s="27"/>
      <c r="U654" s="67">
        <f>Tabla1[[#This Row],[PPTO]]/(1+'Lista Datos'!$B$1)</f>
        <v>0</v>
      </c>
      <c r="V654" s="68"/>
      <c r="W654" s="127"/>
      <c r="X654" s="154"/>
      <c r="Y654" s="127"/>
      <c r="Z654" s="127"/>
      <c r="AA654" s="30"/>
      <c r="AB654" s="30"/>
      <c r="AC654" s="30"/>
      <c r="AD654" s="30"/>
      <c r="AE654" s="145">
        <f>Tabla1[[#This Row],[Cierre]]+Tabla1[[#This Row],[Vigencia Oferta (días)]]</f>
        <v>45012.662499999999</v>
      </c>
      <c r="AF654" s="91"/>
      <c r="AG654" s="67"/>
      <c r="AH654" s="169">
        <f>Tabla1[[#This Row],[Unidades2]]*Tabla1[[#This Row],[Precio Unitario]]</f>
        <v>0</v>
      </c>
      <c r="AI654" s="30" t="s">
        <v>270</v>
      </c>
      <c r="AJ654" s="104"/>
      <c r="AK654" s="159">
        <f>Tabla1[[#This Row],[Fecha Vigencia]]-AJ654</f>
        <v>45012.662499999999</v>
      </c>
      <c r="AL654" s="68"/>
      <c r="AM654" s="91"/>
      <c r="AN654" s="68"/>
      <c r="AO654" s="157"/>
      <c r="AP654" s="68"/>
      <c r="AQ654" s="69"/>
      <c r="AR654" s="68"/>
      <c r="AS654" s="68"/>
      <c r="AT654" s="68"/>
      <c r="AU654" s="68"/>
      <c r="AV654" s="68"/>
      <c r="AW654" s="68"/>
      <c r="AX654" s="68"/>
      <c r="AY654" s="30"/>
      <c r="AZ654" s="30"/>
      <c r="BA654" s="30"/>
      <c r="BB654" s="75"/>
      <c r="BC654" s="73"/>
    </row>
    <row r="655" spans="1:55" ht="11.25" x14ac:dyDescent="0.2">
      <c r="A655" s="153" t="s">
        <v>3336</v>
      </c>
      <c r="B655" s="30" t="s">
        <v>3337</v>
      </c>
      <c r="C655" s="30" t="s">
        <v>3338</v>
      </c>
      <c r="D655" s="84" t="s">
        <v>337</v>
      </c>
      <c r="E655" s="24" t="s">
        <v>3339</v>
      </c>
      <c r="F655" s="25">
        <v>1</v>
      </c>
      <c r="G655" s="30" t="s">
        <v>16</v>
      </c>
      <c r="H655" s="30" t="s">
        <v>1596</v>
      </c>
      <c r="I655" s="2">
        <v>45004.155775462961</v>
      </c>
      <c r="J655" s="24">
        <f>MONTH(Tabla1[[#This Row],[Publicación]])</f>
        <v>3</v>
      </c>
      <c r="K655" s="24">
        <f>YEAR(Tabla1[[#This Row],[Publicación]])</f>
        <v>2023</v>
      </c>
      <c r="L655" s="2">
        <v>45012.647916666669</v>
      </c>
      <c r="M655" s="26">
        <v>45005</v>
      </c>
      <c r="N655" s="25" t="s">
        <v>10</v>
      </c>
      <c r="O655" s="24" t="s">
        <v>28</v>
      </c>
      <c r="P655" s="24" t="s">
        <v>10</v>
      </c>
      <c r="Q655" s="60"/>
      <c r="R655" s="60"/>
      <c r="S655" s="18"/>
      <c r="T655" s="27"/>
      <c r="U655" s="67">
        <f>Tabla1[[#This Row],[PPTO]]/(1+'Lista Datos'!$B$1)</f>
        <v>0</v>
      </c>
      <c r="V655" s="68"/>
      <c r="W655" s="127"/>
      <c r="X655" s="154"/>
      <c r="Y655" s="127"/>
      <c r="Z655" s="127"/>
      <c r="AA655" s="30"/>
      <c r="AB655" s="30"/>
      <c r="AC655" s="30"/>
      <c r="AD655" s="30"/>
      <c r="AE655" s="145">
        <f>Tabla1[[#This Row],[Cierre]]+Tabla1[[#This Row],[Vigencia Oferta (días)]]</f>
        <v>45012.647916666669</v>
      </c>
      <c r="AF655" s="91"/>
      <c r="AG655" s="67"/>
      <c r="AH655" s="169">
        <f>Tabla1[[#This Row],[Unidades2]]*Tabla1[[#This Row],[Precio Unitario]]</f>
        <v>0</v>
      </c>
      <c r="AI655" s="30" t="s">
        <v>270</v>
      </c>
      <c r="AJ655" s="104"/>
      <c r="AK655" s="159">
        <f>Tabla1[[#This Row],[Fecha Vigencia]]-AJ655</f>
        <v>45012.647916666669</v>
      </c>
      <c r="AL655" s="68"/>
      <c r="AM655" s="91"/>
      <c r="AN655" s="68"/>
      <c r="AO655" s="157"/>
      <c r="AP655" s="68"/>
      <c r="AQ655" s="69"/>
      <c r="AR655" s="68"/>
      <c r="AS655" s="68"/>
      <c r="AT655" s="68"/>
      <c r="AU655" s="68"/>
      <c r="AV655" s="68"/>
      <c r="AW655" s="68"/>
      <c r="AX655" s="68"/>
      <c r="AY655" s="30"/>
      <c r="AZ655" s="30"/>
      <c r="BA655" s="30"/>
      <c r="BB655" s="75"/>
      <c r="BC655" s="73"/>
    </row>
    <row r="656" spans="1:55" ht="11.25" x14ac:dyDescent="0.2">
      <c r="A656" s="153" t="s">
        <v>3340</v>
      </c>
      <c r="B656" s="30" t="s">
        <v>3341</v>
      </c>
      <c r="C656" s="30" t="s">
        <v>3342</v>
      </c>
      <c r="D656" s="84" t="s">
        <v>3343</v>
      </c>
      <c r="E656" s="24" t="s">
        <v>3344</v>
      </c>
      <c r="F656" s="25">
        <v>100000</v>
      </c>
      <c r="G656" s="30" t="s">
        <v>16</v>
      </c>
      <c r="H656" s="30" t="s">
        <v>145</v>
      </c>
      <c r="I656" s="2">
        <v>45002.667442129627</v>
      </c>
      <c r="J656" s="24">
        <f>MONTH(Tabla1[[#This Row],[Publicación]])</f>
        <v>3</v>
      </c>
      <c r="K656" s="24">
        <f>YEAR(Tabla1[[#This Row],[Publicación]])</f>
        <v>2023</v>
      </c>
      <c r="L656" s="2">
        <v>45013.645833333336</v>
      </c>
      <c r="M656" s="26">
        <v>45005</v>
      </c>
      <c r="N656" s="25" t="s">
        <v>10</v>
      </c>
      <c r="O656" s="24" t="s">
        <v>28</v>
      </c>
      <c r="P656" s="24" t="s">
        <v>10</v>
      </c>
      <c r="Q656" s="160">
        <v>45008.5</v>
      </c>
      <c r="R656" s="160">
        <v>45009.75</v>
      </c>
      <c r="S656" s="161">
        <v>45033.729166666664</v>
      </c>
      <c r="T656" s="27">
        <v>83000000</v>
      </c>
      <c r="U656" s="67">
        <f>Tabla1[[#This Row],[PPTO]]/(1+'Lista Datos'!$B$1)</f>
        <v>69747899.159663871</v>
      </c>
      <c r="V656" s="68"/>
      <c r="W656" s="127" t="s">
        <v>10</v>
      </c>
      <c r="X656" s="154"/>
      <c r="Y656" s="127"/>
      <c r="Z656" s="127" t="s">
        <v>11</v>
      </c>
      <c r="AA656" s="30" t="s">
        <v>177</v>
      </c>
      <c r="AB656" s="30">
        <v>18</v>
      </c>
      <c r="AC656" s="30"/>
      <c r="AD656" s="30"/>
      <c r="AE656" s="145">
        <f>Tabla1[[#This Row],[Cierre]]+Tabla1[[#This Row],[Vigencia Oferta (días)]]</f>
        <v>45013.645833333336</v>
      </c>
      <c r="AF656" s="91"/>
      <c r="AG656" s="67"/>
      <c r="AH656" s="169">
        <f>Tabla1[[#This Row],[Unidades2]]*Tabla1[[#This Row],[Precio Unitario]]</f>
        <v>0</v>
      </c>
      <c r="AI656" s="30" t="s">
        <v>270</v>
      </c>
      <c r="AJ656" s="104"/>
      <c r="AK656" s="159">
        <f>Tabla1[[#This Row],[Fecha Vigencia]]-AJ656</f>
        <v>45013.645833333336</v>
      </c>
      <c r="AL656" s="68"/>
      <c r="AM656" s="91"/>
      <c r="AN656" s="68"/>
      <c r="AO656" s="157"/>
      <c r="AP656" s="68"/>
      <c r="AQ656" s="69"/>
      <c r="AR656" s="68"/>
      <c r="AS656" s="68"/>
      <c r="AT656" s="68"/>
      <c r="AU656" s="68"/>
      <c r="AV656" s="68"/>
      <c r="AW656" s="68"/>
      <c r="AX656" s="68"/>
      <c r="AY656" s="30"/>
      <c r="AZ656" s="30"/>
      <c r="BA656" s="30"/>
      <c r="BB656" s="75"/>
      <c r="BC656" s="73"/>
    </row>
    <row r="657" spans="1:55" ht="11.25" x14ac:dyDescent="0.2">
      <c r="A657" s="117" t="s">
        <v>3345</v>
      </c>
      <c r="B657" s="118" t="s">
        <v>3346</v>
      </c>
      <c r="C657" s="118" t="s">
        <v>3347</v>
      </c>
      <c r="D657" s="119" t="s">
        <v>3348</v>
      </c>
      <c r="E657" s="38" t="s">
        <v>3349</v>
      </c>
      <c r="F657" s="39">
        <v>1</v>
      </c>
      <c r="G657" s="30" t="s">
        <v>16</v>
      </c>
      <c r="H657" s="118" t="s">
        <v>145</v>
      </c>
      <c r="I657" s="40">
        <v>45001.476180555554</v>
      </c>
      <c r="J657" s="24">
        <f>MONTH(Tabla1[[#This Row],[Publicación]])</f>
        <v>3</v>
      </c>
      <c r="K657" s="24">
        <f>YEAR(Tabla1[[#This Row],[Publicación]])</f>
        <v>2023</v>
      </c>
      <c r="L657" s="40">
        <v>45008.541666666664</v>
      </c>
      <c r="M657" s="26">
        <v>45005</v>
      </c>
      <c r="N657" s="120" t="s">
        <v>10</v>
      </c>
      <c r="O657" s="40" t="s">
        <v>33</v>
      </c>
      <c r="P657" s="38"/>
      <c r="Q657" s="121"/>
      <c r="R657" s="121"/>
      <c r="S657" s="19"/>
      <c r="T657" s="42"/>
      <c r="U657" s="64">
        <f>Tabla1[[#This Row],[PPTO]]/(1+'Lista Datos'!$B$1)</f>
        <v>0</v>
      </c>
      <c r="V657" s="65"/>
      <c r="W657" s="122"/>
      <c r="X657" s="123"/>
      <c r="Y657" s="122"/>
      <c r="Z657" s="122"/>
      <c r="AA657" s="118"/>
      <c r="AB657" s="118"/>
      <c r="AC657" s="118"/>
      <c r="AD657" s="118"/>
      <c r="AE657" s="145">
        <f>Tabla1[[#This Row],[Cierre]]+Tabla1[[#This Row],[Vigencia Oferta (días)]]</f>
        <v>45008.541666666664</v>
      </c>
      <c r="AF657" s="90"/>
      <c r="AG657" s="64"/>
      <c r="AH657" s="168">
        <f>Tabla1[[#This Row],[Unidades2]]*Tabla1[[#This Row],[Precio Unitario]]</f>
        <v>0</v>
      </c>
      <c r="AI657" s="118" t="s">
        <v>270</v>
      </c>
      <c r="AJ657" s="149"/>
      <c r="AK657" s="125">
        <f>Tabla1[[#This Row],[Fecha Vigencia]]-AJ657</f>
        <v>45008.541666666664</v>
      </c>
      <c r="AL657" s="65"/>
      <c r="AM657" s="90"/>
      <c r="AN657" s="65"/>
      <c r="AO657" s="181"/>
      <c r="AP657" s="65"/>
      <c r="AQ657" s="66"/>
      <c r="AR657" s="65"/>
      <c r="AS657" s="65"/>
      <c r="AT657" s="65"/>
      <c r="AU657" s="65"/>
      <c r="AV657" s="65"/>
      <c r="AW657" s="65"/>
      <c r="AX657" s="65"/>
      <c r="AY657" s="118"/>
      <c r="AZ657" s="118"/>
      <c r="BA657" s="118"/>
      <c r="BB657" s="124"/>
      <c r="BC657" s="73"/>
    </row>
    <row r="658" spans="1:55" ht="11.25" x14ac:dyDescent="0.2">
      <c r="A658" s="117" t="s">
        <v>3350</v>
      </c>
      <c r="B658" s="118" t="s">
        <v>3351</v>
      </c>
      <c r="C658" s="118" t="s">
        <v>3352</v>
      </c>
      <c r="D658" s="119" t="s">
        <v>897</v>
      </c>
      <c r="E658" s="38" t="s">
        <v>3353</v>
      </c>
      <c r="F658" s="39">
        <v>1</v>
      </c>
      <c r="G658" s="118" t="s">
        <v>16</v>
      </c>
      <c r="H658" s="118" t="s">
        <v>533</v>
      </c>
      <c r="I658" s="40">
        <v>45005.588692129626</v>
      </c>
      <c r="J658" s="24">
        <f>MONTH(Tabla1[[#This Row],[Publicación]])</f>
        <v>3</v>
      </c>
      <c r="K658" s="24">
        <f>YEAR(Tabla1[[#This Row],[Publicación]])</f>
        <v>2023</v>
      </c>
      <c r="L658" s="40">
        <v>45014.724999999999</v>
      </c>
      <c r="M658" s="41">
        <v>45005</v>
      </c>
      <c r="N658" s="25" t="s">
        <v>10</v>
      </c>
      <c r="O658" s="24" t="s">
        <v>28</v>
      </c>
      <c r="P658" s="24" t="s">
        <v>10</v>
      </c>
      <c r="Q658" s="121" t="s">
        <v>3354</v>
      </c>
      <c r="R658" s="147">
        <v>45012.529166666667</v>
      </c>
      <c r="S658" s="148">
        <v>45016.725694444445</v>
      </c>
      <c r="T658" s="42"/>
      <c r="U658" s="64">
        <f>Tabla1[[#This Row],[PPTO]]/(1+'Lista Datos'!$B$1)</f>
        <v>0</v>
      </c>
      <c r="V658" s="65"/>
      <c r="W658" s="122" t="s">
        <v>10</v>
      </c>
      <c r="X658" s="123"/>
      <c r="Y658" s="122"/>
      <c r="Z658" s="122" t="s">
        <v>10</v>
      </c>
      <c r="AA658" s="118" t="s">
        <v>177</v>
      </c>
      <c r="AB658" s="118">
        <v>12</v>
      </c>
      <c r="AC658" s="118"/>
      <c r="AD658" s="118"/>
      <c r="AE658" s="145">
        <f>Tabla1[[#This Row],[Cierre]]+Tabla1[[#This Row],[Vigencia Oferta (días)]]</f>
        <v>45014.724999999999</v>
      </c>
      <c r="AF658" s="90"/>
      <c r="AG658" s="64"/>
      <c r="AH658" s="168">
        <f>Tabla1[[#This Row],[Unidades2]]*Tabla1[[#This Row],[Precio Unitario]]</f>
        <v>0</v>
      </c>
      <c r="AI658" s="118" t="s">
        <v>270</v>
      </c>
      <c r="AJ658" s="149"/>
      <c r="AK658" s="125">
        <f>Tabla1[[#This Row],[Fecha Vigencia]]-AJ658</f>
        <v>45014.724999999999</v>
      </c>
      <c r="AL658" s="65"/>
      <c r="AM658" s="90"/>
      <c r="AN658" s="65"/>
      <c r="AO658" s="181"/>
      <c r="AP658" s="65"/>
      <c r="AQ658" s="66"/>
      <c r="AR658" s="65"/>
      <c r="AS658" s="65"/>
      <c r="AT658" s="65"/>
      <c r="AU658" s="65"/>
      <c r="AV658" s="65"/>
      <c r="AW658" s="65"/>
      <c r="AX658" s="65"/>
      <c r="AY658" s="118"/>
      <c r="AZ658" s="118"/>
      <c r="BA658" s="118"/>
      <c r="BB658" s="124"/>
      <c r="BC658" s="73"/>
    </row>
    <row r="659" spans="1:55" ht="11.25" x14ac:dyDescent="0.2">
      <c r="A659" s="117" t="s">
        <v>3355</v>
      </c>
      <c r="B659" s="118" t="s">
        <v>3356</v>
      </c>
      <c r="C659" s="118" t="s">
        <v>3357</v>
      </c>
      <c r="D659" s="119" t="s">
        <v>364</v>
      </c>
      <c r="E659" s="38" t="s">
        <v>3356</v>
      </c>
      <c r="F659" s="39">
        <v>1</v>
      </c>
      <c r="G659" s="118" t="s">
        <v>18</v>
      </c>
      <c r="H659" s="118" t="s">
        <v>1596</v>
      </c>
      <c r="I659" s="40">
        <v>45002.698714699101</v>
      </c>
      <c r="J659" s="24">
        <f>MONTH(Tabla1[[#This Row],[Publicación]])</f>
        <v>3</v>
      </c>
      <c r="K659" s="24">
        <f>YEAR(Tabla1[[#This Row],[Publicación]])</f>
        <v>2023</v>
      </c>
      <c r="L659" s="40">
        <v>45007.641666666699</v>
      </c>
      <c r="M659" s="41">
        <v>45006</v>
      </c>
      <c r="N659" s="120" t="s">
        <v>10</v>
      </c>
      <c r="O659" s="40" t="s">
        <v>28</v>
      </c>
      <c r="P659" s="38"/>
      <c r="Q659" s="121"/>
      <c r="R659" s="121"/>
      <c r="S659" s="19"/>
      <c r="T659" s="42"/>
      <c r="U659" s="64">
        <f>Tabla1[[#This Row],[PPTO]]/(1+'Lista Datos'!$B$1)</f>
        <v>0</v>
      </c>
      <c r="V659" s="65"/>
      <c r="W659" s="122"/>
      <c r="X659" s="123"/>
      <c r="Y659" s="122"/>
      <c r="Z659" s="122"/>
      <c r="AA659" s="118"/>
      <c r="AB659" s="118"/>
      <c r="AC659" s="118"/>
      <c r="AD659" s="118"/>
      <c r="AE659" s="145">
        <f>Tabla1[[#This Row],[Cierre]]+Tabla1[[#This Row],[Vigencia Oferta (días)]]</f>
        <v>45007.641666666699</v>
      </c>
      <c r="AF659" s="90"/>
      <c r="AG659" s="64"/>
      <c r="AH659" s="168">
        <f>Tabla1[[#This Row],[Unidades2]]*Tabla1[[#This Row],[Precio Unitario]]</f>
        <v>0</v>
      </c>
      <c r="AI659" s="118" t="s">
        <v>270</v>
      </c>
      <c r="AJ659" s="149"/>
      <c r="AK659" s="125">
        <f>Tabla1[[#This Row],[Fecha Vigencia]]-AJ659</f>
        <v>45007.641666666699</v>
      </c>
      <c r="AL659" s="65"/>
      <c r="AM659" s="90"/>
      <c r="AN659" s="65"/>
      <c r="AO659" s="181"/>
      <c r="AP659" s="65"/>
      <c r="AQ659" s="66"/>
      <c r="AR659" s="65"/>
      <c r="AS659" s="65"/>
      <c r="AT659" s="65"/>
      <c r="AU659" s="65"/>
      <c r="AV659" s="65"/>
      <c r="AW659" s="65"/>
      <c r="AX659" s="65"/>
      <c r="AY659" s="118"/>
      <c r="AZ659" s="118"/>
      <c r="BA659" s="118"/>
      <c r="BB659" s="124"/>
      <c r="BC659" s="73"/>
    </row>
    <row r="660" spans="1:55" ht="11.25" x14ac:dyDescent="0.2">
      <c r="A660" s="117" t="s">
        <v>3358</v>
      </c>
      <c r="B660" s="118" t="s">
        <v>3359</v>
      </c>
      <c r="C660" s="118" t="s">
        <v>3359</v>
      </c>
      <c r="D660" s="119" t="s">
        <v>2569</v>
      </c>
      <c r="E660" s="38" t="s">
        <v>3360</v>
      </c>
      <c r="F660" s="39">
        <v>10</v>
      </c>
      <c r="G660" s="118" t="s">
        <v>14</v>
      </c>
      <c r="H660" s="118" t="s">
        <v>520</v>
      </c>
      <c r="I660" s="40">
        <v>45002.665025231501</v>
      </c>
      <c r="J660" s="24">
        <f>MONTH(Tabla1[[#This Row],[Publicación]])</f>
        <v>3</v>
      </c>
      <c r="K660" s="24">
        <f>YEAR(Tabla1[[#This Row],[Publicación]])</f>
        <v>2023</v>
      </c>
      <c r="L660" s="40">
        <v>45008.628472222197</v>
      </c>
      <c r="M660" s="41">
        <v>45006</v>
      </c>
      <c r="N660" s="120" t="s">
        <v>10</v>
      </c>
      <c r="O660" s="40" t="s">
        <v>27</v>
      </c>
      <c r="P660" s="38"/>
      <c r="Q660" s="121"/>
      <c r="R660" s="121"/>
      <c r="S660" s="19"/>
      <c r="T660" s="42"/>
      <c r="U660" s="64">
        <f>Tabla1[[#This Row],[PPTO]]/(1+'Lista Datos'!$B$1)</f>
        <v>0</v>
      </c>
      <c r="V660" s="65"/>
      <c r="W660" s="122"/>
      <c r="X660" s="123"/>
      <c r="Y660" s="122"/>
      <c r="Z660" s="122"/>
      <c r="AA660" s="118"/>
      <c r="AB660" s="118"/>
      <c r="AC660" s="118"/>
      <c r="AD660" s="118"/>
      <c r="AE660" s="145">
        <f>Tabla1[[#This Row],[Cierre]]+Tabla1[[#This Row],[Vigencia Oferta (días)]]</f>
        <v>45008.628472222197</v>
      </c>
      <c r="AF660" s="90"/>
      <c r="AG660" s="64"/>
      <c r="AH660" s="168">
        <f>Tabla1[[#This Row],[Unidades2]]*Tabla1[[#This Row],[Precio Unitario]]</f>
        <v>0</v>
      </c>
      <c r="AI660" s="118" t="s">
        <v>270</v>
      </c>
      <c r="AJ660" s="149"/>
      <c r="AK660" s="125">
        <f>Tabla1[[#This Row],[Fecha Vigencia]]-AJ660</f>
        <v>45008.628472222197</v>
      </c>
      <c r="AL660" s="65"/>
      <c r="AM660" s="90"/>
      <c r="AN660" s="65"/>
      <c r="AO660" s="181"/>
      <c r="AP660" s="65"/>
      <c r="AQ660" s="66"/>
      <c r="AR660" s="65"/>
      <c r="AS660" s="65"/>
      <c r="AT660" s="65"/>
      <c r="AU660" s="65"/>
      <c r="AV660" s="65"/>
      <c r="AW660" s="65"/>
      <c r="AX660" s="65"/>
      <c r="AY660" s="118"/>
      <c r="AZ660" s="118"/>
      <c r="BA660" s="118"/>
      <c r="BB660" s="124"/>
      <c r="BC660" s="73"/>
    </row>
    <row r="661" spans="1:55" ht="22.5" x14ac:dyDescent="0.2">
      <c r="A661" s="153" t="s">
        <v>3361</v>
      </c>
      <c r="B661" s="30" t="s">
        <v>3362</v>
      </c>
      <c r="C661" s="30" t="s">
        <v>3363</v>
      </c>
      <c r="D661" s="84" t="s">
        <v>1477</v>
      </c>
      <c r="E661" s="182" t="s">
        <v>3364</v>
      </c>
      <c r="F661" s="25">
        <v>2</v>
      </c>
      <c r="G661" s="30" t="s">
        <v>21</v>
      </c>
      <c r="H661" s="30" t="s">
        <v>106</v>
      </c>
      <c r="I661" s="2">
        <v>45002.572421759302</v>
      </c>
      <c r="J661" s="24">
        <f>MONTH(Tabla1[[#This Row],[Publicación]])</f>
        <v>3</v>
      </c>
      <c r="K661" s="24">
        <f>YEAR(Tabla1[[#This Row],[Publicación]])</f>
        <v>2023</v>
      </c>
      <c r="L661" s="2">
        <v>45008.627083333296</v>
      </c>
      <c r="M661" s="26">
        <v>45006</v>
      </c>
      <c r="N661" s="85" t="s">
        <v>10</v>
      </c>
      <c r="O661" s="2" t="s">
        <v>27</v>
      </c>
      <c r="P661" s="24"/>
      <c r="Q661" s="60"/>
      <c r="R661" s="60"/>
      <c r="S661" s="18"/>
      <c r="T661" s="27"/>
      <c r="U661" s="67">
        <f>Tabla1[[#This Row],[PPTO]]/(1+'Lista Datos'!$B$1)</f>
        <v>0</v>
      </c>
      <c r="V661" s="68"/>
      <c r="W661" s="127"/>
      <c r="X661" s="154"/>
      <c r="Y661" s="127"/>
      <c r="Z661" s="127"/>
      <c r="AA661" s="30"/>
      <c r="AB661" s="30"/>
      <c r="AC661" s="30"/>
      <c r="AD661" s="30"/>
      <c r="AE661" s="145">
        <f>Tabla1[[#This Row],[Cierre]]+Tabla1[[#This Row],[Vigencia Oferta (días)]]</f>
        <v>45008.627083333296</v>
      </c>
      <c r="AF661" s="91"/>
      <c r="AG661" s="67"/>
      <c r="AH661" s="169">
        <f>Tabla1[[#This Row],[Unidades2]]*Tabla1[[#This Row],[Precio Unitario]]</f>
        <v>0</v>
      </c>
      <c r="AI661" s="30" t="s">
        <v>270</v>
      </c>
      <c r="AJ661" s="104"/>
      <c r="AK661" s="159">
        <f>Tabla1[[#This Row],[Fecha Vigencia]]-AJ661</f>
        <v>45008.627083333296</v>
      </c>
      <c r="AL661" s="68"/>
      <c r="AM661" s="91"/>
      <c r="AN661" s="68"/>
      <c r="AO661" s="157"/>
      <c r="AP661" s="68"/>
      <c r="AQ661" s="69"/>
      <c r="AR661" s="68"/>
      <c r="AS661" s="68"/>
      <c r="AT661" s="68"/>
      <c r="AU661" s="68"/>
      <c r="AV661" s="68"/>
      <c r="AW661" s="68"/>
      <c r="AX661" s="68"/>
      <c r="AY661" s="30"/>
      <c r="AZ661" s="30"/>
      <c r="BA661" s="30"/>
      <c r="BB661" s="75"/>
      <c r="BC661" s="73"/>
    </row>
    <row r="662" spans="1:55" ht="11.25" x14ac:dyDescent="0.2">
      <c r="A662" s="117" t="s">
        <v>3365</v>
      </c>
      <c r="B662" s="118" t="s">
        <v>3366</v>
      </c>
      <c r="C662" s="118" t="s">
        <v>3367</v>
      </c>
      <c r="D662" s="119" t="s">
        <v>2813</v>
      </c>
      <c r="E662" s="38" t="s">
        <v>3368</v>
      </c>
      <c r="F662" s="39">
        <v>10</v>
      </c>
      <c r="G662" s="118" t="s">
        <v>21</v>
      </c>
      <c r="H662" s="118" t="s">
        <v>106</v>
      </c>
      <c r="I662" s="40">
        <v>45002.499745370369</v>
      </c>
      <c r="J662" s="24">
        <f>MONTH(Tabla1[[#This Row],[Publicación]])</f>
        <v>3</v>
      </c>
      <c r="K662" s="24">
        <f>YEAR(Tabla1[[#This Row],[Publicación]])</f>
        <v>2023</v>
      </c>
      <c r="L662" s="40">
        <v>45033.625694444403</v>
      </c>
      <c r="M662" s="41">
        <v>45006</v>
      </c>
      <c r="N662" s="120" t="s">
        <v>10</v>
      </c>
      <c r="O662" s="40" t="s">
        <v>27</v>
      </c>
      <c r="P662" s="38"/>
      <c r="Q662" s="121"/>
      <c r="R662" s="121"/>
      <c r="S662" s="19"/>
      <c r="T662" s="42"/>
      <c r="U662" s="64">
        <f>Tabla1[[#This Row],[PPTO]]/(1+'Lista Datos'!$B$1)</f>
        <v>0</v>
      </c>
      <c r="V662" s="65"/>
      <c r="W662" s="122"/>
      <c r="X662" s="123"/>
      <c r="Y662" s="122"/>
      <c r="Z662" s="122"/>
      <c r="AA662" s="118"/>
      <c r="AB662" s="118"/>
      <c r="AC662" s="118"/>
      <c r="AD662" s="118"/>
      <c r="AE662" s="145">
        <f>Tabla1[[#This Row],[Cierre]]+Tabla1[[#This Row],[Vigencia Oferta (días)]]</f>
        <v>45033.625694444403</v>
      </c>
      <c r="AF662" s="90"/>
      <c r="AG662" s="64"/>
      <c r="AH662" s="168">
        <f>Tabla1[[#This Row],[Unidades2]]*Tabla1[[#This Row],[Precio Unitario]]</f>
        <v>0</v>
      </c>
      <c r="AI662" s="118" t="s">
        <v>270</v>
      </c>
      <c r="AJ662" s="149"/>
      <c r="AK662" s="125">
        <f>Tabla1[[#This Row],[Fecha Vigencia]]-AJ662</f>
        <v>45033.625694444403</v>
      </c>
      <c r="AL662" s="65"/>
      <c r="AM662" s="90"/>
      <c r="AN662" s="65"/>
      <c r="AO662" s="181"/>
      <c r="AP662" s="65"/>
      <c r="AQ662" s="66"/>
      <c r="AR662" s="65"/>
      <c r="AS662" s="65"/>
      <c r="AT662" s="65"/>
      <c r="AU662" s="65"/>
      <c r="AV662" s="65"/>
      <c r="AW662" s="65"/>
      <c r="AX662" s="65"/>
      <c r="AY662" s="118"/>
      <c r="AZ662" s="118"/>
      <c r="BA662" s="118"/>
      <c r="BB662" s="124"/>
      <c r="BC662" s="73"/>
    </row>
    <row r="663" spans="1:55" ht="11.25" x14ac:dyDescent="0.2">
      <c r="A663" s="117" t="s">
        <v>3365</v>
      </c>
      <c r="B663" s="118" t="s">
        <v>3366</v>
      </c>
      <c r="C663" s="118" t="s">
        <v>3367</v>
      </c>
      <c r="D663" s="119" t="s">
        <v>2813</v>
      </c>
      <c r="E663" s="38" t="s">
        <v>3369</v>
      </c>
      <c r="F663" s="39">
        <v>30</v>
      </c>
      <c r="G663" s="118" t="s">
        <v>21</v>
      </c>
      <c r="H663" s="118" t="s">
        <v>106</v>
      </c>
      <c r="I663" s="40">
        <v>45002.499745370369</v>
      </c>
      <c r="J663" s="24">
        <f>MONTH(Tabla1[[#This Row],[Publicación]])</f>
        <v>3</v>
      </c>
      <c r="K663" s="24">
        <f>YEAR(Tabla1[[#This Row],[Publicación]])</f>
        <v>2023</v>
      </c>
      <c r="L663" s="40">
        <v>45033.625694444403</v>
      </c>
      <c r="M663" s="41">
        <v>45006</v>
      </c>
      <c r="N663" s="120" t="s">
        <v>10</v>
      </c>
      <c r="O663" s="40" t="s">
        <v>34</v>
      </c>
      <c r="P663" s="38"/>
      <c r="Q663" s="121"/>
      <c r="R663" s="121"/>
      <c r="S663" s="19"/>
      <c r="T663" s="42"/>
      <c r="U663" s="64">
        <f>Tabla1[[#This Row],[PPTO]]/(1+'Lista Datos'!$B$1)</f>
        <v>0</v>
      </c>
      <c r="V663" s="65"/>
      <c r="W663" s="122"/>
      <c r="X663" s="123"/>
      <c r="Y663" s="122"/>
      <c r="Z663" s="122"/>
      <c r="AA663" s="118"/>
      <c r="AB663" s="118"/>
      <c r="AC663" s="118"/>
      <c r="AD663" s="118"/>
      <c r="AE663" s="145">
        <f>Tabla1[[#This Row],[Cierre]]+Tabla1[[#This Row],[Vigencia Oferta (días)]]</f>
        <v>45033.625694444403</v>
      </c>
      <c r="AF663" s="90"/>
      <c r="AG663" s="64"/>
      <c r="AH663" s="168">
        <f>Tabla1[[#This Row],[Unidades2]]*Tabla1[[#This Row],[Precio Unitario]]</f>
        <v>0</v>
      </c>
      <c r="AI663" s="118" t="s">
        <v>270</v>
      </c>
      <c r="AJ663" s="149"/>
      <c r="AK663" s="125">
        <f>Tabla1[[#This Row],[Fecha Vigencia]]-AJ663</f>
        <v>45033.625694444403</v>
      </c>
      <c r="AL663" s="65"/>
      <c r="AM663" s="90"/>
      <c r="AN663" s="65"/>
      <c r="AO663" s="181"/>
      <c r="AP663" s="65"/>
      <c r="AQ663" s="66"/>
      <c r="AR663" s="65"/>
      <c r="AS663" s="65"/>
      <c r="AT663" s="65"/>
      <c r="AU663" s="65"/>
      <c r="AV663" s="65"/>
      <c r="AW663" s="65"/>
      <c r="AX663" s="65"/>
      <c r="AY663" s="118"/>
      <c r="AZ663" s="118"/>
      <c r="BA663" s="118"/>
      <c r="BB663" s="124"/>
      <c r="BC663" s="73"/>
    </row>
    <row r="664" spans="1:55" ht="11.25" x14ac:dyDescent="0.2">
      <c r="A664" s="153" t="s">
        <v>3370</v>
      </c>
      <c r="B664" s="30" t="s">
        <v>3371</v>
      </c>
      <c r="C664" s="30" t="s">
        <v>3371</v>
      </c>
      <c r="D664" s="84" t="s">
        <v>3372</v>
      </c>
      <c r="E664" s="24" t="s">
        <v>3373</v>
      </c>
      <c r="F664" s="25">
        <v>1</v>
      </c>
      <c r="G664" s="30" t="s">
        <v>18</v>
      </c>
      <c r="H664" s="30" t="s">
        <v>213</v>
      </c>
      <c r="I664" s="2">
        <v>45006.904661076398</v>
      </c>
      <c r="J664" s="24">
        <f>MONTH(Tabla1[[#This Row],[Publicación]])</f>
        <v>3</v>
      </c>
      <c r="K664" s="24">
        <f>YEAR(Tabla1[[#This Row],[Publicación]])</f>
        <v>2023</v>
      </c>
      <c r="L664" s="2">
        <v>45012.625</v>
      </c>
      <c r="M664" s="26">
        <v>45007</v>
      </c>
      <c r="N664" s="85" t="s">
        <v>10</v>
      </c>
      <c r="O664" s="2" t="s">
        <v>28</v>
      </c>
      <c r="P664" s="24"/>
      <c r="Q664" s="60"/>
      <c r="R664" s="60"/>
      <c r="S664" s="18"/>
      <c r="T664" s="27"/>
      <c r="U664" s="67">
        <f>Tabla1[[#This Row],[PPTO]]/(1+'Lista Datos'!$B$1)</f>
        <v>0</v>
      </c>
      <c r="V664" s="68"/>
      <c r="W664" s="127"/>
      <c r="X664" s="154"/>
      <c r="Y664" s="127"/>
      <c r="Z664" s="127"/>
      <c r="AA664" s="30"/>
      <c r="AB664" s="30"/>
      <c r="AC664" s="30"/>
      <c r="AD664" s="30"/>
      <c r="AE664" s="145">
        <f>Tabla1[[#This Row],[Cierre]]+Tabla1[[#This Row],[Vigencia Oferta (días)]]</f>
        <v>45012.625</v>
      </c>
      <c r="AF664" s="91"/>
      <c r="AG664" s="67"/>
      <c r="AH664" s="169">
        <f>Tabla1[[#This Row],[Unidades2]]*Tabla1[[#This Row],[Precio Unitario]]</f>
        <v>0</v>
      </c>
      <c r="AI664" s="30" t="s">
        <v>270</v>
      </c>
      <c r="AJ664" s="104"/>
      <c r="AK664" s="159">
        <f>Tabla1[[#This Row],[Fecha Vigencia]]-AJ664</f>
        <v>45012.625</v>
      </c>
      <c r="AL664" s="68"/>
      <c r="AM664" s="91"/>
      <c r="AN664" s="68"/>
      <c r="AO664" s="157"/>
      <c r="AP664" s="68"/>
      <c r="AQ664" s="69"/>
      <c r="AR664" s="68"/>
      <c r="AS664" s="68"/>
      <c r="AT664" s="68"/>
      <c r="AU664" s="68"/>
      <c r="AV664" s="68"/>
      <c r="AW664" s="68"/>
      <c r="AX664" s="68"/>
      <c r="AY664" s="30"/>
      <c r="AZ664" s="30"/>
      <c r="BA664" s="30"/>
      <c r="BB664" s="75"/>
      <c r="BC664" s="73"/>
    </row>
    <row r="665" spans="1:55" ht="11.25" x14ac:dyDescent="0.2">
      <c r="A665" s="153" t="s">
        <v>3374</v>
      </c>
      <c r="B665" s="30" t="s">
        <v>3375</v>
      </c>
      <c r="C665" s="30" t="s">
        <v>3376</v>
      </c>
      <c r="D665" s="84" t="s">
        <v>3377</v>
      </c>
      <c r="E665" s="24" t="s">
        <v>3378</v>
      </c>
      <c r="F665" s="25">
        <v>100</v>
      </c>
      <c r="G665" s="30" t="s">
        <v>14</v>
      </c>
      <c r="H665" s="30" t="s">
        <v>123</v>
      </c>
      <c r="I665" s="2">
        <v>45006.6824017361</v>
      </c>
      <c r="J665" s="24">
        <f>MONTH(Tabla1[[#This Row],[Publicación]])</f>
        <v>3</v>
      </c>
      <c r="K665" s="24">
        <f>YEAR(Tabla1[[#This Row],[Publicación]])</f>
        <v>2023</v>
      </c>
      <c r="L665" s="2">
        <v>45012.831250000003</v>
      </c>
      <c r="M665" s="26">
        <v>45007</v>
      </c>
      <c r="N665" s="85" t="s">
        <v>10</v>
      </c>
      <c r="O665" s="2" t="s">
        <v>27</v>
      </c>
      <c r="P665" s="24"/>
      <c r="Q665" s="60"/>
      <c r="R665" s="60"/>
      <c r="S665" s="18"/>
      <c r="T665" s="27"/>
      <c r="U665" s="67">
        <f>Tabla1[[#This Row],[PPTO]]/(1+'Lista Datos'!$B$1)</f>
        <v>0</v>
      </c>
      <c r="V665" s="68"/>
      <c r="W665" s="127"/>
      <c r="X665" s="154"/>
      <c r="Y665" s="127"/>
      <c r="Z665" s="127"/>
      <c r="AA665" s="30"/>
      <c r="AB665" s="30"/>
      <c r="AC665" s="30"/>
      <c r="AD665" s="30"/>
      <c r="AE665" s="145">
        <f>Tabla1[[#This Row],[Cierre]]+Tabla1[[#This Row],[Vigencia Oferta (días)]]</f>
        <v>45012.831250000003</v>
      </c>
      <c r="AF665" s="91"/>
      <c r="AG665" s="67"/>
      <c r="AH665" s="169">
        <f>Tabla1[[#This Row],[Unidades2]]*Tabla1[[#This Row],[Precio Unitario]]</f>
        <v>0</v>
      </c>
      <c r="AI665" s="30" t="s">
        <v>270</v>
      </c>
      <c r="AJ665" s="104"/>
      <c r="AK665" s="159">
        <f>Tabla1[[#This Row],[Fecha Vigencia]]-AJ665</f>
        <v>45012.831250000003</v>
      </c>
      <c r="AL665" s="68"/>
      <c r="AM665" s="91"/>
      <c r="AN665" s="68"/>
      <c r="AO665" s="157"/>
      <c r="AP665" s="68"/>
      <c r="AQ665" s="69"/>
      <c r="AR665" s="68"/>
      <c r="AS665" s="68"/>
      <c r="AT665" s="68"/>
      <c r="AU665" s="68"/>
      <c r="AV665" s="68"/>
      <c r="AW665" s="68"/>
      <c r="AX665" s="68"/>
      <c r="AY665" s="30"/>
      <c r="AZ665" s="30"/>
      <c r="BA665" s="30"/>
      <c r="BB665" s="75"/>
      <c r="BC665" s="73"/>
    </row>
    <row r="666" spans="1:55" ht="11.25" x14ac:dyDescent="0.2">
      <c r="A666" s="117" t="s">
        <v>3379</v>
      </c>
      <c r="B666" s="118" t="s">
        <v>3380</v>
      </c>
      <c r="C666" s="118" t="s">
        <v>3381</v>
      </c>
      <c r="D666" s="119" t="s">
        <v>3382</v>
      </c>
      <c r="E666" s="38" t="s">
        <v>3383</v>
      </c>
      <c r="F666" s="39">
        <v>1</v>
      </c>
      <c r="G666" s="118" t="s">
        <v>16</v>
      </c>
      <c r="H666" s="118" t="s">
        <v>123</v>
      </c>
      <c r="I666" s="40">
        <v>45006.670467939803</v>
      </c>
      <c r="J666" s="24">
        <f>MONTH(Tabla1[[#This Row],[Publicación]])</f>
        <v>3</v>
      </c>
      <c r="K666" s="24">
        <f>YEAR(Tabla1[[#This Row],[Publicación]])</f>
        <v>2023</v>
      </c>
      <c r="L666" s="40">
        <v>45019.708333333299</v>
      </c>
      <c r="M666" s="41">
        <v>45007</v>
      </c>
      <c r="N666" s="120" t="s">
        <v>10</v>
      </c>
      <c r="O666" s="40" t="s">
        <v>33</v>
      </c>
      <c r="P666" s="38"/>
      <c r="Q666" s="121"/>
      <c r="R666" s="121"/>
      <c r="S666" s="19"/>
      <c r="T666" s="42"/>
      <c r="U666" s="64">
        <f>Tabla1[[#This Row],[PPTO]]/(1+'Lista Datos'!$B$1)</f>
        <v>0</v>
      </c>
      <c r="V666" s="65"/>
      <c r="W666" s="122"/>
      <c r="X666" s="123"/>
      <c r="Y666" s="122"/>
      <c r="Z666" s="122"/>
      <c r="AA666" s="118"/>
      <c r="AB666" s="118"/>
      <c r="AC666" s="118"/>
      <c r="AD666" s="118"/>
      <c r="AE666" s="145">
        <f>Tabla1[[#This Row],[Cierre]]+Tabla1[[#This Row],[Vigencia Oferta (días)]]</f>
        <v>45019.708333333299</v>
      </c>
      <c r="AF666" s="90"/>
      <c r="AG666" s="64"/>
      <c r="AH666" s="168">
        <f>Tabla1[[#This Row],[Unidades2]]*Tabla1[[#This Row],[Precio Unitario]]</f>
        <v>0</v>
      </c>
      <c r="AI666" s="118" t="s">
        <v>270</v>
      </c>
      <c r="AJ666" s="149"/>
      <c r="AK666" s="125">
        <f>Tabla1[[#This Row],[Fecha Vigencia]]-AJ666</f>
        <v>45019.708333333299</v>
      </c>
      <c r="AL666" s="65"/>
      <c r="AM666" s="90"/>
      <c r="AN666" s="65"/>
      <c r="AO666" s="181"/>
      <c r="AP666" s="65"/>
      <c r="AQ666" s="66"/>
      <c r="AR666" s="65"/>
      <c r="AS666" s="65"/>
      <c r="AT666" s="65"/>
      <c r="AU666" s="65"/>
      <c r="AV666" s="65"/>
      <c r="AW666" s="65"/>
      <c r="AX666" s="65"/>
      <c r="AY666" s="118"/>
      <c r="AZ666" s="118"/>
      <c r="BA666" s="118"/>
      <c r="BB666" s="124"/>
      <c r="BC666" s="73"/>
    </row>
    <row r="667" spans="1:55" ht="11.25" x14ac:dyDescent="0.2">
      <c r="A667" s="117" t="s">
        <v>3384</v>
      </c>
      <c r="B667" s="118" t="s">
        <v>3385</v>
      </c>
      <c r="C667" s="118" t="s">
        <v>3386</v>
      </c>
      <c r="D667" s="119" t="s">
        <v>3242</v>
      </c>
      <c r="E667" s="38" t="s">
        <v>3387</v>
      </c>
      <c r="F667" s="39">
        <v>1</v>
      </c>
      <c r="G667" s="118" t="s">
        <v>19</v>
      </c>
      <c r="H667" s="118" t="s">
        <v>114</v>
      </c>
      <c r="I667" s="40">
        <v>45006.621405173602</v>
      </c>
      <c r="J667" s="24">
        <f>MONTH(Tabla1[[#This Row],[Publicación]])</f>
        <v>3</v>
      </c>
      <c r="K667" s="24">
        <f>YEAR(Tabla1[[#This Row],[Publicación]])</f>
        <v>2023</v>
      </c>
      <c r="L667" s="40">
        <v>45016.625</v>
      </c>
      <c r="M667" s="41">
        <v>45007</v>
      </c>
      <c r="N667" s="120" t="s">
        <v>11</v>
      </c>
      <c r="O667" s="40"/>
      <c r="P667" s="38"/>
      <c r="Q667" s="147">
        <v>45012.5</v>
      </c>
      <c r="R667" s="147">
        <v>45013.75</v>
      </c>
      <c r="S667" s="148">
        <v>45048.625</v>
      </c>
      <c r="T667" s="42"/>
      <c r="U667" s="64">
        <f>Tabla1[[#This Row],[PPTO]]/(1+'Lista Datos'!$B$1)</f>
        <v>0</v>
      </c>
      <c r="V667" s="65"/>
      <c r="W667" s="122" t="s">
        <v>11</v>
      </c>
      <c r="X667" s="123">
        <v>2500000</v>
      </c>
      <c r="Y667" s="149">
        <v>45138</v>
      </c>
      <c r="Z667" s="122" t="s">
        <v>10</v>
      </c>
      <c r="AA667" s="118" t="s">
        <v>177</v>
      </c>
      <c r="AB667" s="118">
        <v>16</v>
      </c>
      <c r="AC667" s="118"/>
      <c r="AD667" s="118"/>
      <c r="AE667" s="145">
        <f>Tabla1[[#This Row],[Cierre]]+Tabla1[[#This Row],[Vigencia Oferta (días)]]</f>
        <v>45016.625</v>
      </c>
      <c r="AF667" s="90"/>
      <c r="AG667" s="64"/>
      <c r="AH667" s="168">
        <f>Tabla1[[#This Row],[Unidades2]]*Tabla1[[#This Row],[Precio Unitario]]</f>
        <v>0</v>
      </c>
      <c r="AI667" s="118" t="s">
        <v>44</v>
      </c>
      <c r="AJ667" s="149">
        <v>45029</v>
      </c>
      <c r="AK667" s="125">
        <f>Tabla1[[#This Row],[Fecha Vigencia]]-AJ667</f>
        <v>-12.375</v>
      </c>
      <c r="AL667" s="65" t="s">
        <v>115</v>
      </c>
      <c r="AM667" s="90">
        <v>300000000</v>
      </c>
      <c r="AN667" s="181">
        <v>45029</v>
      </c>
      <c r="AO667" s="181">
        <v>45517</v>
      </c>
      <c r="AP667" s="65" t="s">
        <v>177</v>
      </c>
      <c r="AQ667" s="66" t="s">
        <v>797</v>
      </c>
      <c r="AR667" s="65" t="s">
        <v>11</v>
      </c>
      <c r="AS667" s="195">
        <v>0.05</v>
      </c>
      <c r="AT667" s="181">
        <v>45658</v>
      </c>
      <c r="AU667" s="118" t="s">
        <v>3388</v>
      </c>
      <c r="AV667" s="118" t="s">
        <v>3389</v>
      </c>
      <c r="AW667" s="118" t="s">
        <v>798</v>
      </c>
      <c r="AX667" s="118" t="s">
        <v>459</v>
      </c>
      <c r="AY667" s="118"/>
      <c r="AZ667" s="118"/>
      <c r="BA667" s="118"/>
      <c r="BB667" s="124"/>
      <c r="BC667" s="73"/>
    </row>
    <row r="668" spans="1:55" ht="11.25" x14ac:dyDescent="0.2">
      <c r="A668" s="153" t="s">
        <v>3390</v>
      </c>
      <c r="B668" s="30" t="s">
        <v>3391</v>
      </c>
      <c r="C668" s="30" t="s">
        <v>3392</v>
      </c>
      <c r="D668" s="84" t="s">
        <v>2714</v>
      </c>
      <c r="E668" s="24" t="s">
        <v>3391</v>
      </c>
      <c r="F668" s="25">
        <v>1</v>
      </c>
      <c r="G668" s="30" t="s">
        <v>18</v>
      </c>
      <c r="H668" s="30" t="s">
        <v>213</v>
      </c>
      <c r="I668" s="2">
        <v>45006.4787113079</v>
      </c>
      <c r="J668" s="24">
        <f>MONTH(Tabla1[[#This Row],[Publicación]])</f>
        <v>3</v>
      </c>
      <c r="K668" s="24">
        <f>YEAR(Tabla1[[#This Row],[Publicación]])</f>
        <v>2023</v>
      </c>
      <c r="L668" s="2">
        <v>45019.625694444403</v>
      </c>
      <c r="M668" s="26">
        <v>45007</v>
      </c>
      <c r="N668" s="85" t="s">
        <v>10</v>
      </c>
      <c r="O668" s="2" t="s">
        <v>28</v>
      </c>
      <c r="P668" s="24"/>
      <c r="Q668" s="60"/>
      <c r="R668" s="60"/>
      <c r="S668" s="18"/>
      <c r="T668" s="27"/>
      <c r="U668" s="67">
        <f>Tabla1[[#This Row],[PPTO]]/(1+'Lista Datos'!$B$1)</f>
        <v>0</v>
      </c>
      <c r="V668" s="68"/>
      <c r="W668" s="127"/>
      <c r="X668" s="154"/>
      <c r="Y668" s="127"/>
      <c r="Z668" s="127"/>
      <c r="AA668" s="30"/>
      <c r="AB668" s="30"/>
      <c r="AC668" s="30"/>
      <c r="AD668" s="30"/>
      <c r="AE668" s="145">
        <f>Tabla1[[#This Row],[Cierre]]+Tabla1[[#This Row],[Vigencia Oferta (días)]]</f>
        <v>45019.625694444403</v>
      </c>
      <c r="AF668" s="91"/>
      <c r="AG668" s="67"/>
      <c r="AH668" s="169">
        <f>Tabla1[[#This Row],[Unidades2]]*Tabla1[[#This Row],[Precio Unitario]]</f>
        <v>0</v>
      </c>
      <c r="AI668" s="30" t="s">
        <v>270</v>
      </c>
      <c r="AJ668" s="104"/>
      <c r="AK668" s="159">
        <f>Tabla1[[#This Row],[Fecha Vigencia]]-AJ668</f>
        <v>45019.625694444403</v>
      </c>
      <c r="AL668" s="68"/>
      <c r="AM668" s="91"/>
      <c r="AN668" s="68"/>
      <c r="AO668" s="157"/>
      <c r="AP668" s="68"/>
      <c r="AQ668" s="69"/>
      <c r="AR668" s="68"/>
      <c r="AS668" s="68"/>
      <c r="AT668" s="68"/>
      <c r="AU668" s="68"/>
      <c r="AV668" s="68"/>
      <c r="AW668" s="68"/>
      <c r="AX668" s="68"/>
      <c r="AY668" s="30"/>
      <c r="AZ668" s="30"/>
      <c r="BA668" s="30"/>
      <c r="BB668" s="75"/>
      <c r="BC668" s="73"/>
    </row>
    <row r="669" spans="1:55" ht="11.25" x14ac:dyDescent="0.2">
      <c r="A669" s="117" t="s">
        <v>3393</v>
      </c>
      <c r="B669" s="118" t="s">
        <v>3394</v>
      </c>
      <c r="C669" s="118" t="s">
        <v>3395</v>
      </c>
      <c r="D669" s="119" t="s">
        <v>1354</v>
      </c>
      <c r="E669" s="38" t="s">
        <v>3396</v>
      </c>
      <c r="F669" s="39">
        <v>1</v>
      </c>
      <c r="G669" s="118" t="s">
        <v>20</v>
      </c>
      <c r="H669" s="118" t="s">
        <v>176</v>
      </c>
      <c r="I669" s="40">
        <v>45006.4301305556</v>
      </c>
      <c r="J669" s="24">
        <f>MONTH(Tabla1[[#This Row],[Publicación]])</f>
        <v>3</v>
      </c>
      <c r="K669" s="24">
        <f>YEAR(Tabla1[[#This Row],[Publicación]])</f>
        <v>2023</v>
      </c>
      <c r="L669" s="40">
        <v>45020.4375</v>
      </c>
      <c r="M669" s="41">
        <v>45007</v>
      </c>
      <c r="N669" s="120" t="s">
        <v>11</v>
      </c>
      <c r="O669" s="40"/>
      <c r="P669" s="38"/>
      <c r="Q669" s="147">
        <v>45009.520833333336</v>
      </c>
      <c r="R669" s="147">
        <v>45013.604166666664</v>
      </c>
      <c r="S669" s="148">
        <v>45030.625</v>
      </c>
      <c r="T669" s="42">
        <v>15000000</v>
      </c>
      <c r="U669" s="64">
        <f>Tabla1[[#This Row],[PPTO]]/(1+'Lista Datos'!$B$1)</f>
        <v>12605042.016806724</v>
      </c>
      <c r="V669" s="65"/>
      <c r="W669" s="122" t="s">
        <v>10</v>
      </c>
      <c r="X669" s="123"/>
      <c r="Y669" s="122"/>
      <c r="Z669" s="122" t="s">
        <v>10</v>
      </c>
      <c r="AA669" s="118" t="s">
        <v>177</v>
      </c>
      <c r="AB669" s="118">
        <v>12</v>
      </c>
      <c r="AC669" s="118"/>
      <c r="AD669" s="118"/>
      <c r="AE669" s="145">
        <f>Tabla1[[#This Row],[Cierre]]+Tabla1[[#This Row],[Vigencia Oferta (días)]]</f>
        <v>45020.4375</v>
      </c>
      <c r="AF669" s="90"/>
      <c r="AG669" s="64"/>
      <c r="AH669" s="168">
        <f>Tabla1[[#This Row],[Unidades2]]*Tabla1[[#This Row],[Precio Unitario]]</f>
        <v>0</v>
      </c>
      <c r="AI669" s="118" t="s">
        <v>44</v>
      </c>
      <c r="AJ669" s="149">
        <v>45035</v>
      </c>
      <c r="AK669" s="125">
        <f>Tabla1[[#This Row],[Fecha Vigencia]]-AJ669</f>
        <v>-14.5625</v>
      </c>
      <c r="AL669" s="65" t="s">
        <v>115</v>
      </c>
      <c r="AM669" s="214">
        <v>15000000</v>
      </c>
      <c r="AN669" s="181">
        <v>45035</v>
      </c>
      <c r="AO669" s="181">
        <v>45401</v>
      </c>
      <c r="AP669" s="65" t="s">
        <v>177</v>
      </c>
      <c r="AQ669" s="66" t="s">
        <v>1355</v>
      </c>
      <c r="AR669" s="65" t="s">
        <v>11</v>
      </c>
      <c r="AS669" s="195">
        <v>0.05</v>
      </c>
      <c r="AT669" s="181">
        <v>45427</v>
      </c>
      <c r="AU669" s="23" t="s">
        <v>3397</v>
      </c>
      <c r="AV669" s="23" t="s">
        <v>3398</v>
      </c>
      <c r="AW669" s="23" t="s">
        <v>3399</v>
      </c>
      <c r="AX669" s="23" t="s">
        <v>3400</v>
      </c>
      <c r="AY669" s="118"/>
      <c r="AZ669" s="118"/>
      <c r="BA669" s="118"/>
      <c r="BB669" s="124"/>
      <c r="BC669" s="73"/>
    </row>
    <row r="670" spans="1:55" ht="11.25" x14ac:dyDescent="0.2">
      <c r="A670" s="153" t="s">
        <v>3401</v>
      </c>
      <c r="B670" s="30" t="s">
        <v>3402</v>
      </c>
      <c r="C670" s="30" t="s">
        <v>3403</v>
      </c>
      <c r="D670" s="84" t="s">
        <v>546</v>
      </c>
      <c r="E670" s="24" t="s">
        <v>3404</v>
      </c>
      <c r="F670" s="25">
        <v>12</v>
      </c>
      <c r="G670" s="30" t="s">
        <v>21</v>
      </c>
      <c r="H670" s="30" t="s">
        <v>106</v>
      </c>
      <c r="I670" s="2">
        <v>45007.437405787001</v>
      </c>
      <c r="J670" s="24">
        <f>MONTH(Tabla1[[#This Row],[Publicación]])</f>
        <v>3</v>
      </c>
      <c r="K670" s="24">
        <f>YEAR(Tabla1[[#This Row],[Publicación]])</f>
        <v>2023</v>
      </c>
      <c r="L670" s="2">
        <v>45027.7319444444</v>
      </c>
      <c r="M670" s="26">
        <v>45008</v>
      </c>
      <c r="N670" s="85" t="s">
        <v>10</v>
      </c>
      <c r="O670" s="2" t="s">
        <v>27</v>
      </c>
      <c r="P670" s="24"/>
      <c r="Q670" s="60"/>
      <c r="R670" s="60"/>
      <c r="S670" s="18"/>
      <c r="T670" s="27"/>
      <c r="U670" s="67">
        <f>Tabla1[[#This Row],[PPTO]]/(1+'Lista Datos'!$B$1)</f>
        <v>0</v>
      </c>
      <c r="V670" s="68"/>
      <c r="W670" s="127"/>
      <c r="X670" s="154"/>
      <c r="Y670" s="127"/>
      <c r="Z670" s="127"/>
      <c r="AA670" s="30"/>
      <c r="AB670" s="30"/>
      <c r="AC670" s="30"/>
      <c r="AD670" s="30"/>
      <c r="AE670" s="145">
        <f>Tabla1[[#This Row],[Cierre]]+Tabla1[[#This Row],[Vigencia Oferta (días)]]</f>
        <v>45027.7319444444</v>
      </c>
      <c r="AF670" s="91"/>
      <c r="AG670" s="67"/>
      <c r="AH670" s="169">
        <f>Tabla1[[#This Row],[Unidades2]]*Tabla1[[#This Row],[Precio Unitario]]</f>
        <v>0</v>
      </c>
      <c r="AI670" s="30" t="s">
        <v>270</v>
      </c>
      <c r="AJ670" s="104"/>
      <c r="AK670" s="159">
        <f>Tabla1[[#This Row],[Fecha Vigencia]]-AJ670</f>
        <v>45027.7319444444</v>
      </c>
      <c r="AL670" s="68"/>
      <c r="AM670" s="91"/>
      <c r="AN670" s="68"/>
      <c r="AO670" s="157"/>
      <c r="AP670" s="68"/>
      <c r="AQ670" s="69"/>
      <c r="AR670" s="68"/>
      <c r="AS670" s="68"/>
      <c r="AT670" s="68"/>
      <c r="AU670" s="68"/>
      <c r="AV670" s="68"/>
      <c r="AW670" s="68"/>
      <c r="AX670" s="68"/>
      <c r="AY670" s="30"/>
      <c r="AZ670" s="30"/>
      <c r="BA670" s="30"/>
      <c r="BB670" s="75"/>
      <c r="BC670" s="73"/>
    </row>
    <row r="671" spans="1:55" ht="11.25" x14ac:dyDescent="0.2">
      <c r="A671" s="117" t="s">
        <v>3401</v>
      </c>
      <c r="B671" s="118" t="s">
        <v>3402</v>
      </c>
      <c r="C671" s="118" t="s">
        <v>3403</v>
      </c>
      <c r="D671" s="119" t="s">
        <v>546</v>
      </c>
      <c r="E671" s="38" t="s">
        <v>3405</v>
      </c>
      <c r="F671" s="39">
        <v>12</v>
      </c>
      <c r="G671" s="118" t="s">
        <v>21</v>
      </c>
      <c r="H671" s="118" t="s">
        <v>106</v>
      </c>
      <c r="I671" s="40">
        <v>45007.437405787001</v>
      </c>
      <c r="J671" s="24">
        <f>MONTH(Tabla1[[#This Row],[Publicación]])</f>
        <v>3</v>
      </c>
      <c r="K671" s="24">
        <f>YEAR(Tabla1[[#This Row],[Publicación]])</f>
        <v>2023</v>
      </c>
      <c r="L671" s="40">
        <v>45027.7319444444</v>
      </c>
      <c r="M671" s="41">
        <v>45008</v>
      </c>
      <c r="N671" s="120" t="s">
        <v>10</v>
      </c>
      <c r="O671" s="40" t="s">
        <v>27</v>
      </c>
      <c r="P671" s="38"/>
      <c r="Q671" s="121"/>
      <c r="R671" s="121"/>
      <c r="S671" s="19"/>
      <c r="T671" s="42"/>
      <c r="U671" s="64">
        <f>Tabla1[[#This Row],[PPTO]]/(1+'Lista Datos'!$B$1)</f>
        <v>0</v>
      </c>
      <c r="V671" s="65"/>
      <c r="W671" s="122"/>
      <c r="X671" s="123"/>
      <c r="Y671" s="122"/>
      <c r="Z671" s="122"/>
      <c r="AA671" s="118"/>
      <c r="AB671" s="118"/>
      <c r="AC671" s="118"/>
      <c r="AD671" s="118"/>
      <c r="AE671" s="145">
        <f>Tabla1[[#This Row],[Cierre]]+Tabla1[[#This Row],[Vigencia Oferta (días)]]</f>
        <v>45027.7319444444</v>
      </c>
      <c r="AF671" s="90"/>
      <c r="AG671" s="64"/>
      <c r="AH671" s="168">
        <f>Tabla1[[#This Row],[Unidades2]]*Tabla1[[#This Row],[Precio Unitario]]</f>
        <v>0</v>
      </c>
      <c r="AI671" s="118" t="s">
        <v>270</v>
      </c>
      <c r="AJ671" s="149"/>
      <c r="AK671" s="125">
        <f>Tabla1[[#This Row],[Fecha Vigencia]]-AJ671</f>
        <v>45027.7319444444</v>
      </c>
      <c r="AL671" s="65"/>
      <c r="AM671" s="90"/>
      <c r="AN671" s="65"/>
      <c r="AO671" s="181"/>
      <c r="AP671" s="65"/>
      <c r="AQ671" s="66"/>
      <c r="AR671" s="65"/>
      <c r="AS671" s="65"/>
      <c r="AT671" s="65"/>
      <c r="AU671" s="65"/>
      <c r="AV671" s="65"/>
      <c r="AW671" s="65"/>
      <c r="AX671" s="65"/>
      <c r="AY671" s="118"/>
      <c r="AZ671" s="118"/>
      <c r="BA671" s="118"/>
      <c r="BB671" s="124"/>
      <c r="BC671" s="73"/>
    </row>
    <row r="672" spans="1:55" ht="11.25" x14ac:dyDescent="0.2">
      <c r="A672" s="153" t="s">
        <v>3406</v>
      </c>
      <c r="B672" s="30" t="s">
        <v>3407</v>
      </c>
      <c r="C672" s="30" t="s">
        <v>3408</v>
      </c>
      <c r="D672" s="84" t="s">
        <v>2569</v>
      </c>
      <c r="E672" s="24" t="s">
        <v>3409</v>
      </c>
      <c r="F672" s="25">
        <v>1</v>
      </c>
      <c r="G672" s="30" t="s">
        <v>16</v>
      </c>
      <c r="H672" s="30" t="s">
        <v>520</v>
      </c>
      <c r="I672" s="2">
        <v>45007.56527777778</v>
      </c>
      <c r="J672" s="38">
        <f>MONTH(Tabla1[[#This Row],[Publicación]])</f>
        <v>3</v>
      </c>
      <c r="K672" s="38">
        <f>YEAR(Tabla1[[#This Row],[Publicación]])</f>
        <v>2023</v>
      </c>
      <c r="L672" s="2">
        <v>45028.729861111111</v>
      </c>
      <c r="M672" s="26"/>
      <c r="N672" s="85" t="s">
        <v>10</v>
      </c>
      <c r="O672" s="2" t="s">
        <v>26</v>
      </c>
      <c r="P672" s="24"/>
      <c r="Q672" s="160">
        <v>45015.626388888886</v>
      </c>
      <c r="R672" s="160">
        <v>45027.729166666664</v>
      </c>
      <c r="S672" s="161">
        <v>45041.731249999997</v>
      </c>
      <c r="T672" s="27">
        <v>70000000</v>
      </c>
      <c r="U672" s="67">
        <f>Tabla1[[#This Row],[PPTO]]/(1+'Lista Datos'!$B$1)</f>
        <v>58823529.411764711</v>
      </c>
      <c r="V672" s="68"/>
      <c r="W672" s="127" t="s">
        <v>11</v>
      </c>
      <c r="X672" s="154">
        <v>500000</v>
      </c>
      <c r="Y672" s="104">
        <v>45082</v>
      </c>
      <c r="Z672" s="127" t="s">
        <v>11</v>
      </c>
      <c r="AA672" s="30" t="s">
        <v>177</v>
      </c>
      <c r="AB672" s="30">
        <v>36</v>
      </c>
      <c r="AC672" s="30"/>
      <c r="AD672" s="30"/>
      <c r="AE672" s="155">
        <f>Tabla1[[#This Row],[Cierre]]+Tabla1[[#This Row],[Vigencia Oferta (días)]]</f>
        <v>45028.729861111111</v>
      </c>
      <c r="AF672" s="91"/>
      <c r="AG672" s="67"/>
      <c r="AH672" s="169">
        <f>Tabla1[[#This Row],[Unidades2]]*Tabla1[[#This Row],[Precio Unitario]]</f>
        <v>0</v>
      </c>
      <c r="AI672" s="30" t="s">
        <v>270</v>
      </c>
      <c r="AJ672" s="104"/>
      <c r="AK672" s="159">
        <f>Tabla1[[#This Row],[Fecha Vigencia]]-AJ672</f>
        <v>45028.729861111111</v>
      </c>
      <c r="AL672" s="68"/>
      <c r="AM672" s="91"/>
      <c r="AN672" s="68"/>
      <c r="AO672" s="157"/>
      <c r="AP672" s="68"/>
      <c r="AQ672" s="69"/>
      <c r="AR672" s="68"/>
      <c r="AS672" s="68"/>
      <c r="AT672" s="68"/>
      <c r="AU672" s="68"/>
      <c r="AV672" s="68"/>
      <c r="AW672" s="68"/>
      <c r="AX672" s="68"/>
      <c r="AY672" s="30"/>
      <c r="AZ672" s="30"/>
      <c r="BA672" s="30"/>
      <c r="BB672" s="75"/>
      <c r="BC672" s="73"/>
    </row>
    <row r="673" spans="1:55" ht="11.25" x14ac:dyDescent="0.2">
      <c r="A673" s="117" t="s">
        <v>3410</v>
      </c>
      <c r="B673" s="118" t="s">
        <v>3411</v>
      </c>
      <c r="C673" s="118" t="s">
        <v>3412</v>
      </c>
      <c r="D673" s="119" t="s">
        <v>3413</v>
      </c>
      <c r="E673" s="38" t="s">
        <v>3414</v>
      </c>
      <c r="F673" s="39">
        <v>6</v>
      </c>
      <c r="G673" s="118" t="s">
        <v>21</v>
      </c>
      <c r="H673" s="118" t="s">
        <v>106</v>
      </c>
      <c r="I673" s="40">
        <v>45008.825976423599</v>
      </c>
      <c r="J673" s="24">
        <f>MONTH(Tabla1[[#This Row],[Publicación]])</f>
        <v>3</v>
      </c>
      <c r="K673" s="24">
        <f>YEAR(Tabla1[[#This Row],[Publicación]])</f>
        <v>2023</v>
      </c>
      <c r="L673" s="40">
        <v>45014.905555555597</v>
      </c>
      <c r="M673" s="41">
        <v>45009</v>
      </c>
      <c r="N673" s="120" t="s">
        <v>10</v>
      </c>
      <c r="O673" s="40" t="s">
        <v>27</v>
      </c>
      <c r="P673" s="38"/>
      <c r="Q673" s="121"/>
      <c r="R673" s="121"/>
      <c r="S673" s="19"/>
      <c r="T673" s="42"/>
      <c r="U673" s="64">
        <f>Tabla1[[#This Row],[PPTO]]/(1+'Lista Datos'!$B$1)</f>
        <v>0</v>
      </c>
      <c r="V673" s="65"/>
      <c r="W673" s="122"/>
      <c r="X673" s="123"/>
      <c r="Y673" s="122"/>
      <c r="Z673" s="122"/>
      <c r="AA673" s="118"/>
      <c r="AB673" s="118"/>
      <c r="AC673" s="118"/>
      <c r="AD673" s="118"/>
      <c r="AE673" s="145">
        <f>Tabla1[[#This Row],[Cierre]]+Tabla1[[#This Row],[Vigencia Oferta (días)]]</f>
        <v>45014.905555555597</v>
      </c>
      <c r="AF673" s="90"/>
      <c r="AG673" s="64"/>
      <c r="AH673" s="168">
        <f>Tabla1[[#This Row],[Unidades2]]*Tabla1[[#This Row],[Precio Unitario]]</f>
        <v>0</v>
      </c>
      <c r="AI673" s="118" t="s">
        <v>270</v>
      </c>
      <c r="AJ673" s="149"/>
      <c r="AK673" s="125">
        <f>Tabla1[[#This Row],[Fecha Vigencia]]-AJ673</f>
        <v>45014.905555555597</v>
      </c>
      <c r="AL673" s="65"/>
      <c r="AM673" s="90"/>
      <c r="AN673" s="65"/>
      <c r="AO673" s="181"/>
      <c r="AP673" s="65"/>
      <c r="AQ673" s="66"/>
      <c r="AR673" s="65"/>
      <c r="AS673" s="65"/>
      <c r="AT673" s="65"/>
      <c r="AU673" s="65"/>
      <c r="AV673" s="65"/>
      <c r="AW673" s="65"/>
      <c r="AX673" s="65"/>
      <c r="AY673" s="118"/>
      <c r="AZ673" s="118"/>
      <c r="BA673" s="118"/>
      <c r="BB673" s="124"/>
      <c r="BC673" s="73"/>
    </row>
    <row r="674" spans="1:55" ht="11.25" x14ac:dyDescent="0.2">
      <c r="A674" s="117" t="s">
        <v>3415</v>
      </c>
      <c r="B674" s="118" t="s">
        <v>3416</v>
      </c>
      <c r="C674" s="118" t="s">
        <v>3417</v>
      </c>
      <c r="D674" s="119" t="s">
        <v>291</v>
      </c>
      <c r="E674" s="38" t="s">
        <v>3417</v>
      </c>
      <c r="F674" s="39">
        <v>1</v>
      </c>
      <c r="G674" s="118" t="s">
        <v>14</v>
      </c>
      <c r="H674" s="118" t="s">
        <v>145</v>
      </c>
      <c r="I674" s="40">
        <v>45008.689083333302</v>
      </c>
      <c r="J674" s="24">
        <f>MONTH(Tabla1[[#This Row],[Publicación]])</f>
        <v>3</v>
      </c>
      <c r="K674" s="24">
        <f>YEAR(Tabla1[[#This Row],[Publicación]])</f>
        <v>2023</v>
      </c>
      <c r="L674" s="40">
        <v>45015.645833333299</v>
      </c>
      <c r="M674" s="41">
        <v>45012</v>
      </c>
      <c r="N674" s="120" t="s">
        <v>10</v>
      </c>
      <c r="O674" s="40" t="s">
        <v>29</v>
      </c>
      <c r="P674" s="38"/>
      <c r="Q674" s="147">
        <v>45012.645833333336</v>
      </c>
      <c r="R674" s="147">
        <v>45013.75</v>
      </c>
      <c r="S674" s="148">
        <v>45037.818749999999</v>
      </c>
      <c r="T674" s="42">
        <v>4680000</v>
      </c>
      <c r="U674" s="64">
        <f>Tabla1[[#This Row],[PPTO]]/(1+'Lista Datos'!$B$1)</f>
        <v>3932773.1092436975</v>
      </c>
      <c r="V674" s="65"/>
      <c r="W674" s="122" t="s">
        <v>10</v>
      </c>
      <c r="X674" s="123"/>
      <c r="Y674" s="122"/>
      <c r="Z674" s="122" t="s">
        <v>10</v>
      </c>
      <c r="AA674" s="118" t="s">
        <v>512</v>
      </c>
      <c r="AB674" s="118"/>
      <c r="AC674" s="118"/>
      <c r="AD674" s="118"/>
      <c r="AE674" s="145">
        <f>Tabla1[[#This Row],[Cierre]]+Tabla1[[#This Row],[Vigencia Oferta (días)]]</f>
        <v>45015.645833333299</v>
      </c>
      <c r="AF674" s="90"/>
      <c r="AG674" s="64"/>
      <c r="AH674" s="168">
        <f>Tabla1[[#This Row],[Unidades2]]*Tabla1[[#This Row],[Precio Unitario]]</f>
        <v>0</v>
      </c>
      <c r="AI674" s="118" t="s">
        <v>270</v>
      </c>
      <c r="AJ674" s="149"/>
      <c r="AK674" s="125">
        <f>Tabla1[[#This Row],[Fecha Vigencia]]-AJ674</f>
        <v>45015.645833333299</v>
      </c>
      <c r="AL674" s="65"/>
      <c r="AM674" s="90"/>
      <c r="AN674" s="65"/>
      <c r="AO674" s="181"/>
      <c r="AP674" s="65"/>
      <c r="AQ674" s="66"/>
      <c r="AR674" s="65"/>
      <c r="AS674" s="65"/>
      <c r="AT674" s="65"/>
      <c r="AU674" s="65"/>
      <c r="AV674" s="65"/>
      <c r="AW674" s="65"/>
      <c r="AX674" s="65"/>
      <c r="AY674" s="118"/>
      <c r="AZ674" s="118"/>
      <c r="BA674" s="118"/>
      <c r="BB674" s="124"/>
      <c r="BC674" s="73"/>
    </row>
    <row r="675" spans="1:55" ht="11.25" x14ac:dyDescent="0.2">
      <c r="A675" s="117" t="s">
        <v>3418</v>
      </c>
      <c r="B675" s="118" t="s">
        <v>3419</v>
      </c>
      <c r="C675" s="118" t="s">
        <v>3420</v>
      </c>
      <c r="D675" s="119" t="s">
        <v>364</v>
      </c>
      <c r="E675" s="38" t="s">
        <v>3421</v>
      </c>
      <c r="F675" s="39">
        <v>15</v>
      </c>
      <c r="G675" s="118" t="s">
        <v>21</v>
      </c>
      <c r="H675" s="118" t="s">
        <v>106</v>
      </c>
      <c r="I675" s="40">
        <v>45008.650750080997</v>
      </c>
      <c r="J675" s="24">
        <f>MONTH(Tabla1[[#This Row],[Publicación]])</f>
        <v>3</v>
      </c>
      <c r="K675" s="24">
        <f>YEAR(Tabla1[[#This Row],[Publicación]])</f>
        <v>2023</v>
      </c>
      <c r="L675" s="40">
        <v>45040.729166666701</v>
      </c>
      <c r="M675" s="41">
        <v>45009</v>
      </c>
      <c r="N675" s="120" t="s">
        <v>10</v>
      </c>
      <c r="O675" s="40" t="s">
        <v>27</v>
      </c>
      <c r="P675" s="38"/>
      <c r="Q675" s="121"/>
      <c r="R675" s="121"/>
      <c r="S675" s="19"/>
      <c r="T675" s="42"/>
      <c r="U675" s="64">
        <f>Tabla1[[#This Row],[PPTO]]/(1+'Lista Datos'!$B$1)</f>
        <v>0</v>
      </c>
      <c r="V675" s="65"/>
      <c r="W675" s="122"/>
      <c r="X675" s="123"/>
      <c r="Y675" s="122"/>
      <c r="Z675" s="122"/>
      <c r="AA675" s="118"/>
      <c r="AB675" s="118"/>
      <c r="AC675" s="118"/>
      <c r="AD675" s="118"/>
      <c r="AE675" s="145">
        <f>Tabla1[[#This Row],[Cierre]]+Tabla1[[#This Row],[Vigencia Oferta (días)]]</f>
        <v>45040.729166666701</v>
      </c>
      <c r="AF675" s="90"/>
      <c r="AG675" s="64"/>
      <c r="AH675" s="168">
        <f>Tabla1[[#This Row],[Unidades2]]*Tabla1[[#This Row],[Precio Unitario]]</f>
        <v>0</v>
      </c>
      <c r="AI675" s="118" t="s">
        <v>270</v>
      </c>
      <c r="AJ675" s="149"/>
      <c r="AK675" s="125">
        <f>Tabla1[[#This Row],[Fecha Vigencia]]-AJ675</f>
        <v>45040.729166666701</v>
      </c>
      <c r="AL675" s="65"/>
      <c r="AM675" s="90"/>
      <c r="AN675" s="65"/>
      <c r="AO675" s="181"/>
      <c r="AP675" s="65"/>
      <c r="AQ675" s="66"/>
      <c r="AR675" s="65"/>
      <c r="AS675" s="65"/>
      <c r="AT675" s="65"/>
      <c r="AU675" s="65"/>
      <c r="AV675" s="65"/>
      <c r="AW675" s="65"/>
      <c r="AX675" s="65"/>
      <c r="AY675" s="118"/>
      <c r="AZ675" s="118"/>
      <c r="BA675" s="118"/>
      <c r="BB675" s="124"/>
      <c r="BC675" s="73"/>
    </row>
    <row r="676" spans="1:55" ht="11.25" x14ac:dyDescent="0.2">
      <c r="A676" s="117" t="s">
        <v>3422</v>
      </c>
      <c r="B676" s="118" t="s">
        <v>3423</v>
      </c>
      <c r="C676" s="118" t="s">
        <v>3424</v>
      </c>
      <c r="D676" s="119" t="s">
        <v>1046</v>
      </c>
      <c r="E676" s="38" t="s">
        <v>3425</v>
      </c>
      <c r="F676" s="39">
        <v>1</v>
      </c>
      <c r="G676" s="118" t="s">
        <v>16</v>
      </c>
      <c r="H676" s="118" t="s">
        <v>345</v>
      </c>
      <c r="I676" s="40">
        <v>45008.534462615702</v>
      </c>
      <c r="J676" s="24">
        <f>MONTH(Tabla1[[#This Row],[Publicación]])</f>
        <v>3</v>
      </c>
      <c r="K676" s="24">
        <f>YEAR(Tabla1[[#This Row],[Publicación]])</f>
        <v>2023</v>
      </c>
      <c r="L676" s="40">
        <v>45014.583333333299</v>
      </c>
      <c r="M676" s="41">
        <v>45012</v>
      </c>
      <c r="N676" s="120" t="s">
        <v>10</v>
      </c>
      <c r="O676" s="40" t="s">
        <v>25</v>
      </c>
      <c r="P676" s="38" t="s">
        <v>10</v>
      </c>
      <c r="Q676" s="147">
        <v>45011.53125</v>
      </c>
      <c r="R676" s="147">
        <v>45013.53125</v>
      </c>
      <c r="S676" s="148">
        <v>45030.448611111111</v>
      </c>
      <c r="T676" s="42"/>
      <c r="U676" s="64">
        <f>Tabla1[[#This Row],[PPTO]]/(1+'Lista Datos'!$B$1)</f>
        <v>0</v>
      </c>
      <c r="V676" s="65"/>
      <c r="W676" s="122" t="s">
        <v>11</v>
      </c>
      <c r="X676" s="123">
        <v>100000</v>
      </c>
      <c r="Y676" s="149">
        <v>45097</v>
      </c>
      <c r="Z676" s="122" t="s">
        <v>10</v>
      </c>
      <c r="AA676" s="118" t="s">
        <v>177</v>
      </c>
      <c r="AB676" s="118">
        <v>24</v>
      </c>
      <c r="AC676" s="118"/>
      <c r="AD676" s="118"/>
      <c r="AE676" s="145">
        <f>Tabla1[[#This Row],[Cierre]]+Tabla1[[#This Row],[Vigencia Oferta (días)]]</f>
        <v>45014.583333333299</v>
      </c>
      <c r="AF676" s="90"/>
      <c r="AG676" s="64"/>
      <c r="AH676" s="168">
        <f>Tabla1[[#This Row],[Unidades2]]*Tabla1[[#This Row],[Precio Unitario]]</f>
        <v>0</v>
      </c>
      <c r="AI676" s="118" t="s">
        <v>270</v>
      </c>
      <c r="AJ676" s="149"/>
      <c r="AK676" s="125">
        <f>Tabla1[[#This Row],[Fecha Vigencia]]-AJ676</f>
        <v>45014.583333333299</v>
      </c>
      <c r="AL676" s="65"/>
      <c r="AM676" s="90"/>
      <c r="AN676" s="65"/>
      <c r="AO676" s="181"/>
      <c r="AP676" s="65"/>
      <c r="AQ676" s="66"/>
      <c r="AR676" s="65"/>
      <c r="AS676" s="65"/>
      <c r="AT676" s="65"/>
      <c r="AU676" s="65"/>
      <c r="AV676" s="65"/>
      <c r="AW676" s="65"/>
      <c r="AX676" s="65"/>
      <c r="AY676" s="118"/>
      <c r="AZ676" s="118"/>
      <c r="BA676" s="118"/>
      <c r="BB676" s="124"/>
      <c r="BC676" s="73"/>
    </row>
    <row r="677" spans="1:55" ht="11.25" x14ac:dyDescent="0.2">
      <c r="A677" s="117" t="s">
        <v>3426</v>
      </c>
      <c r="B677" s="118" t="s">
        <v>3427</v>
      </c>
      <c r="C677" s="118" t="s">
        <v>3428</v>
      </c>
      <c r="D677" s="119" t="s">
        <v>337</v>
      </c>
      <c r="E677" s="38" t="s">
        <v>3429</v>
      </c>
      <c r="F677" s="39">
        <v>1</v>
      </c>
      <c r="G677" s="118" t="s">
        <v>16</v>
      </c>
      <c r="H677" s="118" t="s">
        <v>1596</v>
      </c>
      <c r="I677" s="40">
        <v>45008.493168831003</v>
      </c>
      <c r="J677" s="24">
        <f>MONTH(Tabla1[[#This Row],[Publicación]])</f>
        <v>3</v>
      </c>
      <c r="K677" s="24">
        <f>YEAR(Tabla1[[#This Row],[Publicación]])</f>
        <v>2023</v>
      </c>
      <c r="L677" s="40">
        <v>45013.781944444403</v>
      </c>
      <c r="M677" s="41">
        <v>45009</v>
      </c>
      <c r="N677" s="120" t="s">
        <v>10</v>
      </c>
      <c r="O677" s="40" t="s">
        <v>27</v>
      </c>
      <c r="P677" s="38"/>
      <c r="Q677" s="121"/>
      <c r="R677" s="121"/>
      <c r="S677" s="19"/>
      <c r="T677" s="42"/>
      <c r="U677" s="64">
        <f>Tabla1[[#This Row],[PPTO]]/(1+'Lista Datos'!$B$1)</f>
        <v>0</v>
      </c>
      <c r="V677" s="65"/>
      <c r="W677" s="122"/>
      <c r="X677" s="123"/>
      <c r="Y677" s="122"/>
      <c r="Z677" s="122"/>
      <c r="AA677" s="118"/>
      <c r="AB677" s="118"/>
      <c r="AC677" s="118"/>
      <c r="AD677" s="118"/>
      <c r="AE677" s="145">
        <f>Tabla1[[#This Row],[Cierre]]+Tabla1[[#This Row],[Vigencia Oferta (días)]]</f>
        <v>45013.781944444403</v>
      </c>
      <c r="AF677" s="90"/>
      <c r="AG677" s="64"/>
      <c r="AH677" s="168">
        <f>Tabla1[[#This Row],[Unidades2]]*Tabla1[[#This Row],[Precio Unitario]]</f>
        <v>0</v>
      </c>
      <c r="AI677" s="118" t="s">
        <v>270</v>
      </c>
      <c r="AJ677" s="149"/>
      <c r="AK677" s="125">
        <f>Tabla1[[#This Row],[Fecha Vigencia]]-AJ677</f>
        <v>45013.781944444403</v>
      </c>
      <c r="AL677" s="65"/>
      <c r="AM677" s="90"/>
      <c r="AN677" s="65"/>
      <c r="AO677" s="181"/>
      <c r="AP677" s="65"/>
      <c r="AQ677" s="66"/>
      <c r="AR677" s="65"/>
      <c r="AS677" s="65"/>
      <c r="AT677" s="65"/>
      <c r="AU677" s="65"/>
      <c r="AV677" s="65"/>
      <c r="AW677" s="65"/>
      <c r="AX677" s="65"/>
      <c r="AY677" s="118"/>
      <c r="AZ677" s="118"/>
      <c r="BA677" s="118"/>
      <c r="BB677" s="124"/>
      <c r="BC677" s="73"/>
    </row>
    <row r="678" spans="1:55" ht="11.25" x14ac:dyDescent="0.2">
      <c r="A678" s="117" t="s">
        <v>3430</v>
      </c>
      <c r="B678" s="118" t="s">
        <v>3431</v>
      </c>
      <c r="C678" s="118" t="s">
        <v>3432</v>
      </c>
      <c r="D678" s="119" t="s">
        <v>2852</v>
      </c>
      <c r="E678" s="38" t="s">
        <v>3433</v>
      </c>
      <c r="F678" s="39">
        <v>1</v>
      </c>
      <c r="G678" s="118" t="s">
        <v>18</v>
      </c>
      <c r="H678" s="118" t="s">
        <v>213</v>
      </c>
      <c r="I678" s="40">
        <v>45009.712703969897</v>
      </c>
      <c r="J678" s="24">
        <f>MONTH(Tabla1[[#This Row],[Publicación]])</f>
        <v>3</v>
      </c>
      <c r="K678" s="24">
        <f>YEAR(Tabla1[[#This Row],[Publicación]])</f>
        <v>2023</v>
      </c>
      <c r="L678" s="40">
        <v>45019.728472222203</v>
      </c>
      <c r="M678" s="41">
        <v>45012</v>
      </c>
      <c r="N678" s="120" t="s">
        <v>10</v>
      </c>
      <c r="O678" s="40" t="s">
        <v>28</v>
      </c>
      <c r="P678" s="38"/>
      <c r="Q678" s="121"/>
      <c r="R678" s="121"/>
      <c r="S678" s="19"/>
      <c r="T678" s="42"/>
      <c r="U678" s="64">
        <f>Tabla1[[#This Row],[PPTO]]/(1+'Lista Datos'!$B$1)</f>
        <v>0</v>
      </c>
      <c r="V678" s="65"/>
      <c r="W678" s="122"/>
      <c r="X678" s="123"/>
      <c r="Y678" s="122"/>
      <c r="Z678" s="122"/>
      <c r="AA678" s="118"/>
      <c r="AB678" s="118"/>
      <c r="AC678" s="118"/>
      <c r="AD678" s="118"/>
      <c r="AE678" s="145">
        <f>Tabla1[[#This Row],[Cierre]]+Tabla1[[#This Row],[Vigencia Oferta (días)]]</f>
        <v>45019.728472222203</v>
      </c>
      <c r="AF678" s="90"/>
      <c r="AG678" s="64"/>
      <c r="AH678" s="168">
        <f>Tabla1[[#This Row],[Unidades2]]*Tabla1[[#This Row],[Precio Unitario]]</f>
        <v>0</v>
      </c>
      <c r="AI678" s="118" t="s">
        <v>270</v>
      </c>
      <c r="AJ678" s="149"/>
      <c r="AK678" s="125">
        <f>Tabla1[[#This Row],[Fecha Vigencia]]-AJ678</f>
        <v>45019.728472222203</v>
      </c>
      <c r="AL678" s="65"/>
      <c r="AM678" s="90"/>
      <c r="AN678" s="65"/>
      <c r="AO678" s="181"/>
      <c r="AP678" s="65"/>
      <c r="AQ678" s="66"/>
      <c r="AR678" s="65"/>
      <c r="AS678" s="65"/>
      <c r="AT678" s="65"/>
      <c r="AU678" s="65"/>
      <c r="AV678" s="65"/>
      <c r="AW678" s="65"/>
      <c r="AX678" s="65"/>
      <c r="AY678" s="118"/>
      <c r="AZ678" s="118"/>
      <c r="BA678" s="118"/>
      <c r="BB678" s="124"/>
      <c r="BC678" s="73"/>
    </row>
    <row r="679" spans="1:55" ht="11.25" x14ac:dyDescent="0.2">
      <c r="A679" s="117" t="s">
        <v>3434</v>
      </c>
      <c r="B679" s="118" t="s">
        <v>3435</v>
      </c>
      <c r="C679" s="118" t="s">
        <v>3436</v>
      </c>
      <c r="D679" s="119" t="s">
        <v>2877</v>
      </c>
      <c r="E679" s="38" t="s">
        <v>3437</v>
      </c>
      <c r="F679" s="39">
        <v>1</v>
      </c>
      <c r="G679" s="118" t="s">
        <v>16</v>
      </c>
      <c r="H679" s="118" t="s">
        <v>123</v>
      </c>
      <c r="I679" s="40">
        <v>45009.703859641202</v>
      </c>
      <c r="J679" s="24">
        <f>MONTH(Tabla1[[#This Row],[Publicación]])</f>
        <v>3</v>
      </c>
      <c r="K679" s="24">
        <f>YEAR(Tabla1[[#This Row],[Publicación]])</f>
        <v>2023</v>
      </c>
      <c r="L679" s="40">
        <v>45014.628472222197</v>
      </c>
      <c r="M679" s="41">
        <v>45012</v>
      </c>
      <c r="N679" s="120" t="s">
        <v>10</v>
      </c>
      <c r="O679" s="40" t="s">
        <v>33</v>
      </c>
      <c r="P679" s="38"/>
      <c r="Q679" s="121"/>
      <c r="R679" s="121"/>
      <c r="S679" s="19"/>
      <c r="T679" s="42"/>
      <c r="U679" s="64">
        <f>Tabla1[[#This Row],[PPTO]]/(1+'Lista Datos'!$B$1)</f>
        <v>0</v>
      </c>
      <c r="V679" s="65"/>
      <c r="W679" s="122"/>
      <c r="X679" s="123"/>
      <c r="Y679" s="122"/>
      <c r="Z679" s="122"/>
      <c r="AA679" s="118"/>
      <c r="AB679" s="118"/>
      <c r="AC679" s="118"/>
      <c r="AD679" s="118"/>
      <c r="AE679" s="145">
        <f>Tabla1[[#This Row],[Cierre]]+Tabla1[[#This Row],[Vigencia Oferta (días)]]</f>
        <v>45014.628472222197</v>
      </c>
      <c r="AF679" s="90"/>
      <c r="AG679" s="64"/>
      <c r="AH679" s="168">
        <f>Tabla1[[#This Row],[Unidades2]]*Tabla1[[#This Row],[Precio Unitario]]</f>
        <v>0</v>
      </c>
      <c r="AI679" s="118" t="s">
        <v>270</v>
      </c>
      <c r="AJ679" s="149"/>
      <c r="AK679" s="125">
        <f>Tabla1[[#This Row],[Fecha Vigencia]]-AJ679</f>
        <v>45014.628472222197</v>
      </c>
      <c r="AL679" s="65"/>
      <c r="AM679" s="90"/>
      <c r="AN679" s="65"/>
      <c r="AO679" s="181"/>
      <c r="AP679" s="65"/>
      <c r="AQ679" s="66"/>
      <c r="AR679" s="65"/>
      <c r="AS679" s="65"/>
      <c r="AT679" s="65"/>
      <c r="AU679" s="65"/>
      <c r="AV679" s="65"/>
      <c r="AW679" s="65"/>
      <c r="AX679" s="65"/>
      <c r="AY679" s="118"/>
      <c r="AZ679" s="118"/>
      <c r="BA679" s="118"/>
      <c r="BB679" s="124"/>
      <c r="BC679" s="73"/>
    </row>
    <row r="680" spans="1:55" ht="11.25" x14ac:dyDescent="0.2">
      <c r="A680" s="117" t="s">
        <v>3438</v>
      </c>
      <c r="B680" s="118" t="s">
        <v>3439</v>
      </c>
      <c r="C680" s="118" t="s">
        <v>3440</v>
      </c>
      <c r="D680" s="119" t="s">
        <v>2377</v>
      </c>
      <c r="E680" s="38" t="s">
        <v>3441</v>
      </c>
      <c r="F680" s="39">
        <v>200</v>
      </c>
      <c r="G680" s="118" t="s">
        <v>21</v>
      </c>
      <c r="H680" s="118" t="s">
        <v>106</v>
      </c>
      <c r="I680" s="40">
        <v>45009.502684375002</v>
      </c>
      <c r="J680" s="24">
        <f>MONTH(Tabla1[[#This Row],[Publicación]])</f>
        <v>3</v>
      </c>
      <c r="K680" s="24">
        <f>YEAR(Tabla1[[#This Row],[Publicación]])</f>
        <v>2023</v>
      </c>
      <c r="L680" s="40">
        <v>45015.631944444402</v>
      </c>
      <c r="M680" s="41">
        <v>45012</v>
      </c>
      <c r="N680" s="120" t="s">
        <v>10</v>
      </c>
      <c r="O680" s="40" t="s">
        <v>34</v>
      </c>
      <c r="P680" s="38" t="s">
        <v>10</v>
      </c>
      <c r="Q680" s="147">
        <v>45012.625</v>
      </c>
      <c r="R680" s="147">
        <v>45013.625</v>
      </c>
      <c r="S680" s="148">
        <v>45048.708333333336</v>
      </c>
      <c r="T680" s="42"/>
      <c r="U680" s="64">
        <f>Tabla1[[#This Row],[PPTO]]/(1+'Lista Datos'!$B$1)</f>
        <v>0</v>
      </c>
      <c r="V680" s="65"/>
      <c r="W680" s="122" t="s">
        <v>10</v>
      </c>
      <c r="X680" s="123"/>
      <c r="Y680" s="122"/>
      <c r="Z680" s="122" t="s">
        <v>10</v>
      </c>
      <c r="AA680" s="118" t="s">
        <v>512</v>
      </c>
      <c r="AB680" s="118"/>
      <c r="AC680" s="118"/>
      <c r="AD680" s="118"/>
      <c r="AE680" s="145">
        <f>Tabla1[[#This Row],[Cierre]]+Tabla1[[#This Row],[Vigencia Oferta (días)]]</f>
        <v>45015.631944444402</v>
      </c>
      <c r="AF680" s="90"/>
      <c r="AG680" s="64"/>
      <c r="AH680" s="168">
        <f>Tabla1[[#This Row],[Unidades2]]*Tabla1[[#This Row],[Precio Unitario]]</f>
        <v>0</v>
      </c>
      <c r="AI680" s="118" t="s">
        <v>270</v>
      </c>
      <c r="AJ680" s="149"/>
      <c r="AK680" s="125">
        <f>Tabla1[[#This Row],[Fecha Vigencia]]-AJ680</f>
        <v>45015.631944444402</v>
      </c>
      <c r="AL680" s="65"/>
      <c r="AM680" s="90"/>
      <c r="AN680" s="65"/>
      <c r="AO680" s="181"/>
      <c r="AP680" s="65"/>
      <c r="AQ680" s="66"/>
      <c r="AR680" s="65"/>
      <c r="AS680" s="65"/>
      <c r="AT680" s="65"/>
      <c r="AU680" s="65"/>
      <c r="AV680" s="65"/>
      <c r="AW680" s="65"/>
      <c r="AX680" s="65"/>
      <c r="AY680" s="118"/>
      <c r="AZ680" s="118"/>
      <c r="BA680" s="118"/>
      <c r="BB680" s="124"/>
      <c r="BC680" s="73"/>
    </row>
    <row r="681" spans="1:55" ht="11.25" x14ac:dyDescent="0.2">
      <c r="A681" s="117" t="s">
        <v>3442</v>
      </c>
      <c r="B681" s="118" t="s">
        <v>3443</v>
      </c>
      <c r="C681" s="118" t="s">
        <v>3444</v>
      </c>
      <c r="D681" s="119" t="s">
        <v>3445</v>
      </c>
      <c r="E681" s="38" t="s">
        <v>3446</v>
      </c>
      <c r="F681" s="39">
        <v>1</v>
      </c>
      <c r="G681" s="118" t="s">
        <v>16</v>
      </c>
      <c r="H681" s="118" t="s">
        <v>520</v>
      </c>
      <c r="I681" s="40">
        <v>45009.489213344903</v>
      </c>
      <c r="J681" s="24">
        <f>MONTH(Tabla1[[#This Row],[Publicación]])</f>
        <v>3</v>
      </c>
      <c r="K681" s="24">
        <f>YEAR(Tabla1[[#This Row],[Publicación]])</f>
        <v>2023</v>
      </c>
      <c r="L681" s="40">
        <v>45020.625</v>
      </c>
      <c r="M681" s="41">
        <v>45012</v>
      </c>
      <c r="N681" s="120" t="s">
        <v>10</v>
      </c>
      <c r="O681" s="40" t="s">
        <v>27</v>
      </c>
      <c r="P681" s="38"/>
      <c r="Q681" s="121"/>
      <c r="R681" s="121"/>
      <c r="S681" s="19"/>
      <c r="T681" s="42"/>
      <c r="U681" s="64">
        <f>Tabla1[[#This Row],[PPTO]]/(1+'Lista Datos'!$B$1)</f>
        <v>0</v>
      </c>
      <c r="V681" s="65"/>
      <c r="W681" s="122"/>
      <c r="X681" s="123"/>
      <c r="Y681" s="122"/>
      <c r="Z681" s="122"/>
      <c r="AA681" s="118"/>
      <c r="AB681" s="118"/>
      <c r="AC681" s="118"/>
      <c r="AD681" s="118"/>
      <c r="AE681" s="145">
        <f>Tabla1[[#This Row],[Cierre]]+Tabla1[[#This Row],[Vigencia Oferta (días)]]</f>
        <v>45020.625</v>
      </c>
      <c r="AF681" s="90"/>
      <c r="AG681" s="64"/>
      <c r="AH681" s="168">
        <f>Tabla1[[#This Row],[Unidades2]]*Tabla1[[#This Row],[Precio Unitario]]</f>
        <v>0</v>
      </c>
      <c r="AI681" s="118" t="s">
        <v>270</v>
      </c>
      <c r="AJ681" s="149"/>
      <c r="AK681" s="125">
        <f>Tabla1[[#This Row],[Fecha Vigencia]]-AJ681</f>
        <v>45020.625</v>
      </c>
      <c r="AL681" s="65"/>
      <c r="AM681" s="90"/>
      <c r="AN681" s="65"/>
      <c r="AO681" s="181"/>
      <c r="AP681" s="65"/>
      <c r="AQ681" s="66"/>
      <c r="AR681" s="65"/>
      <c r="AS681" s="65"/>
      <c r="AT681" s="65"/>
      <c r="AU681" s="65"/>
      <c r="AV681" s="65"/>
      <c r="AW681" s="65"/>
      <c r="AX681" s="65"/>
      <c r="AY681" s="118"/>
      <c r="AZ681" s="118"/>
      <c r="BA681" s="118"/>
      <c r="BB681" s="124"/>
      <c r="BC681" s="73"/>
    </row>
    <row r="682" spans="1:55" ht="11.25" x14ac:dyDescent="0.2">
      <c r="A682" s="117" t="s">
        <v>3447</v>
      </c>
      <c r="B682" s="118" t="s">
        <v>3448</v>
      </c>
      <c r="C682" s="118" t="s">
        <v>3449</v>
      </c>
      <c r="D682" s="119" t="s">
        <v>3450</v>
      </c>
      <c r="E682" s="38" t="s">
        <v>3451</v>
      </c>
      <c r="F682" s="39">
        <v>30</v>
      </c>
      <c r="G682" s="118" t="s">
        <v>21</v>
      </c>
      <c r="H682" s="118" t="s">
        <v>106</v>
      </c>
      <c r="I682" s="40">
        <v>45009.458897453696</v>
      </c>
      <c r="J682" s="24">
        <f>MONTH(Tabla1[[#This Row],[Publicación]])</f>
        <v>3</v>
      </c>
      <c r="K682" s="24">
        <f>YEAR(Tabla1[[#This Row],[Publicación]])</f>
        <v>2023</v>
      </c>
      <c r="L682" s="40">
        <v>45019.631944444402</v>
      </c>
      <c r="M682" s="41">
        <v>45012</v>
      </c>
      <c r="N682" s="120" t="s">
        <v>10</v>
      </c>
      <c r="O682" s="40" t="s">
        <v>27</v>
      </c>
      <c r="P682" s="38"/>
      <c r="Q682" s="121"/>
      <c r="R682" s="121"/>
      <c r="S682" s="19"/>
      <c r="T682" s="42"/>
      <c r="U682" s="64">
        <f>Tabla1[[#This Row],[PPTO]]/(1+'Lista Datos'!$B$1)</f>
        <v>0</v>
      </c>
      <c r="V682" s="65"/>
      <c r="W682" s="122"/>
      <c r="X682" s="123"/>
      <c r="Y682" s="122"/>
      <c r="Z682" s="122"/>
      <c r="AA682" s="118"/>
      <c r="AB682" s="118"/>
      <c r="AC682" s="118"/>
      <c r="AD682" s="118"/>
      <c r="AE682" s="145">
        <f>Tabla1[[#This Row],[Cierre]]+Tabla1[[#This Row],[Vigencia Oferta (días)]]</f>
        <v>45019.631944444402</v>
      </c>
      <c r="AF682" s="90"/>
      <c r="AG682" s="64"/>
      <c r="AH682" s="168">
        <f>Tabla1[[#This Row],[Unidades2]]*Tabla1[[#This Row],[Precio Unitario]]</f>
        <v>0</v>
      </c>
      <c r="AI682" s="118" t="s">
        <v>270</v>
      </c>
      <c r="AJ682" s="149"/>
      <c r="AK682" s="125">
        <f>Tabla1[[#This Row],[Fecha Vigencia]]-AJ682</f>
        <v>45019.631944444402</v>
      </c>
      <c r="AL682" s="65"/>
      <c r="AM682" s="90"/>
      <c r="AN682" s="65"/>
      <c r="AO682" s="181"/>
      <c r="AP682" s="65"/>
      <c r="AQ682" s="66"/>
      <c r="AR682" s="65"/>
      <c r="AS682" s="65"/>
      <c r="AT682" s="65"/>
      <c r="AU682" s="65"/>
      <c r="AV682" s="65"/>
      <c r="AW682" s="65"/>
      <c r="AX682" s="65"/>
      <c r="AY682" s="118"/>
      <c r="AZ682" s="118"/>
      <c r="BA682" s="118"/>
      <c r="BB682" s="124"/>
      <c r="BC682" s="73"/>
    </row>
    <row r="683" spans="1:55" ht="11.25" x14ac:dyDescent="0.2">
      <c r="A683" s="117" t="s">
        <v>3452</v>
      </c>
      <c r="B683" s="118" t="s">
        <v>3453</v>
      </c>
      <c r="C683" s="118" t="s">
        <v>3454</v>
      </c>
      <c r="D683" s="119" t="s">
        <v>3455</v>
      </c>
      <c r="E683" s="38" t="s">
        <v>3456</v>
      </c>
      <c r="F683" s="39">
        <v>1</v>
      </c>
      <c r="G683" s="118" t="s">
        <v>21</v>
      </c>
      <c r="H683" s="118" t="s">
        <v>106</v>
      </c>
      <c r="I683" s="40">
        <v>45009.441618368102</v>
      </c>
      <c r="J683" s="24">
        <f>MONTH(Tabla1[[#This Row],[Publicación]])</f>
        <v>3</v>
      </c>
      <c r="K683" s="24">
        <f>YEAR(Tabla1[[#This Row],[Publicación]])</f>
        <v>2023</v>
      </c>
      <c r="L683" s="40">
        <v>45019.625</v>
      </c>
      <c r="M683" s="41">
        <v>45012</v>
      </c>
      <c r="N683" s="120" t="s">
        <v>10</v>
      </c>
      <c r="O683" s="40" t="s">
        <v>27</v>
      </c>
      <c r="P683" s="38"/>
      <c r="Q683" s="121"/>
      <c r="R683" s="121"/>
      <c r="S683" s="19"/>
      <c r="T683" s="42"/>
      <c r="U683" s="64">
        <f>Tabla1[[#This Row],[PPTO]]/(1+'Lista Datos'!$B$1)</f>
        <v>0</v>
      </c>
      <c r="V683" s="65"/>
      <c r="W683" s="122"/>
      <c r="X683" s="123"/>
      <c r="Y683" s="122"/>
      <c r="Z683" s="122"/>
      <c r="AA683" s="118"/>
      <c r="AB683" s="118"/>
      <c r="AC683" s="118"/>
      <c r="AD683" s="118"/>
      <c r="AE683" s="145">
        <f>Tabla1[[#This Row],[Cierre]]+Tabla1[[#This Row],[Vigencia Oferta (días)]]</f>
        <v>45019.625</v>
      </c>
      <c r="AF683" s="90"/>
      <c r="AG683" s="64"/>
      <c r="AH683" s="168">
        <f>Tabla1[[#This Row],[Unidades2]]*Tabla1[[#This Row],[Precio Unitario]]</f>
        <v>0</v>
      </c>
      <c r="AI683" s="118" t="s">
        <v>270</v>
      </c>
      <c r="AJ683" s="149"/>
      <c r="AK683" s="125">
        <f>Tabla1[[#This Row],[Fecha Vigencia]]-AJ683</f>
        <v>45019.625</v>
      </c>
      <c r="AL683" s="65"/>
      <c r="AM683" s="90"/>
      <c r="AN683" s="65"/>
      <c r="AO683" s="181"/>
      <c r="AP683" s="65"/>
      <c r="AQ683" s="66"/>
      <c r="AR683" s="65"/>
      <c r="AS683" s="65"/>
      <c r="AT683" s="65"/>
      <c r="AU683" s="65"/>
      <c r="AV683" s="65"/>
      <c r="AW683" s="65"/>
      <c r="AX683" s="65"/>
      <c r="AY683" s="118"/>
      <c r="AZ683" s="118"/>
      <c r="BA683" s="118"/>
      <c r="BB683" s="124"/>
      <c r="BC683" s="73"/>
    </row>
    <row r="684" spans="1:55" ht="11.25" x14ac:dyDescent="0.2">
      <c r="A684" s="117" t="s">
        <v>3457</v>
      </c>
      <c r="B684" s="118" t="s">
        <v>3458</v>
      </c>
      <c r="C684" s="118" t="s">
        <v>3458</v>
      </c>
      <c r="D684" s="119" t="s">
        <v>3278</v>
      </c>
      <c r="E684" s="38" t="s">
        <v>3459</v>
      </c>
      <c r="F684" s="39">
        <v>5</v>
      </c>
      <c r="G684" s="118" t="s">
        <v>21</v>
      </c>
      <c r="H684" s="118" t="s">
        <v>106</v>
      </c>
      <c r="I684" s="40">
        <v>45012.714855590297</v>
      </c>
      <c r="J684" s="24">
        <f>MONTH(Tabla1[[#This Row],[Publicación]])</f>
        <v>3</v>
      </c>
      <c r="K684" s="24">
        <f>YEAR(Tabla1[[#This Row],[Publicación]])</f>
        <v>2023</v>
      </c>
      <c r="L684" s="40">
        <v>45019.666666666701</v>
      </c>
      <c r="M684" s="41">
        <v>45013</v>
      </c>
      <c r="N684" s="120" t="s">
        <v>10</v>
      </c>
      <c r="O684" s="40" t="s">
        <v>27</v>
      </c>
      <c r="P684" s="38"/>
      <c r="Q684" s="121"/>
      <c r="R684" s="121"/>
      <c r="S684" s="19"/>
      <c r="T684" s="42"/>
      <c r="U684" s="64">
        <f>Tabla1[[#This Row],[PPTO]]/(1+'Lista Datos'!$B$1)</f>
        <v>0</v>
      </c>
      <c r="V684" s="65"/>
      <c r="W684" s="122"/>
      <c r="X684" s="123"/>
      <c r="Y684" s="122"/>
      <c r="Z684" s="122"/>
      <c r="AA684" s="118"/>
      <c r="AB684" s="118"/>
      <c r="AC684" s="118"/>
      <c r="AD684" s="118"/>
      <c r="AE684" s="145">
        <f>Tabla1[[#This Row],[Cierre]]+Tabla1[[#This Row],[Vigencia Oferta (días)]]</f>
        <v>45019.666666666701</v>
      </c>
      <c r="AF684" s="90"/>
      <c r="AG684" s="64"/>
      <c r="AH684" s="168">
        <f>Tabla1[[#This Row],[Unidades2]]*Tabla1[[#This Row],[Precio Unitario]]</f>
        <v>0</v>
      </c>
      <c r="AI684" s="118" t="s">
        <v>270</v>
      </c>
      <c r="AJ684" s="149"/>
      <c r="AK684" s="125">
        <f>Tabla1[[#This Row],[Fecha Vigencia]]-AJ684</f>
        <v>45019.666666666701</v>
      </c>
      <c r="AL684" s="65"/>
      <c r="AM684" s="90"/>
      <c r="AN684" s="65"/>
      <c r="AO684" s="181"/>
      <c r="AP684" s="65"/>
      <c r="AQ684" s="66"/>
      <c r="AR684" s="65"/>
      <c r="AS684" s="65"/>
      <c r="AT684" s="65"/>
      <c r="AU684" s="65"/>
      <c r="AV684" s="65"/>
      <c r="AW684" s="65"/>
      <c r="AX684" s="65"/>
      <c r="AY684" s="118"/>
      <c r="AZ684" s="118"/>
      <c r="BA684" s="118"/>
      <c r="BB684" s="124"/>
      <c r="BC684" s="73"/>
    </row>
    <row r="685" spans="1:55" ht="11.25" x14ac:dyDescent="0.2">
      <c r="A685" s="117" t="s">
        <v>3460</v>
      </c>
      <c r="B685" s="118" t="s">
        <v>3461</v>
      </c>
      <c r="C685" s="118" t="s">
        <v>3462</v>
      </c>
      <c r="D685" s="119" t="s">
        <v>2377</v>
      </c>
      <c r="E685" s="38" t="s">
        <v>3463</v>
      </c>
      <c r="F685" s="39">
        <v>28</v>
      </c>
      <c r="G685" s="118" t="s">
        <v>14</v>
      </c>
      <c r="H685" s="118" t="s">
        <v>145</v>
      </c>
      <c r="I685" s="40">
        <v>45012.638651192101</v>
      </c>
      <c r="J685" s="24">
        <f>MONTH(Tabla1[[#This Row],[Publicación]])</f>
        <v>3</v>
      </c>
      <c r="K685" s="24">
        <f>YEAR(Tabla1[[#This Row],[Publicación]])</f>
        <v>2023</v>
      </c>
      <c r="L685" s="40">
        <v>45022.625</v>
      </c>
      <c r="M685" s="41">
        <v>45013</v>
      </c>
      <c r="N685" s="120" t="s">
        <v>10</v>
      </c>
      <c r="O685" s="40" t="s">
        <v>25</v>
      </c>
      <c r="P685" s="38"/>
      <c r="Q685" s="147">
        <v>45019.708333333336</v>
      </c>
      <c r="R685" s="147">
        <v>45020.708333333336</v>
      </c>
      <c r="S685" s="148">
        <v>45054.708333333336</v>
      </c>
      <c r="T685" s="42"/>
      <c r="U685" s="64">
        <f>Tabla1[[#This Row],[PPTO]]/(1+'Lista Datos'!$B$1)</f>
        <v>0</v>
      </c>
      <c r="V685" s="65"/>
      <c r="W685" s="122" t="s">
        <v>10</v>
      </c>
      <c r="X685" s="123"/>
      <c r="Y685" s="122"/>
      <c r="Z685" s="122" t="s">
        <v>10</v>
      </c>
      <c r="AA685" s="118" t="s">
        <v>177</v>
      </c>
      <c r="AB685" s="118">
        <v>12</v>
      </c>
      <c r="AC685" s="118"/>
      <c r="AD685" s="118"/>
      <c r="AE685" s="145">
        <f>Tabla1[[#This Row],[Cierre]]+Tabla1[[#This Row],[Vigencia Oferta (días)]]</f>
        <v>45022.625</v>
      </c>
      <c r="AF685" s="90"/>
      <c r="AG685" s="64"/>
      <c r="AH685" s="168">
        <f>Tabla1[[#This Row],[Unidades2]]*Tabla1[[#This Row],[Precio Unitario]]</f>
        <v>0</v>
      </c>
      <c r="AI685" s="118" t="s">
        <v>270</v>
      </c>
      <c r="AJ685" s="149"/>
      <c r="AK685" s="125">
        <f>Tabla1[[#This Row],[Fecha Vigencia]]-AJ685</f>
        <v>45022.625</v>
      </c>
      <c r="AL685" s="65"/>
      <c r="AM685" s="90"/>
      <c r="AN685" s="65"/>
      <c r="AO685" s="181"/>
      <c r="AP685" s="65"/>
      <c r="AQ685" s="66"/>
      <c r="AR685" s="65"/>
      <c r="AS685" s="65"/>
      <c r="AT685" s="65"/>
      <c r="AU685" s="65"/>
      <c r="AV685" s="65"/>
      <c r="AW685" s="65"/>
      <c r="AX685" s="65"/>
      <c r="AY685" s="118"/>
      <c r="AZ685" s="118"/>
      <c r="BA685" s="118"/>
      <c r="BB685" s="124"/>
      <c r="BC685" s="73"/>
    </row>
    <row r="686" spans="1:55" ht="11.25" x14ac:dyDescent="0.2">
      <c r="A686" s="117" t="s">
        <v>3464</v>
      </c>
      <c r="B686" s="118" t="s">
        <v>3465</v>
      </c>
      <c r="C686" s="118" t="s">
        <v>3466</v>
      </c>
      <c r="D686" s="119" t="s">
        <v>245</v>
      </c>
      <c r="E686" s="38" t="s">
        <v>3467</v>
      </c>
      <c r="F686" s="39">
        <v>34</v>
      </c>
      <c r="G686" s="118" t="s">
        <v>21</v>
      </c>
      <c r="H686" s="118" t="s">
        <v>106</v>
      </c>
      <c r="I686" s="40">
        <v>45012.628310034699</v>
      </c>
      <c r="J686" s="24">
        <f>MONTH(Tabla1[[#This Row],[Publicación]])</f>
        <v>3</v>
      </c>
      <c r="K686" s="24">
        <f>YEAR(Tabla1[[#This Row],[Publicación]])</f>
        <v>2023</v>
      </c>
      <c r="L686" s="40">
        <v>45019.625</v>
      </c>
      <c r="M686" s="41">
        <v>45013</v>
      </c>
      <c r="N686" s="120" t="s">
        <v>10</v>
      </c>
      <c r="O686" s="40" t="s">
        <v>35</v>
      </c>
      <c r="P686" s="38"/>
      <c r="Q686" s="121"/>
      <c r="R686" s="121"/>
      <c r="S686" s="19"/>
      <c r="T686" s="42"/>
      <c r="U686" s="64">
        <f>Tabla1[[#This Row],[PPTO]]/(1+'Lista Datos'!$B$1)</f>
        <v>0</v>
      </c>
      <c r="V686" s="65"/>
      <c r="W686" s="122"/>
      <c r="X686" s="123"/>
      <c r="Y686" s="122"/>
      <c r="Z686" s="122"/>
      <c r="AA686" s="118"/>
      <c r="AB686" s="118"/>
      <c r="AC686" s="118"/>
      <c r="AD686" s="118"/>
      <c r="AE686" s="145">
        <f>Tabla1[[#This Row],[Cierre]]+Tabla1[[#This Row],[Vigencia Oferta (días)]]</f>
        <v>45019.625</v>
      </c>
      <c r="AF686" s="90"/>
      <c r="AG686" s="64"/>
      <c r="AH686" s="168">
        <f>Tabla1[[#This Row],[Unidades2]]*Tabla1[[#This Row],[Precio Unitario]]</f>
        <v>0</v>
      </c>
      <c r="AI686" s="118" t="s">
        <v>270</v>
      </c>
      <c r="AJ686" s="149"/>
      <c r="AK686" s="125">
        <f>Tabla1[[#This Row],[Fecha Vigencia]]-AJ686</f>
        <v>45019.625</v>
      </c>
      <c r="AL686" s="65"/>
      <c r="AM686" s="90"/>
      <c r="AN686" s="65"/>
      <c r="AO686" s="181"/>
      <c r="AP686" s="65"/>
      <c r="AQ686" s="66"/>
      <c r="AR686" s="65"/>
      <c r="AS686" s="65"/>
      <c r="AT686" s="65"/>
      <c r="AU686" s="65"/>
      <c r="AV686" s="65"/>
      <c r="AW686" s="65"/>
      <c r="AX686" s="65"/>
      <c r="AY686" s="118"/>
      <c r="AZ686" s="118"/>
      <c r="BA686" s="118"/>
      <c r="BB686" s="124"/>
      <c r="BC686" s="73"/>
    </row>
    <row r="687" spans="1:55" ht="11.25" x14ac:dyDescent="0.2">
      <c r="A687" s="117" t="s">
        <v>3468</v>
      </c>
      <c r="B687" s="118" t="s">
        <v>3469</v>
      </c>
      <c r="C687" s="118" t="s">
        <v>3470</v>
      </c>
      <c r="D687" s="119" t="s">
        <v>3471</v>
      </c>
      <c r="E687" s="38" t="s">
        <v>3472</v>
      </c>
      <c r="F687" s="39">
        <v>7</v>
      </c>
      <c r="G687" s="118" t="s">
        <v>16</v>
      </c>
      <c r="H687" s="118" t="s">
        <v>123</v>
      </c>
      <c r="I687" s="40">
        <v>45012.571680474503</v>
      </c>
      <c r="J687" s="24">
        <f>MONTH(Tabla1[[#This Row],[Publicación]])</f>
        <v>3</v>
      </c>
      <c r="K687" s="24">
        <f>YEAR(Tabla1[[#This Row],[Publicación]])</f>
        <v>2023</v>
      </c>
      <c r="L687" s="40">
        <v>45019.737500000003</v>
      </c>
      <c r="M687" s="41">
        <v>45013</v>
      </c>
      <c r="N687" s="120" t="s">
        <v>10</v>
      </c>
      <c r="O687" s="40" t="s">
        <v>33</v>
      </c>
      <c r="P687" s="38"/>
      <c r="Q687" s="121"/>
      <c r="R687" s="121"/>
      <c r="S687" s="19"/>
      <c r="T687" s="42"/>
      <c r="U687" s="64">
        <f>Tabla1[[#This Row],[PPTO]]/(1+'Lista Datos'!$B$1)</f>
        <v>0</v>
      </c>
      <c r="V687" s="65"/>
      <c r="W687" s="122"/>
      <c r="X687" s="123"/>
      <c r="Y687" s="122"/>
      <c r="Z687" s="122"/>
      <c r="AA687" s="118"/>
      <c r="AB687" s="118"/>
      <c r="AC687" s="118"/>
      <c r="AD687" s="118"/>
      <c r="AE687" s="145">
        <f>Tabla1[[#This Row],[Cierre]]+Tabla1[[#This Row],[Vigencia Oferta (días)]]</f>
        <v>45019.737500000003</v>
      </c>
      <c r="AF687" s="90"/>
      <c r="AG687" s="64"/>
      <c r="AH687" s="168">
        <f>Tabla1[[#This Row],[Unidades2]]*Tabla1[[#This Row],[Precio Unitario]]</f>
        <v>0</v>
      </c>
      <c r="AI687" s="118" t="s">
        <v>270</v>
      </c>
      <c r="AJ687" s="149"/>
      <c r="AK687" s="125">
        <f>Tabla1[[#This Row],[Fecha Vigencia]]-AJ687</f>
        <v>45019.737500000003</v>
      </c>
      <c r="AL687" s="65"/>
      <c r="AM687" s="90"/>
      <c r="AN687" s="65"/>
      <c r="AO687" s="181"/>
      <c r="AP687" s="65"/>
      <c r="AQ687" s="66"/>
      <c r="AR687" s="65"/>
      <c r="AS687" s="65"/>
      <c r="AT687" s="65"/>
      <c r="AU687" s="65"/>
      <c r="AV687" s="65"/>
      <c r="AW687" s="65"/>
      <c r="AX687" s="65"/>
      <c r="AY687" s="118"/>
      <c r="AZ687" s="118"/>
      <c r="BA687" s="118"/>
      <c r="BB687" s="124"/>
      <c r="BC687" s="73"/>
    </row>
    <row r="688" spans="1:55" ht="11.25" x14ac:dyDescent="0.2">
      <c r="A688" s="117" t="s">
        <v>3473</v>
      </c>
      <c r="B688" s="118" t="s">
        <v>3474</v>
      </c>
      <c r="C688" s="118" t="s">
        <v>3475</v>
      </c>
      <c r="D688" s="119" t="s">
        <v>1178</v>
      </c>
      <c r="E688" s="38" t="s">
        <v>3476</v>
      </c>
      <c r="F688" s="39">
        <v>1</v>
      </c>
      <c r="G688" s="118" t="s">
        <v>16</v>
      </c>
      <c r="H688" s="118" t="s">
        <v>520</v>
      </c>
      <c r="I688" s="40">
        <v>45012.416862349499</v>
      </c>
      <c r="J688" s="24">
        <f>MONTH(Tabla1[[#This Row],[Publicación]])</f>
        <v>3</v>
      </c>
      <c r="K688" s="24">
        <f>YEAR(Tabla1[[#This Row],[Publicación]])</f>
        <v>2023</v>
      </c>
      <c r="L688" s="40">
        <v>45026.666666666664</v>
      </c>
      <c r="M688" s="41">
        <v>45013</v>
      </c>
      <c r="N688" s="120" t="s">
        <v>11</v>
      </c>
      <c r="O688" s="40"/>
      <c r="P688" s="38"/>
      <c r="Q688" s="147">
        <v>45016.708333333336</v>
      </c>
      <c r="R688" s="147">
        <v>45020.708333333336</v>
      </c>
      <c r="S688" s="148">
        <v>45086.75</v>
      </c>
      <c r="T688" s="42">
        <v>154000000</v>
      </c>
      <c r="U688" s="64">
        <f>Tabla1[[#This Row],[PPTO]]/(1+'Lista Datos'!$B$1)</f>
        <v>129411764.70588236</v>
      </c>
      <c r="V688" s="65"/>
      <c r="W688" s="122" t="s">
        <v>11</v>
      </c>
      <c r="X688" s="123">
        <v>500000</v>
      </c>
      <c r="Y688" s="149">
        <v>45146</v>
      </c>
      <c r="Z688" s="122" t="s">
        <v>11</v>
      </c>
      <c r="AA688" s="118" t="s">
        <v>177</v>
      </c>
      <c r="AB688" s="118">
        <v>12</v>
      </c>
      <c r="AC688" s="118"/>
      <c r="AD688" s="118"/>
      <c r="AE688" s="145">
        <f>Tabla1[[#This Row],[Cierre]]+Tabla1[[#This Row],[Vigencia Oferta (días)]]</f>
        <v>45026.666666666664</v>
      </c>
      <c r="AF688" s="90"/>
      <c r="AG688" s="64"/>
      <c r="AH688" s="168">
        <f>Tabla1[[#This Row],[Unidades2]]*Tabla1[[#This Row],[Precio Unitario]]</f>
        <v>0</v>
      </c>
      <c r="AI688" s="118" t="s">
        <v>320</v>
      </c>
      <c r="AJ688" s="149"/>
      <c r="AK688" s="125">
        <f>Tabla1[[#This Row],[Fecha Vigencia]]-AJ688</f>
        <v>45026.666666666664</v>
      </c>
      <c r="AL688" s="65"/>
      <c r="AM688" s="90"/>
      <c r="AN688" s="65"/>
      <c r="AO688" s="181"/>
      <c r="AP688" s="65"/>
      <c r="AQ688" s="66"/>
      <c r="AR688" s="65"/>
      <c r="AS688" s="65"/>
      <c r="AT688" s="65"/>
      <c r="AU688" s="65"/>
      <c r="AV688" s="65"/>
      <c r="AW688" s="65"/>
      <c r="AX688" s="65"/>
      <c r="AY688" s="118"/>
      <c r="AZ688" s="118"/>
      <c r="BA688" s="118"/>
      <c r="BB688" s="124"/>
      <c r="BC688" s="73"/>
    </row>
    <row r="689" spans="1:55" ht="11.25" x14ac:dyDescent="0.2">
      <c r="A689" s="117" t="s">
        <v>3477</v>
      </c>
      <c r="B689" s="118" t="s">
        <v>2795</v>
      </c>
      <c r="C689" s="118" t="s">
        <v>3478</v>
      </c>
      <c r="D689" s="119" t="s">
        <v>3479</v>
      </c>
      <c r="E689" s="38" t="s">
        <v>3480</v>
      </c>
      <c r="F689" s="39">
        <v>1</v>
      </c>
      <c r="G689" s="118" t="s">
        <v>21</v>
      </c>
      <c r="H689" s="118" t="s">
        <v>106</v>
      </c>
      <c r="I689" s="40">
        <v>45012.631412037037</v>
      </c>
      <c r="J689" s="24">
        <f>MONTH(Tabla1[[#This Row],[Publicación]])</f>
        <v>3</v>
      </c>
      <c r="K689" s="24">
        <f>YEAR(Tabla1[[#This Row],[Publicación]])</f>
        <v>2023</v>
      </c>
      <c r="L689" s="40">
        <v>45022.625</v>
      </c>
      <c r="M689" s="41">
        <v>45013</v>
      </c>
      <c r="N689" s="120" t="s">
        <v>10</v>
      </c>
      <c r="O689" s="40" t="s">
        <v>27</v>
      </c>
      <c r="P689" s="38" t="s">
        <v>10</v>
      </c>
      <c r="Q689" s="147">
        <v>45015.772916666669</v>
      </c>
      <c r="R689" s="147">
        <v>45016.772916666669</v>
      </c>
      <c r="S689" s="148">
        <v>45082.625</v>
      </c>
      <c r="T689" s="42"/>
      <c r="U689" s="64">
        <f>Tabla1[[#This Row],[PPTO]]/(1+'Lista Datos'!$B$1)</f>
        <v>0</v>
      </c>
      <c r="V689" s="65"/>
      <c r="W689" s="122" t="s">
        <v>10</v>
      </c>
      <c r="X689" s="123"/>
      <c r="Y689" s="122"/>
      <c r="Z689" s="122" t="s">
        <v>10</v>
      </c>
      <c r="AA689" s="118" t="s">
        <v>512</v>
      </c>
      <c r="AB689" s="118"/>
      <c r="AC689" s="118"/>
      <c r="AD689" s="118"/>
      <c r="AE689" s="145">
        <f>Tabla1[[#This Row],[Cierre]]+Tabla1[[#This Row],[Vigencia Oferta (días)]]</f>
        <v>45022.625</v>
      </c>
      <c r="AF689" s="90"/>
      <c r="AG689" s="64"/>
      <c r="AH689" s="168">
        <f>Tabla1[[#This Row],[Unidades2]]*Tabla1[[#This Row],[Precio Unitario]]</f>
        <v>0</v>
      </c>
      <c r="AI689" s="118" t="s">
        <v>270</v>
      </c>
      <c r="AJ689" s="149"/>
      <c r="AK689" s="125">
        <f>Tabla1[[#This Row],[Fecha Vigencia]]-AJ689</f>
        <v>45022.625</v>
      </c>
      <c r="AL689" s="65"/>
      <c r="AM689" s="90"/>
      <c r="AN689" s="65"/>
      <c r="AO689" s="181"/>
      <c r="AP689" s="65"/>
      <c r="AQ689" s="66"/>
      <c r="AR689" s="65"/>
      <c r="AS689" s="65"/>
      <c r="AT689" s="65"/>
      <c r="AU689" s="65"/>
      <c r="AV689" s="65"/>
      <c r="AW689" s="65"/>
      <c r="AX689" s="65"/>
      <c r="AY689" s="118"/>
      <c r="AZ689" s="118"/>
      <c r="BA689" s="118"/>
      <c r="BB689" s="124"/>
      <c r="BC689" s="73"/>
    </row>
    <row r="690" spans="1:55" ht="11.25" x14ac:dyDescent="0.2">
      <c r="A690" s="117" t="s">
        <v>3481</v>
      </c>
      <c r="B690" s="118" t="s">
        <v>3482</v>
      </c>
      <c r="C690" s="118" t="s">
        <v>3483</v>
      </c>
      <c r="D690" s="119" t="s">
        <v>3484</v>
      </c>
      <c r="E690" s="38" t="s">
        <v>3485</v>
      </c>
      <c r="F690" s="39">
        <v>2</v>
      </c>
      <c r="G690" s="118" t="s">
        <v>21</v>
      </c>
      <c r="H690" s="118" t="s">
        <v>106</v>
      </c>
      <c r="I690" s="40">
        <v>45013.659762071802</v>
      </c>
      <c r="J690" s="24">
        <f>MONTH(Tabla1[[#This Row],[Publicación]])</f>
        <v>3</v>
      </c>
      <c r="K690" s="24">
        <f>YEAR(Tabla1[[#This Row],[Publicación]])</f>
        <v>2023</v>
      </c>
      <c r="L690" s="40">
        <v>45026.645833333299</v>
      </c>
      <c r="M690" s="41">
        <v>45014</v>
      </c>
      <c r="N690" s="120" t="s">
        <v>10</v>
      </c>
      <c r="O690" s="40" t="s">
        <v>27</v>
      </c>
      <c r="P690" s="38"/>
      <c r="Q690" s="121"/>
      <c r="R690" s="121"/>
      <c r="S690" s="19"/>
      <c r="T690" s="42"/>
      <c r="U690" s="64">
        <f>Tabla1[[#This Row],[PPTO]]/(1+'Lista Datos'!$B$1)</f>
        <v>0</v>
      </c>
      <c r="V690" s="65"/>
      <c r="W690" s="122"/>
      <c r="X690" s="123"/>
      <c r="Y690" s="122"/>
      <c r="Z690" s="122"/>
      <c r="AA690" s="118"/>
      <c r="AB690" s="118"/>
      <c r="AC690" s="118"/>
      <c r="AD690" s="118"/>
      <c r="AE690" s="145">
        <f>Tabla1[[#This Row],[Cierre]]+Tabla1[[#This Row],[Vigencia Oferta (días)]]</f>
        <v>45026.645833333299</v>
      </c>
      <c r="AF690" s="90"/>
      <c r="AG690" s="64"/>
      <c r="AH690" s="168">
        <f>Tabla1[[#This Row],[Unidades2]]*Tabla1[[#This Row],[Precio Unitario]]</f>
        <v>0</v>
      </c>
      <c r="AI690" s="118" t="s">
        <v>270</v>
      </c>
      <c r="AJ690" s="149"/>
      <c r="AK690" s="125">
        <f>Tabla1[[#This Row],[Fecha Vigencia]]-AJ690</f>
        <v>45026.645833333299</v>
      </c>
      <c r="AL690" s="65"/>
      <c r="AM690" s="90"/>
      <c r="AN690" s="65"/>
      <c r="AO690" s="181"/>
      <c r="AP690" s="65"/>
      <c r="AQ690" s="66"/>
      <c r="AR690" s="65"/>
      <c r="AS690" s="65"/>
      <c r="AT690" s="65"/>
      <c r="AU690" s="65"/>
      <c r="AV690" s="65"/>
      <c r="AW690" s="65"/>
      <c r="AX690" s="65"/>
      <c r="AY690" s="118"/>
      <c r="AZ690" s="118"/>
      <c r="BA690" s="118"/>
      <c r="BB690" s="124"/>
      <c r="BC690" s="73"/>
    </row>
    <row r="691" spans="1:55" ht="11.25" x14ac:dyDescent="0.2">
      <c r="A691" s="117" t="s">
        <v>3486</v>
      </c>
      <c r="B691" s="118" t="s">
        <v>3487</v>
      </c>
      <c r="C691" s="118" t="s">
        <v>3488</v>
      </c>
      <c r="D691" s="119" t="s">
        <v>994</v>
      </c>
      <c r="E691" s="38" t="s">
        <v>3489</v>
      </c>
      <c r="F691" s="39">
        <v>1</v>
      </c>
      <c r="G691" s="118" t="s">
        <v>18</v>
      </c>
      <c r="H691" s="118" t="s">
        <v>213</v>
      </c>
      <c r="I691" s="40">
        <v>45013.655649340297</v>
      </c>
      <c r="J691" s="24">
        <f>MONTH(Tabla1[[#This Row],[Publicación]])</f>
        <v>3</v>
      </c>
      <c r="K691" s="24">
        <f>YEAR(Tabla1[[#This Row],[Publicación]])</f>
        <v>2023</v>
      </c>
      <c r="L691" s="40">
        <v>45033.625</v>
      </c>
      <c r="M691" s="41">
        <v>45014</v>
      </c>
      <c r="N691" s="120" t="s">
        <v>10</v>
      </c>
      <c r="O691" s="40" t="s">
        <v>28</v>
      </c>
      <c r="P691" s="38"/>
      <c r="Q691" s="121"/>
      <c r="R691" s="121"/>
      <c r="S691" s="19"/>
      <c r="T691" s="42"/>
      <c r="U691" s="64">
        <f>Tabla1[[#This Row],[PPTO]]/(1+'Lista Datos'!$B$1)</f>
        <v>0</v>
      </c>
      <c r="V691" s="65"/>
      <c r="W691" s="122"/>
      <c r="X691" s="123"/>
      <c r="Y691" s="122"/>
      <c r="Z691" s="122"/>
      <c r="AA691" s="118"/>
      <c r="AB691" s="118"/>
      <c r="AC691" s="118"/>
      <c r="AD691" s="118"/>
      <c r="AE691" s="145">
        <f>Tabla1[[#This Row],[Cierre]]+Tabla1[[#This Row],[Vigencia Oferta (días)]]</f>
        <v>45033.625</v>
      </c>
      <c r="AF691" s="90"/>
      <c r="AG691" s="64"/>
      <c r="AH691" s="168">
        <f>Tabla1[[#This Row],[Unidades2]]*Tabla1[[#This Row],[Precio Unitario]]</f>
        <v>0</v>
      </c>
      <c r="AI691" s="118" t="s">
        <v>270</v>
      </c>
      <c r="AJ691" s="149"/>
      <c r="AK691" s="125">
        <f>Tabla1[[#This Row],[Fecha Vigencia]]-AJ691</f>
        <v>45033.625</v>
      </c>
      <c r="AL691" s="65"/>
      <c r="AM691" s="90"/>
      <c r="AN691" s="65"/>
      <c r="AO691" s="181"/>
      <c r="AP691" s="65"/>
      <c r="AQ691" s="66"/>
      <c r="AR691" s="65"/>
      <c r="AS691" s="65"/>
      <c r="AT691" s="65"/>
      <c r="AU691" s="65"/>
      <c r="AV691" s="65"/>
      <c r="AW691" s="65"/>
      <c r="AX691" s="65"/>
      <c r="AY691" s="118"/>
      <c r="AZ691" s="118"/>
      <c r="BA691" s="118"/>
      <c r="BB691" s="124"/>
      <c r="BC691" s="73"/>
    </row>
    <row r="692" spans="1:55" ht="11.25" x14ac:dyDescent="0.2">
      <c r="A692" s="117" t="s">
        <v>3490</v>
      </c>
      <c r="B692" s="118" t="s">
        <v>3491</v>
      </c>
      <c r="C692" s="118" t="s">
        <v>3492</v>
      </c>
      <c r="D692" s="119" t="s">
        <v>3343</v>
      </c>
      <c r="E692" s="38" t="s">
        <v>3493</v>
      </c>
      <c r="F692" s="39">
        <v>1</v>
      </c>
      <c r="G692" s="118" t="s">
        <v>18</v>
      </c>
      <c r="H692" s="118" t="s">
        <v>213</v>
      </c>
      <c r="I692" s="40">
        <v>45013.536851041703</v>
      </c>
      <c r="J692" s="24">
        <f>MONTH(Tabla1[[#This Row],[Publicación]])</f>
        <v>3</v>
      </c>
      <c r="K692" s="24">
        <f>YEAR(Tabla1[[#This Row],[Publicación]])</f>
        <v>2023</v>
      </c>
      <c r="L692" s="40">
        <v>45028.645833333299</v>
      </c>
      <c r="M692" s="41">
        <v>45014</v>
      </c>
      <c r="N692" s="120" t="s">
        <v>10</v>
      </c>
      <c r="O692" s="40" t="s">
        <v>28</v>
      </c>
      <c r="P692" s="38"/>
      <c r="Q692" s="121"/>
      <c r="R692" s="121"/>
      <c r="S692" s="19"/>
      <c r="T692" s="42"/>
      <c r="U692" s="64">
        <f>Tabla1[[#This Row],[PPTO]]/(1+'Lista Datos'!$B$1)</f>
        <v>0</v>
      </c>
      <c r="V692" s="65"/>
      <c r="W692" s="122"/>
      <c r="X692" s="123"/>
      <c r="Y692" s="122"/>
      <c r="Z692" s="122"/>
      <c r="AA692" s="118"/>
      <c r="AB692" s="118"/>
      <c r="AC692" s="118"/>
      <c r="AD692" s="118"/>
      <c r="AE692" s="145">
        <f>Tabla1[[#This Row],[Cierre]]+Tabla1[[#This Row],[Vigencia Oferta (días)]]</f>
        <v>45028.645833333299</v>
      </c>
      <c r="AF692" s="90"/>
      <c r="AG692" s="64"/>
      <c r="AH692" s="168">
        <f>Tabla1[[#This Row],[Unidades2]]*Tabla1[[#This Row],[Precio Unitario]]</f>
        <v>0</v>
      </c>
      <c r="AI692" s="118" t="s">
        <v>270</v>
      </c>
      <c r="AJ692" s="149"/>
      <c r="AK692" s="125">
        <f>Tabla1[[#This Row],[Fecha Vigencia]]-AJ692</f>
        <v>45028.645833333299</v>
      </c>
      <c r="AL692" s="65"/>
      <c r="AM692" s="90"/>
      <c r="AN692" s="65"/>
      <c r="AO692" s="181"/>
      <c r="AP692" s="65"/>
      <c r="AQ692" s="66"/>
      <c r="AR692" s="65"/>
      <c r="AS692" s="65"/>
      <c r="AT692" s="65"/>
      <c r="AU692" s="65"/>
      <c r="AV692" s="65"/>
      <c r="AW692" s="65"/>
      <c r="AX692" s="65"/>
      <c r="AY692" s="118"/>
      <c r="AZ692" s="118"/>
      <c r="BA692" s="118"/>
      <c r="BB692" s="124"/>
      <c r="BC692" s="73"/>
    </row>
    <row r="693" spans="1:55" ht="11.25" x14ac:dyDescent="0.2">
      <c r="A693" s="117" t="s">
        <v>3494</v>
      </c>
      <c r="B693" s="118" t="s">
        <v>3495</v>
      </c>
      <c r="C693" s="118" t="s">
        <v>3496</v>
      </c>
      <c r="D693" s="119" t="s">
        <v>2510</v>
      </c>
      <c r="E693" s="38" t="s">
        <v>3497</v>
      </c>
      <c r="F693" s="39">
        <v>1</v>
      </c>
      <c r="G693" s="118" t="s">
        <v>16</v>
      </c>
      <c r="H693" s="118" t="s">
        <v>2511</v>
      </c>
      <c r="I693" s="40">
        <v>45013.513155405097</v>
      </c>
      <c r="J693" s="24">
        <f>MONTH(Tabla1[[#This Row],[Publicación]])</f>
        <v>3</v>
      </c>
      <c r="K693" s="24">
        <f>YEAR(Tabla1[[#This Row],[Publicación]])</f>
        <v>2023</v>
      </c>
      <c r="L693" s="40">
        <v>45026.708333333299</v>
      </c>
      <c r="M693" s="41">
        <v>45014</v>
      </c>
      <c r="N693" s="120" t="s">
        <v>10</v>
      </c>
      <c r="O693" s="40" t="s">
        <v>25</v>
      </c>
      <c r="P693" s="38"/>
      <c r="Q693" s="147">
        <v>45019.5</v>
      </c>
      <c r="R693" s="147">
        <v>45020.75</v>
      </c>
      <c r="S693" s="148">
        <v>45089.708333333336</v>
      </c>
      <c r="T693" s="42"/>
      <c r="U693" s="64">
        <f>Tabla1[[#This Row],[PPTO]]/(1+'Lista Datos'!$B$1)</f>
        <v>0</v>
      </c>
      <c r="V693" s="65"/>
      <c r="W693" s="122" t="s">
        <v>11</v>
      </c>
      <c r="X693" s="123">
        <v>1000000</v>
      </c>
      <c r="Y693" s="149">
        <v>45135</v>
      </c>
      <c r="Z693" s="122" t="s">
        <v>10</v>
      </c>
      <c r="AA693" s="118" t="s">
        <v>177</v>
      </c>
      <c r="AB693" s="118">
        <v>24</v>
      </c>
      <c r="AC693" s="118"/>
      <c r="AD693" s="118"/>
      <c r="AE693" s="145">
        <f>Tabla1[[#This Row],[Cierre]]+Tabla1[[#This Row],[Vigencia Oferta (días)]]</f>
        <v>45026.708333333299</v>
      </c>
      <c r="AF693" s="90"/>
      <c r="AG693" s="64"/>
      <c r="AH693" s="168">
        <f>Tabla1[[#This Row],[Unidades2]]*Tabla1[[#This Row],[Precio Unitario]]</f>
        <v>0</v>
      </c>
      <c r="AI693" s="118" t="s">
        <v>270</v>
      </c>
      <c r="AJ693" s="149"/>
      <c r="AK693" s="125">
        <f>Tabla1[[#This Row],[Fecha Vigencia]]-AJ693</f>
        <v>45026.708333333299</v>
      </c>
      <c r="AL693" s="65"/>
      <c r="AM693" s="90"/>
      <c r="AN693" s="65"/>
      <c r="AO693" s="181"/>
      <c r="AP693" s="65"/>
      <c r="AQ693" s="66"/>
      <c r="AR693" s="65"/>
      <c r="AS693" s="65"/>
      <c r="AT693" s="65"/>
      <c r="AU693" s="65"/>
      <c r="AV693" s="65"/>
      <c r="AW693" s="65"/>
      <c r="AX693" s="65"/>
      <c r="AY693" s="118"/>
      <c r="AZ693" s="118"/>
      <c r="BA693" s="118"/>
      <c r="BB693" s="124"/>
      <c r="BC693" s="73"/>
    </row>
    <row r="694" spans="1:55" ht="11.25" x14ac:dyDescent="0.2">
      <c r="A694" s="117" t="s">
        <v>3498</v>
      </c>
      <c r="B694" s="118" t="s">
        <v>3499</v>
      </c>
      <c r="C694" s="118" t="s">
        <v>3500</v>
      </c>
      <c r="D694" s="119" t="s">
        <v>136</v>
      </c>
      <c r="E694" s="38" t="s">
        <v>3501</v>
      </c>
      <c r="F694" s="39">
        <v>1</v>
      </c>
      <c r="G694" s="118" t="s">
        <v>20</v>
      </c>
      <c r="H694" s="118" t="s">
        <v>176</v>
      </c>
      <c r="I694" s="40">
        <v>45013.663982291699</v>
      </c>
      <c r="J694" s="24">
        <f>MONTH(Tabla1[[#This Row],[Publicación]])</f>
        <v>3</v>
      </c>
      <c r="K694" s="24">
        <f>YEAR(Tabla1[[#This Row],[Publicación]])</f>
        <v>2023</v>
      </c>
      <c r="L694" s="40">
        <v>45026.666666666701</v>
      </c>
      <c r="M694" s="41">
        <v>45014</v>
      </c>
      <c r="N694" s="120" t="s">
        <v>10</v>
      </c>
      <c r="O694" s="40" t="s">
        <v>28</v>
      </c>
      <c r="P694" s="38" t="s">
        <v>11</v>
      </c>
      <c r="Q694" s="147">
        <v>45020.625</v>
      </c>
      <c r="R694" s="147">
        <v>45021.666666666664</v>
      </c>
      <c r="S694" s="148">
        <v>45041.645833333336</v>
      </c>
      <c r="T694" s="42">
        <v>26011400</v>
      </c>
      <c r="U694" s="64">
        <f>Tabla1[[#This Row],[PPTO]]/(1+'Lista Datos'!$B$1)</f>
        <v>21858319.327731095</v>
      </c>
      <c r="V694" s="65"/>
      <c r="W694" s="122" t="s">
        <v>10</v>
      </c>
      <c r="X694" s="123"/>
      <c r="Y694" s="122"/>
      <c r="Z694" s="122" t="s">
        <v>10</v>
      </c>
      <c r="AA694" s="118" t="s">
        <v>177</v>
      </c>
      <c r="AB694" s="118">
        <v>18</v>
      </c>
      <c r="AC694" s="118"/>
      <c r="AD694" s="118"/>
      <c r="AE694" s="145">
        <f>Tabla1[[#This Row],[Cierre]]+Tabla1[[#This Row],[Vigencia Oferta (días)]]</f>
        <v>45026.666666666701</v>
      </c>
      <c r="AF694" s="90"/>
      <c r="AG694" s="64"/>
      <c r="AH694" s="168">
        <f>Tabla1[[#This Row],[Unidades2]]*Tabla1[[#This Row],[Precio Unitario]]</f>
        <v>0</v>
      </c>
      <c r="AI694" s="118" t="s">
        <v>385</v>
      </c>
      <c r="AJ694" s="149">
        <v>45044</v>
      </c>
      <c r="AK694" s="125">
        <f>Tabla1[[#This Row],[Fecha Vigencia]]-AJ694</f>
        <v>-17.333333333299379</v>
      </c>
      <c r="AL694" s="65" t="s">
        <v>46</v>
      </c>
      <c r="AM694" s="90">
        <v>24766000</v>
      </c>
      <c r="AN694" s="181">
        <v>45044</v>
      </c>
      <c r="AO694" s="181">
        <v>45593</v>
      </c>
      <c r="AP694" s="65" t="s">
        <v>177</v>
      </c>
      <c r="AQ694" s="66"/>
      <c r="AR694" s="65"/>
      <c r="AS694" s="65"/>
      <c r="AT694" s="65"/>
      <c r="AU694" s="65"/>
      <c r="AV694" s="65"/>
      <c r="AW694" s="65"/>
      <c r="AX694" s="65"/>
      <c r="AY694" s="118"/>
      <c r="AZ694" s="118"/>
      <c r="BA694" s="118"/>
      <c r="BB694" s="124"/>
      <c r="BC694" s="73"/>
    </row>
    <row r="695" spans="1:55" ht="11.25" x14ac:dyDescent="0.2">
      <c r="A695" s="117" t="s">
        <v>3502</v>
      </c>
      <c r="B695" s="118" t="s">
        <v>3503</v>
      </c>
      <c r="C695" s="118" t="s">
        <v>3504</v>
      </c>
      <c r="D695" s="119" t="s">
        <v>829</v>
      </c>
      <c r="E695" s="38" t="s">
        <v>3505</v>
      </c>
      <c r="F695" s="39">
        <v>50</v>
      </c>
      <c r="G695" s="118" t="s">
        <v>14</v>
      </c>
      <c r="H695" s="118" t="s">
        <v>533</v>
      </c>
      <c r="I695" s="40">
        <v>45015.688757488402</v>
      </c>
      <c r="J695" s="24">
        <f>MONTH(Tabla1[[#This Row],[Publicación]])</f>
        <v>3</v>
      </c>
      <c r="K695" s="24">
        <f>YEAR(Tabla1[[#This Row],[Publicación]])</f>
        <v>2023</v>
      </c>
      <c r="L695" s="40">
        <v>45022.668055555601</v>
      </c>
      <c r="M695" s="41">
        <v>45016</v>
      </c>
      <c r="N695" s="120" t="s">
        <v>10</v>
      </c>
      <c r="O695" s="40" t="s">
        <v>25</v>
      </c>
      <c r="P695" s="38"/>
      <c r="Q695" s="147">
        <v>45016.668055555558</v>
      </c>
      <c r="R695" s="147">
        <v>45019.668055555558</v>
      </c>
      <c r="S695" s="148">
        <v>45044.668055555558</v>
      </c>
      <c r="T695" s="42"/>
      <c r="U695" s="64">
        <f>Tabla1[[#This Row],[PPTO]]/(1+'Lista Datos'!$B$1)</f>
        <v>0</v>
      </c>
      <c r="V695" s="65"/>
      <c r="W695" s="122" t="s">
        <v>10</v>
      </c>
      <c r="X695" s="123"/>
      <c r="Y695" s="122"/>
      <c r="Z695" s="122" t="s">
        <v>10</v>
      </c>
      <c r="AA695" s="118" t="s">
        <v>512</v>
      </c>
      <c r="AB695" s="118"/>
      <c r="AC695" s="118"/>
      <c r="AD695" s="118"/>
      <c r="AE695" s="145">
        <f>Tabla1[[#This Row],[Cierre]]+Tabla1[[#This Row],[Vigencia Oferta (días)]]</f>
        <v>45022.668055555601</v>
      </c>
      <c r="AF695" s="90"/>
      <c r="AG695" s="64"/>
      <c r="AH695" s="168">
        <f>Tabla1[[#This Row],[Unidades2]]*Tabla1[[#This Row],[Precio Unitario]]</f>
        <v>0</v>
      </c>
      <c r="AI695" s="118" t="s">
        <v>270</v>
      </c>
      <c r="AJ695" s="149"/>
      <c r="AK695" s="125">
        <f>Tabla1[[#This Row],[Fecha Vigencia]]-AJ695</f>
        <v>45022.668055555601</v>
      </c>
      <c r="AL695" s="65"/>
      <c r="AM695" s="90"/>
      <c r="AN695" s="65"/>
      <c r="AO695" s="181"/>
      <c r="AP695" s="65"/>
      <c r="AQ695" s="66"/>
      <c r="AR695" s="65"/>
      <c r="AS695" s="65"/>
      <c r="AT695" s="65"/>
      <c r="AU695" s="65"/>
      <c r="AV695" s="65"/>
      <c r="AW695" s="65"/>
      <c r="AX695" s="65"/>
      <c r="AY695" s="118"/>
      <c r="AZ695" s="118"/>
      <c r="BA695" s="118"/>
      <c r="BB695" s="124"/>
      <c r="BC695" s="73"/>
    </row>
    <row r="696" spans="1:55" ht="11.25" x14ac:dyDescent="0.2">
      <c r="A696" s="117" t="s">
        <v>3506</v>
      </c>
      <c r="B696" s="118" t="s">
        <v>3507</v>
      </c>
      <c r="C696" s="118" t="s">
        <v>3508</v>
      </c>
      <c r="D696" s="119" t="s">
        <v>829</v>
      </c>
      <c r="E696" s="38" t="s">
        <v>3509</v>
      </c>
      <c r="F696" s="39">
        <v>8</v>
      </c>
      <c r="G696" s="118" t="s">
        <v>16</v>
      </c>
      <c r="H696" s="118" t="s">
        <v>533</v>
      </c>
      <c r="I696" s="40">
        <v>45015.687853668998</v>
      </c>
      <c r="J696" s="24">
        <f>MONTH(Tabla1[[#This Row],[Publicación]])</f>
        <v>3</v>
      </c>
      <c r="K696" s="24">
        <f>YEAR(Tabla1[[#This Row],[Publicación]])</f>
        <v>2023</v>
      </c>
      <c r="L696" s="40">
        <v>45022.724999999999</v>
      </c>
      <c r="M696" s="41">
        <v>45016</v>
      </c>
      <c r="N696" s="120" t="s">
        <v>10</v>
      </c>
      <c r="O696" s="40" t="s">
        <v>25</v>
      </c>
      <c r="P696" s="38"/>
      <c r="Q696" s="147">
        <v>45016.724999999999</v>
      </c>
      <c r="R696" s="147">
        <v>45019.724999999999</v>
      </c>
      <c r="S696" s="148">
        <v>45044.724999999999</v>
      </c>
      <c r="T696" s="42"/>
      <c r="U696" s="64">
        <f>Tabla1[[#This Row],[PPTO]]/(1+'Lista Datos'!$B$1)</f>
        <v>0</v>
      </c>
      <c r="V696" s="65"/>
      <c r="W696" s="122" t="s">
        <v>10</v>
      </c>
      <c r="X696" s="123"/>
      <c r="Y696" s="122"/>
      <c r="Z696" s="122" t="s">
        <v>10</v>
      </c>
      <c r="AA696" s="118" t="s">
        <v>512</v>
      </c>
      <c r="AB696" s="118"/>
      <c r="AC696" s="118"/>
      <c r="AD696" s="118"/>
      <c r="AE696" s="145">
        <f>Tabla1[[#This Row],[Cierre]]+Tabla1[[#This Row],[Vigencia Oferta (días)]]</f>
        <v>45022.724999999999</v>
      </c>
      <c r="AF696" s="90"/>
      <c r="AG696" s="64"/>
      <c r="AH696" s="168">
        <f>Tabla1[[#This Row],[Unidades2]]*Tabla1[[#This Row],[Precio Unitario]]</f>
        <v>0</v>
      </c>
      <c r="AI696" s="118" t="s">
        <v>270</v>
      </c>
      <c r="AJ696" s="149"/>
      <c r="AK696" s="125">
        <f>Tabla1[[#This Row],[Fecha Vigencia]]-AJ696</f>
        <v>45022.724999999999</v>
      </c>
      <c r="AL696" s="65"/>
      <c r="AM696" s="90"/>
      <c r="AN696" s="65"/>
      <c r="AO696" s="181"/>
      <c r="AP696" s="65"/>
      <c r="AQ696" s="66"/>
      <c r="AR696" s="65"/>
      <c r="AS696" s="65"/>
      <c r="AT696" s="65"/>
      <c r="AU696" s="65"/>
      <c r="AV696" s="65"/>
      <c r="AW696" s="65"/>
      <c r="AX696" s="65"/>
      <c r="AY696" s="118"/>
      <c r="AZ696" s="118"/>
      <c r="BA696" s="118"/>
      <c r="BB696" s="124"/>
      <c r="BC696" s="73"/>
    </row>
    <row r="697" spans="1:55" ht="11.25" x14ac:dyDescent="0.2">
      <c r="A697" s="117" t="s">
        <v>3510</v>
      </c>
      <c r="B697" s="118" t="s">
        <v>3511</v>
      </c>
      <c r="C697" s="118" t="s">
        <v>3512</v>
      </c>
      <c r="D697" s="119" t="s">
        <v>3128</v>
      </c>
      <c r="E697" s="38" t="s">
        <v>3513</v>
      </c>
      <c r="F697" s="39">
        <v>4</v>
      </c>
      <c r="G697" s="118" t="s">
        <v>21</v>
      </c>
      <c r="H697" s="118" t="s">
        <v>106</v>
      </c>
      <c r="I697" s="40">
        <v>45015.626499108803</v>
      </c>
      <c r="J697" s="24">
        <f>MONTH(Tabla1[[#This Row],[Publicación]])</f>
        <v>3</v>
      </c>
      <c r="K697" s="24">
        <f>YEAR(Tabla1[[#This Row],[Publicación]])</f>
        <v>2023</v>
      </c>
      <c r="L697" s="40">
        <v>45026.645833333299</v>
      </c>
      <c r="M697" s="41">
        <v>45016</v>
      </c>
      <c r="N697" s="120" t="s">
        <v>10</v>
      </c>
      <c r="O697" s="40" t="s">
        <v>27</v>
      </c>
      <c r="P697" s="38"/>
      <c r="Q697" s="147">
        <v>45016.729166666664</v>
      </c>
      <c r="R697" s="147">
        <v>45021.729166666664</v>
      </c>
      <c r="S697" s="148">
        <v>45056.729166666664</v>
      </c>
      <c r="T697" s="42"/>
      <c r="U697" s="64">
        <f>Tabla1[[#This Row],[PPTO]]/(1+'Lista Datos'!$B$1)</f>
        <v>0</v>
      </c>
      <c r="V697" s="65"/>
      <c r="W697" s="122" t="s">
        <v>10</v>
      </c>
      <c r="X697" s="123"/>
      <c r="Y697" s="122"/>
      <c r="Z697" s="122" t="s">
        <v>10</v>
      </c>
      <c r="AA697" s="118" t="s">
        <v>512</v>
      </c>
      <c r="AB697" s="118"/>
      <c r="AC697" s="118"/>
      <c r="AD697" s="118"/>
      <c r="AE697" s="145">
        <f>Tabla1[[#This Row],[Cierre]]+Tabla1[[#This Row],[Vigencia Oferta (días)]]</f>
        <v>45026.645833333299</v>
      </c>
      <c r="AF697" s="90"/>
      <c r="AG697" s="64"/>
      <c r="AH697" s="168">
        <f>Tabla1[[#This Row],[Unidades2]]*Tabla1[[#This Row],[Precio Unitario]]</f>
        <v>0</v>
      </c>
      <c r="AI697" s="118" t="s">
        <v>270</v>
      </c>
      <c r="AJ697" s="149"/>
      <c r="AK697" s="125">
        <f>Tabla1[[#This Row],[Fecha Vigencia]]-AJ697</f>
        <v>45026.645833333299</v>
      </c>
      <c r="AL697" s="65"/>
      <c r="AM697" s="90"/>
      <c r="AN697" s="65"/>
      <c r="AO697" s="181"/>
      <c r="AP697" s="65"/>
      <c r="AQ697" s="66"/>
      <c r="AR697" s="65"/>
      <c r="AS697" s="65"/>
      <c r="AT697" s="65"/>
      <c r="AU697" s="65"/>
      <c r="AV697" s="65"/>
      <c r="AW697" s="65"/>
      <c r="AX697" s="65"/>
      <c r="AY697" s="118"/>
      <c r="AZ697" s="118"/>
      <c r="BA697" s="118"/>
      <c r="BB697" s="124"/>
      <c r="BC697" s="73"/>
    </row>
    <row r="698" spans="1:55" ht="11.25" x14ac:dyDescent="0.2">
      <c r="A698" s="117" t="s">
        <v>3514</v>
      </c>
      <c r="B698" s="118" t="s">
        <v>1706</v>
      </c>
      <c r="C698" s="118" t="s">
        <v>3515</v>
      </c>
      <c r="D698" s="119" t="s">
        <v>955</v>
      </c>
      <c r="E698" s="38" t="s">
        <v>3516</v>
      </c>
      <c r="F698" s="39">
        <v>202000</v>
      </c>
      <c r="G698" s="118" t="s">
        <v>16</v>
      </c>
      <c r="H698" s="118" t="s">
        <v>345</v>
      </c>
      <c r="I698" s="40">
        <v>45015.504866979201</v>
      </c>
      <c r="J698" s="24">
        <f>MONTH(Tabla1[[#This Row],[Publicación]])</f>
        <v>3</v>
      </c>
      <c r="K698" s="24">
        <f>YEAR(Tabla1[[#This Row],[Publicación]])</f>
        <v>2023</v>
      </c>
      <c r="L698" s="40">
        <v>45026.833333333336</v>
      </c>
      <c r="M698" s="41">
        <v>45016</v>
      </c>
      <c r="N698" s="120" t="s">
        <v>11</v>
      </c>
      <c r="O698" s="40"/>
      <c r="P698" s="38"/>
      <c r="Q698" s="147">
        <v>45020.722916666666</v>
      </c>
      <c r="R698" s="147">
        <v>45021.722916666666</v>
      </c>
      <c r="S698" s="148">
        <v>45089.634027777778</v>
      </c>
      <c r="T698" s="42"/>
      <c r="U698" s="64">
        <f>Tabla1[[#This Row],[PPTO]]/(1+'Lista Datos'!$B$1)</f>
        <v>0</v>
      </c>
      <c r="V698" s="65"/>
      <c r="W698" s="122" t="s">
        <v>10</v>
      </c>
      <c r="X698" s="123"/>
      <c r="Y698" s="122"/>
      <c r="Z698" s="122" t="s">
        <v>2783</v>
      </c>
      <c r="AA698" s="118" t="s">
        <v>177</v>
      </c>
      <c r="AB698" s="118">
        <v>36</v>
      </c>
      <c r="AC698" s="118"/>
      <c r="AD698" s="118"/>
      <c r="AE698" s="145">
        <f>Tabla1[[#This Row],[Cierre]]+Tabla1[[#This Row],[Vigencia Oferta (días)]]</f>
        <v>45026.833333333336</v>
      </c>
      <c r="AF698" s="90"/>
      <c r="AG698" s="64"/>
      <c r="AH698" s="168">
        <f>Tabla1[[#This Row],[Unidades2]]*Tabla1[[#This Row],[Precio Unitario]]</f>
        <v>0</v>
      </c>
      <c r="AI698" s="118" t="s">
        <v>44</v>
      </c>
      <c r="AJ698" s="149">
        <v>45043</v>
      </c>
      <c r="AK698" s="125">
        <f>Tabla1[[#This Row],[Fecha Vigencia]]-AJ698</f>
        <v>-16.166666666664241</v>
      </c>
      <c r="AL698" s="65" t="s">
        <v>472</v>
      </c>
      <c r="AM698" s="90" t="s">
        <v>3514</v>
      </c>
      <c r="AN698" s="181">
        <v>45043</v>
      </c>
      <c r="AO698" s="181">
        <v>46139</v>
      </c>
      <c r="AP698" s="65" t="s">
        <v>177</v>
      </c>
      <c r="AQ698" s="66"/>
      <c r="AR698" s="65"/>
      <c r="AS698" s="65"/>
      <c r="AT698" s="65"/>
      <c r="AU698" s="65"/>
      <c r="AV698" s="65"/>
      <c r="AW698" s="65"/>
      <c r="AX698" s="65"/>
      <c r="AY698" s="118"/>
      <c r="AZ698" s="118"/>
      <c r="BA698" s="118"/>
      <c r="BB698" s="124"/>
      <c r="BC698" s="73"/>
    </row>
    <row r="699" spans="1:55" ht="11.25" x14ac:dyDescent="0.2">
      <c r="A699" s="117" t="s">
        <v>3517</v>
      </c>
      <c r="B699" s="118" t="s">
        <v>3518</v>
      </c>
      <c r="C699" s="118" t="s">
        <v>3519</v>
      </c>
      <c r="D699" s="119" t="s">
        <v>3520</v>
      </c>
      <c r="E699" s="38" t="s">
        <v>3521</v>
      </c>
      <c r="F699" s="39">
        <v>8</v>
      </c>
      <c r="G699" s="118" t="s">
        <v>21</v>
      </c>
      <c r="H699" s="118" t="s">
        <v>106</v>
      </c>
      <c r="I699" s="40">
        <v>45015.4019028935</v>
      </c>
      <c r="J699" s="24">
        <f>MONTH(Tabla1[[#This Row],[Publicación]])</f>
        <v>3</v>
      </c>
      <c r="K699" s="24">
        <f>YEAR(Tabla1[[#This Row],[Publicación]])</f>
        <v>2023</v>
      </c>
      <c r="L699" s="40">
        <v>45021.474305555603</v>
      </c>
      <c r="M699" s="41">
        <v>45016</v>
      </c>
      <c r="N699" s="120" t="s">
        <v>10</v>
      </c>
      <c r="O699" s="40" t="s">
        <v>27</v>
      </c>
      <c r="P699" s="38"/>
      <c r="Q699" s="121"/>
      <c r="R699" s="121"/>
      <c r="S699" s="19"/>
      <c r="T699" s="42"/>
      <c r="U699" s="64">
        <f>Tabla1[[#This Row],[PPTO]]/(1+'Lista Datos'!$B$1)</f>
        <v>0</v>
      </c>
      <c r="V699" s="65"/>
      <c r="W699" s="122"/>
      <c r="X699" s="123"/>
      <c r="Y699" s="122"/>
      <c r="Z699" s="122"/>
      <c r="AA699" s="118"/>
      <c r="AB699" s="118"/>
      <c r="AC699" s="118"/>
      <c r="AD699" s="118"/>
      <c r="AE699" s="145">
        <f>Tabla1[[#This Row],[Cierre]]+Tabla1[[#This Row],[Vigencia Oferta (días)]]</f>
        <v>45021.474305555603</v>
      </c>
      <c r="AF699" s="90"/>
      <c r="AG699" s="64"/>
      <c r="AH699" s="168">
        <f>Tabla1[[#This Row],[Unidades2]]*Tabla1[[#This Row],[Precio Unitario]]</f>
        <v>0</v>
      </c>
      <c r="AI699" s="118" t="s">
        <v>270</v>
      </c>
      <c r="AJ699" s="149"/>
      <c r="AK699" s="125">
        <f>Tabla1[[#This Row],[Fecha Vigencia]]-AJ699</f>
        <v>45021.474305555603</v>
      </c>
      <c r="AL699" s="65"/>
      <c r="AM699" s="90"/>
      <c r="AN699" s="65"/>
      <c r="AO699" s="181"/>
      <c r="AP699" s="65"/>
      <c r="AQ699" s="66"/>
      <c r="AR699" s="65"/>
      <c r="AS699" s="65"/>
      <c r="AT699" s="65"/>
      <c r="AU699" s="65"/>
      <c r="AV699" s="65"/>
      <c r="AW699" s="65"/>
      <c r="AX699" s="65"/>
      <c r="AY699" s="118"/>
      <c r="AZ699" s="118"/>
      <c r="BA699" s="118"/>
      <c r="BB699" s="124"/>
      <c r="BC699" s="73"/>
    </row>
    <row r="700" spans="1:55" ht="11.25" x14ac:dyDescent="0.2">
      <c r="A700" s="117" t="s">
        <v>3522</v>
      </c>
      <c r="B700" s="118" t="s">
        <v>3523</v>
      </c>
      <c r="C700" s="118" t="s">
        <v>3524</v>
      </c>
      <c r="D700" s="119" t="s">
        <v>3525</v>
      </c>
      <c r="E700" s="38" t="s">
        <v>3526</v>
      </c>
      <c r="F700" s="39">
        <v>72</v>
      </c>
      <c r="G700" s="118" t="s">
        <v>16</v>
      </c>
      <c r="H700" s="118" t="s">
        <v>533</v>
      </c>
      <c r="I700" s="40">
        <v>45014.521527777797</v>
      </c>
      <c r="J700" s="24">
        <f>MONTH(Tabla1[[#This Row],[Publicación]])</f>
        <v>3</v>
      </c>
      <c r="K700" s="24">
        <f>YEAR(Tabla1[[#This Row],[Publicación]])</f>
        <v>2023</v>
      </c>
      <c r="L700" s="40">
        <v>45020.708333333299</v>
      </c>
      <c r="M700" s="41">
        <v>45016</v>
      </c>
      <c r="N700" s="120" t="s">
        <v>10</v>
      </c>
      <c r="O700" s="40" t="s">
        <v>25</v>
      </c>
      <c r="P700" s="38"/>
      <c r="Q700" s="121"/>
      <c r="R700" s="121"/>
      <c r="S700" s="19"/>
      <c r="T700" s="42"/>
      <c r="U700" s="64">
        <f>Tabla1[[#This Row],[PPTO]]/(1+'Lista Datos'!$B$1)</f>
        <v>0</v>
      </c>
      <c r="V700" s="65"/>
      <c r="W700" s="122"/>
      <c r="X700" s="123"/>
      <c r="Y700" s="122"/>
      <c r="Z700" s="122"/>
      <c r="AA700" s="118"/>
      <c r="AB700" s="118"/>
      <c r="AC700" s="118"/>
      <c r="AD700" s="118"/>
      <c r="AE700" s="145">
        <f>Tabla1[[#This Row],[Cierre]]+Tabla1[[#This Row],[Vigencia Oferta (días)]]</f>
        <v>45020.708333333299</v>
      </c>
      <c r="AF700" s="90"/>
      <c r="AG700" s="64"/>
      <c r="AH700" s="168">
        <f>Tabla1[[#This Row],[Unidades2]]*Tabla1[[#This Row],[Precio Unitario]]</f>
        <v>0</v>
      </c>
      <c r="AI700" s="118" t="s">
        <v>270</v>
      </c>
      <c r="AJ700" s="149"/>
      <c r="AK700" s="125">
        <f>Tabla1[[#This Row],[Fecha Vigencia]]-AJ700</f>
        <v>45020.708333333299</v>
      </c>
      <c r="AL700" s="65"/>
      <c r="AM700" s="90"/>
      <c r="AN700" s="65"/>
      <c r="AO700" s="181"/>
      <c r="AP700" s="65"/>
      <c r="AQ700" s="66"/>
      <c r="AR700" s="65"/>
      <c r="AS700" s="65"/>
      <c r="AT700" s="65"/>
      <c r="AU700" s="65"/>
      <c r="AV700" s="65"/>
      <c r="AW700" s="65"/>
      <c r="AX700" s="65"/>
      <c r="AY700" s="118"/>
      <c r="AZ700" s="118"/>
      <c r="BA700" s="118"/>
      <c r="BB700" s="124"/>
      <c r="BC700" s="73"/>
    </row>
    <row r="701" spans="1:55" ht="11.25" x14ac:dyDescent="0.2">
      <c r="A701" s="117" t="s">
        <v>3527</v>
      </c>
      <c r="B701" s="118" t="s">
        <v>3528</v>
      </c>
      <c r="C701" s="118" t="s">
        <v>3529</v>
      </c>
      <c r="D701" s="119" t="s">
        <v>1299</v>
      </c>
      <c r="E701" s="38" t="s">
        <v>3530</v>
      </c>
      <c r="F701" s="39">
        <v>1</v>
      </c>
      <c r="G701" s="118" t="s">
        <v>16</v>
      </c>
      <c r="H701" s="118" t="s">
        <v>533</v>
      </c>
      <c r="I701" s="40">
        <v>45014.520109606499</v>
      </c>
      <c r="J701" s="24">
        <f>MONTH(Tabla1[[#This Row],[Publicación]])</f>
        <v>3</v>
      </c>
      <c r="K701" s="24">
        <f>YEAR(Tabla1[[#This Row],[Publicación]])</f>
        <v>2023</v>
      </c>
      <c r="L701" s="40">
        <v>45021.625</v>
      </c>
      <c r="M701" s="41">
        <v>45016</v>
      </c>
      <c r="N701" s="120" t="s">
        <v>10</v>
      </c>
      <c r="O701" s="40" t="s">
        <v>25</v>
      </c>
      <c r="P701" s="38"/>
      <c r="Q701" s="147">
        <v>45016.628472222219</v>
      </c>
      <c r="R701" s="147">
        <v>45018.708333333336</v>
      </c>
      <c r="S701" s="148">
        <v>45042.708333333336</v>
      </c>
      <c r="T701" s="42"/>
      <c r="U701" s="64">
        <f>Tabla1[[#This Row],[PPTO]]/(1+'Lista Datos'!$B$1)</f>
        <v>0</v>
      </c>
      <c r="V701" s="65"/>
      <c r="W701" s="122" t="s">
        <v>10</v>
      </c>
      <c r="X701" s="123"/>
      <c r="Y701" s="122"/>
      <c r="Z701" s="122" t="s">
        <v>10</v>
      </c>
      <c r="AA701" s="118" t="s">
        <v>177</v>
      </c>
      <c r="AB701" s="118">
        <v>12</v>
      </c>
      <c r="AC701" s="118"/>
      <c r="AD701" s="118"/>
      <c r="AE701" s="145">
        <f>Tabla1[[#This Row],[Cierre]]+Tabla1[[#This Row],[Vigencia Oferta (días)]]</f>
        <v>45021.625</v>
      </c>
      <c r="AF701" s="90"/>
      <c r="AG701" s="64"/>
      <c r="AH701" s="168">
        <f>Tabla1[[#This Row],[Unidades2]]*Tabla1[[#This Row],[Precio Unitario]]</f>
        <v>0</v>
      </c>
      <c r="AI701" s="118" t="s">
        <v>270</v>
      </c>
      <c r="AJ701" s="149"/>
      <c r="AK701" s="125">
        <f>Tabla1[[#This Row],[Fecha Vigencia]]-AJ701</f>
        <v>45021.625</v>
      </c>
      <c r="AL701" s="65"/>
      <c r="AM701" s="90"/>
      <c r="AN701" s="65"/>
      <c r="AO701" s="181"/>
      <c r="AP701" s="65"/>
      <c r="AQ701" s="66"/>
      <c r="AR701" s="65"/>
      <c r="AS701" s="65"/>
      <c r="AT701" s="65"/>
      <c r="AU701" s="65"/>
      <c r="AV701" s="65"/>
      <c r="AW701" s="65"/>
      <c r="AX701" s="65"/>
      <c r="AY701" s="118"/>
      <c r="AZ701" s="118"/>
      <c r="BA701" s="118"/>
      <c r="BB701" s="124"/>
      <c r="BC701" s="73"/>
    </row>
    <row r="702" spans="1:55" ht="11.25" x14ac:dyDescent="0.2">
      <c r="A702" s="117" t="s">
        <v>3531</v>
      </c>
      <c r="B702" s="118" t="s">
        <v>3532</v>
      </c>
      <c r="C702" s="118" t="s">
        <v>3533</v>
      </c>
      <c r="D702" s="119" t="s">
        <v>1243</v>
      </c>
      <c r="E702" s="38" t="s">
        <v>3534</v>
      </c>
      <c r="F702" s="39">
        <v>3</v>
      </c>
      <c r="G702" s="118" t="s">
        <v>21</v>
      </c>
      <c r="H702" s="118" t="s">
        <v>106</v>
      </c>
      <c r="I702" s="40">
        <v>45014.517501157403</v>
      </c>
      <c r="J702" s="24">
        <f>MONTH(Tabla1[[#This Row],[Publicación]])</f>
        <v>3</v>
      </c>
      <c r="K702" s="24">
        <f>YEAR(Tabla1[[#This Row],[Publicación]])</f>
        <v>2023</v>
      </c>
      <c r="L702" s="40">
        <v>45020.416666666701</v>
      </c>
      <c r="M702" s="41">
        <v>45016</v>
      </c>
      <c r="N702" s="120" t="s">
        <v>10</v>
      </c>
      <c r="O702" s="40" t="s">
        <v>27</v>
      </c>
      <c r="P702" s="38"/>
      <c r="Q702" s="121"/>
      <c r="R702" s="121"/>
      <c r="S702" s="19"/>
      <c r="T702" s="42"/>
      <c r="U702" s="64">
        <f>Tabla1[[#This Row],[PPTO]]/(1+'Lista Datos'!$B$1)</f>
        <v>0</v>
      </c>
      <c r="V702" s="65"/>
      <c r="W702" s="122"/>
      <c r="X702" s="123"/>
      <c r="Y702" s="122"/>
      <c r="Z702" s="122"/>
      <c r="AA702" s="118"/>
      <c r="AB702" s="118"/>
      <c r="AC702" s="118"/>
      <c r="AD702" s="118"/>
      <c r="AE702" s="145">
        <f>Tabla1[[#This Row],[Cierre]]+Tabla1[[#This Row],[Vigencia Oferta (días)]]</f>
        <v>45020.416666666701</v>
      </c>
      <c r="AF702" s="90"/>
      <c r="AG702" s="64"/>
      <c r="AH702" s="168">
        <f>Tabla1[[#This Row],[Unidades2]]*Tabla1[[#This Row],[Precio Unitario]]</f>
        <v>0</v>
      </c>
      <c r="AI702" s="118" t="s">
        <v>270</v>
      </c>
      <c r="AJ702" s="149"/>
      <c r="AK702" s="125">
        <f>Tabla1[[#This Row],[Fecha Vigencia]]-AJ702</f>
        <v>45020.416666666701</v>
      </c>
      <c r="AL702" s="65"/>
      <c r="AM702" s="90"/>
      <c r="AN702" s="65"/>
      <c r="AO702" s="181"/>
      <c r="AP702" s="65"/>
      <c r="AQ702" s="66"/>
      <c r="AR702" s="65"/>
      <c r="AS702" s="65"/>
      <c r="AT702" s="65"/>
      <c r="AU702" s="65"/>
      <c r="AV702" s="65"/>
      <c r="AW702" s="65"/>
      <c r="AX702" s="65"/>
      <c r="AY702" s="118"/>
      <c r="AZ702" s="118"/>
      <c r="BA702" s="118"/>
      <c r="BB702" s="124"/>
      <c r="BC702" s="73"/>
    </row>
    <row r="703" spans="1:55" ht="11.25" x14ac:dyDescent="0.2">
      <c r="A703" s="117" t="s">
        <v>3531</v>
      </c>
      <c r="B703" s="118" t="s">
        <v>3532</v>
      </c>
      <c r="C703" s="118" t="s">
        <v>3533</v>
      </c>
      <c r="D703" s="119" t="s">
        <v>1243</v>
      </c>
      <c r="E703" s="38" t="s">
        <v>3535</v>
      </c>
      <c r="F703" s="39">
        <v>10</v>
      </c>
      <c r="G703" s="118" t="s">
        <v>14</v>
      </c>
      <c r="H703" s="118" t="s">
        <v>213</v>
      </c>
      <c r="I703" s="40">
        <v>45014.517501157403</v>
      </c>
      <c r="J703" s="24">
        <f>MONTH(Tabla1[[#This Row],[Publicación]])</f>
        <v>3</v>
      </c>
      <c r="K703" s="24">
        <f>YEAR(Tabla1[[#This Row],[Publicación]])</f>
        <v>2023</v>
      </c>
      <c r="L703" s="40">
        <v>45020.416666666701</v>
      </c>
      <c r="M703" s="41">
        <v>45016</v>
      </c>
      <c r="N703" s="120" t="s">
        <v>10</v>
      </c>
      <c r="O703" s="40" t="s">
        <v>27</v>
      </c>
      <c r="P703" s="38"/>
      <c r="Q703" s="121"/>
      <c r="R703" s="121"/>
      <c r="S703" s="19"/>
      <c r="T703" s="42"/>
      <c r="U703" s="64">
        <f>Tabla1[[#This Row],[PPTO]]/(1+'Lista Datos'!$B$1)</f>
        <v>0</v>
      </c>
      <c r="V703" s="65"/>
      <c r="W703" s="122"/>
      <c r="X703" s="123"/>
      <c r="Y703" s="122"/>
      <c r="Z703" s="122"/>
      <c r="AA703" s="118"/>
      <c r="AB703" s="118"/>
      <c r="AC703" s="118"/>
      <c r="AD703" s="118"/>
      <c r="AE703" s="145">
        <f>Tabla1[[#This Row],[Cierre]]+Tabla1[[#This Row],[Vigencia Oferta (días)]]</f>
        <v>45020.416666666701</v>
      </c>
      <c r="AF703" s="90"/>
      <c r="AG703" s="64"/>
      <c r="AH703" s="168">
        <f>Tabla1[[#This Row],[Unidades2]]*Tabla1[[#This Row],[Precio Unitario]]</f>
        <v>0</v>
      </c>
      <c r="AI703" s="118" t="s">
        <v>270</v>
      </c>
      <c r="AJ703" s="149"/>
      <c r="AK703" s="125">
        <f>Tabla1[[#This Row],[Fecha Vigencia]]-AJ703</f>
        <v>45020.416666666701</v>
      </c>
      <c r="AL703" s="65"/>
      <c r="AM703" s="90"/>
      <c r="AN703" s="65"/>
      <c r="AO703" s="181"/>
      <c r="AP703" s="65"/>
      <c r="AQ703" s="66"/>
      <c r="AR703" s="65"/>
      <c r="AS703" s="65"/>
      <c r="AT703" s="65"/>
      <c r="AU703" s="65"/>
      <c r="AV703" s="65"/>
      <c r="AW703" s="65"/>
      <c r="AX703" s="65"/>
      <c r="AY703" s="118"/>
      <c r="AZ703" s="118"/>
      <c r="BA703" s="118"/>
      <c r="BB703" s="124"/>
      <c r="BC703" s="73"/>
    </row>
    <row r="704" spans="1:55" x14ac:dyDescent="0.25">
      <c r="A704" s="117" t="s">
        <v>3536</v>
      </c>
      <c r="B704" s="118" t="s">
        <v>3537</v>
      </c>
      <c r="C704" s="118" t="s">
        <v>3537</v>
      </c>
      <c r="D704" s="119" t="s">
        <v>364</v>
      </c>
      <c r="E704" s="38" t="s">
        <v>3356</v>
      </c>
      <c r="F704" s="39">
        <v>1</v>
      </c>
      <c r="G704" s="118" t="s">
        <v>18</v>
      </c>
      <c r="H704" s="118" t="s">
        <v>213</v>
      </c>
      <c r="I704" s="40">
        <v>45016.696805555599</v>
      </c>
      <c r="J704" s="38">
        <f>MONTH(Tabla1[[#This Row],[Publicación]])</f>
        <v>3</v>
      </c>
      <c r="K704" s="38">
        <f>YEAR(Tabla1[[#This Row],[Publicación]])</f>
        <v>2023</v>
      </c>
      <c r="L704" s="40">
        <v>45021.837500000001</v>
      </c>
      <c r="M704" s="41">
        <v>45019</v>
      </c>
      <c r="N704" s="120" t="s">
        <v>10</v>
      </c>
      <c r="O704" s="40" t="s">
        <v>28</v>
      </c>
      <c r="P704" s="38"/>
      <c r="Q704" s="121"/>
      <c r="R704" s="121"/>
      <c r="S704" s="19"/>
      <c r="T704" s="38"/>
      <c r="U704" s="65">
        <f>Tabla1[[#This Row],[PPTO]]/(1+'Lista Datos'!$B$1)</f>
        <v>0</v>
      </c>
      <c r="V704" s="64"/>
      <c r="W704" s="191"/>
      <c r="X704" s="122"/>
      <c r="Y704" s="122"/>
      <c r="Z704" s="123"/>
      <c r="AA704" s="118"/>
      <c r="AB704" s="118"/>
      <c r="AC704" s="118"/>
      <c r="AD704" s="118"/>
      <c r="AE704" s="145">
        <f>Tabla1[[#This Row],[Cierre]]+Tabla1[[#This Row],[Vigencia Oferta (días)]]</f>
        <v>45021.837500000001</v>
      </c>
      <c r="AF704" s="65"/>
      <c r="AG704" s="181"/>
      <c r="AH704" s="192">
        <f>Tabla1[[#This Row],[Unidades2]]*Tabla1[[#This Row],[Precio Unitario]]</f>
        <v>0</v>
      </c>
      <c r="AI704" s="126" t="s">
        <v>270</v>
      </c>
      <c r="AJ704" s="149"/>
      <c r="AK704" s="149">
        <f>Tabla1[[#This Row],[Fecha Vigencia]]-AJ704</f>
        <v>45021.837500000001</v>
      </c>
      <c r="AL704" s="65"/>
      <c r="AM704" s="90"/>
      <c r="AN704" s="65"/>
      <c r="AO704" s="217"/>
      <c r="AP704" s="65"/>
      <c r="AQ704" s="66"/>
      <c r="AR704" s="65"/>
      <c r="AS704" s="65"/>
      <c r="AT704" s="65"/>
      <c r="AU704" s="65"/>
      <c r="AV704" s="65"/>
      <c r="AW704" s="65"/>
      <c r="AX704" s="65"/>
      <c r="AY704" s="118"/>
      <c r="AZ704" s="118"/>
      <c r="BA704" s="118"/>
      <c r="BB704" s="124"/>
    </row>
    <row r="705" spans="1:54" x14ac:dyDescent="0.25">
      <c r="A705" s="153" t="s">
        <v>3538</v>
      </c>
      <c r="B705" s="30" t="s">
        <v>3539</v>
      </c>
      <c r="C705" s="30" t="s">
        <v>3540</v>
      </c>
      <c r="D705" s="84" t="s">
        <v>3100</v>
      </c>
      <c r="E705" s="24" t="s">
        <v>3541</v>
      </c>
      <c r="F705" s="25">
        <v>12</v>
      </c>
      <c r="G705" s="30" t="s">
        <v>21</v>
      </c>
      <c r="H705" s="30" t="s">
        <v>106</v>
      </c>
      <c r="I705" s="2">
        <v>45019.682496412002</v>
      </c>
      <c r="J705" s="38">
        <f>MONTH(Tabla1[[#This Row],[Publicación]])</f>
        <v>4</v>
      </c>
      <c r="K705" s="38">
        <f>YEAR(Tabla1[[#This Row],[Publicación]])</f>
        <v>2023</v>
      </c>
      <c r="L705" s="2">
        <v>45029.458333333299</v>
      </c>
      <c r="M705" s="26">
        <v>45020</v>
      </c>
      <c r="N705" s="85" t="s">
        <v>10</v>
      </c>
      <c r="O705" s="2" t="s">
        <v>27</v>
      </c>
      <c r="P705" s="24"/>
      <c r="Q705" s="60"/>
      <c r="R705" s="60"/>
      <c r="S705" s="18"/>
      <c r="T705" s="24"/>
      <c r="U705" s="68">
        <f>Tabla1[[#This Row],[PPTO]]/(1+'Lista Datos'!$B$1)</f>
        <v>0</v>
      </c>
      <c r="V705" s="67"/>
      <c r="W705" s="193"/>
      <c r="X705" s="127"/>
      <c r="Y705" s="127"/>
      <c r="Z705" s="154"/>
      <c r="AA705" s="30"/>
      <c r="AB705" s="30"/>
      <c r="AC705" s="30"/>
      <c r="AD705" s="30"/>
      <c r="AE705" s="145">
        <f>Tabla1[[#This Row],[Cierre]]+Tabla1[[#This Row],[Vigencia Oferta (días)]]</f>
        <v>45029.458333333299</v>
      </c>
      <c r="AF705" s="68"/>
      <c r="AG705" s="157"/>
      <c r="AH705" s="194">
        <f>Tabla1[[#This Row],[Unidades2]]*Tabla1[[#This Row],[Precio Unitario]]</f>
        <v>0</v>
      </c>
      <c r="AI705" s="97" t="s">
        <v>270</v>
      </c>
      <c r="AJ705" s="104"/>
      <c r="AK705" s="104">
        <f>Tabla1[[#This Row],[Fecha Vigencia]]-AJ705</f>
        <v>45029.458333333299</v>
      </c>
      <c r="AL705" s="68"/>
      <c r="AM705" s="91"/>
      <c r="AN705" s="68"/>
      <c r="AO705" s="218"/>
      <c r="AP705" s="68"/>
      <c r="AQ705" s="69"/>
      <c r="AR705" s="68"/>
      <c r="AS705" s="68"/>
      <c r="AT705" s="68"/>
      <c r="AU705" s="68"/>
      <c r="AV705" s="68"/>
      <c r="AW705" s="68"/>
      <c r="AX705" s="68"/>
      <c r="AY705" s="30"/>
      <c r="AZ705" s="30"/>
      <c r="BA705" s="30"/>
      <c r="BB705" s="75"/>
    </row>
    <row r="706" spans="1:54" x14ac:dyDescent="0.25">
      <c r="A706" s="153" t="s">
        <v>3542</v>
      </c>
      <c r="B706" s="30" t="s">
        <v>3543</v>
      </c>
      <c r="C706" s="30" t="s">
        <v>3544</v>
      </c>
      <c r="D706" s="84" t="s">
        <v>3545</v>
      </c>
      <c r="E706" s="24" t="s">
        <v>3546</v>
      </c>
      <c r="F706" s="25">
        <v>1</v>
      </c>
      <c r="G706" s="30" t="s">
        <v>16</v>
      </c>
      <c r="H706" s="30" t="s">
        <v>345</v>
      </c>
      <c r="I706" s="2">
        <v>45019.678675891199</v>
      </c>
      <c r="J706" s="121">
        <f>MONTH(Tabla1[[#This Row],[Publicación]])</f>
        <v>4</v>
      </c>
      <c r="K706" s="121">
        <f>YEAR(Tabla1[[#This Row],[Publicación]])</f>
        <v>2023</v>
      </c>
      <c r="L706" s="2">
        <v>45027.625</v>
      </c>
      <c r="M706" s="26">
        <v>45020</v>
      </c>
      <c r="N706" s="85" t="s">
        <v>10</v>
      </c>
      <c r="O706" s="2" t="s">
        <v>25</v>
      </c>
      <c r="P706" s="24"/>
      <c r="Q706" s="60"/>
      <c r="R706" s="60"/>
      <c r="S706" s="18"/>
      <c r="T706" s="24"/>
      <c r="U706" s="68">
        <f>Tabla1[[#This Row],[PPTO]]/(1+'Lista Datos'!$B$1)</f>
        <v>0</v>
      </c>
      <c r="V706" s="67"/>
      <c r="W706" s="193"/>
      <c r="X706" s="127"/>
      <c r="Y706" s="127"/>
      <c r="Z706" s="154"/>
      <c r="AA706" s="30"/>
      <c r="AB706" s="30"/>
      <c r="AC706" s="30"/>
      <c r="AD706" s="30"/>
      <c r="AE706" s="145">
        <f>Tabla1[[#This Row],[Cierre]]+Tabla1[[#This Row],[Vigencia Oferta (días)]]</f>
        <v>45027.625</v>
      </c>
      <c r="AF706" s="68"/>
      <c r="AG706" s="157"/>
      <c r="AH706" s="194">
        <f>Tabla1[[#This Row],[Unidades2]]*Tabla1[[#This Row],[Precio Unitario]]</f>
        <v>0</v>
      </c>
      <c r="AI706" s="97" t="s">
        <v>270</v>
      </c>
      <c r="AJ706" s="104"/>
      <c r="AK706" s="104">
        <f>Tabla1[[#This Row],[Fecha Vigencia]]-AJ706</f>
        <v>45027.625</v>
      </c>
      <c r="AL706" s="68"/>
      <c r="AM706" s="91"/>
      <c r="AN706" s="68"/>
      <c r="AO706" s="218"/>
      <c r="AP706" s="68"/>
      <c r="AQ706" s="69"/>
      <c r="AR706" s="68"/>
      <c r="AS706" s="68"/>
      <c r="AT706" s="68"/>
      <c r="AU706" s="68"/>
      <c r="AV706" s="68"/>
      <c r="AW706" s="68"/>
      <c r="AX706" s="68"/>
      <c r="AY706" s="30"/>
      <c r="AZ706" s="30"/>
      <c r="BA706" s="30"/>
      <c r="BB706" s="75"/>
    </row>
    <row r="707" spans="1:54" x14ac:dyDescent="0.25">
      <c r="A707" s="153" t="s">
        <v>3547</v>
      </c>
      <c r="B707" s="30" t="s">
        <v>3548</v>
      </c>
      <c r="C707" s="30" t="s">
        <v>3549</v>
      </c>
      <c r="D707" s="84" t="s">
        <v>190</v>
      </c>
      <c r="E707" s="24" t="s">
        <v>3550</v>
      </c>
      <c r="F707" s="25">
        <v>1</v>
      </c>
      <c r="G707" s="30" t="s">
        <v>16</v>
      </c>
      <c r="H707" s="30" t="s">
        <v>533</v>
      </c>
      <c r="I707" s="2">
        <v>45019.659626006898</v>
      </c>
      <c r="J707" s="121">
        <f>MONTH(Tabla1[[#This Row],[Publicación]])</f>
        <v>4</v>
      </c>
      <c r="K707" s="121">
        <f>YEAR(Tabla1[[#This Row],[Publicación]])</f>
        <v>2023</v>
      </c>
      <c r="L707" s="2">
        <v>45026.625</v>
      </c>
      <c r="M707" s="26">
        <v>45020</v>
      </c>
      <c r="N707" s="85" t="s">
        <v>10</v>
      </c>
      <c r="O707" s="2" t="s">
        <v>25</v>
      </c>
      <c r="P707" s="24"/>
      <c r="Q707" s="60" t="s">
        <v>3551</v>
      </c>
      <c r="R707" s="160">
        <v>45022.666666666664</v>
      </c>
      <c r="S707" s="161">
        <v>45056.416666666664</v>
      </c>
      <c r="T707" s="24"/>
      <c r="U707" s="68">
        <f>Tabla1[[#This Row],[PPTO]]/(1+'Lista Datos'!$B$1)</f>
        <v>0</v>
      </c>
      <c r="V707" s="67"/>
      <c r="W707" s="193" t="s">
        <v>10</v>
      </c>
      <c r="X707" s="127"/>
      <c r="Y707" s="127"/>
      <c r="Z707" s="154" t="s">
        <v>10</v>
      </c>
      <c r="AA707" s="30" t="s">
        <v>512</v>
      </c>
      <c r="AB707" s="30"/>
      <c r="AC707" s="30"/>
      <c r="AD707" s="30"/>
      <c r="AE707" s="145">
        <f>Tabla1[[#This Row],[Cierre]]+Tabla1[[#This Row],[Vigencia Oferta (días)]]</f>
        <v>45026.625</v>
      </c>
      <c r="AF707" s="68"/>
      <c r="AG707" s="157"/>
      <c r="AH707" s="194">
        <f>Tabla1[[#This Row],[Unidades2]]*Tabla1[[#This Row],[Precio Unitario]]</f>
        <v>0</v>
      </c>
      <c r="AI707" s="97" t="s">
        <v>320</v>
      </c>
      <c r="AJ707" s="104"/>
      <c r="AK707" s="104">
        <f>Tabla1[[#This Row],[Fecha Vigencia]]-AJ707</f>
        <v>45026.625</v>
      </c>
      <c r="AL707" s="68"/>
      <c r="AM707" s="91"/>
      <c r="AN707" s="68"/>
      <c r="AO707" s="218"/>
      <c r="AP707" s="68"/>
      <c r="AQ707" s="69"/>
      <c r="AR707" s="68"/>
      <c r="AS707" s="68"/>
      <c r="AT707" s="68"/>
      <c r="AU707" s="68"/>
      <c r="AV707" s="68"/>
      <c r="AW707" s="68"/>
      <c r="AX707" s="68"/>
      <c r="AY707" s="30"/>
      <c r="AZ707" s="30"/>
      <c r="BA707" s="30"/>
      <c r="BB707" s="75"/>
    </row>
    <row r="708" spans="1:54" x14ac:dyDescent="0.25">
      <c r="A708" s="117" t="s">
        <v>3552</v>
      </c>
      <c r="B708" s="118" t="s">
        <v>3553</v>
      </c>
      <c r="C708" s="118" t="s">
        <v>3554</v>
      </c>
      <c r="D708" s="119" t="s">
        <v>2881</v>
      </c>
      <c r="E708" s="38" t="s">
        <v>3555</v>
      </c>
      <c r="F708" s="39">
        <v>2</v>
      </c>
      <c r="G708" s="118" t="s">
        <v>14</v>
      </c>
      <c r="H708" s="118" t="s">
        <v>213</v>
      </c>
      <c r="I708" s="40">
        <v>45019.610311261597</v>
      </c>
      <c r="J708" s="121">
        <f>MONTH(Tabla1[[#This Row],[Publicación]])</f>
        <v>4</v>
      </c>
      <c r="K708" s="121">
        <f>YEAR(Tabla1[[#This Row],[Publicación]])</f>
        <v>2023</v>
      </c>
      <c r="L708" s="40">
        <v>45027.666666666701</v>
      </c>
      <c r="M708" s="41">
        <v>45020</v>
      </c>
      <c r="N708" s="120" t="s">
        <v>10</v>
      </c>
      <c r="O708" s="40" t="s">
        <v>27</v>
      </c>
      <c r="P708" s="38"/>
      <c r="Q708" s="121"/>
      <c r="R708" s="121"/>
      <c r="S708" s="19"/>
      <c r="T708" s="38"/>
      <c r="U708" s="65">
        <f>Tabla1[[#This Row],[PPTO]]/(1+'Lista Datos'!$B$1)</f>
        <v>0</v>
      </c>
      <c r="V708" s="64"/>
      <c r="W708" s="191"/>
      <c r="X708" s="122"/>
      <c r="Y708" s="122"/>
      <c r="Z708" s="123"/>
      <c r="AA708" s="118"/>
      <c r="AB708" s="118"/>
      <c r="AC708" s="118"/>
      <c r="AD708" s="118"/>
      <c r="AE708" s="145">
        <f>Tabla1[[#This Row],[Cierre]]+Tabla1[[#This Row],[Vigencia Oferta (días)]]</f>
        <v>45027.666666666701</v>
      </c>
      <c r="AF708" s="65"/>
      <c r="AG708" s="181"/>
      <c r="AH708" s="192">
        <f>Tabla1[[#This Row],[Unidades2]]*Tabla1[[#This Row],[Precio Unitario]]</f>
        <v>0</v>
      </c>
      <c r="AI708" s="126" t="s">
        <v>270</v>
      </c>
      <c r="AJ708" s="149"/>
      <c r="AK708" s="149">
        <f>Tabla1[[#This Row],[Fecha Vigencia]]-AJ708</f>
        <v>45027.666666666701</v>
      </c>
      <c r="AL708" s="65"/>
      <c r="AM708" s="90"/>
      <c r="AN708" s="65"/>
      <c r="AO708" s="217"/>
      <c r="AP708" s="65"/>
      <c r="AQ708" s="66"/>
      <c r="AR708" s="65"/>
      <c r="AS708" s="65"/>
      <c r="AT708" s="65"/>
      <c r="AU708" s="65"/>
      <c r="AV708" s="65"/>
      <c r="AW708" s="65"/>
      <c r="AX708" s="65"/>
      <c r="AY708" s="118"/>
      <c r="AZ708" s="118"/>
      <c r="BA708" s="118"/>
      <c r="BB708" s="124"/>
    </row>
    <row r="709" spans="1:54" x14ac:dyDescent="0.25">
      <c r="A709" s="153" t="s">
        <v>3556</v>
      </c>
      <c r="B709" s="30" t="s">
        <v>3557</v>
      </c>
      <c r="C709" s="30" t="s">
        <v>3558</v>
      </c>
      <c r="D709" s="84" t="s">
        <v>3559</v>
      </c>
      <c r="E709" s="24" t="s">
        <v>3560</v>
      </c>
      <c r="F709" s="25">
        <v>1</v>
      </c>
      <c r="G709" s="30" t="s">
        <v>16</v>
      </c>
      <c r="H709" s="30" t="s">
        <v>533</v>
      </c>
      <c r="I709" s="2">
        <v>45026.634861377301</v>
      </c>
      <c r="J709" s="38">
        <v>45035.625</v>
      </c>
      <c r="K709" s="38">
        <v>45026.634861377301</v>
      </c>
      <c r="L709" s="2">
        <v>45035.625</v>
      </c>
      <c r="M709" s="26">
        <v>45027</v>
      </c>
      <c r="N709" s="85" t="s">
        <v>10</v>
      </c>
      <c r="O709" s="2" t="s">
        <v>33</v>
      </c>
      <c r="P709" s="24"/>
      <c r="Q709" s="160">
        <v>45028.999305555553</v>
      </c>
      <c r="R709" s="160">
        <v>45030.999305555553</v>
      </c>
      <c r="S709" s="161">
        <v>45044.999305555553</v>
      </c>
      <c r="T709" s="24"/>
      <c r="U709" s="68">
        <f>Tabla1[[#This Row],[PPTO]]/(1+'Lista Datos'!$B$1)</f>
        <v>0</v>
      </c>
      <c r="V709" s="67"/>
      <c r="W709" s="193" t="s">
        <v>10</v>
      </c>
      <c r="X709" s="127"/>
      <c r="Y709" s="127"/>
      <c r="Z709" s="154" t="s">
        <v>10</v>
      </c>
      <c r="AA709" s="30" t="s">
        <v>177</v>
      </c>
      <c r="AB709" s="30">
        <v>24</v>
      </c>
      <c r="AC709" s="30"/>
      <c r="AD709" s="30"/>
      <c r="AE709" s="145">
        <f>Tabla1[[#This Row],[Cierre]]+Tabla1[[#This Row],[Vigencia Oferta (días)]]</f>
        <v>45035.625</v>
      </c>
      <c r="AF709" s="68"/>
      <c r="AG709" s="157"/>
      <c r="AH709" s="194">
        <f>Tabla1[[#This Row],[Unidades2]]*Tabla1[[#This Row],[Precio Unitario]]</f>
        <v>0</v>
      </c>
      <c r="AI709" s="97" t="s">
        <v>270</v>
      </c>
      <c r="AJ709" s="104"/>
      <c r="AK709" s="104">
        <f>Tabla1[[#This Row],[Fecha Vigencia]]-AJ709</f>
        <v>45035.625</v>
      </c>
      <c r="AL709" s="68"/>
      <c r="AM709" s="91"/>
      <c r="AN709" s="68"/>
      <c r="AO709" s="218"/>
      <c r="AP709" s="68"/>
      <c r="AQ709" s="69"/>
      <c r="AR709" s="68"/>
      <c r="AS709" s="68"/>
      <c r="AT709" s="68"/>
      <c r="AU709" s="68"/>
      <c r="AV709" s="68"/>
      <c r="AW709" s="68"/>
      <c r="AX709" s="68"/>
      <c r="AY709" s="30"/>
      <c r="AZ709" s="30"/>
      <c r="BA709" s="30"/>
      <c r="BB709" s="75"/>
    </row>
    <row r="710" spans="1:54" x14ac:dyDescent="0.25">
      <c r="A710" s="117" t="s">
        <v>3561</v>
      </c>
      <c r="B710" s="118" t="s">
        <v>3562</v>
      </c>
      <c r="C710" s="118" t="s">
        <v>3563</v>
      </c>
      <c r="D710" s="119" t="s">
        <v>1448</v>
      </c>
      <c r="E710" s="38" t="s">
        <v>3564</v>
      </c>
      <c r="F710" s="39">
        <v>1</v>
      </c>
      <c r="G710" s="118" t="s">
        <v>20</v>
      </c>
      <c r="H710" s="118" t="s">
        <v>176</v>
      </c>
      <c r="I710" s="40">
        <v>45026.633577233799</v>
      </c>
      <c r="J710" s="121">
        <v>45036.708333333299</v>
      </c>
      <c r="K710" s="121">
        <v>45026.633577233799</v>
      </c>
      <c r="L710" s="40">
        <v>45036.708333333299</v>
      </c>
      <c r="M710" s="41">
        <v>45027</v>
      </c>
      <c r="N710" s="120" t="s">
        <v>10</v>
      </c>
      <c r="O710" s="40" t="s">
        <v>33</v>
      </c>
      <c r="P710" s="38" t="s">
        <v>10</v>
      </c>
      <c r="Q710" s="147">
        <v>45033.685416666667</v>
      </c>
      <c r="R710" s="147">
        <v>45034.685416666667</v>
      </c>
      <c r="S710" s="148">
        <v>45097.708333333336</v>
      </c>
      <c r="T710" s="38"/>
      <c r="U710" s="65">
        <f>Tabla1[[#This Row],[PPTO]]/(1+'Lista Datos'!$B$1)</f>
        <v>0</v>
      </c>
      <c r="V710" s="64"/>
      <c r="W710" s="191" t="s">
        <v>10</v>
      </c>
      <c r="X710" s="122"/>
      <c r="Y710" s="122"/>
      <c r="Z710" s="123" t="s">
        <v>10</v>
      </c>
      <c r="AA710" s="118" t="s">
        <v>177</v>
      </c>
      <c r="AB710" s="118">
        <v>24</v>
      </c>
      <c r="AC710" s="118"/>
      <c r="AD710" s="118"/>
      <c r="AE710" s="145">
        <f>Tabla1[[#This Row],[Cierre]]+Tabla1[[#This Row],[Vigencia Oferta (días)]]</f>
        <v>45036.708333333299</v>
      </c>
      <c r="AF710" s="65"/>
      <c r="AG710" s="181"/>
      <c r="AH710" s="192">
        <f>Tabla1[[#This Row],[Unidades2]]*Tabla1[[#This Row],[Precio Unitario]]</f>
        <v>0</v>
      </c>
      <c r="AI710" s="126" t="s">
        <v>270</v>
      </c>
      <c r="AJ710" s="149"/>
      <c r="AK710" s="149">
        <f>Tabla1[[#This Row],[Fecha Vigencia]]-AJ710</f>
        <v>45036.708333333299</v>
      </c>
      <c r="AL710" s="65"/>
      <c r="AM710" s="90"/>
      <c r="AN710" s="65"/>
      <c r="AO710" s="217"/>
      <c r="AP710" s="65"/>
      <c r="AQ710" s="66"/>
      <c r="AR710" s="65"/>
      <c r="AS710" s="65"/>
      <c r="AT710" s="65"/>
      <c r="AU710" s="65"/>
      <c r="AV710" s="65"/>
      <c r="AW710" s="65"/>
      <c r="AX710" s="65"/>
      <c r="AY710" s="118"/>
      <c r="AZ710" s="118"/>
      <c r="BA710" s="118"/>
      <c r="BB710" s="124"/>
    </row>
    <row r="711" spans="1:54" x14ac:dyDescent="0.25">
      <c r="A711" s="117" t="s">
        <v>3565</v>
      </c>
      <c r="B711" s="118" t="s">
        <v>3566</v>
      </c>
      <c r="C711" s="118" t="s">
        <v>3567</v>
      </c>
      <c r="D711" s="119" t="s">
        <v>3568</v>
      </c>
      <c r="E711" s="38" t="s">
        <v>3569</v>
      </c>
      <c r="F711" s="39">
        <v>1</v>
      </c>
      <c r="G711" s="118" t="s">
        <v>16</v>
      </c>
      <c r="H711" s="118" t="s">
        <v>2511</v>
      </c>
      <c r="I711" s="40">
        <v>45027.824465821803</v>
      </c>
      <c r="J711" s="38">
        <v>45033.625</v>
      </c>
      <c r="K711" s="38">
        <v>45027.824465821803</v>
      </c>
      <c r="L711" s="40">
        <v>45033.625</v>
      </c>
      <c r="M711" s="41">
        <v>45028</v>
      </c>
      <c r="N711" s="120" t="s">
        <v>10</v>
      </c>
      <c r="O711" s="40" t="s">
        <v>33</v>
      </c>
      <c r="P711" s="38"/>
      <c r="Q711" s="121"/>
      <c r="R711" s="121"/>
      <c r="S711" s="19"/>
      <c r="T711" s="38"/>
      <c r="U711" s="65">
        <f>Tabla1[[#This Row],[PPTO]]/(1+'Lista Datos'!$B$1)</f>
        <v>0</v>
      </c>
      <c r="V711" s="64"/>
      <c r="W711" s="191"/>
      <c r="X711" s="122"/>
      <c r="Y711" s="122"/>
      <c r="Z711" s="123"/>
      <c r="AA711" s="118"/>
      <c r="AB711" s="118"/>
      <c r="AC711" s="118"/>
      <c r="AD711" s="118"/>
      <c r="AE711" s="145">
        <f>Tabla1[[#This Row],[Cierre]]+Tabla1[[#This Row],[Vigencia Oferta (días)]]</f>
        <v>45033.625</v>
      </c>
      <c r="AF711" s="65"/>
      <c r="AG711" s="181"/>
      <c r="AH711" s="192">
        <f>Tabla1[[#This Row],[Unidades2]]*Tabla1[[#This Row],[Precio Unitario]]</f>
        <v>0</v>
      </c>
      <c r="AI711" s="126" t="s">
        <v>270</v>
      </c>
      <c r="AJ711" s="149"/>
      <c r="AK711" s="149">
        <f>Tabla1[[#This Row],[Fecha Vigencia]]-AJ711</f>
        <v>45033.625</v>
      </c>
      <c r="AL711" s="65"/>
      <c r="AM711" s="90"/>
      <c r="AN711" s="65"/>
      <c r="AO711" s="217"/>
      <c r="AP711" s="65"/>
      <c r="AQ711" s="66"/>
      <c r="AR711" s="65"/>
      <c r="AS711" s="65"/>
      <c r="AT711" s="65"/>
      <c r="AU711" s="65"/>
      <c r="AV711" s="65"/>
      <c r="AW711" s="65"/>
      <c r="AX711" s="65"/>
      <c r="AY711" s="118"/>
      <c r="AZ711" s="118"/>
      <c r="BA711" s="118"/>
      <c r="BB711" s="124"/>
    </row>
    <row r="712" spans="1:54" x14ac:dyDescent="0.25">
      <c r="A712" s="117" t="s">
        <v>3570</v>
      </c>
      <c r="B712" s="118" t="s">
        <v>3571</v>
      </c>
      <c r="C712" s="118" t="s">
        <v>3572</v>
      </c>
      <c r="D712" s="119" t="s">
        <v>3573</v>
      </c>
      <c r="E712" s="38" t="s">
        <v>3574</v>
      </c>
      <c r="F712" s="39">
        <v>10</v>
      </c>
      <c r="G712" s="118" t="s">
        <v>14</v>
      </c>
      <c r="H712" s="118" t="s">
        <v>533</v>
      </c>
      <c r="I712" s="40">
        <v>45027.714353553201</v>
      </c>
      <c r="J712" s="38">
        <v>45037.625</v>
      </c>
      <c r="K712" s="38">
        <v>45027.714353553201</v>
      </c>
      <c r="L712" s="40">
        <v>45037.625</v>
      </c>
      <c r="M712" s="41">
        <v>45028</v>
      </c>
      <c r="N712" s="120" t="s">
        <v>10</v>
      </c>
      <c r="O712" s="40" t="s">
        <v>27</v>
      </c>
      <c r="P712" s="38"/>
      <c r="Q712" s="121"/>
      <c r="R712" s="121"/>
      <c r="S712" s="19"/>
      <c r="T712" s="38"/>
      <c r="U712" s="65">
        <f>Tabla1[[#This Row],[PPTO]]/(1+'Lista Datos'!$B$1)</f>
        <v>0</v>
      </c>
      <c r="V712" s="64"/>
      <c r="W712" s="191"/>
      <c r="X712" s="122"/>
      <c r="Y712" s="122"/>
      <c r="Z712" s="123"/>
      <c r="AA712" s="118"/>
      <c r="AB712" s="118"/>
      <c r="AC712" s="118"/>
      <c r="AD712" s="118"/>
      <c r="AE712" s="145">
        <f>Tabla1[[#This Row],[Cierre]]+Tabla1[[#This Row],[Vigencia Oferta (días)]]</f>
        <v>45037.625</v>
      </c>
      <c r="AF712" s="65"/>
      <c r="AG712" s="181"/>
      <c r="AH712" s="192">
        <f>Tabla1[[#This Row],[Unidades2]]*Tabla1[[#This Row],[Precio Unitario]]</f>
        <v>0</v>
      </c>
      <c r="AI712" s="126" t="s">
        <v>270</v>
      </c>
      <c r="AJ712" s="149"/>
      <c r="AK712" s="149">
        <f>Tabla1[[#This Row],[Fecha Vigencia]]-AJ712</f>
        <v>45037.625</v>
      </c>
      <c r="AL712" s="65"/>
      <c r="AM712" s="90"/>
      <c r="AN712" s="65"/>
      <c r="AO712" s="217"/>
      <c r="AP712" s="65"/>
      <c r="AQ712" s="66"/>
      <c r="AR712" s="65"/>
      <c r="AS712" s="65"/>
      <c r="AT712" s="65"/>
      <c r="AU712" s="65"/>
      <c r="AV712" s="65"/>
      <c r="AW712" s="65"/>
      <c r="AX712" s="65"/>
      <c r="AY712" s="118"/>
      <c r="AZ712" s="118"/>
      <c r="BA712" s="118"/>
      <c r="BB712" s="124"/>
    </row>
    <row r="713" spans="1:54" x14ac:dyDescent="0.25">
      <c r="A713" s="117" t="s">
        <v>3575</v>
      </c>
      <c r="B713" s="118" t="s">
        <v>3576</v>
      </c>
      <c r="C713" s="118" t="s">
        <v>3577</v>
      </c>
      <c r="D713" s="119" t="s">
        <v>212</v>
      </c>
      <c r="E713" s="38" t="s">
        <v>3578</v>
      </c>
      <c r="F713" s="39">
        <v>1</v>
      </c>
      <c r="G713" s="118" t="s">
        <v>16</v>
      </c>
      <c r="H713" s="118" t="s">
        <v>2511</v>
      </c>
      <c r="I713" s="40">
        <v>45028.694161493098</v>
      </c>
      <c r="J713" s="38">
        <v>45048.645833333299</v>
      </c>
      <c r="K713" s="38">
        <v>45028.694161493098</v>
      </c>
      <c r="L713" s="40">
        <v>45048.645833333299</v>
      </c>
      <c r="M713" s="41">
        <v>45029</v>
      </c>
      <c r="N713" s="120" t="s">
        <v>10</v>
      </c>
      <c r="O713" s="40" t="s">
        <v>25</v>
      </c>
      <c r="P713" s="38"/>
      <c r="Q713" s="147">
        <v>45032.759027777778</v>
      </c>
      <c r="R713" s="147">
        <v>45036.759027777778</v>
      </c>
      <c r="S713" s="148">
        <v>45134.555555555555</v>
      </c>
      <c r="T713" s="38"/>
      <c r="U713" s="65">
        <f>Tabla1[[#This Row],[PPTO]]/(1+'Lista Datos'!$B$1)</f>
        <v>0</v>
      </c>
      <c r="V713" s="64"/>
      <c r="W713" s="191" t="s">
        <v>11</v>
      </c>
      <c r="X713" s="122">
        <v>200000</v>
      </c>
      <c r="Y713" s="149">
        <v>45223</v>
      </c>
      <c r="Z713" s="123" t="s">
        <v>10</v>
      </c>
      <c r="AA713" s="118" t="s">
        <v>177</v>
      </c>
      <c r="AB713" s="118">
        <v>36</v>
      </c>
      <c r="AC713" s="118"/>
      <c r="AD713" s="118"/>
      <c r="AE713" s="145">
        <f>Tabla1[[#This Row],[Cierre]]+Tabla1[[#This Row],[Vigencia Oferta (días)]]</f>
        <v>45048.645833333299</v>
      </c>
      <c r="AF713" s="65"/>
      <c r="AG713" s="181"/>
      <c r="AH713" s="192">
        <f>Tabla1[[#This Row],[Unidades2]]*Tabla1[[#This Row],[Precio Unitario]]</f>
        <v>0</v>
      </c>
      <c r="AI713" s="126" t="s">
        <v>270</v>
      </c>
      <c r="AJ713" s="149"/>
      <c r="AK713" s="149">
        <f>Tabla1[[#This Row],[Fecha Vigencia]]-AJ713</f>
        <v>45048.645833333299</v>
      </c>
      <c r="AL713" s="65"/>
      <c r="AM713" s="90"/>
      <c r="AN713" s="65"/>
      <c r="AO713" s="217"/>
      <c r="AP713" s="65"/>
      <c r="AQ713" s="66"/>
      <c r="AR713" s="65"/>
      <c r="AS713" s="65"/>
      <c r="AT713" s="65"/>
      <c r="AU713" s="65"/>
      <c r="AV713" s="65"/>
      <c r="AW713" s="65"/>
      <c r="AX713" s="65"/>
      <c r="AY713" s="118"/>
      <c r="AZ713" s="118"/>
      <c r="BA713" s="118"/>
      <c r="BB713" s="124"/>
    </row>
    <row r="714" spans="1:54" x14ac:dyDescent="0.25">
      <c r="A714" s="117" t="s">
        <v>3579</v>
      </c>
      <c r="B714" s="118" t="s">
        <v>3580</v>
      </c>
      <c r="C714" s="118" t="s">
        <v>3581</v>
      </c>
      <c r="D714" s="119" t="s">
        <v>2869</v>
      </c>
      <c r="E714" s="38" t="s">
        <v>3582</v>
      </c>
      <c r="F714" s="39">
        <v>1</v>
      </c>
      <c r="G714" s="118" t="s">
        <v>20</v>
      </c>
      <c r="H714" s="118" t="s">
        <v>106</v>
      </c>
      <c r="I714" s="40">
        <v>45028.681232442097</v>
      </c>
      <c r="J714" s="38">
        <v>45050.708333333299</v>
      </c>
      <c r="K714" s="38">
        <v>45028.681232442097</v>
      </c>
      <c r="L714" s="40">
        <v>45050.708333333299</v>
      </c>
      <c r="M714" s="41">
        <v>45029</v>
      </c>
      <c r="N714" s="120" t="s">
        <v>10</v>
      </c>
      <c r="O714" s="40" t="s">
        <v>32</v>
      </c>
      <c r="P714" s="38" t="s">
        <v>11</v>
      </c>
      <c r="Q714" s="147">
        <v>45035.729166666664</v>
      </c>
      <c r="R714" s="147">
        <v>45042.75</v>
      </c>
      <c r="S714" s="148">
        <v>45075.729166666664</v>
      </c>
      <c r="T714" s="152">
        <v>309938088</v>
      </c>
      <c r="U714" s="90">
        <f>Tabla1[[#This Row],[PPTO]]/(1+'Lista Datos'!$B$1)</f>
        <v>260452174.78991598</v>
      </c>
      <c r="V714" s="64"/>
      <c r="W714" s="191" t="s">
        <v>11</v>
      </c>
      <c r="X714" s="122">
        <v>500000</v>
      </c>
      <c r="Y714" s="149">
        <v>45147</v>
      </c>
      <c r="Z714" s="123" t="s">
        <v>10</v>
      </c>
      <c r="AA714" s="118" t="s">
        <v>177</v>
      </c>
      <c r="AB714" s="118">
        <v>36</v>
      </c>
      <c r="AC714" s="118"/>
      <c r="AD714" s="118"/>
      <c r="AE714" s="145">
        <f>Tabla1[[#This Row],[Cierre]]+Tabla1[[#This Row],[Vigencia Oferta (días)]]</f>
        <v>45050.708333333299</v>
      </c>
      <c r="AF714" s="65"/>
      <c r="AG714" s="181"/>
      <c r="AH714" s="192">
        <f>Tabla1[[#This Row],[Unidades2]]*Tabla1[[#This Row],[Precio Unitario]]</f>
        <v>0</v>
      </c>
      <c r="AI714" s="126" t="s">
        <v>44</v>
      </c>
      <c r="AJ714" s="149">
        <v>45070</v>
      </c>
      <c r="AK714" s="149">
        <f>Tabla1[[#This Row],[Fecha Vigencia]]-AJ714</f>
        <v>-19.291666666700621</v>
      </c>
      <c r="AL714" s="65" t="s">
        <v>46</v>
      </c>
      <c r="AM714" s="90" t="s">
        <v>3583</v>
      </c>
      <c r="AN714" s="181">
        <v>45070</v>
      </c>
      <c r="AO714" s="217">
        <v>46166</v>
      </c>
      <c r="AP714" s="65" t="s">
        <v>177</v>
      </c>
      <c r="AQ714" s="66"/>
      <c r="AR714" s="65"/>
      <c r="AS714" s="65"/>
      <c r="AT714" s="65"/>
      <c r="AU714" s="65"/>
      <c r="AV714" s="65"/>
      <c r="AW714" s="65"/>
      <c r="AX714" s="65"/>
      <c r="AY714" s="118"/>
      <c r="AZ714" s="118"/>
      <c r="BA714" s="118"/>
      <c r="BB714" s="124"/>
    </row>
    <row r="715" spans="1:54" x14ac:dyDescent="0.25">
      <c r="A715" s="117" t="s">
        <v>3584</v>
      </c>
      <c r="B715" s="118" t="s">
        <v>3585</v>
      </c>
      <c r="C715" s="118" t="s">
        <v>3586</v>
      </c>
      <c r="D715" s="119" t="s">
        <v>3587</v>
      </c>
      <c r="E715" s="38" t="s">
        <v>3588</v>
      </c>
      <c r="F715" s="39">
        <v>1</v>
      </c>
      <c r="G715" s="118" t="s">
        <v>16</v>
      </c>
      <c r="H715" s="118" t="s">
        <v>533</v>
      </c>
      <c r="I715" s="40">
        <v>45028.678258414402</v>
      </c>
      <c r="J715" s="38">
        <v>45037.666666666701</v>
      </c>
      <c r="K715" s="38">
        <v>45028.678258414402</v>
      </c>
      <c r="L715" s="40">
        <v>45037.666666666701</v>
      </c>
      <c r="M715" s="41">
        <v>45029</v>
      </c>
      <c r="N715" s="120" t="s">
        <v>10</v>
      </c>
      <c r="O715" s="40" t="s">
        <v>33</v>
      </c>
      <c r="P715" s="38"/>
      <c r="Q715" s="147">
        <v>45033.708333333336</v>
      </c>
      <c r="R715" s="147">
        <v>45035.708333333336</v>
      </c>
      <c r="S715" s="148">
        <v>45051.666666666664</v>
      </c>
      <c r="T715" s="38"/>
      <c r="U715" s="65">
        <f>Tabla1[[#This Row],[PPTO]]/(1+'Lista Datos'!$B$1)</f>
        <v>0</v>
      </c>
      <c r="V715" s="64"/>
      <c r="W715" s="191" t="s">
        <v>10</v>
      </c>
      <c r="X715" s="122"/>
      <c r="Y715" s="122"/>
      <c r="Z715" s="123" t="s">
        <v>10</v>
      </c>
      <c r="AA715" s="118" t="s">
        <v>512</v>
      </c>
      <c r="AB715" s="118"/>
      <c r="AC715" s="118"/>
      <c r="AD715" s="118"/>
      <c r="AE715" s="145">
        <f>Tabla1[[#This Row],[Cierre]]+Tabla1[[#This Row],[Vigencia Oferta (días)]]</f>
        <v>45037.666666666701</v>
      </c>
      <c r="AF715" s="65"/>
      <c r="AG715" s="181"/>
      <c r="AH715" s="192">
        <f>Tabla1[[#This Row],[Unidades2]]*Tabla1[[#This Row],[Precio Unitario]]</f>
        <v>0</v>
      </c>
      <c r="AI715" s="126" t="s">
        <v>270</v>
      </c>
      <c r="AJ715" s="149"/>
      <c r="AK715" s="149">
        <f>Tabla1[[#This Row],[Fecha Vigencia]]-AJ715</f>
        <v>45037.666666666701</v>
      </c>
      <c r="AL715" s="65"/>
      <c r="AM715" s="90"/>
      <c r="AN715" s="65"/>
      <c r="AO715" s="217"/>
      <c r="AP715" s="65"/>
      <c r="AQ715" s="66"/>
      <c r="AR715" s="65"/>
      <c r="AS715" s="65"/>
      <c r="AT715" s="65"/>
      <c r="AU715" s="65"/>
      <c r="AV715" s="65"/>
      <c r="AW715" s="65"/>
      <c r="AX715" s="65"/>
      <c r="AY715" s="118"/>
      <c r="AZ715" s="118"/>
      <c r="BA715" s="118"/>
      <c r="BB715" s="124"/>
    </row>
    <row r="716" spans="1:54" ht="23.25" x14ac:dyDescent="0.25">
      <c r="A716" s="117" t="s">
        <v>3589</v>
      </c>
      <c r="B716" s="118" t="s">
        <v>3590</v>
      </c>
      <c r="C716" s="118" t="s">
        <v>3591</v>
      </c>
      <c r="D716" s="119" t="s">
        <v>3592</v>
      </c>
      <c r="E716" s="38" t="s">
        <v>3593</v>
      </c>
      <c r="F716" s="39">
        <v>100</v>
      </c>
      <c r="G716" s="118" t="s">
        <v>21</v>
      </c>
      <c r="H716" s="118" t="s">
        <v>106</v>
      </c>
      <c r="I716" s="40">
        <v>45028.5402624653</v>
      </c>
      <c r="J716" s="38">
        <v>45034.5</v>
      </c>
      <c r="K716" s="38">
        <v>45028.5402624653</v>
      </c>
      <c r="L716" s="40">
        <v>45034.5</v>
      </c>
      <c r="M716" s="41">
        <v>45029</v>
      </c>
      <c r="N716" s="120" t="s">
        <v>11</v>
      </c>
      <c r="O716" s="40"/>
      <c r="P716" s="38" t="s">
        <v>11</v>
      </c>
      <c r="Q716" s="147">
        <v>45030.5</v>
      </c>
      <c r="R716" s="147">
        <v>45033.5</v>
      </c>
      <c r="S716" s="148">
        <v>45044.708333333336</v>
      </c>
      <c r="T716" s="152">
        <v>61769000</v>
      </c>
      <c r="U716" s="90">
        <f>Tabla1[[#This Row],[PPTO]]/(1+'Lista Datos'!$B$1)</f>
        <v>51906722.689075634</v>
      </c>
      <c r="V716" s="64"/>
      <c r="W716" s="191" t="s">
        <v>10</v>
      </c>
      <c r="X716" s="122"/>
      <c r="Y716" s="122"/>
      <c r="Z716" s="123" t="s">
        <v>10</v>
      </c>
      <c r="AA716" s="118" t="s">
        <v>512</v>
      </c>
      <c r="AB716" s="118"/>
      <c r="AC716" s="118"/>
      <c r="AD716" s="118"/>
      <c r="AE716" s="145">
        <f>Tabla1[[#This Row],[Cierre]]+Tabla1[[#This Row],[Vigencia Oferta (días)]]</f>
        <v>45034.5</v>
      </c>
      <c r="AF716" s="65">
        <v>100</v>
      </c>
      <c r="AG716" s="201">
        <v>19079</v>
      </c>
      <c r="AH716" s="192">
        <f>Tabla1[[#This Row],[Unidades2]]*Tabla1[[#This Row],[Precio Unitario]]</f>
        <v>1907900</v>
      </c>
      <c r="AI716" s="126" t="s">
        <v>44</v>
      </c>
      <c r="AJ716" s="149"/>
      <c r="AK716" s="149">
        <f>Tabla1[[#This Row],[Fecha Vigencia]]-AJ716</f>
        <v>45034.5</v>
      </c>
      <c r="AL716" s="65" t="s">
        <v>46</v>
      </c>
      <c r="AM716" s="90">
        <v>8000</v>
      </c>
      <c r="AN716" s="65"/>
      <c r="AO716" s="217"/>
      <c r="AP716" s="65" t="s">
        <v>292</v>
      </c>
      <c r="AQ716" s="66"/>
      <c r="AR716" s="65"/>
      <c r="AS716" s="65"/>
      <c r="AT716" s="65"/>
      <c r="AU716" s="65"/>
      <c r="AV716" s="65"/>
      <c r="AW716" s="65"/>
      <c r="AX716" s="65"/>
      <c r="AY716" s="118"/>
      <c r="AZ716" s="118"/>
      <c r="BA716" s="118"/>
      <c r="BB716" s="124"/>
    </row>
    <row r="717" spans="1:54" x14ac:dyDescent="0.25">
      <c r="A717" s="117" t="s">
        <v>3594</v>
      </c>
      <c r="B717" s="118" t="s">
        <v>3595</v>
      </c>
      <c r="C717" s="118" t="s">
        <v>3596</v>
      </c>
      <c r="D717" s="119" t="s">
        <v>3597</v>
      </c>
      <c r="E717" s="38" t="s">
        <v>3598</v>
      </c>
      <c r="F717" s="39">
        <v>1</v>
      </c>
      <c r="G717" s="118" t="s">
        <v>20</v>
      </c>
      <c r="H717" s="118" t="s">
        <v>106</v>
      </c>
      <c r="I717" s="40">
        <v>45029.432546296295</v>
      </c>
      <c r="J717" s="38">
        <f>MONTH(Tabla1[[#This Row],[Publicación]])</f>
        <v>4</v>
      </c>
      <c r="K717" s="38">
        <f>YEAR(Tabla1[[#This Row],[Publicación]])</f>
        <v>2023</v>
      </c>
      <c r="L717" s="40">
        <v>45040.625</v>
      </c>
      <c r="M717" s="41">
        <v>45029</v>
      </c>
      <c r="N717" s="120" t="s">
        <v>11</v>
      </c>
      <c r="O717" s="40"/>
      <c r="P717" s="38" t="s">
        <v>11</v>
      </c>
      <c r="Q717" s="147">
        <v>45033.625</v>
      </c>
      <c r="R717" s="147">
        <v>45035.75</v>
      </c>
      <c r="S717" s="148">
        <v>45070.75</v>
      </c>
      <c r="T717" s="196">
        <v>60000000</v>
      </c>
      <c r="U717" s="197">
        <f>Tabla1[[#This Row],[PPTO]]/(1+'Lista Datos'!$B$1)</f>
        <v>50420168.067226894</v>
      </c>
      <c r="V717" s="64">
        <v>45</v>
      </c>
      <c r="W717" s="191" t="s">
        <v>10</v>
      </c>
      <c r="X717" s="122"/>
      <c r="Y717" s="122"/>
      <c r="Z717" s="123" t="s">
        <v>10</v>
      </c>
      <c r="AA717" s="118" t="s">
        <v>177</v>
      </c>
      <c r="AB717" s="118">
        <v>36</v>
      </c>
      <c r="AC717" s="118"/>
      <c r="AD717" s="118">
        <v>60</v>
      </c>
      <c r="AE717" s="145">
        <f>Tabla1[[#This Row],[Cierre]]+Tabla1[[#This Row],[Vigencia Oferta (días)]]</f>
        <v>45100.625</v>
      </c>
      <c r="AF717" s="65"/>
      <c r="AG717" s="181"/>
      <c r="AH717" s="192">
        <f>Tabla1[[#This Row],[Unidades2]]*Tabla1[[#This Row],[Precio Unitario]]</f>
        <v>0</v>
      </c>
      <c r="AI717" s="126" t="s">
        <v>44</v>
      </c>
      <c r="AJ717" s="149">
        <v>45075.382245370369</v>
      </c>
      <c r="AK717" s="149">
        <f>Tabla1[[#This Row],[Fecha Vigencia]]-AJ717</f>
        <v>25.242754629631236</v>
      </c>
      <c r="AL717" s="65" t="s">
        <v>45</v>
      </c>
      <c r="AM717" s="90">
        <v>60000000</v>
      </c>
      <c r="AN717" s="65"/>
      <c r="AO717" s="217"/>
      <c r="AP717" s="65"/>
      <c r="AQ717" s="66"/>
      <c r="AR717" s="65"/>
      <c r="AS717" s="65"/>
      <c r="AT717" s="65"/>
      <c r="AU717" s="65"/>
      <c r="AV717" s="65"/>
      <c r="AW717" s="65"/>
      <c r="AX717" s="65"/>
      <c r="AY717" s="118"/>
      <c r="AZ717" s="118"/>
      <c r="BA717" s="118"/>
      <c r="BB717" s="124"/>
    </row>
    <row r="718" spans="1:54" x14ac:dyDescent="0.25">
      <c r="A718" s="117" t="s">
        <v>3599</v>
      </c>
      <c r="B718" s="118" t="s">
        <v>3600</v>
      </c>
      <c r="C718" s="118" t="s">
        <v>3601</v>
      </c>
      <c r="D718" s="119" t="s">
        <v>464</v>
      </c>
      <c r="E718" s="38" t="s">
        <v>3602</v>
      </c>
      <c r="F718" s="39">
        <v>20</v>
      </c>
      <c r="G718" s="118" t="s">
        <v>21</v>
      </c>
      <c r="H718" s="118" t="s">
        <v>106</v>
      </c>
      <c r="I718" s="40">
        <v>45028.680043669003</v>
      </c>
      <c r="J718" s="38">
        <v>45048.666666666701</v>
      </c>
      <c r="K718" s="38">
        <v>45028.680043669003</v>
      </c>
      <c r="L718" s="40">
        <v>45048.666666666701</v>
      </c>
      <c r="M718" s="41">
        <v>45029</v>
      </c>
      <c r="N718" s="120" t="s">
        <v>10</v>
      </c>
      <c r="O718" s="40" t="s">
        <v>27</v>
      </c>
      <c r="P718" s="38" t="s">
        <v>10</v>
      </c>
      <c r="Q718" s="121"/>
      <c r="R718" s="121"/>
      <c r="S718" s="19"/>
      <c r="T718" s="38"/>
      <c r="U718" s="65">
        <f>Tabla1[[#This Row],[PPTO]]/(1+'Lista Datos'!$B$1)</f>
        <v>0</v>
      </c>
      <c r="V718" s="64"/>
      <c r="W718" s="191"/>
      <c r="X718" s="122"/>
      <c r="Y718" s="122"/>
      <c r="Z718" s="123"/>
      <c r="AA718" s="118"/>
      <c r="AB718" s="118"/>
      <c r="AC718" s="118"/>
      <c r="AD718" s="118"/>
      <c r="AE718" s="145">
        <f>Tabla1[[#This Row],[Cierre]]+Tabla1[[#This Row],[Vigencia Oferta (días)]]</f>
        <v>45048.666666666701</v>
      </c>
      <c r="AF718" s="65">
        <v>20</v>
      </c>
      <c r="AG718" s="201">
        <v>19079</v>
      </c>
      <c r="AH718" s="192">
        <f>Tabla1[[#This Row],[Unidades2]]*Tabla1[[#This Row],[Precio Unitario]]</f>
        <v>381580</v>
      </c>
      <c r="AI718" s="126" t="s">
        <v>270</v>
      </c>
      <c r="AJ718" s="149"/>
      <c r="AK718" s="149">
        <f>Tabla1[[#This Row],[Fecha Vigencia]]-AJ718</f>
        <v>45048.666666666701</v>
      </c>
      <c r="AL718" s="65"/>
      <c r="AM718" s="90"/>
      <c r="AN718" s="65"/>
      <c r="AO718" s="217"/>
      <c r="AP718" s="65"/>
      <c r="AQ718" s="66"/>
      <c r="AR718" s="65"/>
      <c r="AS718" s="65"/>
      <c r="AT718" s="65"/>
      <c r="AU718" s="65"/>
      <c r="AV718" s="65"/>
      <c r="AW718" s="65"/>
      <c r="AX718" s="65"/>
      <c r="AY718" s="118"/>
      <c r="AZ718" s="118"/>
      <c r="BA718" s="118"/>
      <c r="BB718" s="124"/>
    </row>
    <row r="719" spans="1:54" x14ac:dyDescent="0.25">
      <c r="A719" s="117" t="s">
        <v>3599</v>
      </c>
      <c r="B719" s="118" t="s">
        <v>3600</v>
      </c>
      <c r="C719" s="118" t="s">
        <v>3601</v>
      </c>
      <c r="D719" s="119" t="s">
        <v>464</v>
      </c>
      <c r="E719" s="38" t="s">
        <v>3603</v>
      </c>
      <c r="F719" s="39">
        <v>21</v>
      </c>
      <c r="G719" s="118" t="s">
        <v>14</v>
      </c>
      <c r="H719" s="118" t="s">
        <v>520</v>
      </c>
      <c r="I719" s="40">
        <v>45028.680043669003</v>
      </c>
      <c r="J719" s="38">
        <v>45048.666666666701</v>
      </c>
      <c r="K719" s="38">
        <v>45028.680043669003</v>
      </c>
      <c r="L719" s="40">
        <v>45048.666666666701</v>
      </c>
      <c r="M719" s="41">
        <v>45029</v>
      </c>
      <c r="N719" s="120" t="s">
        <v>10</v>
      </c>
      <c r="O719" s="40" t="s">
        <v>25</v>
      </c>
      <c r="P719" s="38"/>
      <c r="Q719" s="121"/>
      <c r="R719" s="121"/>
      <c r="S719" s="19"/>
      <c r="T719" s="38"/>
      <c r="U719" s="65">
        <f>Tabla1[[#This Row],[PPTO]]/(1+'Lista Datos'!$B$1)</f>
        <v>0</v>
      </c>
      <c r="V719" s="198"/>
      <c r="W719" s="199"/>
      <c r="X719" s="122"/>
      <c r="Y719" s="122"/>
      <c r="Z719" s="200"/>
      <c r="AA719" s="118"/>
      <c r="AB719" s="118"/>
      <c r="AC719" s="118"/>
      <c r="AD719" s="118"/>
      <c r="AE719" s="145">
        <f>Tabla1[[#This Row],[Cierre]]+Tabla1[[#This Row],[Vigencia Oferta (días)]]</f>
        <v>45048.666666666701</v>
      </c>
      <c r="AF719" s="65"/>
      <c r="AG719" s="181"/>
      <c r="AH719" s="201">
        <f>Tabla1[[#This Row],[Unidades2]]*Tabla1[[#This Row],[Precio Unitario]]</f>
        <v>0</v>
      </c>
      <c r="AI719" s="202" t="s">
        <v>270</v>
      </c>
      <c r="AJ719" s="149"/>
      <c r="AK719" s="149">
        <f>Tabla1[[#This Row],[Fecha Vigencia]]-AJ719</f>
        <v>45048.666666666701</v>
      </c>
      <c r="AL719" s="65"/>
      <c r="AM719" s="197"/>
      <c r="AN719" s="65"/>
      <c r="AO719" s="219"/>
      <c r="AP719" s="65"/>
      <c r="AQ719" s="66"/>
      <c r="AR719" s="65"/>
      <c r="AS719" s="65"/>
      <c r="AT719" s="65"/>
      <c r="AU719" s="65"/>
      <c r="AV719" s="65"/>
      <c r="AW719" s="65"/>
      <c r="AX719" s="65"/>
      <c r="AY719" s="118"/>
      <c r="AZ719" s="118"/>
      <c r="BA719" s="118"/>
      <c r="BB719" s="124"/>
    </row>
    <row r="720" spans="1:54" x14ac:dyDescent="0.25">
      <c r="A720" s="153" t="s">
        <v>3604</v>
      </c>
      <c r="B720" s="30" t="s">
        <v>3605</v>
      </c>
      <c r="C720" s="30" t="s">
        <v>3606</v>
      </c>
      <c r="D720" s="84" t="s">
        <v>823</v>
      </c>
      <c r="E720" s="24" t="s">
        <v>3607</v>
      </c>
      <c r="F720" s="25">
        <v>1</v>
      </c>
      <c r="G720" s="30" t="s">
        <v>21</v>
      </c>
      <c r="H720" s="30" t="s">
        <v>106</v>
      </c>
      <c r="I720" s="2">
        <v>45029.706250000003</v>
      </c>
      <c r="J720" s="38">
        <f>MONTH(Tabla1[[#This Row],[Publicación]])</f>
        <v>4</v>
      </c>
      <c r="K720" s="38">
        <f>YEAR(Tabla1[[#This Row],[Publicación]])</f>
        <v>2023</v>
      </c>
      <c r="L720" s="2">
        <v>45040.725694444445</v>
      </c>
      <c r="M720" s="26"/>
      <c r="N720" s="85" t="s">
        <v>10</v>
      </c>
      <c r="O720" s="2" t="s">
        <v>32</v>
      </c>
      <c r="P720" s="24" t="s">
        <v>11</v>
      </c>
      <c r="Q720" s="160">
        <v>45032.847222222219</v>
      </c>
      <c r="R720" s="160">
        <v>45036.416666666664</v>
      </c>
      <c r="S720" s="161">
        <v>45054.726388888892</v>
      </c>
      <c r="T720" s="86">
        <v>12000000</v>
      </c>
      <c r="U720" s="91">
        <f>Tabla1[[#This Row],[PPTO]]/(1+'Lista Datos'!$B$1)</f>
        <v>10084033.613445379</v>
      </c>
      <c r="V720" s="67"/>
      <c r="W720" s="193" t="s">
        <v>10</v>
      </c>
      <c r="X720" s="127"/>
      <c r="Y720" s="127"/>
      <c r="Z720" s="154" t="s">
        <v>10</v>
      </c>
      <c r="AA720" s="30" t="s">
        <v>177</v>
      </c>
      <c r="AB720" s="30">
        <v>12</v>
      </c>
      <c r="AC720" s="30"/>
      <c r="AD720" s="30"/>
      <c r="AE720" s="155">
        <f>Tabla1[[#This Row],[Cierre]]+Tabla1[[#This Row],[Vigencia Oferta (días)]]</f>
        <v>45040.725694444445</v>
      </c>
      <c r="AF720" s="68"/>
      <c r="AG720" s="201"/>
      <c r="AH720" s="194">
        <f>Tabla1[[#This Row],[Unidades2]]*Tabla1[[#This Row],[Precio Unitario]]</f>
        <v>0</v>
      </c>
      <c r="AI720" s="97" t="s">
        <v>44</v>
      </c>
      <c r="AJ720" s="104">
        <v>45072</v>
      </c>
      <c r="AK720" s="104">
        <f>Tabla1[[#This Row],[Fecha Vigencia]]-AJ720</f>
        <v>-31.274305555554747</v>
      </c>
      <c r="AL720" s="68" t="s">
        <v>46</v>
      </c>
      <c r="AM720" s="91">
        <v>12000000</v>
      </c>
      <c r="AN720" s="68"/>
      <c r="AO720" s="218"/>
      <c r="AP720" s="68"/>
      <c r="AQ720" s="69"/>
      <c r="AR720" s="68"/>
      <c r="AS720" s="68"/>
      <c r="AT720" s="68"/>
      <c r="AU720" s="68"/>
      <c r="AV720" s="68"/>
      <c r="AW720" s="68"/>
      <c r="AX720" s="68"/>
      <c r="AY720" s="30"/>
      <c r="AZ720" s="30"/>
      <c r="BA720" s="30"/>
      <c r="BB720" s="75"/>
    </row>
    <row r="721" spans="1:54" x14ac:dyDescent="0.25">
      <c r="A721" s="117" t="s">
        <v>3608</v>
      </c>
      <c r="B721" s="118" t="s">
        <v>3609</v>
      </c>
      <c r="C721" s="118" t="s">
        <v>3610</v>
      </c>
      <c r="D721" s="119" t="s">
        <v>3611</v>
      </c>
      <c r="E721" s="38" t="s">
        <v>3612</v>
      </c>
      <c r="F721" s="39">
        <v>2</v>
      </c>
      <c r="G721" s="118" t="s">
        <v>21</v>
      </c>
      <c r="H721" s="118" t="s">
        <v>106</v>
      </c>
      <c r="I721" s="40">
        <v>45029.543617442097</v>
      </c>
      <c r="J721" s="38">
        <v>45035.668055555601</v>
      </c>
      <c r="K721" s="38">
        <v>45029.543617442097</v>
      </c>
      <c r="L721" s="40">
        <v>45035.668055555601</v>
      </c>
      <c r="M721" s="41">
        <v>45033</v>
      </c>
      <c r="N721" s="120" t="s">
        <v>10</v>
      </c>
      <c r="O721" s="40" t="s">
        <v>27</v>
      </c>
      <c r="P721" s="38"/>
      <c r="Q721" s="121"/>
      <c r="R721" s="121"/>
      <c r="S721" s="19"/>
      <c r="T721" s="38"/>
      <c r="U721" s="65">
        <f>Tabla1[[#This Row],[PPTO]]/(1+'Lista Datos'!$B$1)</f>
        <v>0</v>
      </c>
      <c r="V721" s="64"/>
      <c r="W721" s="191"/>
      <c r="X721" s="122"/>
      <c r="Y721" s="122"/>
      <c r="Z721" s="123"/>
      <c r="AA721" s="118"/>
      <c r="AB721" s="118"/>
      <c r="AC721" s="118"/>
      <c r="AD721" s="118"/>
      <c r="AE721" s="145">
        <f>Tabla1[[#This Row],[Cierre]]+Tabla1[[#This Row],[Vigencia Oferta (días)]]</f>
        <v>45035.668055555601</v>
      </c>
      <c r="AF721" s="65"/>
      <c r="AG721" s="181"/>
      <c r="AH721" s="192">
        <f>Tabla1[[#This Row],[Unidades2]]*Tabla1[[#This Row],[Precio Unitario]]</f>
        <v>0</v>
      </c>
      <c r="AI721" s="126" t="s">
        <v>270</v>
      </c>
      <c r="AJ721" s="149"/>
      <c r="AK721" s="149">
        <f>Tabla1[[#This Row],[Fecha Vigencia]]-AJ721</f>
        <v>45035.668055555601</v>
      </c>
      <c r="AL721" s="65"/>
      <c r="AM721" s="90"/>
      <c r="AN721" s="65"/>
      <c r="AO721" s="217"/>
      <c r="AP721" s="65"/>
      <c r="AQ721" s="66"/>
      <c r="AR721" s="65"/>
      <c r="AS721" s="65"/>
      <c r="AT721" s="65"/>
      <c r="AU721" s="65"/>
      <c r="AV721" s="65"/>
      <c r="AW721" s="65"/>
      <c r="AX721" s="65"/>
      <c r="AY721" s="118"/>
      <c r="AZ721" s="118"/>
      <c r="BA721" s="118"/>
      <c r="BB721" s="124"/>
    </row>
    <row r="722" spans="1:54" x14ac:dyDescent="0.25">
      <c r="A722" s="117" t="s">
        <v>3613</v>
      </c>
      <c r="B722" s="118" t="s">
        <v>3614</v>
      </c>
      <c r="C722" s="118" t="s">
        <v>3615</v>
      </c>
      <c r="D722" s="119" t="s">
        <v>364</v>
      </c>
      <c r="E722" s="38" t="s">
        <v>3616</v>
      </c>
      <c r="F722" s="39">
        <v>25</v>
      </c>
      <c r="G722" s="118" t="s">
        <v>21</v>
      </c>
      <c r="H722" s="118" t="s">
        <v>106</v>
      </c>
      <c r="I722" s="40">
        <v>45029.385631169003</v>
      </c>
      <c r="J722" s="38">
        <v>45040.625</v>
      </c>
      <c r="K722" s="38">
        <v>45029.385631169003</v>
      </c>
      <c r="L722" s="40">
        <v>45040.625</v>
      </c>
      <c r="M722" s="41">
        <v>45033</v>
      </c>
      <c r="N722" s="120" t="s">
        <v>10</v>
      </c>
      <c r="O722" s="40" t="s">
        <v>27</v>
      </c>
      <c r="P722" s="38"/>
      <c r="Q722" s="121"/>
      <c r="R722" s="121"/>
      <c r="S722" s="19"/>
      <c r="T722" s="38"/>
      <c r="U722" s="65">
        <f>Tabla1[[#This Row],[PPTO]]/(1+'Lista Datos'!$B$1)</f>
        <v>0</v>
      </c>
      <c r="V722" s="64"/>
      <c r="W722" s="191"/>
      <c r="X722" s="122"/>
      <c r="Y722" s="122"/>
      <c r="Z722" s="123"/>
      <c r="AA722" s="118"/>
      <c r="AB722" s="118"/>
      <c r="AC722" s="118"/>
      <c r="AD722" s="118"/>
      <c r="AE722" s="145">
        <f>Tabla1[[#This Row],[Cierre]]+Tabla1[[#This Row],[Vigencia Oferta (días)]]</f>
        <v>45040.625</v>
      </c>
      <c r="AF722" s="65"/>
      <c r="AG722" s="181"/>
      <c r="AH722" s="192">
        <f>Tabla1[[#This Row],[Unidades2]]*Tabla1[[#This Row],[Precio Unitario]]</f>
        <v>0</v>
      </c>
      <c r="AI722" s="126" t="s">
        <v>270</v>
      </c>
      <c r="AJ722" s="149"/>
      <c r="AK722" s="149">
        <f>Tabla1[[#This Row],[Fecha Vigencia]]-AJ722</f>
        <v>45040.625</v>
      </c>
      <c r="AL722" s="65"/>
      <c r="AM722" s="90"/>
      <c r="AN722" s="65"/>
      <c r="AO722" s="217"/>
      <c r="AP722" s="65"/>
      <c r="AQ722" s="66"/>
      <c r="AR722" s="65"/>
      <c r="AS722" s="65"/>
      <c r="AT722" s="65"/>
      <c r="AU722" s="65"/>
      <c r="AV722" s="65"/>
      <c r="AW722" s="65"/>
      <c r="AX722" s="65"/>
      <c r="AY722" s="118"/>
      <c r="AZ722" s="118"/>
      <c r="BA722" s="118"/>
      <c r="BB722" s="124"/>
    </row>
    <row r="723" spans="1:54" x14ac:dyDescent="0.25">
      <c r="A723" s="117" t="s">
        <v>3617</v>
      </c>
      <c r="B723" s="118" t="s">
        <v>3618</v>
      </c>
      <c r="C723" s="118" t="s">
        <v>3619</v>
      </c>
      <c r="D723" s="119" t="s">
        <v>3620</v>
      </c>
      <c r="E723" s="38" t="s">
        <v>3621</v>
      </c>
      <c r="F723" s="39">
        <v>1</v>
      </c>
      <c r="G723" s="118" t="s">
        <v>14</v>
      </c>
      <c r="H723" s="118" t="s">
        <v>1983</v>
      </c>
      <c r="I723" s="40">
        <v>45030.926111342596</v>
      </c>
      <c r="J723" s="38">
        <v>45040.645833333299</v>
      </c>
      <c r="K723" s="38">
        <v>45030.926111342596</v>
      </c>
      <c r="L723" s="40">
        <v>45040.645833333299</v>
      </c>
      <c r="M723" s="41">
        <v>45033</v>
      </c>
      <c r="N723" s="120" t="s">
        <v>10</v>
      </c>
      <c r="O723" s="40" t="s">
        <v>27</v>
      </c>
      <c r="P723" s="38"/>
      <c r="Q723" s="121"/>
      <c r="R723" s="121"/>
      <c r="S723" s="19"/>
      <c r="T723" s="38"/>
      <c r="U723" s="65">
        <f>Tabla1[[#This Row],[PPTO]]/(1+'Lista Datos'!$B$1)</f>
        <v>0</v>
      </c>
      <c r="V723" s="64"/>
      <c r="W723" s="191"/>
      <c r="X723" s="122"/>
      <c r="Y723" s="122"/>
      <c r="Z723" s="123"/>
      <c r="AA723" s="118"/>
      <c r="AB723" s="118"/>
      <c r="AC723" s="118"/>
      <c r="AD723" s="118"/>
      <c r="AE723" s="145">
        <f>Tabla1[[#This Row],[Cierre]]+Tabla1[[#This Row],[Vigencia Oferta (días)]]</f>
        <v>45040.645833333299</v>
      </c>
      <c r="AF723" s="65"/>
      <c r="AG723" s="181"/>
      <c r="AH723" s="192">
        <f>Tabla1[[#This Row],[Unidades2]]*Tabla1[[#This Row],[Precio Unitario]]</f>
        <v>0</v>
      </c>
      <c r="AI723" s="126" t="s">
        <v>270</v>
      </c>
      <c r="AJ723" s="149"/>
      <c r="AK723" s="149">
        <f>Tabla1[[#This Row],[Fecha Vigencia]]-AJ723</f>
        <v>45040.645833333299</v>
      </c>
      <c r="AL723" s="65"/>
      <c r="AM723" s="90"/>
      <c r="AN723" s="65"/>
      <c r="AO723" s="217"/>
      <c r="AP723" s="65"/>
      <c r="AQ723" s="66"/>
      <c r="AR723" s="65"/>
      <c r="AS723" s="65"/>
      <c r="AT723" s="65"/>
      <c r="AU723" s="65"/>
      <c r="AV723" s="65"/>
      <c r="AW723" s="65"/>
      <c r="AX723" s="65"/>
      <c r="AY723" s="118"/>
      <c r="AZ723" s="118"/>
      <c r="BA723" s="118"/>
      <c r="BB723" s="124"/>
    </row>
    <row r="724" spans="1:54" x14ac:dyDescent="0.25">
      <c r="A724" s="117" t="s">
        <v>3622</v>
      </c>
      <c r="B724" s="118" t="s">
        <v>3623</v>
      </c>
      <c r="C724" s="118" t="s">
        <v>3624</v>
      </c>
      <c r="D724" s="119" t="s">
        <v>702</v>
      </c>
      <c r="E724" s="38" t="s">
        <v>3625</v>
      </c>
      <c r="F724" s="39">
        <v>4</v>
      </c>
      <c r="G724" s="118" t="s">
        <v>14</v>
      </c>
      <c r="H724" s="118" t="s">
        <v>345</v>
      </c>
      <c r="I724" s="40">
        <v>45030.476059490698</v>
      </c>
      <c r="J724" s="38">
        <v>45040.625694444403</v>
      </c>
      <c r="K724" s="38">
        <v>45030.476059490698</v>
      </c>
      <c r="L724" s="40">
        <v>45040.625694444403</v>
      </c>
      <c r="M724" s="41">
        <v>45033</v>
      </c>
      <c r="N724" s="120" t="s">
        <v>10</v>
      </c>
      <c r="O724" s="40" t="s">
        <v>27</v>
      </c>
      <c r="P724" s="38"/>
      <c r="Q724" s="121"/>
      <c r="R724" s="121"/>
      <c r="S724" s="19"/>
      <c r="T724" s="38"/>
      <c r="U724" s="65">
        <f>Tabla1[[#This Row],[PPTO]]/(1+'Lista Datos'!$B$1)</f>
        <v>0</v>
      </c>
      <c r="V724" s="64"/>
      <c r="W724" s="191"/>
      <c r="X724" s="122"/>
      <c r="Y724" s="122"/>
      <c r="Z724" s="123"/>
      <c r="AA724" s="118"/>
      <c r="AB724" s="118"/>
      <c r="AC724" s="118"/>
      <c r="AD724" s="118"/>
      <c r="AE724" s="145">
        <f>Tabla1[[#This Row],[Cierre]]+Tabla1[[#This Row],[Vigencia Oferta (días)]]</f>
        <v>45040.625694444403</v>
      </c>
      <c r="AF724" s="65"/>
      <c r="AG724" s="181"/>
      <c r="AH724" s="192">
        <f>Tabla1[[#This Row],[Unidades2]]*Tabla1[[#This Row],[Precio Unitario]]</f>
        <v>0</v>
      </c>
      <c r="AI724" s="126" t="s">
        <v>270</v>
      </c>
      <c r="AJ724" s="149"/>
      <c r="AK724" s="149">
        <f>Tabla1[[#This Row],[Fecha Vigencia]]-AJ724</f>
        <v>45040.625694444403</v>
      </c>
      <c r="AL724" s="65"/>
      <c r="AM724" s="90"/>
      <c r="AN724" s="65"/>
      <c r="AO724" s="217"/>
      <c r="AP724" s="65"/>
      <c r="AQ724" s="66"/>
      <c r="AR724" s="65"/>
      <c r="AS724" s="65"/>
      <c r="AT724" s="65"/>
      <c r="AU724" s="65"/>
      <c r="AV724" s="65"/>
      <c r="AW724" s="65"/>
      <c r="AX724" s="65"/>
      <c r="AY724" s="118"/>
      <c r="AZ724" s="118"/>
      <c r="BA724" s="118"/>
      <c r="BB724" s="124"/>
    </row>
    <row r="725" spans="1:54" x14ac:dyDescent="0.25">
      <c r="A725" s="117" t="s">
        <v>3626</v>
      </c>
      <c r="B725" s="118" t="s">
        <v>915</v>
      </c>
      <c r="C725" s="118" t="s">
        <v>3627</v>
      </c>
      <c r="D725" s="119" t="s">
        <v>917</v>
      </c>
      <c r="E725" s="38" t="s">
        <v>3628</v>
      </c>
      <c r="F725" s="39">
        <v>20</v>
      </c>
      <c r="G725" s="118" t="s">
        <v>21</v>
      </c>
      <c r="H725" s="118" t="s">
        <v>106</v>
      </c>
      <c r="I725" s="40">
        <v>45030.460262766203</v>
      </c>
      <c r="J725" s="38">
        <v>45037.375</v>
      </c>
      <c r="K725" s="38">
        <v>45030.460262766203</v>
      </c>
      <c r="L725" s="40">
        <v>45037.375</v>
      </c>
      <c r="M725" s="41">
        <v>45033</v>
      </c>
      <c r="N725" s="120" t="s">
        <v>10</v>
      </c>
      <c r="O725" s="40" t="s">
        <v>33</v>
      </c>
      <c r="P725" s="38" t="s">
        <v>10</v>
      </c>
      <c r="Q725" s="147">
        <v>45034.416666666664</v>
      </c>
      <c r="R725" s="147">
        <v>45035.708333333336</v>
      </c>
      <c r="S725" s="148">
        <v>45044.666666666664</v>
      </c>
      <c r="T725" s="38"/>
      <c r="U725" s="65">
        <f>Tabla1[[#This Row],[PPTO]]/(1+'Lista Datos'!$B$1)</f>
        <v>0</v>
      </c>
      <c r="V725" s="64"/>
      <c r="W725" s="191" t="s">
        <v>10</v>
      </c>
      <c r="X725" s="122"/>
      <c r="Y725" s="122"/>
      <c r="Z725" s="123" t="s">
        <v>10</v>
      </c>
      <c r="AA725" s="118" t="s">
        <v>512</v>
      </c>
      <c r="AB725" s="118"/>
      <c r="AC725" s="118"/>
      <c r="AD725" s="118"/>
      <c r="AE725" s="145">
        <f>Tabla1[[#This Row],[Cierre]]+Tabla1[[#This Row],[Vigencia Oferta (días)]]</f>
        <v>45037.375</v>
      </c>
      <c r="AF725" s="65">
        <v>20</v>
      </c>
      <c r="AG725" s="201">
        <v>19079</v>
      </c>
      <c r="AH725" s="192">
        <f>Tabla1[[#This Row],[Unidades2]]*Tabla1[[#This Row],[Precio Unitario]]</f>
        <v>381580</v>
      </c>
      <c r="AI725" s="126" t="s">
        <v>270</v>
      </c>
      <c r="AJ725" s="149"/>
      <c r="AK725" s="149">
        <f>Tabla1[[#This Row],[Fecha Vigencia]]-AJ725</f>
        <v>45037.375</v>
      </c>
      <c r="AL725" s="65"/>
      <c r="AM725" s="90"/>
      <c r="AN725" s="65"/>
      <c r="AO725" s="217"/>
      <c r="AP725" s="65"/>
      <c r="AQ725" s="66"/>
      <c r="AR725" s="65"/>
      <c r="AS725" s="65"/>
      <c r="AT725" s="65"/>
      <c r="AU725" s="65"/>
      <c r="AV725" s="65"/>
      <c r="AW725" s="65"/>
      <c r="AX725" s="65"/>
      <c r="AY725" s="118"/>
      <c r="AZ725" s="118"/>
      <c r="BA725" s="118"/>
      <c r="BB725" s="124"/>
    </row>
    <row r="726" spans="1:54" x14ac:dyDescent="0.25">
      <c r="A726" s="117" t="s">
        <v>3629</v>
      </c>
      <c r="B726" s="118" t="s">
        <v>3630</v>
      </c>
      <c r="C726" s="118" t="s">
        <v>3631</v>
      </c>
      <c r="D726" s="119" t="s">
        <v>3313</v>
      </c>
      <c r="E726" s="38" t="s">
        <v>3314</v>
      </c>
      <c r="F726" s="39">
        <v>1</v>
      </c>
      <c r="G726" s="118" t="s">
        <v>16</v>
      </c>
      <c r="H726" s="118" t="s">
        <v>145</v>
      </c>
      <c r="I726" s="40">
        <v>45033.725571955998</v>
      </c>
      <c r="J726" s="38">
        <v>45054.781944444403</v>
      </c>
      <c r="K726" s="38">
        <v>45033.725571955998</v>
      </c>
      <c r="L726" s="40">
        <v>45054.781944444403</v>
      </c>
      <c r="M726" s="41">
        <v>45034</v>
      </c>
      <c r="N726" s="120" t="s">
        <v>10</v>
      </c>
      <c r="O726" s="40" t="s">
        <v>33</v>
      </c>
      <c r="P726" s="38"/>
      <c r="Q726" s="121"/>
      <c r="R726" s="121"/>
      <c r="S726" s="19"/>
      <c r="T726" s="38"/>
      <c r="U726" s="65">
        <f>Tabla1[[#This Row],[PPTO]]/(1+'Lista Datos'!$B$1)</f>
        <v>0</v>
      </c>
      <c r="V726" s="64"/>
      <c r="W726" s="191"/>
      <c r="X726" s="122"/>
      <c r="Y726" s="122"/>
      <c r="Z726" s="123"/>
      <c r="AA726" s="118"/>
      <c r="AB726" s="118"/>
      <c r="AC726" s="118"/>
      <c r="AD726" s="118"/>
      <c r="AE726" s="145">
        <f>Tabla1[[#This Row],[Cierre]]+Tabla1[[#This Row],[Vigencia Oferta (días)]]</f>
        <v>45054.781944444403</v>
      </c>
      <c r="AF726" s="65"/>
      <c r="AG726" s="181"/>
      <c r="AH726" s="192">
        <f>Tabla1[[#This Row],[Unidades2]]*Tabla1[[#This Row],[Precio Unitario]]</f>
        <v>0</v>
      </c>
      <c r="AI726" s="126" t="s">
        <v>270</v>
      </c>
      <c r="AJ726" s="149"/>
      <c r="AK726" s="149">
        <f>Tabla1[[#This Row],[Fecha Vigencia]]-AJ726</f>
        <v>45054.781944444403</v>
      </c>
      <c r="AL726" s="65"/>
      <c r="AM726" s="90"/>
      <c r="AN726" s="65"/>
      <c r="AO726" s="217"/>
      <c r="AP726" s="65"/>
      <c r="AQ726" s="66"/>
      <c r="AR726" s="65"/>
      <c r="AS726" s="65"/>
      <c r="AT726" s="65"/>
      <c r="AU726" s="65"/>
      <c r="AV726" s="65"/>
      <c r="AW726" s="65"/>
      <c r="AX726" s="65"/>
      <c r="AY726" s="118"/>
      <c r="AZ726" s="118"/>
      <c r="BA726" s="118"/>
      <c r="BB726" s="124"/>
    </row>
    <row r="727" spans="1:54" x14ac:dyDescent="0.25">
      <c r="A727" s="117" t="s">
        <v>3632</v>
      </c>
      <c r="B727" s="118" t="s">
        <v>3633</v>
      </c>
      <c r="C727" s="118" t="s">
        <v>3633</v>
      </c>
      <c r="D727" s="119" t="s">
        <v>3450</v>
      </c>
      <c r="E727" s="38" t="s">
        <v>3634</v>
      </c>
      <c r="F727" s="39">
        <v>1</v>
      </c>
      <c r="G727" s="118" t="s">
        <v>16</v>
      </c>
      <c r="H727" s="118" t="s">
        <v>1983</v>
      </c>
      <c r="I727" s="40">
        <v>45033.463508761597</v>
      </c>
      <c r="J727" s="38">
        <v>45050.509722222203</v>
      </c>
      <c r="K727" s="38">
        <v>45033.463508761597</v>
      </c>
      <c r="L727" s="40">
        <v>45050.509722222203</v>
      </c>
      <c r="M727" s="41">
        <v>45034</v>
      </c>
      <c r="N727" s="120" t="s">
        <v>11</v>
      </c>
      <c r="O727" s="40"/>
      <c r="P727" s="38"/>
      <c r="Q727" s="121"/>
      <c r="R727" s="121"/>
      <c r="S727" s="19"/>
      <c r="T727" s="38"/>
      <c r="U727" s="65">
        <f>Tabla1[[#This Row],[PPTO]]/(1+'Lista Datos'!$B$1)</f>
        <v>0</v>
      </c>
      <c r="V727" s="64"/>
      <c r="W727" s="191"/>
      <c r="X727" s="122"/>
      <c r="Y727" s="122"/>
      <c r="Z727" s="123"/>
      <c r="AA727" s="118" t="s">
        <v>177</v>
      </c>
      <c r="AB727" s="118">
        <v>60</v>
      </c>
      <c r="AC727" s="118"/>
      <c r="AD727" s="118"/>
      <c r="AE727" s="145">
        <f>Tabla1[[#This Row],[Cierre]]+Tabla1[[#This Row],[Vigencia Oferta (días)]]</f>
        <v>45050.509722222203</v>
      </c>
      <c r="AF727" s="65"/>
      <c r="AG727" s="181"/>
      <c r="AH727" s="192">
        <f>Tabla1[[#This Row],[Unidades2]]*Tabla1[[#This Row],[Precio Unitario]]</f>
        <v>0</v>
      </c>
      <c r="AI727" s="126" t="s">
        <v>44</v>
      </c>
      <c r="AJ727" s="149">
        <v>45062</v>
      </c>
      <c r="AK727" s="149">
        <f>Tabla1[[#This Row],[Fecha Vigencia]]-AJ727</f>
        <v>-11.490277777797019</v>
      </c>
      <c r="AL727" s="65" t="s">
        <v>115</v>
      </c>
      <c r="AM727" s="90">
        <v>218847395</v>
      </c>
      <c r="AN727" s="181">
        <v>45062</v>
      </c>
      <c r="AO727" s="217">
        <v>46889</v>
      </c>
      <c r="AP727" s="65" t="s">
        <v>177</v>
      </c>
      <c r="AQ727" s="66" t="s">
        <v>313</v>
      </c>
      <c r="AR727" s="65" t="s">
        <v>11</v>
      </c>
      <c r="AS727" s="65">
        <v>10000000</v>
      </c>
      <c r="AT727" s="181">
        <v>47025</v>
      </c>
      <c r="AU727" s="23" t="s">
        <v>3635</v>
      </c>
      <c r="AV727" s="23" t="s">
        <v>3636</v>
      </c>
      <c r="AW727" s="23" t="s">
        <v>314</v>
      </c>
      <c r="AX727" s="23" t="s">
        <v>315</v>
      </c>
      <c r="AY727" s="118"/>
      <c r="AZ727" s="118"/>
      <c r="BA727" s="118"/>
      <c r="BB727" s="124"/>
    </row>
    <row r="728" spans="1:54" x14ac:dyDescent="0.25">
      <c r="A728" s="117" t="s">
        <v>3637</v>
      </c>
      <c r="B728" s="118" t="s">
        <v>3638</v>
      </c>
      <c r="C728" s="118" t="s">
        <v>3639</v>
      </c>
      <c r="D728" s="119" t="s">
        <v>3640</v>
      </c>
      <c r="E728" s="38" t="s">
        <v>3641</v>
      </c>
      <c r="F728" s="39">
        <v>1800</v>
      </c>
      <c r="G728" s="118" t="s">
        <v>21</v>
      </c>
      <c r="H728" s="118" t="s">
        <v>106</v>
      </c>
      <c r="I728" s="40">
        <v>45033.405035451397</v>
      </c>
      <c r="J728" s="38">
        <v>45043.75</v>
      </c>
      <c r="K728" s="38">
        <v>45033.405035451397</v>
      </c>
      <c r="L728" s="40">
        <v>45043.75</v>
      </c>
      <c r="M728" s="41">
        <v>45034</v>
      </c>
      <c r="N728" s="120" t="s">
        <v>10</v>
      </c>
      <c r="O728" s="40" t="s">
        <v>34</v>
      </c>
      <c r="P728" s="38"/>
      <c r="Q728" s="121"/>
      <c r="R728" s="121"/>
      <c r="S728" s="19"/>
      <c r="T728" s="38"/>
      <c r="U728" s="65">
        <f>Tabla1[[#This Row],[PPTO]]/(1+'Lista Datos'!$B$1)</f>
        <v>0</v>
      </c>
      <c r="V728" s="64"/>
      <c r="W728" s="191"/>
      <c r="X728" s="122"/>
      <c r="Y728" s="122"/>
      <c r="Z728" s="123"/>
      <c r="AA728" s="118"/>
      <c r="AB728" s="118"/>
      <c r="AC728" s="118"/>
      <c r="AD728" s="118"/>
      <c r="AE728" s="145">
        <f>Tabla1[[#This Row],[Cierre]]+Tabla1[[#This Row],[Vigencia Oferta (días)]]</f>
        <v>45043.75</v>
      </c>
      <c r="AF728" s="65"/>
      <c r="AG728" s="181"/>
      <c r="AH728" s="192">
        <f>Tabla1[[#This Row],[Unidades2]]*Tabla1[[#This Row],[Precio Unitario]]</f>
        <v>0</v>
      </c>
      <c r="AI728" s="126" t="s">
        <v>270</v>
      </c>
      <c r="AJ728" s="149"/>
      <c r="AK728" s="149">
        <f>Tabla1[[#This Row],[Fecha Vigencia]]-AJ728</f>
        <v>45043.75</v>
      </c>
      <c r="AL728" s="65"/>
      <c r="AM728" s="90"/>
      <c r="AN728" s="65"/>
      <c r="AO728" s="217"/>
      <c r="AP728" s="65"/>
      <c r="AQ728" s="66"/>
      <c r="AR728" s="65"/>
      <c r="AS728" s="65"/>
      <c r="AT728" s="65"/>
      <c r="AU728" s="65"/>
      <c r="AV728" s="65"/>
      <c r="AW728" s="65"/>
      <c r="AX728" s="65"/>
      <c r="AY728" s="118"/>
      <c r="AZ728" s="118"/>
      <c r="BA728" s="118"/>
      <c r="BB728" s="124"/>
    </row>
    <row r="729" spans="1:54" x14ac:dyDescent="0.25">
      <c r="A729" s="153" t="s">
        <v>3642</v>
      </c>
      <c r="B729" s="30" t="s">
        <v>3643</v>
      </c>
      <c r="C729" s="30" t="s">
        <v>3644</v>
      </c>
      <c r="D729" s="84" t="s">
        <v>3645</v>
      </c>
      <c r="E729" s="24" t="s">
        <v>3646</v>
      </c>
      <c r="F729" s="25">
        <v>12</v>
      </c>
      <c r="G729" s="30" t="s">
        <v>16</v>
      </c>
      <c r="H729" s="30" t="s">
        <v>520</v>
      </c>
      <c r="I729" s="2">
        <v>45034.672149919003</v>
      </c>
      <c r="J729" s="38">
        <v>45043.416666666701</v>
      </c>
      <c r="K729" s="38">
        <v>45034.672149919003</v>
      </c>
      <c r="L729" s="2">
        <v>45043.416666666701</v>
      </c>
      <c r="M729" s="26">
        <v>45035</v>
      </c>
      <c r="N729" s="85" t="s">
        <v>10</v>
      </c>
      <c r="O729" s="2" t="s">
        <v>25</v>
      </c>
      <c r="P729" s="24"/>
      <c r="Q729" s="160">
        <v>45039.999305555553</v>
      </c>
      <c r="R729" s="160">
        <v>45041.5</v>
      </c>
      <c r="S729" s="161">
        <v>45057.708333333336</v>
      </c>
      <c r="T729" s="24"/>
      <c r="U729" s="68">
        <f>Tabla1[[#This Row],[PPTO]]/(1+'Lista Datos'!$B$1)</f>
        <v>0</v>
      </c>
      <c r="V729" s="67"/>
      <c r="W729" s="193" t="s">
        <v>10</v>
      </c>
      <c r="X729" s="127"/>
      <c r="Y729" s="127"/>
      <c r="Z729" s="154" t="s">
        <v>10</v>
      </c>
      <c r="AA729" s="30" t="s">
        <v>177</v>
      </c>
      <c r="AB729" s="30">
        <v>12</v>
      </c>
      <c r="AC729" s="30"/>
      <c r="AD729" s="30"/>
      <c r="AE729" s="145">
        <f>Tabla1[[#This Row],[Cierre]]+Tabla1[[#This Row],[Vigencia Oferta (días)]]</f>
        <v>45043.416666666701</v>
      </c>
      <c r="AF729" s="68"/>
      <c r="AG729" s="157"/>
      <c r="AH729" s="194">
        <f>Tabla1[[#This Row],[Unidades2]]*Tabla1[[#This Row],[Precio Unitario]]</f>
        <v>0</v>
      </c>
      <c r="AI729" s="97" t="s">
        <v>270</v>
      </c>
      <c r="AJ729" s="104"/>
      <c r="AK729" s="104">
        <f>Tabla1[[#This Row],[Fecha Vigencia]]-AJ729</f>
        <v>45043.416666666701</v>
      </c>
      <c r="AL729" s="68"/>
      <c r="AM729" s="91"/>
      <c r="AN729" s="68"/>
      <c r="AO729" s="218"/>
      <c r="AP729" s="68"/>
      <c r="AQ729" s="69"/>
      <c r="AR729" s="68"/>
      <c r="AS729" s="68"/>
      <c r="AT729" s="68"/>
      <c r="AU729" s="68"/>
      <c r="AV729" s="68"/>
      <c r="AW729" s="68"/>
      <c r="AX729" s="68"/>
      <c r="AY729" s="30"/>
      <c r="AZ729" s="30"/>
      <c r="BA729" s="30"/>
      <c r="BB729" s="75"/>
    </row>
    <row r="730" spans="1:54" x14ac:dyDescent="0.25">
      <c r="A730" s="153" t="s">
        <v>3647</v>
      </c>
      <c r="B730" s="30" t="s">
        <v>3648</v>
      </c>
      <c r="C730" s="30" t="s">
        <v>3649</v>
      </c>
      <c r="D730" s="84" t="s">
        <v>2318</v>
      </c>
      <c r="E730" s="24" t="s">
        <v>3650</v>
      </c>
      <c r="F730" s="25">
        <v>240</v>
      </c>
      <c r="G730" s="30" t="s">
        <v>21</v>
      </c>
      <c r="H730" s="30" t="s">
        <v>106</v>
      </c>
      <c r="I730" s="2">
        <v>45034.643573993097</v>
      </c>
      <c r="J730" s="121">
        <v>45044.666666666701</v>
      </c>
      <c r="K730" s="121">
        <v>45034.643573993097</v>
      </c>
      <c r="L730" s="2">
        <v>45044.666666666701</v>
      </c>
      <c r="M730" s="26">
        <v>45035</v>
      </c>
      <c r="N730" s="85" t="s">
        <v>10</v>
      </c>
      <c r="O730" s="2" t="s">
        <v>34</v>
      </c>
      <c r="P730" s="24"/>
      <c r="Q730" s="60"/>
      <c r="R730" s="60"/>
      <c r="S730" s="18"/>
      <c r="T730" s="24"/>
      <c r="U730" s="68">
        <f>Tabla1[[#This Row],[PPTO]]/(1+'Lista Datos'!$B$1)</f>
        <v>0</v>
      </c>
      <c r="V730" s="67"/>
      <c r="W730" s="193"/>
      <c r="X730" s="127"/>
      <c r="Y730" s="127"/>
      <c r="Z730" s="154"/>
      <c r="AA730" s="30"/>
      <c r="AB730" s="30"/>
      <c r="AC730" s="30"/>
      <c r="AD730" s="30"/>
      <c r="AE730" s="145">
        <f>Tabla1[[#This Row],[Cierre]]+Tabla1[[#This Row],[Vigencia Oferta (días)]]</f>
        <v>45044.666666666701</v>
      </c>
      <c r="AF730" s="68"/>
      <c r="AG730" s="157"/>
      <c r="AH730" s="194">
        <f>Tabla1[[#This Row],[Unidades2]]*Tabla1[[#This Row],[Precio Unitario]]</f>
        <v>0</v>
      </c>
      <c r="AI730" s="97" t="s">
        <v>270</v>
      </c>
      <c r="AJ730" s="104"/>
      <c r="AK730" s="104">
        <f>Tabla1[[#This Row],[Fecha Vigencia]]-AJ730</f>
        <v>45044.666666666701</v>
      </c>
      <c r="AL730" s="68"/>
      <c r="AM730" s="91"/>
      <c r="AN730" s="68"/>
      <c r="AO730" s="218"/>
      <c r="AP730" s="68"/>
      <c r="AQ730" s="69"/>
      <c r="AR730" s="68"/>
      <c r="AS730" s="68"/>
      <c r="AT730" s="68"/>
      <c r="AU730" s="68"/>
      <c r="AV730" s="68"/>
      <c r="AW730" s="68"/>
      <c r="AX730" s="68"/>
      <c r="AY730" s="30"/>
      <c r="AZ730" s="30"/>
      <c r="BA730" s="30"/>
      <c r="BB730" s="75"/>
    </row>
    <row r="731" spans="1:54" x14ac:dyDescent="0.25">
      <c r="A731" s="153" t="s">
        <v>3651</v>
      </c>
      <c r="B731" s="30" t="s">
        <v>3652</v>
      </c>
      <c r="C731" s="30" t="s">
        <v>3653</v>
      </c>
      <c r="D731" s="84" t="s">
        <v>1262</v>
      </c>
      <c r="E731" s="24" t="s">
        <v>3654</v>
      </c>
      <c r="F731" s="25">
        <v>10</v>
      </c>
      <c r="G731" s="30" t="s">
        <v>21</v>
      </c>
      <c r="H731" s="30" t="s">
        <v>106</v>
      </c>
      <c r="I731" s="2">
        <v>45034.552099803201</v>
      </c>
      <c r="J731" s="121">
        <v>45048.625694444403</v>
      </c>
      <c r="K731" s="121">
        <v>45034.552099803201</v>
      </c>
      <c r="L731" s="2">
        <v>45048.625694444403</v>
      </c>
      <c r="M731" s="26">
        <v>45035</v>
      </c>
      <c r="N731" s="85" t="s">
        <v>10</v>
      </c>
      <c r="O731" s="2" t="s">
        <v>34</v>
      </c>
      <c r="P731" s="24"/>
      <c r="Q731" s="60"/>
      <c r="R731" s="60"/>
      <c r="S731" s="18"/>
      <c r="T731" s="24"/>
      <c r="U731" s="68">
        <f>Tabla1[[#This Row],[PPTO]]/(1+'Lista Datos'!$B$1)</f>
        <v>0</v>
      </c>
      <c r="V731" s="67"/>
      <c r="W731" s="193"/>
      <c r="X731" s="127"/>
      <c r="Y731" s="127"/>
      <c r="Z731" s="154"/>
      <c r="AA731" s="30"/>
      <c r="AB731" s="30"/>
      <c r="AC731" s="30"/>
      <c r="AD731" s="30"/>
      <c r="AE731" s="145">
        <f>Tabla1[[#This Row],[Cierre]]+Tabla1[[#This Row],[Vigencia Oferta (días)]]</f>
        <v>45048.625694444403</v>
      </c>
      <c r="AF731" s="68"/>
      <c r="AG731" s="157"/>
      <c r="AH731" s="194">
        <f>Tabla1[[#This Row],[Unidades2]]*Tabla1[[#This Row],[Precio Unitario]]</f>
        <v>0</v>
      </c>
      <c r="AI731" s="97" t="s">
        <v>270</v>
      </c>
      <c r="AJ731" s="104"/>
      <c r="AK731" s="104">
        <f>Tabla1[[#This Row],[Fecha Vigencia]]-AJ731</f>
        <v>45048.625694444403</v>
      </c>
      <c r="AL731" s="68"/>
      <c r="AM731" s="91"/>
      <c r="AN731" s="68"/>
      <c r="AO731" s="218"/>
      <c r="AP731" s="68"/>
      <c r="AQ731" s="69"/>
      <c r="AR731" s="68"/>
      <c r="AS731" s="68"/>
      <c r="AT731" s="68"/>
      <c r="AU731" s="68"/>
      <c r="AV731" s="68"/>
      <c r="AW731" s="68"/>
      <c r="AX731" s="68"/>
      <c r="AY731" s="30"/>
      <c r="AZ731" s="30"/>
      <c r="BA731" s="30"/>
      <c r="BB731" s="75"/>
    </row>
    <row r="732" spans="1:54" x14ac:dyDescent="0.25">
      <c r="A732" s="117" t="s">
        <v>3655</v>
      </c>
      <c r="B732" s="118" t="s">
        <v>3656</v>
      </c>
      <c r="C732" s="118" t="s">
        <v>3657</v>
      </c>
      <c r="D732" s="119" t="s">
        <v>1909</v>
      </c>
      <c r="E732" s="38" t="s">
        <v>3658</v>
      </c>
      <c r="F732" s="39">
        <v>1</v>
      </c>
      <c r="G732" s="118" t="s">
        <v>16</v>
      </c>
      <c r="H732" s="118" t="s">
        <v>533</v>
      </c>
      <c r="I732" s="40">
        <v>45034.474868750003</v>
      </c>
      <c r="J732" s="121">
        <v>45054.676388888904</v>
      </c>
      <c r="K732" s="121">
        <v>45034.474868750003</v>
      </c>
      <c r="L732" s="40">
        <v>45054.676388888904</v>
      </c>
      <c r="M732" s="41">
        <v>45035</v>
      </c>
      <c r="N732" s="120" t="s">
        <v>11</v>
      </c>
      <c r="O732" s="40"/>
      <c r="P732" s="38"/>
      <c r="Q732" s="147">
        <v>45044.522916666669</v>
      </c>
      <c r="R732" s="147">
        <v>45049.875</v>
      </c>
      <c r="S732" s="148">
        <v>45117.677083333336</v>
      </c>
      <c r="T732" s="38"/>
      <c r="U732" s="65">
        <f>Tabla1[[#This Row],[PPTO]]/(1+'Lista Datos'!$B$1)</f>
        <v>0</v>
      </c>
      <c r="V732" s="64"/>
      <c r="W732" s="191" t="s">
        <v>11</v>
      </c>
      <c r="X732" s="122" t="s">
        <v>3659</v>
      </c>
      <c r="Y732" s="149">
        <v>45204</v>
      </c>
      <c r="Z732" s="123" t="s">
        <v>11</v>
      </c>
      <c r="AA732" s="118" t="s">
        <v>177</v>
      </c>
      <c r="AB732" s="118">
        <v>24</v>
      </c>
      <c r="AC732" s="118"/>
      <c r="AD732" s="118"/>
      <c r="AE732" s="145">
        <f>Tabla1[[#This Row],[Cierre]]+Tabla1[[#This Row],[Vigencia Oferta (días)]]</f>
        <v>45054.676388888904</v>
      </c>
      <c r="AF732" s="65"/>
      <c r="AG732" s="181"/>
      <c r="AH732" s="192">
        <f>Tabla1[[#This Row],[Unidades2]]*Tabla1[[#This Row],[Precio Unitario]]</f>
        <v>0</v>
      </c>
      <c r="AI732" s="126" t="s">
        <v>44</v>
      </c>
      <c r="AJ732" s="149">
        <v>45079</v>
      </c>
      <c r="AK732" s="149">
        <f>Tabla1[[#This Row],[Fecha Vigencia]]-AJ732</f>
        <v>-24.323611111096398</v>
      </c>
      <c r="AL732" s="65" t="s">
        <v>472</v>
      </c>
      <c r="AM732" s="90">
        <v>250000000</v>
      </c>
      <c r="AN732" s="181">
        <v>45079</v>
      </c>
      <c r="AO732" s="217">
        <v>45810</v>
      </c>
      <c r="AP732" s="65" t="s">
        <v>177</v>
      </c>
      <c r="AQ732" s="66"/>
      <c r="AR732" s="65"/>
      <c r="AS732" s="65"/>
      <c r="AT732" s="65"/>
      <c r="AU732" s="65"/>
      <c r="AV732" s="65"/>
      <c r="AW732" s="65"/>
      <c r="AX732" s="65"/>
      <c r="AY732" s="118"/>
      <c r="AZ732" s="118"/>
      <c r="BA732" s="118"/>
      <c r="BB732" s="124"/>
    </row>
    <row r="733" spans="1:54" x14ac:dyDescent="0.25">
      <c r="A733" s="153" t="s">
        <v>3660</v>
      </c>
      <c r="B733" s="30" t="s">
        <v>3661</v>
      </c>
      <c r="C733" s="30" t="s">
        <v>3662</v>
      </c>
      <c r="D733" s="84" t="s">
        <v>3663</v>
      </c>
      <c r="E733" s="24" t="s">
        <v>3664</v>
      </c>
      <c r="F733" s="25">
        <v>1</v>
      </c>
      <c r="G733" s="30" t="s">
        <v>16</v>
      </c>
      <c r="H733" s="30" t="s">
        <v>145</v>
      </c>
      <c r="I733" s="2">
        <v>45035.547360416698</v>
      </c>
      <c r="J733" s="38">
        <v>45041.658333333296</v>
      </c>
      <c r="K733" s="38">
        <v>45035.547360416698</v>
      </c>
      <c r="L733" s="2">
        <v>45041.658333333296</v>
      </c>
      <c r="M733" s="26">
        <v>45036</v>
      </c>
      <c r="N733" s="85" t="s">
        <v>10</v>
      </c>
      <c r="O733" s="2" t="s">
        <v>25</v>
      </c>
      <c r="P733" s="24"/>
      <c r="Q733" s="160">
        <v>45038.7</v>
      </c>
      <c r="R733" s="160">
        <v>45039.7</v>
      </c>
      <c r="S733" s="161">
        <v>45042.65902777778</v>
      </c>
      <c r="T733" s="24"/>
      <c r="U733" s="68">
        <f>Tabla1[[#This Row],[PPTO]]/(1+'Lista Datos'!$B$1)</f>
        <v>0</v>
      </c>
      <c r="V733" s="67"/>
      <c r="W733" s="193" t="s">
        <v>10</v>
      </c>
      <c r="X733" s="127"/>
      <c r="Y733" s="127"/>
      <c r="Z733" s="154" t="s">
        <v>10</v>
      </c>
      <c r="AA733" s="30" t="s">
        <v>177</v>
      </c>
      <c r="AB733" s="30">
        <v>12</v>
      </c>
      <c r="AC733" s="30"/>
      <c r="AD733" s="30"/>
      <c r="AE733" s="145">
        <f>Tabla1[[#This Row],[Cierre]]+Tabla1[[#This Row],[Vigencia Oferta (días)]]</f>
        <v>45041.658333333296</v>
      </c>
      <c r="AF733" s="68"/>
      <c r="AG733" s="157"/>
      <c r="AH733" s="194">
        <f>Tabla1[[#This Row],[Unidades2]]*Tabla1[[#This Row],[Precio Unitario]]</f>
        <v>0</v>
      </c>
      <c r="AI733" s="97" t="s">
        <v>270</v>
      </c>
      <c r="AJ733" s="104"/>
      <c r="AK733" s="104">
        <f>Tabla1[[#This Row],[Fecha Vigencia]]-AJ733</f>
        <v>45041.658333333296</v>
      </c>
      <c r="AL733" s="68"/>
      <c r="AM733" s="91"/>
      <c r="AN733" s="68"/>
      <c r="AO733" s="218"/>
      <c r="AP733" s="68"/>
      <c r="AQ733" s="69"/>
      <c r="AR733" s="68"/>
      <c r="AS733" s="68"/>
      <c r="AT733" s="68"/>
      <c r="AU733" s="68"/>
      <c r="AV733" s="68"/>
      <c r="AW733" s="68"/>
      <c r="AX733" s="68"/>
      <c r="AY733" s="30"/>
      <c r="AZ733" s="30"/>
      <c r="BA733" s="30"/>
      <c r="BB733" s="75"/>
    </row>
    <row r="734" spans="1:54" x14ac:dyDescent="0.25">
      <c r="A734" s="153" t="s">
        <v>3665</v>
      </c>
      <c r="B734" s="30" t="s">
        <v>3666</v>
      </c>
      <c r="C734" s="30" t="s">
        <v>3667</v>
      </c>
      <c r="D734" s="84" t="s">
        <v>3668</v>
      </c>
      <c r="E734" s="24" t="s">
        <v>3669</v>
      </c>
      <c r="F734" s="25">
        <v>144</v>
      </c>
      <c r="G734" s="30" t="s">
        <v>16</v>
      </c>
      <c r="H734" s="30" t="s">
        <v>145</v>
      </c>
      <c r="I734" s="2">
        <v>45035.4411394329</v>
      </c>
      <c r="J734" s="121">
        <v>45041.501388888901</v>
      </c>
      <c r="K734" s="121">
        <v>45035.4411394329</v>
      </c>
      <c r="L734" s="2">
        <v>45041.501388888901</v>
      </c>
      <c r="M734" s="26">
        <v>45036</v>
      </c>
      <c r="N734" s="85" t="s">
        <v>10</v>
      </c>
      <c r="O734" s="2" t="s">
        <v>25</v>
      </c>
      <c r="P734" s="24"/>
      <c r="Q734" s="60"/>
      <c r="R734" s="60"/>
      <c r="S734" s="18"/>
      <c r="T734" s="24"/>
      <c r="U734" s="68">
        <f>Tabla1[[#This Row],[PPTO]]/(1+'Lista Datos'!$B$1)</f>
        <v>0</v>
      </c>
      <c r="V734" s="67"/>
      <c r="W734" s="193"/>
      <c r="X734" s="127"/>
      <c r="Y734" s="127"/>
      <c r="Z734" s="154"/>
      <c r="AA734" s="30"/>
      <c r="AB734" s="30"/>
      <c r="AC734" s="30"/>
      <c r="AD734" s="30"/>
      <c r="AE734" s="145">
        <f>Tabla1[[#This Row],[Cierre]]+Tabla1[[#This Row],[Vigencia Oferta (días)]]</f>
        <v>45041.501388888901</v>
      </c>
      <c r="AF734" s="68"/>
      <c r="AG734" s="157"/>
      <c r="AH734" s="194">
        <f>Tabla1[[#This Row],[Unidades2]]*Tabla1[[#This Row],[Precio Unitario]]</f>
        <v>0</v>
      </c>
      <c r="AI734" s="97" t="s">
        <v>270</v>
      </c>
      <c r="AJ734" s="104"/>
      <c r="AK734" s="104">
        <f>Tabla1[[#This Row],[Fecha Vigencia]]-AJ734</f>
        <v>45041.501388888901</v>
      </c>
      <c r="AL734" s="68"/>
      <c r="AM734" s="91"/>
      <c r="AN734" s="68"/>
      <c r="AO734" s="218"/>
      <c r="AP734" s="68"/>
      <c r="AQ734" s="69"/>
      <c r="AR734" s="68"/>
      <c r="AS734" s="68"/>
      <c r="AT734" s="68"/>
      <c r="AU734" s="68"/>
      <c r="AV734" s="68"/>
      <c r="AW734" s="68"/>
      <c r="AX734" s="68"/>
      <c r="AY734" s="30"/>
      <c r="AZ734" s="30"/>
      <c r="BA734" s="30"/>
      <c r="BB734" s="75"/>
    </row>
    <row r="735" spans="1:54" x14ac:dyDescent="0.25">
      <c r="A735" s="117" t="s">
        <v>3670</v>
      </c>
      <c r="B735" s="118" t="s">
        <v>3671</v>
      </c>
      <c r="C735" s="118" t="s">
        <v>3672</v>
      </c>
      <c r="D735" s="119" t="s">
        <v>3673</v>
      </c>
      <c r="E735" s="38" t="s">
        <v>3674</v>
      </c>
      <c r="F735" s="39">
        <v>1</v>
      </c>
      <c r="G735" s="118" t="s">
        <v>20</v>
      </c>
      <c r="H735" s="118" t="s">
        <v>106</v>
      </c>
      <c r="I735" s="40">
        <v>45035.427291666667</v>
      </c>
      <c r="J735" s="121">
        <v>45048.625694444447</v>
      </c>
      <c r="K735" s="121">
        <v>45035.427291666667</v>
      </c>
      <c r="L735" s="40">
        <v>45048.625694444447</v>
      </c>
      <c r="M735" s="41">
        <v>45036</v>
      </c>
      <c r="N735" s="120" t="s">
        <v>10</v>
      </c>
      <c r="O735" s="40" t="s">
        <v>33</v>
      </c>
      <c r="P735" s="38"/>
      <c r="Q735" s="121"/>
      <c r="R735" s="121"/>
      <c r="S735" s="19"/>
      <c r="T735" s="38"/>
      <c r="U735" s="65">
        <f>Tabla1[[#This Row],[PPTO]]/(1+'Lista Datos'!$B$1)</f>
        <v>0</v>
      </c>
      <c r="V735" s="64"/>
      <c r="W735" s="191"/>
      <c r="X735" s="122"/>
      <c r="Y735" s="122"/>
      <c r="Z735" s="123"/>
      <c r="AA735" s="118"/>
      <c r="AB735" s="118"/>
      <c r="AC735" s="118"/>
      <c r="AD735" s="118"/>
      <c r="AE735" s="145">
        <f>Tabla1[[#This Row],[Cierre]]+Tabla1[[#This Row],[Vigencia Oferta (días)]]</f>
        <v>45048.625694444447</v>
      </c>
      <c r="AF735" s="65"/>
      <c r="AG735" s="181"/>
      <c r="AH735" s="192">
        <f>Tabla1[[#This Row],[Unidades2]]*Tabla1[[#This Row],[Precio Unitario]]</f>
        <v>0</v>
      </c>
      <c r="AI735" s="126" t="s">
        <v>270</v>
      </c>
      <c r="AJ735" s="149"/>
      <c r="AK735" s="149">
        <f>Tabla1[[#This Row],[Fecha Vigencia]]-AJ735</f>
        <v>45048.625694444447</v>
      </c>
      <c r="AL735" s="65"/>
      <c r="AM735" s="90"/>
      <c r="AN735" s="65"/>
      <c r="AO735" s="217"/>
      <c r="AP735" s="65"/>
      <c r="AQ735" s="66"/>
      <c r="AR735" s="65"/>
      <c r="AS735" s="65"/>
      <c r="AT735" s="65"/>
      <c r="AU735" s="65"/>
      <c r="AV735" s="65"/>
      <c r="AW735" s="65"/>
      <c r="AX735" s="65"/>
      <c r="AY735" s="118"/>
      <c r="AZ735" s="118"/>
      <c r="BA735" s="118"/>
      <c r="BB735" s="124"/>
    </row>
    <row r="736" spans="1:54" x14ac:dyDescent="0.25">
      <c r="A736" s="117" t="s">
        <v>3675</v>
      </c>
      <c r="B736" s="118" t="s">
        <v>3676</v>
      </c>
      <c r="C736" s="118" t="s">
        <v>3677</v>
      </c>
      <c r="D736" s="119" t="s">
        <v>3678</v>
      </c>
      <c r="E736" s="38" t="s">
        <v>3679</v>
      </c>
      <c r="F736" s="39">
        <v>1</v>
      </c>
      <c r="G736" s="118" t="s">
        <v>18</v>
      </c>
      <c r="H736" s="118" t="s">
        <v>213</v>
      </c>
      <c r="I736" s="40">
        <v>45036.6404329051</v>
      </c>
      <c r="J736" s="38">
        <v>45048.708333333299</v>
      </c>
      <c r="K736" s="38">
        <v>45036.6404329051</v>
      </c>
      <c r="L736" s="40">
        <v>45048.708333333299</v>
      </c>
      <c r="M736" s="41">
        <v>45037</v>
      </c>
      <c r="N736" s="120" t="s">
        <v>10</v>
      </c>
      <c r="O736" s="40" t="s">
        <v>28</v>
      </c>
      <c r="P736" s="38"/>
      <c r="Q736" s="121"/>
      <c r="R736" s="121"/>
      <c r="S736" s="19"/>
      <c r="T736" s="38"/>
      <c r="U736" s="65">
        <f>Tabla1[[#This Row],[PPTO]]/(1+'Lista Datos'!$B$1)</f>
        <v>0</v>
      </c>
      <c r="V736" s="64"/>
      <c r="W736" s="191"/>
      <c r="X736" s="122"/>
      <c r="Y736" s="122"/>
      <c r="Z736" s="123"/>
      <c r="AA736" s="118"/>
      <c r="AB736" s="118"/>
      <c r="AC736" s="118"/>
      <c r="AD736" s="118"/>
      <c r="AE736" s="145">
        <f>Tabla1[[#This Row],[Cierre]]+Tabla1[[#This Row],[Vigencia Oferta (días)]]</f>
        <v>45048.708333333299</v>
      </c>
      <c r="AF736" s="65"/>
      <c r="AG736" s="181"/>
      <c r="AH736" s="192">
        <f>Tabla1[[#This Row],[Unidades2]]*Tabla1[[#This Row],[Precio Unitario]]</f>
        <v>0</v>
      </c>
      <c r="AI736" s="126" t="s">
        <v>270</v>
      </c>
      <c r="AJ736" s="149"/>
      <c r="AK736" s="149">
        <f>Tabla1[[#This Row],[Fecha Vigencia]]-AJ736</f>
        <v>45048.708333333299</v>
      </c>
      <c r="AL736" s="65"/>
      <c r="AM736" s="90"/>
      <c r="AN736" s="65"/>
      <c r="AO736" s="217"/>
      <c r="AP736" s="65"/>
      <c r="AQ736" s="66"/>
      <c r="AR736" s="65"/>
      <c r="AS736" s="65"/>
      <c r="AT736" s="65"/>
      <c r="AU736" s="65"/>
      <c r="AV736" s="65"/>
      <c r="AW736" s="65"/>
      <c r="AX736" s="65"/>
      <c r="AY736" s="118"/>
      <c r="AZ736" s="118"/>
      <c r="BA736" s="118"/>
      <c r="BB736" s="124"/>
    </row>
    <row r="737" spans="1:54" x14ac:dyDescent="0.25">
      <c r="A737" s="117" t="s">
        <v>3680</v>
      </c>
      <c r="B737" s="118" t="s">
        <v>3681</v>
      </c>
      <c r="C737" s="118" t="s">
        <v>3682</v>
      </c>
      <c r="D737" s="119" t="s">
        <v>1078</v>
      </c>
      <c r="E737" s="38" t="s">
        <v>3683</v>
      </c>
      <c r="F737" s="39" t="s">
        <v>3684</v>
      </c>
      <c r="G737" s="118" t="s">
        <v>21</v>
      </c>
      <c r="H737" s="118" t="s">
        <v>106</v>
      </c>
      <c r="I737" s="40">
        <v>45036.387949618103</v>
      </c>
      <c r="J737" s="38">
        <v>45048.645833333299</v>
      </c>
      <c r="K737" s="38">
        <v>45036.387949618103</v>
      </c>
      <c r="L737" s="40">
        <v>45048.645833333299</v>
      </c>
      <c r="M737" s="41">
        <v>45037</v>
      </c>
      <c r="N737" s="120" t="s">
        <v>10</v>
      </c>
      <c r="O737" s="40" t="s">
        <v>25</v>
      </c>
      <c r="P737" s="38"/>
      <c r="Q737" s="147">
        <v>45041.416666666664</v>
      </c>
      <c r="R737" s="147">
        <v>45043.416666666664</v>
      </c>
      <c r="S737" s="148">
        <v>45079.625</v>
      </c>
      <c r="T737" s="38"/>
      <c r="U737" s="65">
        <f>Tabla1[[#This Row],[PPTO]]/(1+'Lista Datos'!$B$1)</f>
        <v>0</v>
      </c>
      <c r="V737" s="64"/>
      <c r="W737" s="191" t="s">
        <v>10</v>
      </c>
      <c r="X737" s="122"/>
      <c r="Y737" s="122"/>
      <c r="Z737" s="123" t="s">
        <v>10</v>
      </c>
      <c r="AA737" s="118" t="s">
        <v>177</v>
      </c>
      <c r="AB737" s="118">
        <v>12</v>
      </c>
      <c r="AC737" s="118"/>
      <c r="AD737" s="118"/>
      <c r="AE737" s="145">
        <f>Tabla1[[#This Row],[Cierre]]+Tabla1[[#This Row],[Vigencia Oferta (días)]]</f>
        <v>45048.645833333299</v>
      </c>
      <c r="AF737" s="65"/>
      <c r="AG737" s="181"/>
      <c r="AH737" s="192">
        <f>Tabla1[[#This Row],[Unidades2]]*Tabla1[[#This Row],[Precio Unitario]]</f>
        <v>0</v>
      </c>
      <c r="AI737" s="126" t="s">
        <v>270</v>
      </c>
      <c r="AJ737" s="149"/>
      <c r="AK737" s="149">
        <f>Tabla1[[#This Row],[Fecha Vigencia]]-AJ737</f>
        <v>45048.645833333299</v>
      </c>
      <c r="AL737" s="65"/>
      <c r="AM737" s="90"/>
      <c r="AN737" s="65"/>
      <c r="AO737" s="217"/>
      <c r="AP737" s="65"/>
      <c r="AQ737" s="66"/>
      <c r="AR737" s="65"/>
      <c r="AS737" s="65"/>
      <c r="AT737" s="65"/>
      <c r="AU737" s="65"/>
      <c r="AV737" s="65"/>
      <c r="AW737" s="65"/>
      <c r="AX737" s="65"/>
      <c r="AY737" s="118"/>
      <c r="AZ737" s="118"/>
      <c r="BA737" s="118"/>
      <c r="BB737" s="124"/>
    </row>
    <row r="738" spans="1:54" x14ac:dyDescent="0.25">
      <c r="A738" s="117" t="s">
        <v>3685</v>
      </c>
      <c r="B738" s="118" t="s">
        <v>3686</v>
      </c>
      <c r="C738" s="118" t="s">
        <v>3687</v>
      </c>
      <c r="D738" s="119" t="s">
        <v>2815</v>
      </c>
      <c r="E738" s="38" t="s">
        <v>3688</v>
      </c>
      <c r="F738" s="39">
        <v>1</v>
      </c>
      <c r="G738" s="118" t="s">
        <v>21</v>
      </c>
      <c r="H738" s="118" t="s">
        <v>106</v>
      </c>
      <c r="I738" s="40">
        <v>45042.447616932899</v>
      </c>
      <c r="J738" s="38">
        <v>45054.625</v>
      </c>
      <c r="K738" s="38">
        <v>45042.447616932899</v>
      </c>
      <c r="L738" s="40">
        <v>45054.625</v>
      </c>
      <c r="M738" s="41">
        <v>45043</v>
      </c>
      <c r="N738" s="120" t="s">
        <v>10</v>
      </c>
      <c r="O738" s="40" t="s">
        <v>27</v>
      </c>
      <c r="P738" s="38"/>
      <c r="Q738" s="121"/>
      <c r="R738" s="121"/>
      <c r="S738" s="19"/>
      <c r="T738" s="38"/>
      <c r="U738" s="65">
        <f>Tabla1[[#This Row],[PPTO]]/(1+'Lista Datos'!$B$1)</f>
        <v>0</v>
      </c>
      <c r="V738" s="64"/>
      <c r="W738" s="191"/>
      <c r="X738" s="122"/>
      <c r="Y738" s="122"/>
      <c r="Z738" s="123"/>
      <c r="AA738" s="118"/>
      <c r="AB738" s="118"/>
      <c r="AC738" s="118"/>
      <c r="AD738" s="118"/>
      <c r="AE738" s="145">
        <f>Tabla1[[#This Row],[Cierre]]+Tabla1[[#This Row],[Vigencia Oferta (días)]]</f>
        <v>45054.625</v>
      </c>
      <c r="AF738" s="65"/>
      <c r="AG738" s="181"/>
      <c r="AH738" s="192">
        <f>Tabla1[[#This Row],[Unidades2]]*Tabla1[[#This Row],[Precio Unitario]]</f>
        <v>0</v>
      </c>
      <c r="AI738" s="126" t="s">
        <v>270</v>
      </c>
      <c r="AJ738" s="149"/>
      <c r="AK738" s="149">
        <f>Tabla1[[#This Row],[Fecha Vigencia]]-AJ738</f>
        <v>45054.625</v>
      </c>
      <c r="AL738" s="65"/>
      <c r="AM738" s="90"/>
      <c r="AN738" s="65"/>
      <c r="AO738" s="217"/>
      <c r="AP738" s="65"/>
      <c r="AQ738" s="66"/>
      <c r="AR738" s="65"/>
      <c r="AS738" s="65"/>
      <c r="AT738" s="65"/>
      <c r="AU738" s="65"/>
      <c r="AV738" s="65"/>
      <c r="AW738" s="65"/>
      <c r="AX738" s="65"/>
      <c r="AY738" s="118"/>
      <c r="AZ738" s="118"/>
      <c r="BA738" s="118"/>
      <c r="BB738" s="124"/>
    </row>
    <row r="739" spans="1:54" x14ac:dyDescent="0.25">
      <c r="A739" s="117" t="s">
        <v>3689</v>
      </c>
      <c r="B739" s="118" t="s">
        <v>3690</v>
      </c>
      <c r="C739" s="118" t="s">
        <v>3691</v>
      </c>
      <c r="D739" s="119" t="s">
        <v>847</v>
      </c>
      <c r="E739" s="38" t="s">
        <v>3692</v>
      </c>
      <c r="F739" s="39">
        <v>1</v>
      </c>
      <c r="G739" s="118" t="s">
        <v>16</v>
      </c>
      <c r="H739" s="118" t="s">
        <v>520</v>
      </c>
      <c r="I739" s="40">
        <v>45041.715543206003</v>
      </c>
      <c r="J739" s="38">
        <v>45051.625694444403</v>
      </c>
      <c r="K739" s="38">
        <v>45041.715543206003</v>
      </c>
      <c r="L739" s="40">
        <v>45051.625694444403</v>
      </c>
      <c r="M739" s="41">
        <v>45043</v>
      </c>
      <c r="N739" s="120" t="s">
        <v>10</v>
      </c>
      <c r="O739" s="40" t="s">
        <v>29</v>
      </c>
      <c r="P739" s="38"/>
      <c r="Q739" s="147">
        <v>45043.999305555553</v>
      </c>
      <c r="R739" s="147">
        <v>45049.729166666664</v>
      </c>
      <c r="S739" s="148">
        <v>45082.729166666664</v>
      </c>
      <c r="T739" s="152">
        <v>20000000</v>
      </c>
      <c r="U739" s="90">
        <f>Tabla1[[#This Row],[PPTO]]/(1+'Lista Datos'!$B$1)</f>
        <v>16806722.68907563</v>
      </c>
      <c r="V739" s="64"/>
      <c r="W739" s="191" t="s">
        <v>11</v>
      </c>
      <c r="X739" s="122">
        <v>500000</v>
      </c>
      <c r="Y739" s="149">
        <v>45112</v>
      </c>
      <c r="Z739" s="123" t="s">
        <v>10</v>
      </c>
      <c r="AA739" s="118" t="s">
        <v>177</v>
      </c>
      <c r="AB739" s="118">
        <v>24</v>
      </c>
      <c r="AC739" s="118"/>
      <c r="AD739" s="118"/>
      <c r="AE739" s="145">
        <f>Tabla1[[#This Row],[Cierre]]+Tabla1[[#This Row],[Vigencia Oferta (días)]]</f>
        <v>45051.625694444403</v>
      </c>
      <c r="AF739" s="65"/>
      <c r="AG739" s="181"/>
      <c r="AH739" s="192">
        <f>Tabla1[[#This Row],[Unidades2]]*Tabla1[[#This Row],[Precio Unitario]]</f>
        <v>0</v>
      </c>
      <c r="AI739" s="126" t="s">
        <v>270</v>
      </c>
      <c r="AJ739" s="149"/>
      <c r="AK739" s="149">
        <f>Tabla1[[#This Row],[Fecha Vigencia]]-AJ739</f>
        <v>45051.625694444403</v>
      </c>
      <c r="AL739" s="65"/>
      <c r="AM739" s="90"/>
      <c r="AN739" s="65"/>
      <c r="AO739" s="217"/>
      <c r="AP739" s="65"/>
      <c r="AQ739" s="66"/>
      <c r="AR739" s="65"/>
      <c r="AS739" s="65"/>
      <c r="AT739" s="65"/>
      <c r="AU739" s="65"/>
      <c r="AV739" s="65"/>
      <c r="AW739" s="65"/>
      <c r="AX739" s="65"/>
      <c r="AY739" s="118"/>
      <c r="AZ739" s="118"/>
      <c r="BA739" s="118"/>
      <c r="BB739" s="124"/>
    </row>
    <row r="740" spans="1:54" x14ac:dyDescent="0.25">
      <c r="A740" s="117" t="s">
        <v>3693</v>
      </c>
      <c r="B740" s="118" t="s">
        <v>3694</v>
      </c>
      <c r="C740" s="118" t="s">
        <v>3695</v>
      </c>
      <c r="D740" s="119" t="s">
        <v>3696</v>
      </c>
      <c r="E740" s="38" t="s">
        <v>3697</v>
      </c>
      <c r="F740" s="39">
        <v>50</v>
      </c>
      <c r="G740" s="118" t="s">
        <v>14</v>
      </c>
      <c r="H740" s="118" t="s">
        <v>520</v>
      </c>
      <c r="I740" s="40">
        <v>45041.531763541701</v>
      </c>
      <c r="J740" s="38">
        <v>45061.625694444403</v>
      </c>
      <c r="K740" s="38">
        <v>45041.531763541701</v>
      </c>
      <c r="L740" s="40">
        <v>45061.625694444403</v>
      </c>
      <c r="M740" s="41">
        <v>45043</v>
      </c>
      <c r="N740" s="120" t="s">
        <v>10</v>
      </c>
      <c r="O740" s="40" t="s">
        <v>27</v>
      </c>
      <c r="P740" s="38"/>
      <c r="Q740" s="121"/>
      <c r="R740" s="121"/>
      <c r="S740" s="19"/>
      <c r="T740" s="38"/>
      <c r="U740" s="65">
        <f>Tabla1[[#This Row],[PPTO]]/(1+'Lista Datos'!$B$1)</f>
        <v>0</v>
      </c>
      <c r="V740" s="64"/>
      <c r="W740" s="191"/>
      <c r="X740" s="122"/>
      <c r="Y740" s="122"/>
      <c r="Z740" s="123"/>
      <c r="AA740" s="118"/>
      <c r="AB740" s="118"/>
      <c r="AC740" s="118"/>
      <c r="AD740" s="118"/>
      <c r="AE740" s="145">
        <f>Tabla1[[#This Row],[Cierre]]+Tabla1[[#This Row],[Vigencia Oferta (días)]]</f>
        <v>45061.625694444403</v>
      </c>
      <c r="AF740" s="65"/>
      <c r="AG740" s="181"/>
      <c r="AH740" s="192">
        <f>Tabla1[[#This Row],[Unidades2]]*Tabla1[[#This Row],[Precio Unitario]]</f>
        <v>0</v>
      </c>
      <c r="AI740" s="126" t="s">
        <v>270</v>
      </c>
      <c r="AJ740" s="149"/>
      <c r="AK740" s="149">
        <f>Tabla1[[#This Row],[Fecha Vigencia]]-AJ740</f>
        <v>45061.625694444403</v>
      </c>
      <c r="AL740" s="65"/>
      <c r="AM740" s="90"/>
      <c r="AN740" s="65"/>
      <c r="AO740" s="217"/>
      <c r="AP740" s="65"/>
      <c r="AQ740" s="66"/>
      <c r="AR740" s="65"/>
      <c r="AS740" s="65"/>
      <c r="AT740" s="65"/>
      <c r="AU740" s="65"/>
      <c r="AV740" s="65"/>
      <c r="AW740" s="65"/>
      <c r="AX740" s="65"/>
      <c r="AY740" s="118"/>
      <c r="AZ740" s="118"/>
      <c r="BA740" s="118"/>
      <c r="BB740" s="124"/>
    </row>
    <row r="741" spans="1:54" x14ac:dyDescent="0.25">
      <c r="A741" s="117" t="s">
        <v>3698</v>
      </c>
      <c r="B741" s="118" t="s">
        <v>3699</v>
      </c>
      <c r="C741" s="118" t="s">
        <v>3700</v>
      </c>
      <c r="D741" s="119" t="s">
        <v>3701</v>
      </c>
      <c r="E741" s="38" t="s">
        <v>3702</v>
      </c>
      <c r="F741" s="39">
        <v>3</v>
      </c>
      <c r="G741" s="118" t="s">
        <v>21</v>
      </c>
      <c r="H741" s="118" t="s">
        <v>106</v>
      </c>
      <c r="I741" s="40">
        <v>45040.711652002297</v>
      </c>
      <c r="J741" s="38">
        <v>45054.630555555603</v>
      </c>
      <c r="K741" s="38">
        <v>45040.711652002297</v>
      </c>
      <c r="L741" s="40">
        <v>45054.630555555603</v>
      </c>
      <c r="M741" s="41">
        <v>45043</v>
      </c>
      <c r="N741" s="120" t="s">
        <v>10</v>
      </c>
      <c r="O741" s="40" t="s">
        <v>27</v>
      </c>
      <c r="P741" s="38"/>
      <c r="Q741" s="121"/>
      <c r="R741" s="121"/>
      <c r="S741" s="19"/>
      <c r="T741" s="38"/>
      <c r="U741" s="65">
        <f>Tabla1[[#This Row],[PPTO]]/(1+'Lista Datos'!$B$1)</f>
        <v>0</v>
      </c>
      <c r="V741" s="64"/>
      <c r="W741" s="191"/>
      <c r="X741" s="122"/>
      <c r="Y741" s="122"/>
      <c r="Z741" s="123"/>
      <c r="AA741" s="118"/>
      <c r="AB741" s="118"/>
      <c r="AC741" s="118"/>
      <c r="AD741" s="118"/>
      <c r="AE741" s="145">
        <f>Tabla1[[#This Row],[Cierre]]+Tabla1[[#This Row],[Vigencia Oferta (días)]]</f>
        <v>45054.630555555603</v>
      </c>
      <c r="AF741" s="65"/>
      <c r="AG741" s="181"/>
      <c r="AH741" s="192">
        <f>Tabla1[[#This Row],[Unidades2]]*Tabla1[[#This Row],[Precio Unitario]]</f>
        <v>0</v>
      </c>
      <c r="AI741" s="126" t="s">
        <v>270</v>
      </c>
      <c r="AJ741" s="149"/>
      <c r="AK741" s="149">
        <f>Tabla1[[#This Row],[Fecha Vigencia]]-AJ741</f>
        <v>45054.630555555603</v>
      </c>
      <c r="AL741" s="65"/>
      <c r="AM741" s="90"/>
      <c r="AN741" s="65"/>
      <c r="AO741" s="217"/>
      <c r="AP741" s="65"/>
      <c r="AQ741" s="66"/>
      <c r="AR741" s="65"/>
      <c r="AS741" s="65"/>
      <c r="AT741" s="65"/>
      <c r="AU741" s="65"/>
      <c r="AV741" s="65"/>
      <c r="AW741" s="65"/>
      <c r="AX741" s="65"/>
      <c r="AY741" s="118"/>
      <c r="AZ741" s="118"/>
      <c r="BA741" s="118"/>
      <c r="BB741" s="124"/>
    </row>
    <row r="742" spans="1:54" x14ac:dyDescent="0.25">
      <c r="A742" s="117" t="s">
        <v>3703</v>
      </c>
      <c r="B742" s="118" t="s">
        <v>3704</v>
      </c>
      <c r="C742" s="118" t="s">
        <v>3705</v>
      </c>
      <c r="D742" s="119" t="s">
        <v>3706</v>
      </c>
      <c r="E742" s="38" t="s">
        <v>3707</v>
      </c>
      <c r="F742" s="39">
        <v>3</v>
      </c>
      <c r="G742" s="118" t="s">
        <v>21</v>
      </c>
      <c r="H742" s="118" t="s">
        <v>106</v>
      </c>
      <c r="I742" s="40">
        <v>45040.652925578703</v>
      </c>
      <c r="J742" s="38">
        <v>45050.645833333299</v>
      </c>
      <c r="K742" s="38">
        <v>45040.652925578703</v>
      </c>
      <c r="L742" s="40">
        <v>45050.645833333299</v>
      </c>
      <c r="M742" s="41">
        <v>45043</v>
      </c>
      <c r="N742" s="120" t="s">
        <v>10</v>
      </c>
      <c r="O742" s="40" t="s">
        <v>27</v>
      </c>
      <c r="P742" s="38"/>
      <c r="Q742" s="121"/>
      <c r="R742" s="121"/>
      <c r="S742" s="19"/>
      <c r="T742" s="38"/>
      <c r="U742" s="65">
        <f>Tabla1[[#This Row],[PPTO]]/(1+'Lista Datos'!$B$1)</f>
        <v>0</v>
      </c>
      <c r="V742" s="64"/>
      <c r="W742" s="191"/>
      <c r="X742" s="122"/>
      <c r="Y742" s="122"/>
      <c r="Z742" s="123"/>
      <c r="AA742" s="118"/>
      <c r="AB742" s="118"/>
      <c r="AC742" s="118"/>
      <c r="AD742" s="118"/>
      <c r="AE742" s="145">
        <f>Tabla1[[#This Row],[Cierre]]+Tabla1[[#This Row],[Vigencia Oferta (días)]]</f>
        <v>45050.645833333299</v>
      </c>
      <c r="AF742" s="65"/>
      <c r="AG742" s="181"/>
      <c r="AH742" s="192">
        <f>Tabla1[[#This Row],[Unidades2]]*Tabla1[[#This Row],[Precio Unitario]]</f>
        <v>0</v>
      </c>
      <c r="AI742" s="126" t="s">
        <v>270</v>
      </c>
      <c r="AJ742" s="149"/>
      <c r="AK742" s="149">
        <f>Tabla1[[#This Row],[Fecha Vigencia]]-AJ742</f>
        <v>45050.645833333299</v>
      </c>
      <c r="AL742" s="65"/>
      <c r="AM742" s="90"/>
      <c r="AN742" s="65"/>
      <c r="AO742" s="217"/>
      <c r="AP742" s="65"/>
      <c r="AQ742" s="66"/>
      <c r="AR742" s="65"/>
      <c r="AS742" s="65"/>
      <c r="AT742" s="65"/>
      <c r="AU742" s="65"/>
      <c r="AV742" s="65"/>
      <c r="AW742" s="65"/>
      <c r="AX742" s="65"/>
      <c r="AY742" s="118"/>
      <c r="AZ742" s="118"/>
      <c r="BA742" s="118"/>
      <c r="BB742" s="124"/>
    </row>
    <row r="743" spans="1:54" x14ac:dyDescent="0.25">
      <c r="A743" s="117" t="s">
        <v>3708</v>
      </c>
      <c r="B743" s="118" t="s">
        <v>3709</v>
      </c>
      <c r="C743" s="118" t="s">
        <v>3710</v>
      </c>
      <c r="D743" s="119" t="s">
        <v>264</v>
      </c>
      <c r="E743" s="38" t="s">
        <v>3711</v>
      </c>
      <c r="F743" s="39">
        <v>1</v>
      </c>
      <c r="G743" s="118" t="s">
        <v>18</v>
      </c>
      <c r="H743" s="118" t="s">
        <v>213</v>
      </c>
      <c r="I743" s="40">
        <v>45037.693365891202</v>
      </c>
      <c r="J743" s="38">
        <v>45048.625694444403</v>
      </c>
      <c r="K743" s="38">
        <v>45037.693365891202</v>
      </c>
      <c r="L743" s="40">
        <v>45048.625694444403</v>
      </c>
      <c r="M743" s="41">
        <v>45043</v>
      </c>
      <c r="N743" s="120" t="s">
        <v>10</v>
      </c>
      <c r="O743" s="40" t="s">
        <v>28</v>
      </c>
      <c r="P743" s="38"/>
      <c r="Q743" s="121"/>
      <c r="R743" s="121"/>
      <c r="S743" s="19"/>
      <c r="T743" s="38"/>
      <c r="U743" s="65">
        <f>Tabla1[[#This Row],[PPTO]]/(1+'Lista Datos'!$B$1)</f>
        <v>0</v>
      </c>
      <c r="V743" s="64"/>
      <c r="W743" s="191"/>
      <c r="X743" s="122"/>
      <c r="Y743" s="122"/>
      <c r="Z743" s="123"/>
      <c r="AA743" s="118"/>
      <c r="AB743" s="118"/>
      <c r="AC743" s="118"/>
      <c r="AD743" s="118"/>
      <c r="AE743" s="145">
        <f>Tabla1[[#This Row],[Cierre]]+Tabla1[[#This Row],[Vigencia Oferta (días)]]</f>
        <v>45048.625694444403</v>
      </c>
      <c r="AF743" s="65"/>
      <c r="AG743" s="181"/>
      <c r="AH743" s="192">
        <f>Tabla1[[#This Row],[Unidades2]]*Tabla1[[#This Row],[Precio Unitario]]</f>
        <v>0</v>
      </c>
      <c r="AI743" s="126" t="s">
        <v>270</v>
      </c>
      <c r="AJ743" s="149"/>
      <c r="AK743" s="149">
        <f>Tabla1[[#This Row],[Fecha Vigencia]]-AJ743</f>
        <v>45048.625694444403</v>
      </c>
      <c r="AL743" s="65"/>
      <c r="AM743" s="90"/>
      <c r="AN743" s="65"/>
      <c r="AO743" s="217"/>
      <c r="AP743" s="65"/>
      <c r="AQ743" s="66"/>
      <c r="AR743" s="65"/>
      <c r="AS743" s="65"/>
      <c r="AT743" s="65"/>
      <c r="AU743" s="65"/>
      <c r="AV743" s="65"/>
      <c r="AW743" s="65"/>
      <c r="AX743" s="65"/>
      <c r="AY743" s="118"/>
      <c r="AZ743" s="118"/>
      <c r="BA743" s="118"/>
      <c r="BB743" s="124"/>
    </row>
    <row r="744" spans="1:54" x14ac:dyDescent="0.25">
      <c r="A744" s="153" t="s">
        <v>3712</v>
      </c>
      <c r="B744" s="30" t="s">
        <v>3713</v>
      </c>
      <c r="C744" s="30" t="s">
        <v>3714</v>
      </c>
      <c r="D744" s="84" t="s">
        <v>3678</v>
      </c>
      <c r="E744" s="24" t="s">
        <v>3715</v>
      </c>
      <c r="F744" s="25">
        <v>1</v>
      </c>
      <c r="G744" s="30" t="s">
        <v>3716</v>
      </c>
      <c r="H744" s="30" t="s">
        <v>213</v>
      </c>
      <c r="I744" s="2">
        <v>45037.416661423602</v>
      </c>
      <c r="J744" s="38">
        <v>45048.708333333299</v>
      </c>
      <c r="K744" s="38">
        <v>45037.416661423602</v>
      </c>
      <c r="L744" s="2">
        <v>45048.708333333299</v>
      </c>
      <c r="M744" s="41">
        <v>45043</v>
      </c>
      <c r="N744" s="85" t="s">
        <v>10</v>
      </c>
      <c r="O744" s="2" t="s">
        <v>28</v>
      </c>
      <c r="P744" s="24"/>
      <c r="Q744" s="60"/>
      <c r="R744" s="60"/>
      <c r="S744" s="18"/>
      <c r="T744" s="24"/>
      <c r="U744" s="68">
        <f>Tabla1[[#This Row],[PPTO]]/(1+'Lista Datos'!$B$1)</f>
        <v>0</v>
      </c>
      <c r="V744" s="67"/>
      <c r="W744" s="193"/>
      <c r="X744" s="127"/>
      <c r="Y744" s="127"/>
      <c r="Z744" s="154"/>
      <c r="AA744" s="30"/>
      <c r="AB744" s="30"/>
      <c r="AC744" s="30"/>
      <c r="AD744" s="30"/>
      <c r="AE744" s="145">
        <f>Tabla1[[#This Row],[Cierre]]+Tabla1[[#This Row],[Vigencia Oferta (días)]]</f>
        <v>45048.708333333299</v>
      </c>
      <c r="AF744" s="68"/>
      <c r="AG744" s="157"/>
      <c r="AH744" s="194">
        <f>Tabla1[[#This Row],[Unidades2]]*Tabla1[[#This Row],[Precio Unitario]]</f>
        <v>0</v>
      </c>
      <c r="AI744" s="97" t="s">
        <v>270</v>
      </c>
      <c r="AJ744" s="104"/>
      <c r="AK744" s="104">
        <f>Tabla1[[#This Row],[Fecha Vigencia]]-AJ744</f>
        <v>45048.708333333299</v>
      </c>
      <c r="AL744" s="68"/>
      <c r="AM744" s="91"/>
      <c r="AN744" s="68"/>
      <c r="AO744" s="218"/>
      <c r="AP744" s="68"/>
      <c r="AQ744" s="69"/>
      <c r="AR744" s="68"/>
      <c r="AS744" s="68"/>
      <c r="AT744" s="68"/>
      <c r="AU744" s="68"/>
      <c r="AV744" s="68"/>
      <c r="AW744" s="68"/>
      <c r="AX744" s="68"/>
      <c r="AY744" s="30"/>
      <c r="AZ744" s="30"/>
      <c r="BA744" s="30"/>
      <c r="BB744" s="75"/>
    </row>
    <row r="745" spans="1:54" x14ac:dyDescent="0.25">
      <c r="A745" s="117" t="s">
        <v>3717</v>
      </c>
      <c r="B745" s="118" t="s">
        <v>3718</v>
      </c>
      <c r="C745" s="118" t="s">
        <v>3719</v>
      </c>
      <c r="D745" s="119" t="s">
        <v>829</v>
      </c>
      <c r="E745" s="38" t="s">
        <v>3720</v>
      </c>
      <c r="F745" s="39">
        <v>8</v>
      </c>
      <c r="G745" s="118" t="s">
        <v>16</v>
      </c>
      <c r="H745" s="118" t="s">
        <v>533</v>
      </c>
      <c r="I745" s="40">
        <v>45037.407324849497</v>
      </c>
      <c r="J745" s="121">
        <v>45044.563888888901</v>
      </c>
      <c r="K745" s="121">
        <v>45037.407324849497</v>
      </c>
      <c r="L745" s="40">
        <v>45044.563888888901</v>
      </c>
      <c r="M745" s="41">
        <v>45043</v>
      </c>
      <c r="N745" s="120" t="s">
        <v>10</v>
      </c>
      <c r="O745" s="40" t="s">
        <v>35</v>
      </c>
      <c r="P745" s="38"/>
      <c r="Q745" s="121"/>
      <c r="R745" s="121"/>
      <c r="S745" s="19"/>
      <c r="T745" s="38"/>
      <c r="U745" s="65">
        <f>Tabla1[[#This Row],[PPTO]]/(1+'Lista Datos'!$B$1)</f>
        <v>0</v>
      </c>
      <c r="V745" s="64"/>
      <c r="W745" s="191"/>
      <c r="X745" s="122"/>
      <c r="Y745" s="122"/>
      <c r="Z745" s="123"/>
      <c r="AA745" s="118"/>
      <c r="AB745" s="118"/>
      <c r="AC745" s="118"/>
      <c r="AD745" s="118"/>
      <c r="AE745" s="145">
        <f>Tabla1[[#This Row],[Cierre]]+Tabla1[[#This Row],[Vigencia Oferta (días)]]</f>
        <v>45044.563888888901</v>
      </c>
      <c r="AF745" s="65"/>
      <c r="AG745" s="181"/>
      <c r="AH745" s="192">
        <f>Tabla1[[#This Row],[Unidades2]]*Tabla1[[#This Row],[Precio Unitario]]</f>
        <v>0</v>
      </c>
      <c r="AI745" s="126" t="s">
        <v>270</v>
      </c>
      <c r="AJ745" s="149"/>
      <c r="AK745" s="149">
        <f>Tabla1[[#This Row],[Fecha Vigencia]]-AJ745</f>
        <v>45044.563888888901</v>
      </c>
      <c r="AL745" s="65"/>
      <c r="AM745" s="90"/>
      <c r="AN745" s="65"/>
      <c r="AO745" s="217"/>
      <c r="AP745" s="65"/>
      <c r="AQ745" s="66"/>
      <c r="AR745" s="65"/>
      <c r="AS745" s="65"/>
      <c r="AT745" s="65"/>
      <c r="AU745" s="65"/>
      <c r="AV745" s="65"/>
      <c r="AW745" s="65"/>
      <c r="AX745" s="65"/>
      <c r="AY745" s="118"/>
      <c r="AZ745" s="118"/>
      <c r="BA745" s="118"/>
      <c r="BB745" s="124"/>
    </row>
    <row r="746" spans="1:54" x14ac:dyDescent="0.25">
      <c r="A746" s="117" t="s">
        <v>3721</v>
      </c>
      <c r="B746" s="118" t="s">
        <v>3722</v>
      </c>
      <c r="C746" s="118" t="s">
        <v>3475</v>
      </c>
      <c r="D746" s="119" t="s">
        <v>1178</v>
      </c>
      <c r="E746" s="38" t="s">
        <v>3476</v>
      </c>
      <c r="F746" s="39">
        <v>1</v>
      </c>
      <c r="G746" s="118" t="s">
        <v>16</v>
      </c>
      <c r="H746" s="118" t="s">
        <v>520</v>
      </c>
      <c r="I746" s="40">
        <v>45043.726462812498</v>
      </c>
      <c r="J746" s="38">
        <v>45056.666666666701</v>
      </c>
      <c r="K746" s="38">
        <v>45043.726462812498</v>
      </c>
      <c r="L746" s="40">
        <v>45056.666666666701</v>
      </c>
      <c r="M746" s="41">
        <v>45044</v>
      </c>
      <c r="N746" s="120" t="s">
        <v>10</v>
      </c>
      <c r="O746" s="40" t="s">
        <v>29</v>
      </c>
      <c r="P746" s="38"/>
      <c r="Q746" s="147">
        <v>45050.708333333336</v>
      </c>
      <c r="R746" s="147">
        <v>45054.708333333336</v>
      </c>
      <c r="S746" s="148">
        <v>45117.75</v>
      </c>
      <c r="T746" s="152">
        <v>154000000</v>
      </c>
      <c r="U746" s="90">
        <f>Tabla1[[#This Row],[PPTO]]/(1+'Lista Datos'!$B$1)</f>
        <v>129411764.70588236</v>
      </c>
      <c r="V746" s="64"/>
      <c r="W746" s="191" t="s">
        <v>11</v>
      </c>
      <c r="X746" s="122">
        <v>500000</v>
      </c>
      <c r="Y746" s="149">
        <v>45176</v>
      </c>
      <c r="Z746" s="123" t="s">
        <v>11</v>
      </c>
      <c r="AA746" s="118" t="s">
        <v>177</v>
      </c>
      <c r="AB746" s="118">
        <v>12</v>
      </c>
      <c r="AC746" s="118"/>
      <c r="AD746" s="118"/>
      <c r="AE746" s="145">
        <f>Tabla1[[#This Row],[Cierre]]+Tabla1[[#This Row],[Vigencia Oferta (días)]]</f>
        <v>45056.666666666701</v>
      </c>
      <c r="AF746" s="65"/>
      <c r="AG746" s="181"/>
      <c r="AH746" s="192">
        <f>Tabla1[[#This Row],[Unidades2]]*Tabla1[[#This Row],[Precio Unitario]]</f>
        <v>0</v>
      </c>
      <c r="AI746" s="126" t="s">
        <v>270</v>
      </c>
      <c r="AJ746" s="149"/>
      <c r="AK746" s="149">
        <f>Tabla1[[#This Row],[Fecha Vigencia]]-AJ746</f>
        <v>45056.666666666701</v>
      </c>
      <c r="AL746" s="65"/>
      <c r="AM746" s="90"/>
      <c r="AN746" s="65"/>
      <c r="AO746" s="217"/>
      <c r="AP746" s="65"/>
      <c r="AQ746" s="66"/>
      <c r="AR746" s="65"/>
      <c r="AS746" s="65"/>
      <c r="AT746" s="65"/>
      <c r="AU746" s="65"/>
      <c r="AV746" s="65"/>
      <c r="AW746" s="65"/>
      <c r="AX746" s="65"/>
      <c r="AY746" s="118"/>
      <c r="AZ746" s="118"/>
      <c r="BA746" s="118"/>
      <c r="BB746" s="124"/>
    </row>
    <row r="747" spans="1:54" x14ac:dyDescent="0.25">
      <c r="A747" s="117" t="s">
        <v>3723</v>
      </c>
      <c r="B747" s="118" t="s">
        <v>3724</v>
      </c>
      <c r="C747" s="118" t="s">
        <v>3725</v>
      </c>
      <c r="D747" s="119" t="s">
        <v>3242</v>
      </c>
      <c r="E747" s="38" t="s">
        <v>3726</v>
      </c>
      <c r="F747" s="39">
        <v>1</v>
      </c>
      <c r="G747" s="118" t="s">
        <v>21</v>
      </c>
      <c r="H747" s="118" t="s">
        <v>106</v>
      </c>
      <c r="I747" s="40">
        <v>45043.418298611097</v>
      </c>
      <c r="J747" s="38">
        <v>45054.666666666701</v>
      </c>
      <c r="K747" s="38">
        <v>45043.418298611097</v>
      </c>
      <c r="L747" s="40">
        <v>45054.666666666701</v>
      </c>
      <c r="M747" s="41">
        <v>45044</v>
      </c>
      <c r="N747" s="120" t="s">
        <v>10</v>
      </c>
      <c r="O747" s="40" t="s">
        <v>25</v>
      </c>
      <c r="P747" s="38"/>
      <c r="Q747" s="147">
        <v>45050.5</v>
      </c>
      <c r="R747" s="147">
        <v>45051.708333333336</v>
      </c>
      <c r="S747" s="148">
        <v>45084.5</v>
      </c>
      <c r="T747" s="38"/>
      <c r="U747" s="65">
        <f>Tabla1[[#This Row],[PPTO]]/(1+'Lista Datos'!$B$1)</f>
        <v>0</v>
      </c>
      <c r="V747" s="64"/>
      <c r="W747" s="191" t="s">
        <v>10</v>
      </c>
      <c r="X747" s="122"/>
      <c r="Y747" s="122"/>
      <c r="Z747" s="123" t="s">
        <v>11</v>
      </c>
      <c r="AA747" s="118" t="s">
        <v>177</v>
      </c>
      <c r="AB747" s="118">
        <v>4</v>
      </c>
      <c r="AC747" s="118"/>
      <c r="AD747" s="118"/>
      <c r="AE747" s="145">
        <f>Tabla1[[#This Row],[Cierre]]+Tabla1[[#This Row],[Vigencia Oferta (días)]]</f>
        <v>45054.666666666701</v>
      </c>
      <c r="AF747" s="65"/>
      <c r="AG747" s="181"/>
      <c r="AH747" s="192">
        <f>Tabla1[[#This Row],[Unidades2]]*Tabla1[[#This Row],[Precio Unitario]]</f>
        <v>0</v>
      </c>
      <c r="AI747" s="126" t="s">
        <v>270</v>
      </c>
      <c r="AJ747" s="149"/>
      <c r="AK747" s="149">
        <f>Tabla1[[#This Row],[Fecha Vigencia]]-AJ747</f>
        <v>45054.666666666701</v>
      </c>
      <c r="AL747" s="65"/>
      <c r="AM747" s="90"/>
      <c r="AN747" s="65"/>
      <c r="AO747" s="217"/>
      <c r="AP747" s="65"/>
      <c r="AQ747" s="66"/>
      <c r="AR747" s="65"/>
      <c r="AS747" s="65"/>
      <c r="AT747" s="65"/>
      <c r="AU747" s="65"/>
      <c r="AV747" s="65"/>
      <c r="AW747" s="65"/>
      <c r="AX747" s="65"/>
      <c r="AY747" s="118"/>
      <c r="AZ747" s="118"/>
      <c r="BA747" s="118"/>
      <c r="BB747" s="124"/>
    </row>
    <row r="748" spans="1:54" x14ac:dyDescent="0.25">
      <c r="A748" s="117" t="s">
        <v>3727</v>
      </c>
      <c r="B748" s="118" t="s">
        <v>3728</v>
      </c>
      <c r="C748" s="118" t="s">
        <v>3728</v>
      </c>
      <c r="D748" s="119" t="s">
        <v>175</v>
      </c>
      <c r="E748" s="38" t="s">
        <v>3729</v>
      </c>
      <c r="F748" s="39">
        <v>720</v>
      </c>
      <c r="G748" s="118" t="s">
        <v>21</v>
      </c>
      <c r="H748" s="118" t="s">
        <v>106</v>
      </c>
      <c r="I748" s="40">
        <v>45036.615917557901</v>
      </c>
      <c r="J748" s="38">
        <v>45069.746527777803</v>
      </c>
      <c r="K748" s="38">
        <v>45036.615917557901</v>
      </c>
      <c r="L748" s="40">
        <v>45069.746527777803</v>
      </c>
      <c r="M748" s="41">
        <v>45048</v>
      </c>
      <c r="N748" s="120" t="s">
        <v>10</v>
      </c>
      <c r="O748" s="40" t="s">
        <v>27</v>
      </c>
      <c r="P748" s="38" t="s">
        <v>10</v>
      </c>
      <c r="Q748" s="147">
        <v>45050.78402777778</v>
      </c>
      <c r="R748" s="147">
        <v>45057.78402777778</v>
      </c>
      <c r="S748" s="148">
        <v>45118.830555555556</v>
      </c>
      <c r="T748" s="38"/>
      <c r="U748" s="65">
        <f>Tabla1[[#This Row],[PPTO]]/(1+'Lista Datos'!$B$1)</f>
        <v>0</v>
      </c>
      <c r="V748" s="64"/>
      <c r="W748" s="191" t="s">
        <v>11</v>
      </c>
      <c r="X748" s="122">
        <v>500000</v>
      </c>
      <c r="Y748" s="149">
        <v>45251</v>
      </c>
      <c r="Z748" s="123" t="s">
        <v>10</v>
      </c>
      <c r="AA748" s="118" t="s">
        <v>177</v>
      </c>
      <c r="AB748" s="118">
        <v>36</v>
      </c>
      <c r="AC748" s="118"/>
      <c r="AD748" s="118"/>
      <c r="AE748" s="145">
        <f>Tabla1[[#This Row],[Cierre]]+Tabla1[[#This Row],[Vigencia Oferta (días)]]</f>
        <v>45069.746527777803</v>
      </c>
      <c r="AF748" s="65">
        <f>720*30%</f>
        <v>216</v>
      </c>
      <c r="AG748" s="181">
        <v>14000</v>
      </c>
      <c r="AH748" s="192">
        <f>Tabla1[[#This Row],[Unidades2]]*Tabla1[[#This Row],[Precio Unitario]]</f>
        <v>3024000</v>
      </c>
      <c r="AI748" s="126" t="s">
        <v>270</v>
      </c>
      <c r="AJ748" s="149"/>
      <c r="AK748" s="149">
        <f>Tabla1[[#This Row],[Fecha Vigencia]]-AJ748</f>
        <v>45069.746527777803</v>
      </c>
      <c r="AL748" s="65"/>
      <c r="AM748" s="90"/>
      <c r="AN748" s="65"/>
      <c r="AO748" s="217"/>
      <c r="AP748" s="65"/>
      <c r="AQ748" s="66"/>
      <c r="AR748" s="65"/>
      <c r="AS748" s="65"/>
      <c r="AT748" s="65"/>
      <c r="AU748" s="65"/>
      <c r="AV748" s="65"/>
      <c r="AW748" s="65"/>
      <c r="AX748" s="65"/>
      <c r="AY748" s="118"/>
      <c r="AZ748" s="118"/>
      <c r="BA748" s="118"/>
      <c r="BB748" s="124"/>
    </row>
    <row r="749" spans="1:54" x14ac:dyDescent="0.25">
      <c r="A749" s="117" t="s">
        <v>3730</v>
      </c>
      <c r="B749" s="118" t="s">
        <v>3731</v>
      </c>
      <c r="C749" s="118" t="s">
        <v>3732</v>
      </c>
      <c r="D749" s="119" t="s">
        <v>3733</v>
      </c>
      <c r="E749" s="38" t="s">
        <v>3734</v>
      </c>
      <c r="F749" s="39">
        <v>1</v>
      </c>
      <c r="G749" s="118" t="s">
        <v>16</v>
      </c>
      <c r="H749" s="118" t="s">
        <v>123</v>
      </c>
      <c r="I749" s="40">
        <v>45048.676923067098</v>
      </c>
      <c r="J749" s="38">
        <v>45058.666666666701</v>
      </c>
      <c r="K749" s="38">
        <v>45048.676923067098</v>
      </c>
      <c r="L749" s="40">
        <v>45058.666666666701</v>
      </c>
      <c r="M749" s="41">
        <v>45049</v>
      </c>
      <c r="N749" s="120" t="s">
        <v>10</v>
      </c>
      <c r="O749" s="40" t="s">
        <v>33</v>
      </c>
      <c r="P749" s="38"/>
      <c r="Q749" s="121"/>
      <c r="R749" s="121"/>
      <c r="S749" s="19"/>
      <c r="T749" s="38"/>
      <c r="U749" s="65">
        <f>Tabla1[[#This Row],[PPTO]]/(1+'Lista Datos'!$B$1)</f>
        <v>0</v>
      </c>
      <c r="V749" s="64"/>
      <c r="W749" s="191"/>
      <c r="X749" s="122"/>
      <c r="Y749" s="122"/>
      <c r="Z749" s="123"/>
      <c r="AA749" s="118"/>
      <c r="AB749" s="118"/>
      <c r="AC749" s="118"/>
      <c r="AD749" s="118"/>
      <c r="AE749" s="145">
        <f>Tabla1[[#This Row],[Cierre]]+Tabla1[[#This Row],[Vigencia Oferta (días)]]</f>
        <v>45058.666666666701</v>
      </c>
      <c r="AF749" s="65"/>
      <c r="AG749" s="181"/>
      <c r="AH749" s="192">
        <f>Tabla1[[#This Row],[Unidades2]]*Tabla1[[#This Row],[Precio Unitario]]</f>
        <v>0</v>
      </c>
      <c r="AI749" s="126" t="s">
        <v>270</v>
      </c>
      <c r="AJ749" s="149"/>
      <c r="AK749" s="149">
        <f>Tabla1[[#This Row],[Fecha Vigencia]]-AJ749</f>
        <v>45058.666666666701</v>
      </c>
      <c r="AL749" s="65"/>
      <c r="AM749" s="90"/>
      <c r="AN749" s="65"/>
      <c r="AO749" s="217"/>
      <c r="AP749" s="65"/>
      <c r="AQ749" s="66"/>
      <c r="AR749" s="65"/>
      <c r="AS749" s="65"/>
      <c r="AT749" s="65"/>
      <c r="AU749" s="65"/>
      <c r="AV749" s="65"/>
      <c r="AW749" s="65"/>
      <c r="AX749" s="65"/>
      <c r="AY749" s="118"/>
      <c r="AZ749" s="118"/>
      <c r="BA749" s="118"/>
      <c r="BB749" s="124"/>
    </row>
    <row r="750" spans="1:54" x14ac:dyDescent="0.25">
      <c r="A750" s="117" t="s">
        <v>3735</v>
      </c>
      <c r="B750" s="118" t="s">
        <v>3736</v>
      </c>
      <c r="C750" s="118" t="s">
        <v>3737</v>
      </c>
      <c r="D750" s="119" t="s">
        <v>3738</v>
      </c>
      <c r="E750" s="38" t="s">
        <v>3739</v>
      </c>
      <c r="F750" s="39">
        <v>100</v>
      </c>
      <c r="G750" s="118" t="s">
        <v>16</v>
      </c>
      <c r="H750" s="118" t="s">
        <v>520</v>
      </c>
      <c r="I750" s="40">
        <v>45048.493021030103</v>
      </c>
      <c r="J750" s="38">
        <v>45061.645833333299</v>
      </c>
      <c r="K750" s="38">
        <v>45048.493021030103</v>
      </c>
      <c r="L750" s="40">
        <v>45061.645833333299</v>
      </c>
      <c r="M750" s="41">
        <v>45049</v>
      </c>
      <c r="N750" s="120" t="s">
        <v>10</v>
      </c>
      <c r="O750" s="40" t="s">
        <v>25</v>
      </c>
      <c r="P750" s="38"/>
      <c r="Q750" s="147">
        <v>45054.645833333336</v>
      </c>
      <c r="R750" s="147">
        <v>45056.791666666664</v>
      </c>
      <c r="S750" s="148">
        <v>45121.791666666664</v>
      </c>
      <c r="T750" s="152">
        <v>20000000</v>
      </c>
      <c r="U750" s="90">
        <f>Tabla1[[#This Row],[PPTO]]/(1+'Lista Datos'!$B$1)</f>
        <v>16806722.68907563</v>
      </c>
      <c r="V750" s="64"/>
      <c r="W750" s="191"/>
      <c r="X750" s="122" t="s">
        <v>10</v>
      </c>
      <c r="Y750" s="122"/>
      <c r="Z750" s="123" t="s">
        <v>10</v>
      </c>
      <c r="AA750" s="118" t="s">
        <v>177</v>
      </c>
      <c r="AB750" s="118">
        <v>36</v>
      </c>
      <c r="AC750" s="118"/>
      <c r="AD750" s="118"/>
      <c r="AE750" s="145">
        <f>Tabla1[[#This Row],[Cierre]]+Tabla1[[#This Row],[Vigencia Oferta (días)]]</f>
        <v>45061.645833333299</v>
      </c>
      <c r="AF750" s="65"/>
      <c r="AG750" s="181"/>
      <c r="AH750" s="192">
        <f>Tabla1[[#This Row],[Unidades2]]*Tabla1[[#This Row],[Precio Unitario]]</f>
        <v>0</v>
      </c>
      <c r="AI750" s="126" t="s">
        <v>270</v>
      </c>
      <c r="AJ750" s="149"/>
      <c r="AK750" s="149">
        <f>Tabla1[[#This Row],[Fecha Vigencia]]-AJ750</f>
        <v>45061.645833333299</v>
      </c>
      <c r="AL750" s="65"/>
      <c r="AM750" s="90"/>
      <c r="AN750" s="65"/>
      <c r="AO750" s="217"/>
      <c r="AP750" s="65"/>
      <c r="AQ750" s="66"/>
      <c r="AR750" s="65"/>
      <c r="AS750" s="65"/>
      <c r="AT750" s="65"/>
      <c r="AU750" s="65"/>
      <c r="AV750" s="65"/>
      <c r="AW750" s="65"/>
      <c r="AX750" s="65"/>
      <c r="AY750" s="118"/>
      <c r="AZ750" s="118"/>
      <c r="BA750" s="118"/>
      <c r="BB750" s="124"/>
    </row>
    <row r="751" spans="1:54" x14ac:dyDescent="0.25">
      <c r="A751" s="153" t="s">
        <v>3740</v>
      </c>
      <c r="B751" s="30" t="s">
        <v>3741</v>
      </c>
      <c r="C751" s="30" t="s">
        <v>3741</v>
      </c>
      <c r="D751" s="84" t="s">
        <v>190</v>
      </c>
      <c r="E751" s="24" t="s">
        <v>3742</v>
      </c>
      <c r="F751" s="25">
        <v>4</v>
      </c>
      <c r="G751" s="30" t="s">
        <v>16</v>
      </c>
      <c r="H751" s="30" t="s">
        <v>533</v>
      </c>
      <c r="I751" s="2">
        <v>45050.706589270798</v>
      </c>
      <c r="J751" s="38">
        <v>45057.416666666701</v>
      </c>
      <c r="K751" s="38">
        <v>45050.706589270798</v>
      </c>
      <c r="L751" s="2">
        <v>45057.416666666701</v>
      </c>
      <c r="M751" s="26">
        <v>45051</v>
      </c>
      <c r="N751" s="85" t="s">
        <v>10</v>
      </c>
      <c r="O751" s="2" t="s">
        <v>27</v>
      </c>
      <c r="P751" s="24"/>
      <c r="Q751" s="60"/>
      <c r="R751" s="60"/>
      <c r="S751" s="18"/>
      <c r="T751" s="24"/>
      <c r="U751" s="68">
        <f>Tabla1[[#This Row],[PPTO]]/(1+'Lista Datos'!$B$1)</f>
        <v>0</v>
      </c>
      <c r="V751" s="67"/>
      <c r="W751" s="193"/>
      <c r="X751" s="127"/>
      <c r="Y751" s="127"/>
      <c r="Z751" s="154"/>
      <c r="AA751" s="30"/>
      <c r="AB751" s="30"/>
      <c r="AC751" s="30"/>
      <c r="AD751" s="30"/>
      <c r="AE751" s="145">
        <f>Tabla1[[#This Row],[Cierre]]+Tabla1[[#This Row],[Vigencia Oferta (días)]]</f>
        <v>45057.416666666701</v>
      </c>
      <c r="AF751" s="68"/>
      <c r="AG751" s="157"/>
      <c r="AH751" s="194">
        <f>Tabla1[[#This Row],[Unidades2]]*Tabla1[[#This Row],[Precio Unitario]]</f>
        <v>0</v>
      </c>
      <c r="AI751" s="97" t="s">
        <v>270</v>
      </c>
      <c r="AJ751" s="104"/>
      <c r="AK751" s="104">
        <f>Tabla1[[#This Row],[Fecha Vigencia]]-AJ751</f>
        <v>45057.416666666701</v>
      </c>
      <c r="AL751" s="68"/>
      <c r="AM751" s="91"/>
      <c r="AN751" s="68"/>
      <c r="AO751" s="218"/>
      <c r="AP751" s="68"/>
      <c r="AQ751" s="69"/>
      <c r="AR751" s="68"/>
      <c r="AS751" s="68"/>
      <c r="AT751" s="68"/>
      <c r="AU751" s="68"/>
      <c r="AV751" s="68"/>
      <c r="AW751" s="68"/>
      <c r="AX751" s="68"/>
      <c r="AY751" s="30"/>
      <c r="AZ751" s="30"/>
      <c r="BA751" s="30"/>
      <c r="BB751" s="75"/>
    </row>
    <row r="752" spans="1:54" x14ac:dyDescent="0.25">
      <c r="A752" s="117" t="s">
        <v>3743</v>
      </c>
      <c r="B752" s="118" t="s">
        <v>3744</v>
      </c>
      <c r="C752" s="118" t="s">
        <v>3745</v>
      </c>
      <c r="D752" s="119" t="s">
        <v>2822</v>
      </c>
      <c r="E752" s="38" t="s">
        <v>3746</v>
      </c>
      <c r="F752" s="39">
        <v>15</v>
      </c>
      <c r="G752" s="118" t="s">
        <v>21</v>
      </c>
      <c r="H752" s="118" t="s">
        <v>106</v>
      </c>
      <c r="I752" s="40">
        <v>45050.682244178199</v>
      </c>
      <c r="J752" s="121">
        <v>45061.708333333299</v>
      </c>
      <c r="K752" s="121">
        <v>45050.682244178199</v>
      </c>
      <c r="L752" s="40">
        <v>45061.708333333299</v>
      </c>
      <c r="M752" s="41">
        <v>45051</v>
      </c>
      <c r="N752" s="120" t="s">
        <v>10</v>
      </c>
      <c r="O752" s="40" t="s">
        <v>27</v>
      </c>
      <c r="P752" s="38"/>
      <c r="Q752" s="121"/>
      <c r="R752" s="121"/>
      <c r="S752" s="19"/>
      <c r="T752" s="38"/>
      <c r="U752" s="65">
        <f>Tabla1[[#This Row],[PPTO]]/(1+'Lista Datos'!$B$1)</f>
        <v>0</v>
      </c>
      <c r="V752" s="64"/>
      <c r="W752" s="191"/>
      <c r="X752" s="122"/>
      <c r="Y752" s="122"/>
      <c r="Z752" s="123"/>
      <c r="AA752" s="118"/>
      <c r="AB752" s="118"/>
      <c r="AC752" s="118"/>
      <c r="AD752" s="118"/>
      <c r="AE752" s="145">
        <f>Tabla1[[#This Row],[Cierre]]+Tabla1[[#This Row],[Vigencia Oferta (días)]]</f>
        <v>45061.708333333299</v>
      </c>
      <c r="AF752" s="65"/>
      <c r="AG752" s="181"/>
      <c r="AH752" s="192">
        <f>Tabla1[[#This Row],[Unidades2]]*Tabla1[[#This Row],[Precio Unitario]]</f>
        <v>0</v>
      </c>
      <c r="AI752" s="126" t="s">
        <v>270</v>
      </c>
      <c r="AJ752" s="149"/>
      <c r="AK752" s="149">
        <f>Tabla1[[#This Row],[Fecha Vigencia]]-AJ752</f>
        <v>45061.708333333299</v>
      </c>
      <c r="AL752" s="65"/>
      <c r="AM752" s="90"/>
      <c r="AN752" s="65"/>
      <c r="AO752" s="217"/>
      <c r="AP752" s="65"/>
      <c r="AQ752" s="66"/>
      <c r="AR752" s="65"/>
      <c r="AS752" s="65"/>
      <c r="AT752" s="65"/>
      <c r="AU752" s="65"/>
      <c r="AV752" s="65"/>
      <c r="AW752" s="65"/>
      <c r="AX752" s="65"/>
      <c r="AY752" s="118"/>
      <c r="AZ752" s="118"/>
      <c r="BA752" s="118"/>
      <c r="BB752" s="124"/>
    </row>
    <row r="753" spans="1:54" x14ac:dyDescent="0.25">
      <c r="A753" s="153" t="s">
        <v>3747</v>
      </c>
      <c r="B753" s="30" t="s">
        <v>3748</v>
      </c>
      <c r="C753" s="30" t="s">
        <v>3749</v>
      </c>
      <c r="D753" s="84" t="s">
        <v>319</v>
      </c>
      <c r="E753" s="24" t="s">
        <v>3750</v>
      </c>
      <c r="F753" s="25">
        <v>900</v>
      </c>
      <c r="G753" s="30" t="s">
        <v>21</v>
      </c>
      <c r="H753" s="30" t="s">
        <v>106</v>
      </c>
      <c r="I753" s="2">
        <v>45049.612877430598</v>
      </c>
      <c r="J753" s="38">
        <v>45054.645833333299</v>
      </c>
      <c r="K753" s="38">
        <v>45049.612877430598</v>
      </c>
      <c r="L753" s="2">
        <v>45054.645833333299</v>
      </c>
      <c r="M753" s="26">
        <v>45051</v>
      </c>
      <c r="N753" s="85" t="s">
        <v>10</v>
      </c>
      <c r="O753" s="2" t="s">
        <v>34</v>
      </c>
      <c r="P753" s="24"/>
      <c r="Q753" s="60"/>
      <c r="R753" s="60"/>
      <c r="S753" s="18"/>
      <c r="T753" s="24"/>
      <c r="U753" s="68">
        <f>Tabla1[[#This Row],[PPTO]]/(1+'Lista Datos'!$B$1)</f>
        <v>0</v>
      </c>
      <c r="V753" s="67"/>
      <c r="W753" s="193"/>
      <c r="X753" s="127"/>
      <c r="Y753" s="127"/>
      <c r="Z753" s="154"/>
      <c r="AA753" s="30"/>
      <c r="AB753" s="30"/>
      <c r="AC753" s="30"/>
      <c r="AD753" s="30"/>
      <c r="AE753" s="145">
        <f>Tabla1[[#This Row],[Cierre]]+Tabla1[[#This Row],[Vigencia Oferta (días)]]</f>
        <v>45054.645833333299</v>
      </c>
      <c r="AF753" s="68"/>
      <c r="AG753" s="157"/>
      <c r="AH753" s="194">
        <f>Tabla1[[#This Row],[Unidades2]]*Tabla1[[#This Row],[Precio Unitario]]</f>
        <v>0</v>
      </c>
      <c r="AI753" s="97" t="s">
        <v>270</v>
      </c>
      <c r="AJ753" s="104"/>
      <c r="AK753" s="104">
        <f>Tabla1[[#This Row],[Fecha Vigencia]]-AJ753</f>
        <v>45054.645833333299</v>
      </c>
      <c r="AL753" s="68"/>
      <c r="AM753" s="91"/>
      <c r="AN753" s="68"/>
      <c r="AO753" s="218"/>
      <c r="AP753" s="68"/>
      <c r="AQ753" s="69"/>
      <c r="AR753" s="68"/>
      <c r="AS753" s="68"/>
      <c r="AT753" s="68"/>
      <c r="AU753" s="68"/>
      <c r="AV753" s="68"/>
      <c r="AW753" s="68"/>
      <c r="AX753" s="68"/>
      <c r="AY753" s="30"/>
      <c r="AZ753" s="30"/>
      <c r="BA753" s="30"/>
      <c r="BB753" s="75"/>
    </row>
    <row r="754" spans="1:54" x14ac:dyDescent="0.25">
      <c r="A754" s="117" t="s">
        <v>3751</v>
      </c>
      <c r="B754" s="118" t="s">
        <v>3752</v>
      </c>
      <c r="C754" s="118" t="s">
        <v>3753</v>
      </c>
      <c r="D754" s="119" t="s">
        <v>955</v>
      </c>
      <c r="E754" s="38" t="s">
        <v>3754</v>
      </c>
      <c r="F754" s="39">
        <v>2880</v>
      </c>
      <c r="G754" s="118" t="s">
        <v>16</v>
      </c>
      <c r="H754" s="118" t="s">
        <v>345</v>
      </c>
      <c r="I754" s="40">
        <v>45049.490149768499</v>
      </c>
      <c r="J754" s="121">
        <v>45069.783333333296</v>
      </c>
      <c r="K754" s="121">
        <v>45049.490149768499</v>
      </c>
      <c r="L754" s="40">
        <v>45069.783333333296</v>
      </c>
      <c r="M754" s="41">
        <v>45051</v>
      </c>
      <c r="N754" s="120" t="s">
        <v>10</v>
      </c>
      <c r="O754" s="40" t="s">
        <v>25</v>
      </c>
      <c r="P754" s="38"/>
      <c r="Q754" s="147">
        <v>45057.768750000003</v>
      </c>
      <c r="R754" s="147">
        <v>45061.768750000003</v>
      </c>
      <c r="S754" s="148">
        <v>45133.78402777778</v>
      </c>
      <c r="T754" s="38"/>
      <c r="U754" s="65">
        <f>Tabla1[[#This Row],[PPTO]]/(1+'Lista Datos'!$B$1)</f>
        <v>0</v>
      </c>
      <c r="V754" s="64"/>
      <c r="W754" s="191" t="s">
        <v>11</v>
      </c>
      <c r="X754" s="122">
        <v>500000</v>
      </c>
      <c r="Y754" s="149">
        <v>45188</v>
      </c>
      <c r="Z754" s="123" t="s">
        <v>10</v>
      </c>
      <c r="AA754" s="118" t="s">
        <v>177</v>
      </c>
      <c r="AB754" s="118">
        <v>24</v>
      </c>
      <c r="AC754" s="118"/>
      <c r="AD754" s="118"/>
      <c r="AE754" s="145">
        <f>Tabla1[[#This Row],[Cierre]]+Tabla1[[#This Row],[Vigencia Oferta (días)]]</f>
        <v>45069.783333333296</v>
      </c>
      <c r="AF754" s="65"/>
      <c r="AG754" s="181"/>
      <c r="AH754" s="192">
        <f>Tabla1[[#This Row],[Unidades2]]*Tabla1[[#This Row],[Precio Unitario]]</f>
        <v>0</v>
      </c>
      <c r="AI754" s="126" t="s">
        <v>270</v>
      </c>
      <c r="AJ754" s="149"/>
      <c r="AK754" s="149">
        <f>Tabla1[[#This Row],[Fecha Vigencia]]-AJ754</f>
        <v>45069.783333333296</v>
      </c>
      <c r="AL754" s="65"/>
      <c r="AM754" s="90"/>
      <c r="AN754" s="65"/>
      <c r="AO754" s="217"/>
      <c r="AP754" s="65"/>
      <c r="AQ754" s="66"/>
      <c r="AR754" s="65"/>
      <c r="AS754" s="65"/>
      <c r="AT754" s="65"/>
      <c r="AU754" s="65"/>
      <c r="AV754" s="65"/>
      <c r="AW754" s="65"/>
      <c r="AX754" s="65"/>
      <c r="AY754" s="118"/>
      <c r="AZ754" s="118"/>
      <c r="BA754" s="118"/>
      <c r="BB754" s="124"/>
    </row>
    <row r="755" spans="1:54" x14ac:dyDescent="0.25">
      <c r="A755" s="117" t="s">
        <v>3755</v>
      </c>
      <c r="B755" s="118" t="s">
        <v>2769</v>
      </c>
      <c r="C755" s="118" t="s">
        <v>3756</v>
      </c>
      <c r="D755" s="119" t="s">
        <v>3757</v>
      </c>
      <c r="E755" s="38" t="s">
        <v>3758</v>
      </c>
      <c r="F755" s="39">
        <v>1</v>
      </c>
      <c r="G755" s="118" t="s">
        <v>16</v>
      </c>
      <c r="H755" s="118" t="s">
        <v>123</v>
      </c>
      <c r="I755" s="40">
        <v>45049.483546411997</v>
      </c>
      <c r="J755" s="38">
        <v>45054.625</v>
      </c>
      <c r="K755" s="38">
        <v>45049.483546411997</v>
      </c>
      <c r="L755" s="40">
        <v>45054.625</v>
      </c>
      <c r="M755" s="41">
        <v>45051</v>
      </c>
      <c r="N755" s="120" t="s">
        <v>10</v>
      </c>
      <c r="O755" s="40" t="s">
        <v>33</v>
      </c>
      <c r="P755" s="38"/>
      <c r="Q755" s="121"/>
      <c r="R755" s="121"/>
      <c r="S755" s="19"/>
      <c r="T755" s="38"/>
      <c r="U755" s="65">
        <f>Tabla1[[#This Row],[PPTO]]/(1+'Lista Datos'!$B$1)</f>
        <v>0</v>
      </c>
      <c r="V755" s="64"/>
      <c r="W755" s="191"/>
      <c r="X755" s="122"/>
      <c r="Y755" s="122"/>
      <c r="Z755" s="123"/>
      <c r="AA755" s="118"/>
      <c r="AB755" s="118"/>
      <c r="AC755" s="118"/>
      <c r="AD755" s="118"/>
      <c r="AE755" s="145">
        <f>Tabla1[[#This Row],[Cierre]]+Tabla1[[#This Row],[Vigencia Oferta (días)]]</f>
        <v>45054.625</v>
      </c>
      <c r="AF755" s="65"/>
      <c r="AG755" s="181"/>
      <c r="AH755" s="192">
        <f>Tabla1[[#This Row],[Unidades2]]*Tabla1[[#This Row],[Precio Unitario]]</f>
        <v>0</v>
      </c>
      <c r="AI755" s="126" t="s">
        <v>270</v>
      </c>
      <c r="AJ755" s="149"/>
      <c r="AK755" s="149">
        <f>Tabla1[[#This Row],[Fecha Vigencia]]-AJ755</f>
        <v>45054.625</v>
      </c>
      <c r="AL755" s="65"/>
      <c r="AM755" s="90"/>
      <c r="AN755" s="65"/>
      <c r="AO755" s="217"/>
      <c r="AP755" s="65"/>
      <c r="AQ755" s="66"/>
      <c r="AR755" s="65"/>
      <c r="AS755" s="65"/>
      <c r="AT755" s="65"/>
      <c r="AU755" s="65"/>
      <c r="AV755" s="65"/>
      <c r="AW755" s="65"/>
      <c r="AX755" s="65"/>
      <c r="AY755" s="118"/>
      <c r="AZ755" s="118"/>
      <c r="BA755" s="118"/>
      <c r="BB755" s="124"/>
    </row>
    <row r="756" spans="1:54" x14ac:dyDescent="0.25">
      <c r="A756" s="117" t="s">
        <v>3759</v>
      </c>
      <c r="B756" s="118" t="s">
        <v>3760</v>
      </c>
      <c r="C756" s="118" t="s">
        <v>3761</v>
      </c>
      <c r="D756" s="119" t="s">
        <v>3445</v>
      </c>
      <c r="E756" s="38" t="s">
        <v>3762</v>
      </c>
      <c r="F756" s="39">
        <v>2</v>
      </c>
      <c r="G756" s="118" t="s">
        <v>14</v>
      </c>
      <c r="H756" s="118" t="s">
        <v>533</v>
      </c>
      <c r="I756" s="40">
        <v>45049.476405752299</v>
      </c>
      <c r="J756" s="38">
        <v>45062.645833333299</v>
      </c>
      <c r="K756" s="38">
        <v>45049.476405752299</v>
      </c>
      <c r="L756" s="40">
        <v>45062.645833333299</v>
      </c>
      <c r="M756" s="41">
        <v>45051</v>
      </c>
      <c r="N756" s="120" t="s">
        <v>10</v>
      </c>
      <c r="O756" s="40" t="s">
        <v>27</v>
      </c>
      <c r="P756" s="38"/>
      <c r="Q756" s="121"/>
      <c r="R756" s="121"/>
      <c r="S756" s="19"/>
      <c r="T756" s="38"/>
      <c r="U756" s="65">
        <f>Tabla1[[#This Row],[PPTO]]/(1+'Lista Datos'!$B$1)</f>
        <v>0</v>
      </c>
      <c r="V756" s="64"/>
      <c r="W756" s="191"/>
      <c r="X756" s="122"/>
      <c r="Y756" s="122"/>
      <c r="Z756" s="123"/>
      <c r="AA756" s="118"/>
      <c r="AB756" s="118"/>
      <c r="AC756" s="118"/>
      <c r="AD756" s="118"/>
      <c r="AE756" s="145">
        <f>Tabla1[[#This Row],[Cierre]]+Tabla1[[#This Row],[Vigencia Oferta (días)]]</f>
        <v>45062.645833333299</v>
      </c>
      <c r="AF756" s="65"/>
      <c r="AG756" s="181"/>
      <c r="AH756" s="192">
        <f>Tabla1[[#This Row],[Unidades2]]*Tabla1[[#This Row],[Precio Unitario]]</f>
        <v>0</v>
      </c>
      <c r="AI756" s="126" t="s">
        <v>270</v>
      </c>
      <c r="AJ756" s="149"/>
      <c r="AK756" s="149">
        <f>Tabla1[[#This Row],[Fecha Vigencia]]-AJ756</f>
        <v>45062.645833333299</v>
      </c>
      <c r="AL756" s="65"/>
      <c r="AM756" s="90"/>
      <c r="AN756" s="65"/>
      <c r="AO756" s="217"/>
      <c r="AP756" s="65"/>
      <c r="AQ756" s="66"/>
      <c r="AR756" s="65"/>
      <c r="AS756" s="65"/>
      <c r="AT756" s="65"/>
      <c r="AU756" s="65"/>
      <c r="AV756" s="65"/>
      <c r="AW756" s="65"/>
      <c r="AX756" s="65"/>
      <c r="AY756" s="118"/>
      <c r="AZ756" s="118"/>
      <c r="BA756" s="118"/>
      <c r="BB756" s="124"/>
    </row>
    <row r="757" spans="1:54" x14ac:dyDescent="0.25">
      <c r="A757" s="153" t="s">
        <v>3763</v>
      </c>
      <c r="B757" s="30" t="s">
        <v>3764</v>
      </c>
      <c r="C757" s="30" t="s">
        <v>3765</v>
      </c>
      <c r="D757" s="84" t="s">
        <v>1965</v>
      </c>
      <c r="E757" s="24" t="s">
        <v>3766</v>
      </c>
      <c r="F757" s="25">
        <v>1</v>
      </c>
      <c r="G757" s="30" t="s">
        <v>16</v>
      </c>
      <c r="H757" s="30" t="s">
        <v>145</v>
      </c>
      <c r="I757" s="203">
        <v>45054.588997106497</v>
      </c>
      <c r="J757" s="121">
        <v>45076.666666666701</v>
      </c>
      <c r="K757" s="121">
        <v>45054.588997106497</v>
      </c>
      <c r="L757" s="203">
        <v>45076.666666666701</v>
      </c>
      <c r="M757" s="204">
        <v>45056</v>
      </c>
      <c r="N757" s="205" t="s">
        <v>10</v>
      </c>
      <c r="O757" s="203" t="s">
        <v>25</v>
      </c>
      <c r="P757" s="24"/>
      <c r="Q757" s="160">
        <v>45068.666666666664</v>
      </c>
      <c r="R757" s="160">
        <v>45070.666666666664</v>
      </c>
      <c r="S757" s="161">
        <v>45156.666666666664</v>
      </c>
      <c r="T757" s="208">
        <v>65000000</v>
      </c>
      <c r="U757" s="209">
        <f>Tabla1[[#This Row],[PPTO]]/(1+'Lista Datos'!$B$1)</f>
        <v>54621848.739495799</v>
      </c>
      <c r="V757" s="67"/>
      <c r="W757" s="193" t="s">
        <v>10</v>
      </c>
      <c r="X757" s="127"/>
      <c r="Y757" s="127"/>
      <c r="Z757" s="154" t="s">
        <v>11</v>
      </c>
      <c r="AA757" s="30" t="s">
        <v>177</v>
      </c>
      <c r="AB757" s="30"/>
      <c r="AC757" s="30"/>
      <c r="AD757" s="30"/>
      <c r="AE757" s="145">
        <f>Tabla1[[#This Row],[Cierre]]+Tabla1[[#This Row],[Vigencia Oferta (días)]]</f>
        <v>45076.666666666701</v>
      </c>
      <c r="AF757" s="68"/>
      <c r="AG757" s="157"/>
      <c r="AH757" s="194">
        <f>Tabla1[[#This Row],[Unidades2]]*Tabla1[[#This Row],[Precio Unitario]]</f>
        <v>0</v>
      </c>
      <c r="AI757" s="97" t="s">
        <v>270</v>
      </c>
      <c r="AJ757" s="104"/>
      <c r="AK757" s="104">
        <f>Tabla1[[#This Row],[Fecha Vigencia]]-AJ757</f>
        <v>45076.666666666701</v>
      </c>
      <c r="AL757" s="68"/>
      <c r="AM757" s="91"/>
      <c r="AN757" s="68"/>
      <c r="AO757" s="218"/>
      <c r="AP757" s="68"/>
      <c r="AQ757" s="69"/>
      <c r="AR757" s="68"/>
      <c r="AS757" s="68"/>
      <c r="AT757" s="68"/>
      <c r="AU757" s="68"/>
      <c r="AV757" s="68"/>
      <c r="AW757" s="68"/>
      <c r="AX757" s="68"/>
      <c r="AY757" s="30"/>
      <c r="AZ757" s="30"/>
      <c r="BA757" s="30"/>
      <c r="BB757" s="75"/>
    </row>
    <row r="758" spans="1:54" x14ac:dyDescent="0.25">
      <c r="A758" s="117" t="s">
        <v>3767</v>
      </c>
      <c r="B758" s="118" t="s">
        <v>3768</v>
      </c>
      <c r="C758" s="118" t="s">
        <v>3769</v>
      </c>
      <c r="D758" s="119" t="s">
        <v>1020</v>
      </c>
      <c r="E758" s="38" t="s">
        <v>3770</v>
      </c>
      <c r="F758" s="39">
        <v>140</v>
      </c>
      <c r="G758" s="118" t="s">
        <v>14</v>
      </c>
      <c r="H758" s="118" t="s">
        <v>123</v>
      </c>
      <c r="I758" s="206">
        <v>45054.569145798603</v>
      </c>
      <c r="J758" s="121">
        <v>45064.625</v>
      </c>
      <c r="K758" s="121">
        <v>45054.569145798603</v>
      </c>
      <c r="L758" s="206">
        <v>45064.625</v>
      </c>
      <c r="M758" s="204">
        <v>45056</v>
      </c>
      <c r="N758" s="207" t="s">
        <v>10</v>
      </c>
      <c r="O758" s="206" t="s">
        <v>25</v>
      </c>
      <c r="P758" s="38"/>
      <c r="Q758" s="147">
        <v>45057.625</v>
      </c>
      <c r="R758" s="147">
        <v>45061.625</v>
      </c>
      <c r="S758" s="148">
        <v>45131.708333333336</v>
      </c>
      <c r="T758" s="38"/>
      <c r="U758" s="65">
        <f>Tabla1[[#This Row],[PPTO]]/(1+'Lista Datos'!$B$1)</f>
        <v>0</v>
      </c>
      <c r="V758" s="64"/>
      <c r="W758" s="191" t="s">
        <v>11</v>
      </c>
      <c r="X758" s="122">
        <v>2000000</v>
      </c>
      <c r="Y758" s="149">
        <v>45154</v>
      </c>
      <c r="Z758" s="123" t="s">
        <v>10</v>
      </c>
      <c r="AA758" s="118" t="s">
        <v>177</v>
      </c>
      <c r="AB758" s="118">
        <v>18</v>
      </c>
      <c r="AC758" s="118"/>
      <c r="AD758" s="118"/>
      <c r="AE758" s="145">
        <f>Tabla1[[#This Row],[Cierre]]+Tabla1[[#This Row],[Vigencia Oferta (días)]]</f>
        <v>45064.625</v>
      </c>
      <c r="AF758" s="65"/>
      <c r="AG758" s="181"/>
      <c r="AH758" s="192">
        <f>Tabla1[[#This Row],[Unidades2]]*Tabla1[[#This Row],[Precio Unitario]]</f>
        <v>0</v>
      </c>
      <c r="AI758" s="126" t="s">
        <v>270</v>
      </c>
      <c r="AJ758" s="149"/>
      <c r="AK758" s="149">
        <f>Tabla1[[#This Row],[Fecha Vigencia]]-AJ758</f>
        <v>45064.625</v>
      </c>
      <c r="AL758" s="65"/>
      <c r="AM758" s="90"/>
      <c r="AN758" s="65"/>
      <c r="AO758" s="217"/>
      <c r="AP758" s="65"/>
      <c r="AQ758" s="66"/>
      <c r="AR758" s="65"/>
      <c r="AS758" s="65"/>
      <c r="AT758" s="65"/>
      <c r="AU758" s="65"/>
      <c r="AV758" s="65"/>
      <c r="AW758" s="65"/>
      <c r="AX758" s="65"/>
      <c r="AY758" s="118"/>
      <c r="AZ758" s="118"/>
      <c r="BA758" s="118"/>
      <c r="BB758" s="124"/>
    </row>
    <row r="759" spans="1:54" x14ac:dyDescent="0.25">
      <c r="A759" s="153" t="s">
        <v>3771</v>
      </c>
      <c r="B759" s="30" t="s">
        <v>3772</v>
      </c>
      <c r="C759" s="30" t="s">
        <v>3773</v>
      </c>
      <c r="D759" s="84" t="s">
        <v>3668</v>
      </c>
      <c r="E759" s="24" t="s">
        <v>3669</v>
      </c>
      <c r="F759" s="25">
        <v>144</v>
      </c>
      <c r="G759" s="30" t="s">
        <v>16</v>
      </c>
      <c r="H759" s="30" t="s">
        <v>145</v>
      </c>
      <c r="I759" s="203">
        <v>45054.4328517014</v>
      </c>
      <c r="J759" s="38">
        <v>45061.627083333296</v>
      </c>
      <c r="K759" s="38">
        <v>45054.4328517014</v>
      </c>
      <c r="L759" s="203">
        <v>45061.627083333296</v>
      </c>
      <c r="M759" s="204">
        <v>45056</v>
      </c>
      <c r="N759" s="205" t="s">
        <v>10</v>
      </c>
      <c r="O759" s="203" t="s">
        <v>25</v>
      </c>
      <c r="P759" s="24"/>
      <c r="Q759" s="60" t="s">
        <v>3774</v>
      </c>
      <c r="R759" s="160">
        <v>45058.627083333333</v>
      </c>
      <c r="S759" s="161">
        <v>45062.62777777778</v>
      </c>
      <c r="T759" s="210">
        <v>2591820</v>
      </c>
      <c r="U759" s="209">
        <f>Tabla1[[#This Row],[PPTO]]/(1+'Lista Datos'!$B$1)</f>
        <v>2178000</v>
      </c>
      <c r="V759" s="67"/>
      <c r="W759" s="193" t="s">
        <v>10</v>
      </c>
      <c r="X759" s="127"/>
      <c r="Y759" s="127"/>
      <c r="Z759" s="154" t="s">
        <v>10</v>
      </c>
      <c r="AA759" s="30" t="s">
        <v>177</v>
      </c>
      <c r="AB759" s="30">
        <v>18</v>
      </c>
      <c r="AC759" s="30"/>
      <c r="AD759" s="30"/>
      <c r="AE759" s="145">
        <f>Tabla1[[#This Row],[Cierre]]+Tabla1[[#This Row],[Vigencia Oferta (días)]]</f>
        <v>45061.627083333296</v>
      </c>
      <c r="AF759" s="68"/>
      <c r="AG759" s="157"/>
      <c r="AH759" s="194">
        <f>Tabla1[[#This Row],[Unidades2]]*Tabla1[[#This Row],[Precio Unitario]]</f>
        <v>0</v>
      </c>
      <c r="AI759" s="97" t="s">
        <v>270</v>
      </c>
      <c r="AJ759" s="104"/>
      <c r="AK759" s="104">
        <f>Tabla1[[#This Row],[Fecha Vigencia]]-AJ759</f>
        <v>45061.627083333296</v>
      </c>
      <c r="AL759" s="68"/>
      <c r="AM759" s="91"/>
      <c r="AN759" s="68"/>
      <c r="AO759" s="218"/>
      <c r="AP759" s="68"/>
      <c r="AQ759" s="69"/>
      <c r="AR759" s="68"/>
      <c r="AS759" s="68"/>
      <c r="AT759" s="68"/>
      <c r="AU759" s="68"/>
      <c r="AV759" s="68"/>
      <c r="AW759" s="68"/>
      <c r="AX759" s="68"/>
      <c r="AY759" s="30"/>
      <c r="AZ759" s="30"/>
      <c r="BA759" s="30"/>
      <c r="BB759" s="75"/>
    </row>
    <row r="760" spans="1:54" x14ac:dyDescent="0.25">
      <c r="A760" s="153" t="s">
        <v>3775</v>
      </c>
      <c r="B760" s="30" t="s">
        <v>3776</v>
      </c>
      <c r="C760" s="30" t="s">
        <v>3777</v>
      </c>
      <c r="D760" s="84" t="s">
        <v>3778</v>
      </c>
      <c r="E760" s="24" t="s">
        <v>3779</v>
      </c>
      <c r="F760" s="25">
        <v>5</v>
      </c>
      <c r="G760" s="30" t="s">
        <v>15</v>
      </c>
      <c r="H760" s="30" t="s">
        <v>114</v>
      </c>
      <c r="I760" s="203">
        <v>45051.820997800904</v>
      </c>
      <c r="J760" s="121">
        <v>45061.708333333299</v>
      </c>
      <c r="K760" s="121">
        <v>45051.820997800904</v>
      </c>
      <c r="L760" s="203">
        <v>45061.708333333299</v>
      </c>
      <c r="M760" s="204">
        <v>45056</v>
      </c>
      <c r="N760" s="205" t="s">
        <v>10</v>
      </c>
      <c r="O760" s="203" t="s">
        <v>25</v>
      </c>
      <c r="P760" s="24"/>
      <c r="Q760" s="160">
        <v>45055.833333333336</v>
      </c>
      <c r="R760" s="160">
        <v>45058.833333333336</v>
      </c>
      <c r="S760" s="161">
        <v>45071.833333333336</v>
      </c>
      <c r="T760" s="24"/>
      <c r="U760" s="68">
        <f>Tabla1[[#This Row],[PPTO]]/(1+'Lista Datos'!$B$1)</f>
        <v>0</v>
      </c>
      <c r="V760" s="67"/>
      <c r="W760" s="193" t="s">
        <v>10</v>
      </c>
      <c r="X760" s="127"/>
      <c r="Y760" s="127"/>
      <c r="Z760" s="154" t="s">
        <v>10</v>
      </c>
      <c r="AA760" s="30" t="s">
        <v>512</v>
      </c>
      <c r="AB760" s="30"/>
      <c r="AC760" s="30"/>
      <c r="AD760" s="30"/>
      <c r="AE760" s="145">
        <f>Tabla1[[#This Row],[Cierre]]+Tabla1[[#This Row],[Vigencia Oferta (días)]]</f>
        <v>45061.708333333299</v>
      </c>
      <c r="AF760" s="68"/>
      <c r="AG760" s="157"/>
      <c r="AH760" s="194">
        <f>Tabla1[[#This Row],[Unidades2]]*Tabla1[[#This Row],[Precio Unitario]]</f>
        <v>0</v>
      </c>
      <c r="AI760" s="97" t="s">
        <v>270</v>
      </c>
      <c r="AJ760" s="104"/>
      <c r="AK760" s="104">
        <f>Tabla1[[#This Row],[Fecha Vigencia]]-AJ760</f>
        <v>45061.708333333299</v>
      </c>
      <c r="AL760" s="68"/>
      <c r="AM760" s="91"/>
      <c r="AN760" s="68"/>
      <c r="AO760" s="218"/>
      <c r="AP760" s="68"/>
      <c r="AQ760" s="69"/>
      <c r="AR760" s="68"/>
      <c r="AS760" s="68"/>
      <c r="AT760" s="68"/>
      <c r="AU760" s="68"/>
      <c r="AV760" s="68"/>
      <c r="AW760" s="68"/>
      <c r="AX760" s="68"/>
      <c r="AY760" s="30"/>
      <c r="AZ760" s="30"/>
      <c r="BA760" s="30"/>
      <c r="BB760" s="75"/>
    </row>
    <row r="761" spans="1:54" x14ac:dyDescent="0.25">
      <c r="A761" s="117" t="s">
        <v>3780</v>
      </c>
      <c r="B761" s="118" t="s">
        <v>3781</v>
      </c>
      <c r="C761" s="118" t="s">
        <v>3782</v>
      </c>
      <c r="D761" s="119" t="s">
        <v>1641</v>
      </c>
      <c r="E761" s="38" t="s">
        <v>3783</v>
      </c>
      <c r="F761" s="39">
        <v>1</v>
      </c>
      <c r="G761" s="118" t="s">
        <v>14</v>
      </c>
      <c r="H761" s="118" t="s">
        <v>533</v>
      </c>
      <c r="I761" s="206">
        <v>45051.684548495403</v>
      </c>
      <c r="J761" s="121">
        <v>45061.625</v>
      </c>
      <c r="K761" s="121">
        <v>45051.684548495403</v>
      </c>
      <c r="L761" s="206">
        <v>45061.625</v>
      </c>
      <c r="M761" s="204">
        <v>45056</v>
      </c>
      <c r="N761" s="207" t="s">
        <v>10</v>
      </c>
      <c r="O761" s="206" t="s">
        <v>25</v>
      </c>
      <c r="P761" s="38"/>
      <c r="Q761" s="147">
        <v>45055.375</v>
      </c>
      <c r="R761" s="147">
        <v>45058.835416666669</v>
      </c>
      <c r="S761" s="148">
        <v>45104.791666666664</v>
      </c>
      <c r="T761" s="38"/>
      <c r="U761" s="65">
        <f>Tabla1[[#This Row],[PPTO]]/(1+'Lista Datos'!$B$1)</f>
        <v>0</v>
      </c>
      <c r="V761" s="64"/>
      <c r="W761" s="191" t="s">
        <v>10</v>
      </c>
      <c r="X761" s="122"/>
      <c r="Y761" s="122"/>
      <c r="Z761" s="123" t="s">
        <v>10</v>
      </c>
      <c r="AA761" s="118" t="s">
        <v>177</v>
      </c>
      <c r="AB761" s="118">
        <v>24</v>
      </c>
      <c r="AC761" s="118"/>
      <c r="AD761" s="118"/>
      <c r="AE761" s="145">
        <f>Tabla1[[#This Row],[Cierre]]+Tabla1[[#This Row],[Vigencia Oferta (días)]]</f>
        <v>45061.625</v>
      </c>
      <c r="AF761" s="65"/>
      <c r="AG761" s="181"/>
      <c r="AH761" s="192">
        <f>Tabla1[[#This Row],[Unidades2]]*Tabla1[[#This Row],[Precio Unitario]]</f>
        <v>0</v>
      </c>
      <c r="AI761" s="126" t="s">
        <v>270</v>
      </c>
      <c r="AJ761" s="149"/>
      <c r="AK761" s="149">
        <f>Tabla1[[#This Row],[Fecha Vigencia]]-AJ761</f>
        <v>45061.625</v>
      </c>
      <c r="AL761" s="65"/>
      <c r="AM761" s="90"/>
      <c r="AN761" s="65"/>
      <c r="AO761" s="217"/>
      <c r="AP761" s="65"/>
      <c r="AQ761" s="66"/>
      <c r="AR761" s="65"/>
      <c r="AS761" s="65"/>
      <c r="AT761" s="65"/>
      <c r="AU761" s="65"/>
      <c r="AV761" s="65"/>
      <c r="AW761" s="65"/>
      <c r="AX761" s="65"/>
      <c r="AY761" s="118"/>
      <c r="AZ761" s="118"/>
      <c r="BA761" s="118"/>
      <c r="BB761" s="124"/>
    </row>
    <row r="762" spans="1:54" x14ac:dyDescent="0.25">
      <c r="A762" s="117" t="s">
        <v>3784</v>
      </c>
      <c r="B762" s="118" t="s">
        <v>3785</v>
      </c>
      <c r="C762" s="118" t="s">
        <v>3786</v>
      </c>
      <c r="D762" s="119" t="s">
        <v>2373</v>
      </c>
      <c r="E762" s="38" t="s">
        <v>3787</v>
      </c>
      <c r="F762" s="39">
        <v>12</v>
      </c>
      <c r="G762" s="118" t="s">
        <v>16</v>
      </c>
      <c r="H762" s="118" t="s">
        <v>145</v>
      </c>
      <c r="I762" s="206">
        <v>45051.456776817096</v>
      </c>
      <c r="J762" s="121">
        <v>45065.625</v>
      </c>
      <c r="K762" s="121">
        <v>45051.456776817096</v>
      </c>
      <c r="L762" s="206">
        <v>45065.625</v>
      </c>
      <c r="M762" s="204">
        <v>45056</v>
      </c>
      <c r="N762" s="207" t="s">
        <v>10</v>
      </c>
      <c r="O762" s="206" t="s">
        <v>31</v>
      </c>
      <c r="P762" s="38"/>
      <c r="Q762" s="121"/>
      <c r="R762" s="121"/>
      <c r="S762" s="19"/>
      <c r="T762" s="38"/>
      <c r="U762" s="65">
        <f>Tabla1[[#This Row],[PPTO]]/(1+'Lista Datos'!$B$1)</f>
        <v>0</v>
      </c>
      <c r="V762" s="64"/>
      <c r="W762" s="191"/>
      <c r="X762" s="122"/>
      <c r="Y762" s="122"/>
      <c r="Z762" s="123"/>
      <c r="AA762" s="118"/>
      <c r="AB762" s="118"/>
      <c r="AC762" s="118"/>
      <c r="AD762" s="118"/>
      <c r="AE762" s="145">
        <f>Tabla1[[#This Row],[Cierre]]+Tabla1[[#This Row],[Vigencia Oferta (días)]]</f>
        <v>45065.625</v>
      </c>
      <c r="AF762" s="65"/>
      <c r="AG762" s="181"/>
      <c r="AH762" s="192">
        <f>Tabla1[[#This Row],[Unidades2]]*Tabla1[[#This Row],[Precio Unitario]]</f>
        <v>0</v>
      </c>
      <c r="AI762" s="126" t="s">
        <v>270</v>
      </c>
      <c r="AJ762" s="149"/>
      <c r="AK762" s="149">
        <f>Tabla1[[#This Row],[Fecha Vigencia]]-AJ762</f>
        <v>45065.625</v>
      </c>
      <c r="AL762" s="65"/>
      <c r="AM762" s="90"/>
      <c r="AN762" s="65"/>
      <c r="AO762" s="217"/>
      <c r="AP762" s="65"/>
      <c r="AQ762" s="66"/>
      <c r="AR762" s="65"/>
      <c r="AS762" s="65"/>
      <c r="AT762" s="65"/>
      <c r="AU762" s="65"/>
      <c r="AV762" s="65"/>
      <c r="AW762" s="65"/>
      <c r="AX762" s="65"/>
      <c r="AY762" s="118"/>
      <c r="AZ762" s="118"/>
      <c r="BA762" s="118"/>
      <c r="BB762" s="124"/>
    </row>
    <row r="763" spans="1:54" x14ac:dyDescent="0.25">
      <c r="A763" s="117" t="s">
        <v>3788</v>
      </c>
      <c r="B763" s="118" t="s">
        <v>3789</v>
      </c>
      <c r="C763" s="118" t="s">
        <v>3790</v>
      </c>
      <c r="D763" s="119" t="s">
        <v>2822</v>
      </c>
      <c r="E763" s="38" t="s">
        <v>3791</v>
      </c>
      <c r="F763" s="39">
        <v>1</v>
      </c>
      <c r="G763" s="118" t="s">
        <v>21</v>
      </c>
      <c r="H763" s="118" t="s">
        <v>106</v>
      </c>
      <c r="I763" s="206">
        <v>45051.447254861101</v>
      </c>
      <c r="J763" s="38">
        <v>45062.708333333299</v>
      </c>
      <c r="K763" s="38">
        <v>45051.447254861101</v>
      </c>
      <c r="L763" s="206">
        <v>45062.708333333299</v>
      </c>
      <c r="M763" s="204">
        <v>45056</v>
      </c>
      <c r="N763" s="207" t="s">
        <v>10</v>
      </c>
      <c r="O763" s="206" t="s">
        <v>27</v>
      </c>
      <c r="P763" s="38"/>
      <c r="Q763" s="121"/>
      <c r="R763" s="121"/>
      <c r="S763" s="19"/>
      <c r="T763" s="38"/>
      <c r="U763" s="65">
        <f>Tabla1[[#This Row],[PPTO]]/(1+'Lista Datos'!$B$1)</f>
        <v>0</v>
      </c>
      <c r="V763" s="64"/>
      <c r="W763" s="191"/>
      <c r="X763" s="122"/>
      <c r="Y763" s="122"/>
      <c r="Z763" s="123"/>
      <c r="AA763" s="118"/>
      <c r="AB763" s="118"/>
      <c r="AC763" s="118"/>
      <c r="AD763" s="118"/>
      <c r="AE763" s="145">
        <f>Tabla1[[#This Row],[Cierre]]+Tabla1[[#This Row],[Vigencia Oferta (días)]]</f>
        <v>45062.708333333299</v>
      </c>
      <c r="AF763" s="65"/>
      <c r="AG763" s="181"/>
      <c r="AH763" s="192">
        <f>Tabla1[[#This Row],[Unidades2]]*Tabla1[[#This Row],[Precio Unitario]]</f>
        <v>0</v>
      </c>
      <c r="AI763" s="126" t="s">
        <v>270</v>
      </c>
      <c r="AJ763" s="149"/>
      <c r="AK763" s="149">
        <f>Tabla1[[#This Row],[Fecha Vigencia]]-AJ763</f>
        <v>45062.708333333299</v>
      </c>
      <c r="AL763" s="65"/>
      <c r="AM763" s="90"/>
      <c r="AN763" s="65"/>
      <c r="AO763" s="217"/>
      <c r="AP763" s="65"/>
      <c r="AQ763" s="66"/>
      <c r="AR763" s="65"/>
      <c r="AS763" s="65"/>
      <c r="AT763" s="65"/>
      <c r="AU763" s="65"/>
      <c r="AV763" s="65"/>
      <c r="AW763" s="65"/>
      <c r="AX763" s="65"/>
      <c r="AY763" s="118"/>
      <c r="AZ763" s="118"/>
      <c r="BA763" s="118"/>
      <c r="BB763" s="124"/>
    </row>
    <row r="764" spans="1:54" x14ac:dyDescent="0.25">
      <c r="A764" s="117" t="s">
        <v>3792</v>
      </c>
      <c r="B764" s="118" t="s">
        <v>3793</v>
      </c>
      <c r="C764" s="118" t="s">
        <v>3794</v>
      </c>
      <c r="D764" s="119" t="s">
        <v>1774</v>
      </c>
      <c r="E764" s="38" t="s">
        <v>3795</v>
      </c>
      <c r="F764" s="39">
        <v>1</v>
      </c>
      <c r="G764" s="118" t="s">
        <v>15</v>
      </c>
      <c r="H764" s="118" t="s">
        <v>114</v>
      </c>
      <c r="I764" s="206">
        <v>45055.767324849498</v>
      </c>
      <c r="J764" s="38">
        <v>45061.666666666701</v>
      </c>
      <c r="K764" s="38">
        <v>45055.767324849498</v>
      </c>
      <c r="L764" s="206">
        <v>45063.666666666664</v>
      </c>
      <c r="M764" s="204">
        <v>45056</v>
      </c>
      <c r="N764" s="207" t="s">
        <v>10</v>
      </c>
      <c r="O764" s="206" t="s">
        <v>25</v>
      </c>
      <c r="P764" s="38"/>
      <c r="Q764" s="147">
        <v>45057.666666666664</v>
      </c>
      <c r="R764" s="147">
        <v>45058.666666666664</v>
      </c>
      <c r="S764" s="148">
        <v>45068.791666666664</v>
      </c>
      <c r="T764" s="38"/>
      <c r="U764" s="65">
        <f>Tabla1[[#This Row],[PPTO]]/(1+'Lista Datos'!$B$1)</f>
        <v>0</v>
      </c>
      <c r="V764" s="64"/>
      <c r="W764" s="191" t="s">
        <v>10</v>
      </c>
      <c r="X764" s="122"/>
      <c r="Y764" s="122"/>
      <c r="Z764" s="123" t="s">
        <v>10</v>
      </c>
      <c r="AA764" s="118" t="s">
        <v>512</v>
      </c>
      <c r="AB764" s="118"/>
      <c r="AC764" s="118"/>
      <c r="AD764" s="118"/>
      <c r="AE764" s="145">
        <f>Tabla1[[#This Row],[Cierre]]+Tabla1[[#This Row],[Vigencia Oferta (días)]]</f>
        <v>45063.666666666664</v>
      </c>
      <c r="AF764" s="65"/>
      <c r="AG764" s="181"/>
      <c r="AH764" s="192">
        <f>Tabla1[[#This Row],[Unidades2]]*Tabla1[[#This Row],[Precio Unitario]]</f>
        <v>0</v>
      </c>
      <c r="AI764" s="126" t="s">
        <v>270</v>
      </c>
      <c r="AJ764" s="149"/>
      <c r="AK764" s="149">
        <f>Tabla1[[#This Row],[Fecha Vigencia]]-AJ764</f>
        <v>45063.666666666664</v>
      </c>
      <c r="AL764" s="65"/>
      <c r="AM764" s="90"/>
      <c r="AN764" s="65"/>
      <c r="AO764" s="217"/>
      <c r="AP764" s="65"/>
      <c r="AQ764" s="66"/>
      <c r="AR764" s="65"/>
      <c r="AS764" s="65"/>
      <c r="AT764" s="65"/>
      <c r="AU764" s="65"/>
      <c r="AV764" s="65"/>
      <c r="AW764" s="65"/>
      <c r="AX764" s="65"/>
      <c r="AY764" s="118"/>
      <c r="AZ764" s="118"/>
      <c r="BA764" s="118"/>
      <c r="BB764" s="124"/>
    </row>
    <row r="765" spans="1:54" x14ac:dyDescent="0.25">
      <c r="A765" s="117" t="s">
        <v>3796</v>
      </c>
      <c r="B765" s="118" t="s">
        <v>3797</v>
      </c>
      <c r="C765" s="118" t="s">
        <v>3798</v>
      </c>
      <c r="D765" s="119" t="s">
        <v>3799</v>
      </c>
      <c r="E765" s="38" t="s">
        <v>3800</v>
      </c>
      <c r="F765" s="39">
        <v>50</v>
      </c>
      <c r="G765" s="118" t="s">
        <v>14</v>
      </c>
      <c r="H765" s="118" t="s">
        <v>123</v>
      </c>
      <c r="I765" s="206">
        <v>45055.722625543996</v>
      </c>
      <c r="J765" s="38">
        <v>45061.625694444403</v>
      </c>
      <c r="K765" s="38">
        <v>45055.722625543996</v>
      </c>
      <c r="L765" s="206">
        <v>45061.625694444403</v>
      </c>
      <c r="M765" s="204">
        <v>45056</v>
      </c>
      <c r="N765" s="207" t="s">
        <v>10</v>
      </c>
      <c r="O765" s="206" t="s">
        <v>27</v>
      </c>
      <c r="P765" s="38"/>
      <c r="Q765" s="121"/>
      <c r="R765" s="121"/>
      <c r="S765" s="19"/>
      <c r="T765" s="38"/>
      <c r="U765" s="65">
        <f>Tabla1[[#This Row],[PPTO]]/(1+'Lista Datos'!$B$1)</f>
        <v>0</v>
      </c>
      <c r="V765" s="64"/>
      <c r="W765" s="191"/>
      <c r="X765" s="122"/>
      <c r="Y765" s="122"/>
      <c r="Z765" s="123"/>
      <c r="AA765" s="118"/>
      <c r="AB765" s="118"/>
      <c r="AC765" s="118"/>
      <c r="AD765" s="118"/>
      <c r="AE765" s="145">
        <f>Tabla1[[#This Row],[Cierre]]+Tabla1[[#This Row],[Vigencia Oferta (días)]]</f>
        <v>45061.625694444403</v>
      </c>
      <c r="AF765" s="65"/>
      <c r="AG765" s="181"/>
      <c r="AH765" s="192">
        <f>Tabla1[[#This Row],[Unidades2]]*Tabla1[[#This Row],[Precio Unitario]]</f>
        <v>0</v>
      </c>
      <c r="AI765" s="126" t="s">
        <v>270</v>
      </c>
      <c r="AJ765" s="149"/>
      <c r="AK765" s="149">
        <f>Tabla1[[#This Row],[Fecha Vigencia]]-AJ765</f>
        <v>45061.625694444403</v>
      </c>
      <c r="AL765" s="65"/>
      <c r="AM765" s="90"/>
      <c r="AN765" s="65"/>
      <c r="AO765" s="217"/>
      <c r="AP765" s="65"/>
      <c r="AQ765" s="66"/>
      <c r="AR765" s="65"/>
      <c r="AS765" s="65"/>
      <c r="AT765" s="65"/>
      <c r="AU765" s="65"/>
      <c r="AV765" s="65"/>
      <c r="AW765" s="65"/>
      <c r="AX765" s="65"/>
      <c r="AY765" s="118"/>
      <c r="AZ765" s="118"/>
      <c r="BA765" s="118"/>
      <c r="BB765" s="124"/>
    </row>
    <row r="766" spans="1:54" x14ac:dyDescent="0.25">
      <c r="A766" s="117" t="s">
        <v>3801</v>
      </c>
      <c r="B766" s="118" t="s">
        <v>3802</v>
      </c>
      <c r="C766" s="118" t="s">
        <v>3803</v>
      </c>
      <c r="D766" s="119" t="s">
        <v>2510</v>
      </c>
      <c r="E766" s="38" t="s">
        <v>3804</v>
      </c>
      <c r="F766" s="39">
        <v>1</v>
      </c>
      <c r="G766" s="118" t="s">
        <v>14</v>
      </c>
      <c r="H766" s="118" t="s">
        <v>145</v>
      </c>
      <c r="I766" s="206">
        <v>45055.530593206</v>
      </c>
      <c r="J766" s="38">
        <v>45065.602083333302</v>
      </c>
      <c r="K766" s="38">
        <v>45055.530593206</v>
      </c>
      <c r="L766" s="206">
        <v>45065.602083333302</v>
      </c>
      <c r="M766" s="204">
        <v>45056</v>
      </c>
      <c r="N766" s="207" t="s">
        <v>10</v>
      </c>
      <c r="O766" s="206" t="s">
        <v>27</v>
      </c>
      <c r="P766" s="38"/>
      <c r="Q766" s="121"/>
      <c r="R766" s="121"/>
      <c r="S766" s="19"/>
      <c r="T766" s="38"/>
      <c r="U766" s="65">
        <f>Tabla1[[#This Row],[PPTO]]/(1+'Lista Datos'!$B$1)</f>
        <v>0</v>
      </c>
      <c r="V766" s="64"/>
      <c r="W766" s="191"/>
      <c r="X766" s="122"/>
      <c r="Y766" s="122"/>
      <c r="Z766" s="123"/>
      <c r="AA766" s="118"/>
      <c r="AB766" s="118"/>
      <c r="AC766" s="118"/>
      <c r="AD766" s="118"/>
      <c r="AE766" s="145">
        <f>Tabla1[[#This Row],[Cierre]]+Tabla1[[#This Row],[Vigencia Oferta (días)]]</f>
        <v>45065.602083333302</v>
      </c>
      <c r="AF766" s="65"/>
      <c r="AG766" s="181"/>
      <c r="AH766" s="192">
        <f>Tabla1[[#This Row],[Unidades2]]*Tabla1[[#This Row],[Precio Unitario]]</f>
        <v>0</v>
      </c>
      <c r="AI766" s="126" t="s">
        <v>270</v>
      </c>
      <c r="AJ766" s="149"/>
      <c r="AK766" s="149">
        <f>Tabla1[[#This Row],[Fecha Vigencia]]-AJ766</f>
        <v>45065.602083333302</v>
      </c>
      <c r="AL766" s="65"/>
      <c r="AM766" s="90"/>
      <c r="AN766" s="65"/>
      <c r="AO766" s="217"/>
      <c r="AP766" s="65"/>
      <c r="AQ766" s="66"/>
      <c r="AR766" s="65"/>
      <c r="AS766" s="65"/>
      <c r="AT766" s="65"/>
      <c r="AU766" s="65"/>
      <c r="AV766" s="65"/>
      <c r="AW766" s="65"/>
      <c r="AX766" s="65"/>
      <c r="AY766" s="118"/>
      <c r="AZ766" s="118"/>
      <c r="BA766" s="118"/>
      <c r="BB766" s="124"/>
    </row>
    <row r="767" spans="1:54" x14ac:dyDescent="0.25">
      <c r="A767" s="117" t="s">
        <v>3805</v>
      </c>
      <c r="B767" s="118" t="s">
        <v>3806</v>
      </c>
      <c r="C767" s="118" t="s">
        <v>3807</v>
      </c>
      <c r="D767" s="119" t="s">
        <v>3673</v>
      </c>
      <c r="E767" s="38" t="s">
        <v>3808</v>
      </c>
      <c r="F767" s="39">
        <v>120</v>
      </c>
      <c r="G767" s="118" t="s">
        <v>21</v>
      </c>
      <c r="H767" s="118" t="s">
        <v>106</v>
      </c>
      <c r="I767" s="206">
        <v>45056.4529966435</v>
      </c>
      <c r="J767" s="38">
        <v>45068.645833333299</v>
      </c>
      <c r="K767" s="38">
        <v>45056.4529966435</v>
      </c>
      <c r="L767" s="206">
        <v>45068.645833333299</v>
      </c>
      <c r="M767" s="211">
        <v>45057</v>
      </c>
      <c r="N767" s="207" t="s">
        <v>10</v>
      </c>
      <c r="O767" s="206" t="s">
        <v>27</v>
      </c>
      <c r="P767" s="38"/>
      <c r="Q767" s="121"/>
      <c r="R767" s="121"/>
      <c r="S767" s="19"/>
      <c r="T767" s="38"/>
      <c r="U767" s="65">
        <f>Tabla1[[#This Row],[PPTO]]/(1+'Lista Datos'!$B$1)</f>
        <v>0</v>
      </c>
      <c r="V767" s="64"/>
      <c r="W767" s="191"/>
      <c r="X767" s="122"/>
      <c r="Y767" s="122"/>
      <c r="Z767" s="123"/>
      <c r="AA767" s="118" t="s">
        <v>177</v>
      </c>
      <c r="AB767" s="118">
        <v>24</v>
      </c>
      <c r="AC767" s="118"/>
      <c r="AD767" s="118"/>
      <c r="AE767" s="145">
        <f>Tabla1[[#This Row],[Cierre]]+Tabla1[[#This Row],[Vigencia Oferta (días)]]</f>
        <v>45068.645833333299</v>
      </c>
      <c r="AF767" s="65"/>
      <c r="AG767" s="181"/>
      <c r="AH767" s="192">
        <f>Tabla1[[#This Row],[Unidades2]]*Tabla1[[#This Row],[Precio Unitario]]</f>
        <v>0</v>
      </c>
      <c r="AI767" s="126" t="s">
        <v>270</v>
      </c>
      <c r="AJ767" s="149"/>
      <c r="AK767" s="149">
        <f>Tabla1[[#This Row],[Fecha Vigencia]]-AJ767</f>
        <v>45068.645833333299</v>
      </c>
      <c r="AL767" s="65"/>
      <c r="AM767" s="90"/>
      <c r="AN767" s="65"/>
      <c r="AO767" s="217"/>
      <c r="AP767" s="65"/>
      <c r="AQ767" s="66"/>
      <c r="AR767" s="65"/>
      <c r="AS767" s="65"/>
      <c r="AT767" s="65"/>
      <c r="AU767" s="65"/>
      <c r="AV767" s="65"/>
      <c r="AW767" s="65"/>
      <c r="AX767" s="65"/>
      <c r="AY767" s="118"/>
      <c r="AZ767" s="118"/>
      <c r="BA767" s="118"/>
      <c r="BB767" s="124"/>
    </row>
    <row r="768" spans="1:54" x14ac:dyDescent="0.25">
      <c r="A768" s="153" t="s">
        <v>3809</v>
      </c>
      <c r="B768" s="30" t="s">
        <v>3810</v>
      </c>
      <c r="C768" s="30" t="s">
        <v>3811</v>
      </c>
      <c r="D768" s="84" t="s">
        <v>3812</v>
      </c>
      <c r="E768" s="24" t="s">
        <v>3813</v>
      </c>
      <c r="F768" s="25">
        <v>1</v>
      </c>
      <c r="G768" s="30" t="s">
        <v>16</v>
      </c>
      <c r="H768" s="30" t="s">
        <v>345</v>
      </c>
      <c r="I768" s="203">
        <v>45057.678535567102</v>
      </c>
      <c r="J768" s="38">
        <v>45068.831250000003</v>
      </c>
      <c r="K768" s="38">
        <v>45057.678535567102</v>
      </c>
      <c r="L768" s="203">
        <v>45068.831250000003</v>
      </c>
      <c r="M768" s="204">
        <v>45058</v>
      </c>
      <c r="N768" s="205" t="s">
        <v>10</v>
      </c>
      <c r="O768" s="203" t="s">
        <v>25</v>
      </c>
      <c r="P768" s="24"/>
      <c r="Q768" s="160">
        <v>45060.811805555553</v>
      </c>
      <c r="R768" s="160">
        <v>45061.811805555553</v>
      </c>
      <c r="S768" s="161">
        <v>45071.831944444442</v>
      </c>
      <c r="T768" s="210">
        <v>8500000</v>
      </c>
      <c r="U768" s="209">
        <f>Tabla1[[#This Row],[PPTO]]/(1+'Lista Datos'!$B$1)</f>
        <v>7142857.1428571427</v>
      </c>
      <c r="V768" s="67"/>
      <c r="W768" s="193" t="s">
        <v>10</v>
      </c>
      <c r="X768" s="127"/>
      <c r="Y768" s="127"/>
      <c r="Z768" s="154" t="s">
        <v>10</v>
      </c>
      <c r="AA768" s="30" t="s">
        <v>177</v>
      </c>
      <c r="AB768" s="30">
        <v>7</v>
      </c>
      <c r="AC768" s="30"/>
      <c r="AD768" s="30"/>
      <c r="AE768" s="145">
        <f>Tabla1[[#This Row],[Cierre]]+Tabla1[[#This Row],[Vigencia Oferta (días)]]</f>
        <v>45068.831250000003</v>
      </c>
      <c r="AF768" s="68"/>
      <c r="AG768" s="157"/>
      <c r="AH768" s="194">
        <f>Tabla1[[#This Row],[Unidades2]]*Tabla1[[#This Row],[Precio Unitario]]</f>
        <v>0</v>
      </c>
      <c r="AI768" s="97" t="s">
        <v>270</v>
      </c>
      <c r="AJ768" s="104"/>
      <c r="AK768" s="104">
        <f>Tabla1[[#This Row],[Fecha Vigencia]]-AJ768</f>
        <v>45068.831250000003</v>
      </c>
      <c r="AL768" s="68"/>
      <c r="AM768" s="91"/>
      <c r="AN768" s="68"/>
      <c r="AO768" s="218"/>
      <c r="AP768" s="68"/>
      <c r="AQ768" s="69"/>
      <c r="AR768" s="68"/>
      <c r="AS768" s="68"/>
      <c r="AT768" s="68"/>
      <c r="AU768" s="68"/>
      <c r="AV768" s="68"/>
      <c r="AW768" s="68"/>
      <c r="AX768" s="68"/>
      <c r="AY768" s="30"/>
      <c r="AZ768" s="30"/>
      <c r="BA768" s="30"/>
      <c r="BB768" s="75"/>
    </row>
    <row r="769" spans="1:54" x14ac:dyDescent="0.25">
      <c r="A769" s="117" t="s">
        <v>3814</v>
      </c>
      <c r="B769" s="118" t="s">
        <v>3815</v>
      </c>
      <c r="C769" s="118" t="s">
        <v>3816</v>
      </c>
      <c r="D769" s="119" t="s">
        <v>829</v>
      </c>
      <c r="E769" s="38" t="s">
        <v>3817</v>
      </c>
      <c r="F769" s="39">
        <v>9</v>
      </c>
      <c r="G769" s="118" t="s">
        <v>16</v>
      </c>
      <c r="H769" s="118" t="s">
        <v>533</v>
      </c>
      <c r="I769" s="206">
        <v>45057.552776238401</v>
      </c>
      <c r="J769" s="121">
        <v>45064.631249999999</v>
      </c>
      <c r="K769" s="121">
        <v>45057.552776238401</v>
      </c>
      <c r="L769" s="206">
        <v>45064.631249999999</v>
      </c>
      <c r="M769" s="211">
        <v>45058</v>
      </c>
      <c r="N769" s="207" t="s">
        <v>10</v>
      </c>
      <c r="O769" s="206" t="s">
        <v>25</v>
      </c>
      <c r="P769" s="38"/>
      <c r="Q769" s="147">
        <v>45058.464583333334</v>
      </c>
      <c r="R769" s="147">
        <v>45061.631249999999</v>
      </c>
      <c r="S769" s="148">
        <v>45085.631249999999</v>
      </c>
      <c r="T769" s="215">
        <v>3213000</v>
      </c>
      <c r="U769" s="214">
        <f>Tabla1[[#This Row],[PPTO]]/(1+'Lista Datos'!$B$1)</f>
        <v>2700000</v>
      </c>
      <c r="V769" s="64"/>
      <c r="W769" s="191" t="s">
        <v>10</v>
      </c>
      <c r="X769" s="122"/>
      <c r="Y769" s="122"/>
      <c r="Z769" s="123" t="s">
        <v>10</v>
      </c>
      <c r="AA769" s="118" t="s">
        <v>512</v>
      </c>
      <c r="AB769" s="118"/>
      <c r="AC769" s="118"/>
      <c r="AD769" s="118"/>
      <c r="AE769" s="145">
        <f>Tabla1[[#This Row],[Cierre]]+Tabla1[[#This Row],[Vigencia Oferta (días)]]</f>
        <v>45064.631249999999</v>
      </c>
      <c r="AF769" s="65"/>
      <c r="AG769" s="181"/>
      <c r="AH769" s="192">
        <f>Tabla1[[#This Row],[Unidades2]]*Tabla1[[#This Row],[Precio Unitario]]</f>
        <v>0</v>
      </c>
      <c r="AI769" s="126" t="s">
        <v>270</v>
      </c>
      <c r="AJ769" s="149"/>
      <c r="AK769" s="149">
        <f>Tabla1[[#This Row],[Fecha Vigencia]]-AJ769</f>
        <v>45064.631249999999</v>
      </c>
      <c r="AL769" s="65"/>
      <c r="AM769" s="90"/>
      <c r="AN769" s="65"/>
      <c r="AO769" s="217"/>
      <c r="AP769" s="65"/>
      <c r="AQ769" s="66"/>
      <c r="AR769" s="65"/>
      <c r="AS769" s="65"/>
      <c r="AT769" s="65"/>
      <c r="AU769" s="65"/>
      <c r="AV769" s="65"/>
      <c r="AW769" s="65"/>
      <c r="AX769" s="65"/>
      <c r="AY769" s="118"/>
      <c r="AZ769" s="118"/>
      <c r="BA769" s="118"/>
      <c r="BB769" s="124"/>
    </row>
    <row r="770" spans="1:54" x14ac:dyDescent="0.25">
      <c r="A770" s="117" t="s">
        <v>3818</v>
      </c>
      <c r="B770" s="118" t="s">
        <v>3819</v>
      </c>
      <c r="C770" s="118" t="s">
        <v>3820</v>
      </c>
      <c r="D770" s="119" t="s">
        <v>3128</v>
      </c>
      <c r="E770" s="38" t="s">
        <v>3821</v>
      </c>
      <c r="F770" s="39">
        <v>1184</v>
      </c>
      <c r="G770" s="118" t="s">
        <v>14</v>
      </c>
      <c r="H770" s="118" t="s">
        <v>123</v>
      </c>
      <c r="I770" s="206">
        <v>45057.415346678201</v>
      </c>
      <c r="J770" s="38">
        <v>45064.708333333299</v>
      </c>
      <c r="K770" s="38">
        <v>45057.415346678201</v>
      </c>
      <c r="L770" s="206">
        <v>45064.708333333299</v>
      </c>
      <c r="M770" s="211">
        <v>45058</v>
      </c>
      <c r="N770" s="207" t="s">
        <v>10</v>
      </c>
      <c r="O770" s="206" t="s">
        <v>25</v>
      </c>
      <c r="P770" s="38"/>
      <c r="Q770" s="147">
        <v>45058.666666666664</v>
      </c>
      <c r="R770" s="147">
        <v>45061.645833333336</v>
      </c>
      <c r="S770" s="148">
        <v>45093.6875</v>
      </c>
      <c r="T770" s="38"/>
      <c r="U770" s="65">
        <f>Tabla1[[#This Row],[PPTO]]/(1+'Lista Datos'!$B$1)</f>
        <v>0</v>
      </c>
      <c r="V770" s="64"/>
      <c r="W770" s="191" t="s">
        <v>10</v>
      </c>
      <c r="X770" s="122"/>
      <c r="Y770" s="122"/>
      <c r="Z770" s="123" t="s">
        <v>10</v>
      </c>
      <c r="AA770" s="118" t="s">
        <v>177</v>
      </c>
      <c r="AB770" s="118">
        <v>24</v>
      </c>
      <c r="AC770" s="118"/>
      <c r="AD770" s="118"/>
      <c r="AE770" s="145">
        <f>Tabla1[[#This Row],[Cierre]]+Tabla1[[#This Row],[Vigencia Oferta (días)]]</f>
        <v>45064.708333333299</v>
      </c>
      <c r="AF770" s="65"/>
      <c r="AG770" s="181"/>
      <c r="AH770" s="192">
        <f>Tabla1[[#This Row],[Unidades2]]*Tabla1[[#This Row],[Precio Unitario]]</f>
        <v>0</v>
      </c>
      <c r="AI770" s="126" t="s">
        <v>270</v>
      </c>
      <c r="AJ770" s="149"/>
      <c r="AK770" s="149">
        <f>Tabla1[[#This Row],[Fecha Vigencia]]-AJ770</f>
        <v>45064.708333333299</v>
      </c>
      <c r="AL770" s="65"/>
      <c r="AM770" s="90"/>
      <c r="AN770" s="65"/>
      <c r="AO770" s="217"/>
      <c r="AP770" s="65"/>
      <c r="AQ770" s="66"/>
      <c r="AR770" s="65"/>
      <c r="AS770" s="65"/>
      <c r="AT770" s="65"/>
      <c r="AU770" s="65"/>
      <c r="AV770" s="65"/>
      <c r="AW770" s="65"/>
      <c r="AX770" s="65"/>
      <c r="AY770" s="118"/>
      <c r="AZ770" s="118"/>
      <c r="BA770" s="118"/>
      <c r="BB770" s="124"/>
    </row>
    <row r="771" spans="1:54" x14ac:dyDescent="0.25">
      <c r="A771" s="117" t="s">
        <v>3822</v>
      </c>
      <c r="B771" s="118" t="s">
        <v>3823</v>
      </c>
      <c r="C771" s="118" t="s">
        <v>3824</v>
      </c>
      <c r="D771" s="119" t="s">
        <v>3825</v>
      </c>
      <c r="E771" s="38" t="s">
        <v>3824</v>
      </c>
      <c r="F771" s="39">
        <v>1</v>
      </c>
      <c r="G771" s="118" t="s">
        <v>16</v>
      </c>
      <c r="H771" s="118" t="s">
        <v>520</v>
      </c>
      <c r="I771" s="206">
        <v>45058.513784722221</v>
      </c>
      <c r="J771" s="38">
        <f>MONTH(Tabla1[[#This Row],[Publicación]])</f>
        <v>5</v>
      </c>
      <c r="K771" s="38">
        <f>YEAR(Tabla1[[#This Row],[Publicación]])</f>
        <v>2023</v>
      </c>
      <c r="L771" s="206">
        <v>45070.375</v>
      </c>
      <c r="M771" s="211">
        <v>45058</v>
      </c>
      <c r="N771" s="207" t="s">
        <v>10</v>
      </c>
      <c r="O771" s="206" t="s">
        <v>25</v>
      </c>
      <c r="P771" s="38"/>
      <c r="Q771" s="147">
        <v>45063.666666666664</v>
      </c>
      <c r="R771" s="147">
        <v>45065.916666666664</v>
      </c>
      <c r="S771" s="148">
        <v>45093.791666666664</v>
      </c>
      <c r="T771" s="215">
        <v>15000000</v>
      </c>
      <c r="U771" s="214">
        <f>Tabla1[[#This Row],[PPTO]]/(1+'Lista Datos'!$B$1)</f>
        <v>12605042.016806724</v>
      </c>
      <c r="V771" s="64"/>
      <c r="W771" s="191" t="s">
        <v>10</v>
      </c>
      <c r="X771" s="122"/>
      <c r="Y771" s="122"/>
      <c r="Z771" s="123" t="s">
        <v>10</v>
      </c>
      <c r="AA771" s="118" t="s">
        <v>177</v>
      </c>
      <c r="AB771" s="118">
        <v>7</v>
      </c>
      <c r="AC771" s="118"/>
      <c r="AD771" s="118"/>
      <c r="AE771" s="145">
        <f>Tabla1[[#This Row],[Cierre]]+Tabla1[[#This Row],[Vigencia Oferta (días)]]</f>
        <v>45070.375</v>
      </c>
      <c r="AF771" s="65"/>
      <c r="AG771" s="181"/>
      <c r="AH771" s="192">
        <f>Tabla1[[#This Row],[Unidades2]]*Tabla1[[#This Row],[Precio Unitario]]</f>
        <v>0</v>
      </c>
      <c r="AI771" s="126" t="s">
        <v>270</v>
      </c>
      <c r="AJ771" s="149"/>
      <c r="AK771" s="149">
        <f>Tabla1[[#This Row],[Fecha Vigencia]]-AJ771</f>
        <v>45070.375</v>
      </c>
      <c r="AL771" s="65"/>
      <c r="AM771" s="90"/>
      <c r="AN771" s="65"/>
      <c r="AO771" s="217"/>
      <c r="AP771" s="65"/>
      <c r="AQ771" s="66"/>
      <c r="AR771" s="65"/>
      <c r="AS771" s="65"/>
      <c r="AT771" s="65"/>
      <c r="AU771" s="65"/>
      <c r="AV771" s="65"/>
      <c r="AW771" s="65"/>
      <c r="AX771" s="65"/>
      <c r="AY771" s="118"/>
      <c r="AZ771" s="118"/>
      <c r="BA771" s="118"/>
      <c r="BB771" s="124"/>
    </row>
    <row r="772" spans="1:54" x14ac:dyDescent="0.25">
      <c r="A772" s="117" t="s">
        <v>3826</v>
      </c>
      <c r="B772" s="118" t="s">
        <v>3827</v>
      </c>
      <c r="C772" s="118" t="s">
        <v>3828</v>
      </c>
      <c r="D772" s="119" t="s">
        <v>3829</v>
      </c>
      <c r="E772" s="38" t="s">
        <v>3830</v>
      </c>
      <c r="F772" s="39">
        <v>1</v>
      </c>
      <c r="G772" s="118" t="s">
        <v>21</v>
      </c>
      <c r="H772" s="118" t="s">
        <v>106</v>
      </c>
      <c r="I772" s="206">
        <v>45058.452743055554</v>
      </c>
      <c r="J772" s="38">
        <f>MONTH(Tabla1[[#This Row],[Publicación]])</f>
        <v>5</v>
      </c>
      <c r="K772" s="38">
        <f>YEAR(Tabla1[[#This Row],[Publicación]])</f>
        <v>2023</v>
      </c>
      <c r="L772" s="206">
        <v>45063.625</v>
      </c>
      <c r="M772" s="211">
        <v>45058</v>
      </c>
      <c r="N772" s="207" t="s">
        <v>10</v>
      </c>
      <c r="O772" s="206" t="s">
        <v>35</v>
      </c>
      <c r="P772" s="38"/>
      <c r="Q772" s="147">
        <v>45061.625</v>
      </c>
      <c r="R772" s="147">
        <v>45062.625</v>
      </c>
      <c r="S772" s="148">
        <v>45077.833333333336</v>
      </c>
      <c r="T772" s="212">
        <v>3790000</v>
      </c>
      <c r="U772" s="213">
        <f>Tabla1[[#This Row],[PPTO]]/(1+'Lista Datos'!$B$1)</f>
        <v>3184873.9495798321</v>
      </c>
      <c r="V772" s="64"/>
      <c r="W772" s="191" t="s">
        <v>10</v>
      </c>
      <c r="X772" s="122"/>
      <c r="Y772" s="122"/>
      <c r="Z772" s="123" t="s">
        <v>10</v>
      </c>
      <c r="AA772" s="118" t="s">
        <v>512</v>
      </c>
      <c r="AB772" s="118"/>
      <c r="AC772" s="118"/>
      <c r="AD772" s="118"/>
      <c r="AE772" s="145">
        <f>Tabla1[[#This Row],[Cierre]]+Tabla1[[#This Row],[Vigencia Oferta (días)]]</f>
        <v>45063.625</v>
      </c>
      <c r="AF772" s="65"/>
      <c r="AG772" s="181"/>
      <c r="AH772" s="192">
        <f>Tabla1[[#This Row],[Unidades2]]*Tabla1[[#This Row],[Precio Unitario]]</f>
        <v>0</v>
      </c>
      <c r="AI772" s="126" t="s">
        <v>270</v>
      </c>
      <c r="AJ772" s="149"/>
      <c r="AK772" s="149">
        <f>Tabla1[[#This Row],[Fecha Vigencia]]-AJ772</f>
        <v>45063.625</v>
      </c>
      <c r="AL772" s="65"/>
      <c r="AM772" s="90"/>
      <c r="AN772" s="65"/>
      <c r="AO772" s="217"/>
      <c r="AP772" s="65"/>
      <c r="AQ772" s="66"/>
      <c r="AR772" s="65"/>
      <c r="AS772" s="65"/>
      <c r="AT772" s="65"/>
      <c r="AU772" s="65"/>
      <c r="AV772" s="65"/>
      <c r="AW772" s="65"/>
      <c r="AX772" s="65"/>
      <c r="AY772" s="118"/>
      <c r="AZ772" s="118"/>
      <c r="BA772" s="118"/>
      <c r="BB772" s="124"/>
    </row>
    <row r="773" spans="1:54" x14ac:dyDescent="0.25">
      <c r="A773" s="117" t="s">
        <v>3831</v>
      </c>
      <c r="B773" s="118" t="s">
        <v>3832</v>
      </c>
      <c r="C773" s="118" t="s">
        <v>3833</v>
      </c>
      <c r="D773" s="119" t="s">
        <v>3620</v>
      </c>
      <c r="E773" s="38" t="s">
        <v>3834</v>
      </c>
      <c r="F773" s="39">
        <v>8</v>
      </c>
      <c r="G773" s="118" t="s">
        <v>20</v>
      </c>
      <c r="H773" s="118" t="s">
        <v>106</v>
      </c>
      <c r="I773" s="206">
        <v>45058.642079432902</v>
      </c>
      <c r="J773" s="38">
        <v>45064.5</v>
      </c>
      <c r="K773" s="38">
        <v>45058.642079432902</v>
      </c>
      <c r="L773" s="206">
        <v>45064.5</v>
      </c>
      <c r="M773" s="211">
        <v>45061</v>
      </c>
      <c r="N773" s="207" t="s">
        <v>10</v>
      </c>
      <c r="O773" s="206" t="s">
        <v>25</v>
      </c>
      <c r="P773" s="38"/>
      <c r="Q773" s="147">
        <v>45061.666666666664</v>
      </c>
      <c r="R773" s="147">
        <v>45062.458333333336</v>
      </c>
      <c r="S773" s="148">
        <v>45072.625</v>
      </c>
      <c r="T773" s="215">
        <v>2600000</v>
      </c>
      <c r="U773" s="214">
        <f>Tabla1[[#This Row],[PPTO]]/(1+'Lista Datos'!$B$1)</f>
        <v>2184873.9495798321</v>
      </c>
      <c r="V773" s="64"/>
      <c r="W773" s="191" t="s">
        <v>10</v>
      </c>
      <c r="X773" s="122"/>
      <c r="Y773" s="122"/>
      <c r="Z773" s="123" t="s">
        <v>10</v>
      </c>
      <c r="AA773" s="118" t="s">
        <v>177</v>
      </c>
      <c r="AB773" s="118">
        <v>24</v>
      </c>
      <c r="AC773" s="118"/>
      <c r="AD773" s="118"/>
      <c r="AE773" s="145">
        <f>Tabla1[[#This Row],[Cierre]]+Tabla1[[#This Row],[Vigencia Oferta (días)]]</f>
        <v>45064.5</v>
      </c>
      <c r="AF773" s="65"/>
      <c r="AG773" s="181"/>
      <c r="AH773" s="192">
        <f>Tabla1[[#This Row],[Unidades2]]*Tabla1[[#This Row],[Precio Unitario]]</f>
        <v>0</v>
      </c>
      <c r="AI773" s="126" t="s">
        <v>44</v>
      </c>
      <c r="AJ773" s="149">
        <v>45071</v>
      </c>
      <c r="AK773" s="149">
        <f>Tabla1[[#This Row],[Fecha Vigencia]]-AJ773</f>
        <v>-6.5</v>
      </c>
      <c r="AL773" s="65" t="s">
        <v>46</v>
      </c>
      <c r="AM773" s="90" t="s">
        <v>3835</v>
      </c>
      <c r="AN773" s="181">
        <v>45071</v>
      </c>
      <c r="AO773" s="217">
        <v>45802</v>
      </c>
      <c r="AP773" s="65" t="s">
        <v>177</v>
      </c>
      <c r="AQ773" s="66"/>
      <c r="AR773" s="65"/>
      <c r="AS773" s="65"/>
      <c r="AT773" s="65"/>
      <c r="AU773" s="65"/>
      <c r="AV773" s="65"/>
      <c r="AW773" s="65"/>
      <c r="AX773" s="65"/>
      <c r="AY773" s="118"/>
      <c r="AZ773" s="118"/>
      <c r="BA773" s="118"/>
      <c r="BB773" s="124"/>
    </row>
    <row r="774" spans="1:54" x14ac:dyDescent="0.25">
      <c r="A774" s="117" t="s">
        <v>3836</v>
      </c>
      <c r="B774" s="118" t="s">
        <v>3837</v>
      </c>
      <c r="C774" s="118" t="s">
        <v>3838</v>
      </c>
      <c r="D774" s="119" t="s">
        <v>136</v>
      </c>
      <c r="E774" s="38" t="s">
        <v>3839</v>
      </c>
      <c r="F774" s="39">
        <v>24</v>
      </c>
      <c r="G774" s="118" t="s">
        <v>18</v>
      </c>
      <c r="H774" s="118" t="s">
        <v>1983</v>
      </c>
      <c r="I774" s="206">
        <v>45058.628472222197</v>
      </c>
      <c r="J774" s="38">
        <v>45068.666666666701</v>
      </c>
      <c r="K774" s="38">
        <v>45058.628472222197</v>
      </c>
      <c r="L774" s="206">
        <v>45068.666666666701</v>
      </c>
      <c r="M774" s="211">
        <v>45061</v>
      </c>
      <c r="N774" s="207" t="s">
        <v>10</v>
      </c>
      <c r="O774" s="206" t="s">
        <v>29</v>
      </c>
      <c r="P774" s="38"/>
      <c r="Q774" s="147">
        <v>45062.625</v>
      </c>
      <c r="R774" s="147">
        <v>45064.625</v>
      </c>
      <c r="S774" s="148">
        <v>45090.75</v>
      </c>
      <c r="T774" s="215">
        <v>40000000</v>
      </c>
      <c r="U774" s="214">
        <f>Tabla1[[#This Row],[PPTO]]/(1+'Lista Datos'!$B$1)</f>
        <v>33613445.37815126</v>
      </c>
      <c r="V774" s="64"/>
      <c r="W774" s="191" t="s">
        <v>10</v>
      </c>
      <c r="X774" s="122"/>
      <c r="Y774" s="122"/>
      <c r="Z774" s="123" t="s">
        <v>11</v>
      </c>
      <c r="AA774" s="118" t="s">
        <v>177</v>
      </c>
      <c r="AB774" s="118">
        <v>24</v>
      </c>
      <c r="AC774" s="118"/>
      <c r="AD774" s="118"/>
      <c r="AE774" s="145">
        <f>Tabla1[[#This Row],[Cierre]]+Tabla1[[#This Row],[Vigencia Oferta (días)]]</f>
        <v>45068.666666666701</v>
      </c>
      <c r="AF774" s="65"/>
      <c r="AG774" s="181"/>
      <c r="AH774" s="192">
        <f>Tabla1[[#This Row],[Unidades2]]*Tabla1[[#This Row],[Precio Unitario]]</f>
        <v>0</v>
      </c>
      <c r="AI774" s="126" t="s">
        <v>270</v>
      </c>
      <c r="AJ774" s="149"/>
      <c r="AK774" s="149">
        <f>Tabla1[[#This Row],[Fecha Vigencia]]-AJ774</f>
        <v>45068.666666666701</v>
      </c>
      <c r="AL774" s="65"/>
      <c r="AM774" s="90"/>
      <c r="AN774" s="65"/>
      <c r="AO774" s="217"/>
      <c r="AP774" s="65"/>
      <c r="AQ774" s="66"/>
      <c r="AR774" s="65"/>
      <c r="AS774" s="65"/>
      <c r="AT774" s="65"/>
      <c r="AU774" s="65"/>
      <c r="AV774" s="65"/>
      <c r="AW774" s="65"/>
      <c r="AX774" s="65"/>
      <c r="AY774" s="118"/>
      <c r="AZ774" s="118"/>
      <c r="BA774" s="118"/>
      <c r="BB774" s="124"/>
    </row>
    <row r="775" spans="1:54" x14ac:dyDescent="0.25">
      <c r="A775" s="117" t="s">
        <v>3840</v>
      </c>
      <c r="B775" s="118" t="s">
        <v>3841</v>
      </c>
      <c r="C775" s="118" t="s">
        <v>3842</v>
      </c>
      <c r="D775" s="119" t="s">
        <v>3843</v>
      </c>
      <c r="E775" s="38" t="s">
        <v>3844</v>
      </c>
      <c r="F775" s="39">
        <v>1</v>
      </c>
      <c r="G775" s="118" t="s">
        <v>16</v>
      </c>
      <c r="H775" s="118" t="s">
        <v>1983</v>
      </c>
      <c r="I775" s="206">
        <v>45058.601351736099</v>
      </c>
      <c r="J775" s="38">
        <v>45068.775000000001</v>
      </c>
      <c r="K775" s="38">
        <v>45058.601351736099</v>
      </c>
      <c r="L775" s="206">
        <v>45068.775000000001</v>
      </c>
      <c r="M775" s="211">
        <v>45061</v>
      </c>
      <c r="N775" s="207" t="s">
        <v>10</v>
      </c>
      <c r="O775" s="206" t="s">
        <v>33</v>
      </c>
      <c r="P775" s="38"/>
      <c r="Q775" s="147">
        <v>45061.690972222219</v>
      </c>
      <c r="R775" s="147">
        <v>45062.690972222219</v>
      </c>
      <c r="S775" s="148">
        <v>45077.775694444441</v>
      </c>
      <c r="T775" s="38"/>
      <c r="U775" s="65">
        <f>Tabla1[[#This Row],[PPTO]]/(1+'Lista Datos'!$B$1)</f>
        <v>0</v>
      </c>
      <c r="V775" s="64"/>
      <c r="W775" s="191" t="s">
        <v>10</v>
      </c>
      <c r="X775" s="122"/>
      <c r="Y775" s="122"/>
      <c r="Z775" s="123" t="s">
        <v>10</v>
      </c>
      <c r="AA775" s="118" t="s">
        <v>177</v>
      </c>
      <c r="AB775" s="118">
        <v>20</v>
      </c>
      <c r="AC775" s="118"/>
      <c r="AD775" s="118"/>
      <c r="AE775" s="145">
        <f>Tabla1[[#This Row],[Cierre]]+Tabla1[[#This Row],[Vigencia Oferta (días)]]</f>
        <v>45068.775000000001</v>
      </c>
      <c r="AF775" s="65"/>
      <c r="AG775" s="181"/>
      <c r="AH775" s="192">
        <f>Tabla1[[#This Row],[Unidades2]]*Tabla1[[#This Row],[Precio Unitario]]</f>
        <v>0</v>
      </c>
      <c r="AI775" s="126" t="s">
        <v>270</v>
      </c>
      <c r="AJ775" s="149"/>
      <c r="AK775" s="149">
        <f>Tabla1[[#This Row],[Fecha Vigencia]]-AJ775</f>
        <v>45068.775000000001</v>
      </c>
      <c r="AL775" s="65"/>
      <c r="AM775" s="90"/>
      <c r="AN775" s="65"/>
      <c r="AO775" s="217"/>
      <c r="AP775" s="65"/>
      <c r="AQ775" s="66"/>
      <c r="AR775" s="65"/>
      <c r="AS775" s="65"/>
      <c r="AT775" s="65"/>
      <c r="AU775" s="65"/>
      <c r="AV775" s="65"/>
      <c r="AW775" s="65"/>
      <c r="AX775" s="65"/>
      <c r="AY775" s="118"/>
      <c r="AZ775" s="118"/>
      <c r="BA775" s="118"/>
      <c r="BB775" s="124"/>
    </row>
    <row r="776" spans="1:54" x14ac:dyDescent="0.25">
      <c r="A776" s="117" t="s">
        <v>3845</v>
      </c>
      <c r="B776" s="118" t="s">
        <v>3846</v>
      </c>
      <c r="C776" s="118" t="s">
        <v>3847</v>
      </c>
      <c r="D776" s="119" t="s">
        <v>3175</v>
      </c>
      <c r="E776" s="38" t="s">
        <v>3848</v>
      </c>
      <c r="F776" s="39">
        <v>1</v>
      </c>
      <c r="G776" s="118" t="s">
        <v>16</v>
      </c>
      <c r="H776" s="118" t="s">
        <v>1983</v>
      </c>
      <c r="I776" s="206">
        <v>45061.649443020797</v>
      </c>
      <c r="J776" s="38">
        <v>45068.776388888902</v>
      </c>
      <c r="K776" s="38">
        <v>45061.649443020797</v>
      </c>
      <c r="L776" s="206">
        <v>45068.776388888902</v>
      </c>
      <c r="M776" s="211">
        <v>45062</v>
      </c>
      <c r="N776" s="207" t="s">
        <v>10</v>
      </c>
      <c r="O776" s="206" t="s">
        <v>34</v>
      </c>
      <c r="P776" s="38"/>
      <c r="Q776" s="147">
        <v>45062.776388888888</v>
      </c>
      <c r="R776" s="147">
        <v>45063.776388888888</v>
      </c>
      <c r="S776" s="148">
        <v>45070.776388888888</v>
      </c>
      <c r="T776" s="38"/>
      <c r="U776" s="65">
        <f>Tabla1[[#This Row],[PPTO]]/(1+'Lista Datos'!$B$1)</f>
        <v>0</v>
      </c>
      <c r="V776" s="64"/>
      <c r="W776" s="191" t="s">
        <v>10</v>
      </c>
      <c r="X776" s="122"/>
      <c r="Y776" s="122"/>
      <c r="Z776" s="123" t="s">
        <v>10</v>
      </c>
      <c r="AA776" s="118" t="s">
        <v>512</v>
      </c>
      <c r="AB776" s="118"/>
      <c r="AC776" s="118"/>
      <c r="AD776" s="118"/>
      <c r="AE776" s="145">
        <f>Tabla1[[#This Row],[Cierre]]+Tabla1[[#This Row],[Vigencia Oferta (días)]]</f>
        <v>45068.776388888902</v>
      </c>
      <c r="AF776" s="65"/>
      <c r="AG776" s="181"/>
      <c r="AH776" s="192">
        <f>Tabla1[[#This Row],[Unidades2]]*Tabla1[[#This Row],[Precio Unitario]]</f>
        <v>0</v>
      </c>
      <c r="AI776" s="126" t="s">
        <v>270</v>
      </c>
      <c r="AJ776" s="149"/>
      <c r="AK776" s="149">
        <f>Tabla1[[#This Row],[Fecha Vigencia]]-AJ776</f>
        <v>45068.776388888902</v>
      </c>
      <c r="AL776" s="65"/>
      <c r="AM776" s="90"/>
      <c r="AN776" s="65"/>
      <c r="AO776" s="217"/>
      <c r="AP776" s="65"/>
      <c r="AQ776" s="66"/>
      <c r="AR776" s="65"/>
      <c r="AS776" s="65"/>
      <c r="AT776" s="65"/>
      <c r="AU776" s="65"/>
      <c r="AV776" s="65"/>
      <c r="AW776" s="65"/>
      <c r="AX776" s="65"/>
      <c r="AY776" s="118"/>
      <c r="AZ776" s="118"/>
      <c r="BA776" s="118"/>
      <c r="BB776" s="124"/>
    </row>
    <row r="777" spans="1:54" x14ac:dyDescent="0.25">
      <c r="A777" s="117" t="s">
        <v>3849</v>
      </c>
      <c r="B777" s="118" t="s">
        <v>3850</v>
      </c>
      <c r="C777" s="118" t="s">
        <v>3851</v>
      </c>
      <c r="D777" s="119" t="s">
        <v>122</v>
      </c>
      <c r="E777" s="38" t="s">
        <v>3852</v>
      </c>
      <c r="F777" s="39">
        <v>32706</v>
      </c>
      <c r="G777" s="118" t="s">
        <v>20</v>
      </c>
      <c r="H777" s="118" t="s">
        <v>106</v>
      </c>
      <c r="I777" s="206">
        <v>45061.6395392708</v>
      </c>
      <c r="J777" s="38">
        <v>45071.708333333299</v>
      </c>
      <c r="K777" s="38">
        <v>45061.6395392708</v>
      </c>
      <c r="L777" s="206">
        <v>45075.708333333336</v>
      </c>
      <c r="M777" s="211">
        <v>45062</v>
      </c>
      <c r="N777" s="207" t="s">
        <v>11</v>
      </c>
      <c r="O777" s="206"/>
      <c r="P777" s="38" t="s">
        <v>11</v>
      </c>
      <c r="Q777" s="147">
        <v>45064.666666666664</v>
      </c>
      <c r="R777" s="147">
        <v>45068.666666666664</v>
      </c>
      <c r="S777" s="148">
        <v>45196.708333333336</v>
      </c>
      <c r="T777" s="215">
        <v>274000000</v>
      </c>
      <c r="U777" s="214">
        <f>Tabla1[[#This Row],[PPTO]]/(1+'Lista Datos'!$B$1)</f>
        <v>230252100.84033614</v>
      </c>
      <c r="V777" s="64"/>
      <c r="W777" s="191" t="s">
        <v>11</v>
      </c>
      <c r="X777" s="122">
        <v>100000</v>
      </c>
      <c r="Y777" s="149">
        <v>45174</v>
      </c>
      <c r="Z777" s="123" t="s">
        <v>10</v>
      </c>
      <c r="AA777" s="118" t="s">
        <v>177</v>
      </c>
      <c r="AB777" s="118">
        <v>36</v>
      </c>
      <c r="AC777" s="118"/>
      <c r="AD777" s="118"/>
      <c r="AE777" s="145">
        <f>Tabla1[[#This Row],[Cierre]]+Tabla1[[#This Row],[Vigencia Oferta (días)]]</f>
        <v>45075.708333333336</v>
      </c>
      <c r="AF777" s="65"/>
      <c r="AG777" s="181"/>
      <c r="AH777" s="192">
        <f>Tabla1[[#This Row],[Unidades2]]*Tabla1[[#This Row],[Precio Unitario]]</f>
        <v>0</v>
      </c>
      <c r="AI777" s="126" t="s">
        <v>44</v>
      </c>
      <c r="AJ777" s="149">
        <v>45132</v>
      </c>
      <c r="AK777" s="149">
        <f>Tabla1[[#This Row],[Fecha Vigencia]]-AJ777</f>
        <v>-56.291666666664241</v>
      </c>
      <c r="AL777" s="65" t="s">
        <v>115</v>
      </c>
      <c r="AM777" s="90">
        <v>292194886</v>
      </c>
      <c r="AN777" s="181">
        <v>45132</v>
      </c>
      <c r="AO777" s="217">
        <v>46228</v>
      </c>
      <c r="AP777" s="65" t="s">
        <v>177</v>
      </c>
      <c r="AQ777" s="66" t="s">
        <v>124</v>
      </c>
      <c r="AR777" s="65" t="s">
        <v>11</v>
      </c>
      <c r="AS777" s="195">
        <v>0.05</v>
      </c>
      <c r="AT777" s="181">
        <v>46470</v>
      </c>
      <c r="AU777" s="30" t="s">
        <v>3853</v>
      </c>
      <c r="AV777" s="30" t="s">
        <v>3854</v>
      </c>
      <c r="AW777" s="30" t="s">
        <v>3855</v>
      </c>
      <c r="AX777" s="30" t="s">
        <v>961</v>
      </c>
      <c r="AY777" s="65"/>
      <c r="AZ777" s="118"/>
      <c r="BA777" s="118"/>
      <c r="BB777" s="124"/>
    </row>
    <row r="778" spans="1:54" x14ac:dyDescent="0.25">
      <c r="A778" s="153" t="s">
        <v>3856</v>
      </c>
      <c r="B778" s="30" t="s">
        <v>3857</v>
      </c>
      <c r="C778" s="30" t="s">
        <v>3857</v>
      </c>
      <c r="D778" s="84" t="s">
        <v>1965</v>
      </c>
      <c r="E778" s="24" t="s">
        <v>3858</v>
      </c>
      <c r="F778" s="25">
        <v>40</v>
      </c>
      <c r="G778" s="30" t="s">
        <v>16</v>
      </c>
      <c r="H778" s="30" t="s">
        <v>1983</v>
      </c>
      <c r="I778" s="203">
        <v>45061.528263738401</v>
      </c>
      <c r="J778" s="38">
        <v>45071.791666666701</v>
      </c>
      <c r="K778" s="38">
        <v>45061.528263738401</v>
      </c>
      <c r="L778" s="203">
        <v>45071.791666666701</v>
      </c>
      <c r="M778" s="204">
        <v>45062</v>
      </c>
      <c r="N778" s="205" t="s">
        <v>10</v>
      </c>
      <c r="O778" s="203" t="s">
        <v>34</v>
      </c>
      <c r="P778" s="24"/>
      <c r="Q778" s="160">
        <v>45069.666666666664</v>
      </c>
      <c r="R778" s="160">
        <v>45070.708333333336</v>
      </c>
      <c r="S778" s="161">
        <v>45107.421527777777</v>
      </c>
      <c r="T778" s="210">
        <v>6264160</v>
      </c>
      <c r="U778" s="209">
        <f>Tabla1[[#This Row],[PPTO]]/(1+'Lista Datos'!$B$1)</f>
        <v>5264000</v>
      </c>
      <c r="V778" s="67"/>
      <c r="W778" s="193" t="s">
        <v>10</v>
      </c>
      <c r="X778" s="127"/>
      <c r="Y778" s="127"/>
      <c r="Z778" s="154" t="s">
        <v>10</v>
      </c>
      <c r="AA778" s="30" t="s">
        <v>512</v>
      </c>
      <c r="AB778" s="30"/>
      <c r="AC778" s="30"/>
      <c r="AD778" s="30"/>
      <c r="AE778" s="145">
        <f>Tabla1[[#This Row],[Cierre]]+Tabla1[[#This Row],[Vigencia Oferta (días)]]</f>
        <v>45071.791666666701</v>
      </c>
      <c r="AF778" s="68"/>
      <c r="AG778" s="157"/>
      <c r="AH778" s="194">
        <f>Tabla1[[#This Row],[Unidades2]]*Tabla1[[#This Row],[Precio Unitario]]</f>
        <v>0</v>
      </c>
      <c r="AI778" s="97" t="s">
        <v>270</v>
      </c>
      <c r="AJ778" s="104"/>
      <c r="AK778" s="104">
        <f>Tabla1[[#This Row],[Fecha Vigencia]]-AJ778</f>
        <v>45071.791666666701</v>
      </c>
      <c r="AL778" s="68"/>
      <c r="AM778" s="91"/>
      <c r="AN778" s="68"/>
      <c r="AO778" s="218"/>
      <c r="AP778" s="68"/>
      <c r="AQ778" s="69"/>
      <c r="AR778" s="68"/>
      <c r="AS778" s="68"/>
      <c r="AT778" s="68"/>
      <c r="AU778" s="68"/>
      <c r="AV778" s="68"/>
      <c r="AW778" s="68"/>
      <c r="AX778" s="68"/>
      <c r="AY778" s="30"/>
      <c r="AZ778" s="30"/>
      <c r="BA778" s="30"/>
      <c r="BB778" s="75"/>
    </row>
    <row r="779" spans="1:54" x14ac:dyDescent="0.25">
      <c r="A779" s="117" t="s">
        <v>3859</v>
      </c>
      <c r="B779" s="118" t="s">
        <v>3860</v>
      </c>
      <c r="C779" s="118" t="s">
        <v>3861</v>
      </c>
      <c r="D779" s="119" t="s">
        <v>1448</v>
      </c>
      <c r="E779" s="38" t="s">
        <v>3862</v>
      </c>
      <c r="F779" s="39">
        <v>1</v>
      </c>
      <c r="G779" s="118" t="s">
        <v>16</v>
      </c>
      <c r="H779" s="118" t="s">
        <v>145</v>
      </c>
      <c r="I779" s="206">
        <v>45061.503132870399</v>
      </c>
      <c r="J779" s="121">
        <v>45091.625</v>
      </c>
      <c r="K779" s="121">
        <v>45061.503132870399</v>
      </c>
      <c r="L779" s="206">
        <v>45091.625</v>
      </c>
      <c r="M779" s="211">
        <v>45062</v>
      </c>
      <c r="N779" s="207" t="s">
        <v>11</v>
      </c>
      <c r="O779" s="206"/>
      <c r="P779" s="38"/>
      <c r="Q779" s="147">
        <v>45076.625</v>
      </c>
      <c r="R779" s="147">
        <v>45078.625</v>
      </c>
      <c r="S779" s="148">
        <v>45169.625</v>
      </c>
      <c r="T779" s="215">
        <v>500000000</v>
      </c>
      <c r="U779" s="214">
        <f>Tabla1[[#This Row],[PPTO]]/(1+'Lista Datos'!$B$1)</f>
        <v>420168067.2268908</v>
      </c>
      <c r="V779" s="64"/>
      <c r="W779" s="191" t="s">
        <v>11</v>
      </c>
      <c r="X779" s="122">
        <v>500000</v>
      </c>
      <c r="Y779" s="149">
        <v>45153</v>
      </c>
      <c r="Z779" s="123" t="s">
        <v>11</v>
      </c>
      <c r="AA779" s="118" t="s">
        <v>177</v>
      </c>
      <c r="AB779" s="118">
        <v>24</v>
      </c>
      <c r="AC779" s="118"/>
      <c r="AD779" s="118"/>
      <c r="AE779" s="145">
        <f>Tabla1[[#This Row],[Cierre]]+Tabla1[[#This Row],[Vigencia Oferta (días)]]</f>
        <v>45091.625</v>
      </c>
      <c r="AF779" s="65"/>
      <c r="AG779" s="181"/>
      <c r="AH779" s="192">
        <f>Tabla1[[#This Row],[Unidades2]]*Tabla1[[#This Row],[Precio Unitario]]</f>
        <v>0</v>
      </c>
      <c r="AI779" s="126" t="s">
        <v>44</v>
      </c>
      <c r="AJ779" s="149">
        <v>45156</v>
      </c>
      <c r="AK779" s="149">
        <f>Tabla1[[#This Row],[Fecha Vigencia]]-AJ779</f>
        <v>-64.375</v>
      </c>
      <c r="AL779" s="65" t="s">
        <v>115</v>
      </c>
      <c r="AM779" s="90">
        <v>366069264</v>
      </c>
      <c r="AN779" s="181">
        <v>45156</v>
      </c>
      <c r="AO779" s="217">
        <v>45887</v>
      </c>
      <c r="AP779" s="65" t="s">
        <v>177</v>
      </c>
      <c r="AQ779" s="66" t="s">
        <v>1449</v>
      </c>
      <c r="AR779" s="65" t="s">
        <v>11</v>
      </c>
      <c r="AS779" s="195">
        <v>0.08</v>
      </c>
      <c r="AT779" s="181">
        <v>45931</v>
      </c>
      <c r="AU779" s="30" t="s">
        <v>3863</v>
      </c>
      <c r="AV779" s="30" t="s">
        <v>3864</v>
      </c>
      <c r="AW779" s="30" t="s">
        <v>3865</v>
      </c>
      <c r="AX779" s="30" t="s">
        <v>1451</v>
      </c>
      <c r="AY779" s="118"/>
      <c r="AZ779" s="118"/>
      <c r="BA779" s="118"/>
      <c r="BB779" s="124"/>
    </row>
    <row r="780" spans="1:54" x14ac:dyDescent="0.25">
      <c r="A780" s="117" t="s">
        <v>3866</v>
      </c>
      <c r="B780" s="118" t="s">
        <v>3867</v>
      </c>
      <c r="C780" s="118" t="s">
        <v>3867</v>
      </c>
      <c r="D780" s="119" t="s">
        <v>3868</v>
      </c>
      <c r="E780" s="38" t="s">
        <v>3869</v>
      </c>
      <c r="F780" s="39">
        <v>10</v>
      </c>
      <c r="G780" s="118" t="s">
        <v>21</v>
      </c>
      <c r="H780" s="118" t="s">
        <v>106</v>
      </c>
      <c r="I780" s="206">
        <v>45062.716751307897</v>
      </c>
      <c r="J780" s="38">
        <v>45070.6875</v>
      </c>
      <c r="K780" s="38">
        <v>45062.716751307897</v>
      </c>
      <c r="L780" s="206">
        <v>45070.6875</v>
      </c>
      <c r="M780" s="211">
        <v>45063</v>
      </c>
      <c r="N780" s="207" t="s">
        <v>10</v>
      </c>
      <c r="O780" s="206" t="s">
        <v>27</v>
      </c>
      <c r="P780" s="38"/>
      <c r="Q780" s="121"/>
      <c r="R780" s="121"/>
      <c r="S780" s="19"/>
      <c r="T780" s="38"/>
      <c r="U780" s="65">
        <f>Tabla1[[#This Row],[PPTO]]/(1+'Lista Datos'!$B$1)</f>
        <v>0</v>
      </c>
      <c r="V780" s="64"/>
      <c r="W780" s="191"/>
      <c r="X780" s="122"/>
      <c r="Y780" s="122"/>
      <c r="Z780" s="123"/>
      <c r="AA780" s="118"/>
      <c r="AB780" s="118"/>
      <c r="AC780" s="118"/>
      <c r="AD780" s="118"/>
      <c r="AE780" s="145">
        <f>Tabla1[[#This Row],[Cierre]]+Tabla1[[#This Row],[Vigencia Oferta (días)]]</f>
        <v>45070.6875</v>
      </c>
      <c r="AF780" s="65"/>
      <c r="AG780" s="181"/>
      <c r="AH780" s="192">
        <f>Tabla1[[#This Row],[Unidades2]]*Tabla1[[#This Row],[Precio Unitario]]</f>
        <v>0</v>
      </c>
      <c r="AI780" s="126" t="s">
        <v>270</v>
      </c>
      <c r="AJ780" s="149"/>
      <c r="AK780" s="149">
        <f>Tabla1[[#This Row],[Fecha Vigencia]]-AJ780</f>
        <v>45070.6875</v>
      </c>
      <c r="AL780" s="65"/>
      <c r="AM780" s="90"/>
      <c r="AN780" s="65"/>
      <c r="AO780" s="217"/>
      <c r="AP780" s="65"/>
      <c r="AQ780" s="66"/>
      <c r="AR780" s="65"/>
      <c r="AS780" s="65"/>
      <c r="AT780" s="65"/>
      <c r="AU780" s="65"/>
      <c r="AV780" s="65"/>
      <c r="AW780" s="65"/>
      <c r="AX780" s="65"/>
      <c r="AY780" s="118"/>
      <c r="AZ780" s="118"/>
      <c r="BA780" s="118"/>
      <c r="BB780" s="124"/>
    </row>
    <row r="781" spans="1:54" x14ac:dyDescent="0.25">
      <c r="A781" s="153" t="s">
        <v>3870</v>
      </c>
      <c r="B781" s="30" t="s">
        <v>3871</v>
      </c>
      <c r="C781" s="30" t="s">
        <v>3872</v>
      </c>
      <c r="D781" s="84" t="s">
        <v>3673</v>
      </c>
      <c r="E781" s="24" t="s">
        <v>3873</v>
      </c>
      <c r="F781" s="25">
        <v>2</v>
      </c>
      <c r="G781" s="30" t="s">
        <v>21</v>
      </c>
      <c r="H781" s="30" t="s">
        <v>106</v>
      </c>
      <c r="I781" s="203">
        <v>45062.454428622703</v>
      </c>
      <c r="J781" s="121">
        <v>45068.645833333299</v>
      </c>
      <c r="K781" s="121">
        <v>45062.454428622703</v>
      </c>
      <c r="L781" s="203">
        <v>45068.645833333299</v>
      </c>
      <c r="M781" s="211">
        <v>45063</v>
      </c>
      <c r="N781" s="205" t="s">
        <v>10</v>
      </c>
      <c r="O781" s="203" t="s">
        <v>28</v>
      </c>
      <c r="P781" s="24" t="s">
        <v>10</v>
      </c>
      <c r="Q781" s="160">
        <v>45063.708333333336</v>
      </c>
      <c r="R781" s="160">
        <v>45064.708333333336</v>
      </c>
      <c r="S781" s="161">
        <v>45099.666666666664</v>
      </c>
      <c r="T781" s="210">
        <v>30000000</v>
      </c>
      <c r="U781" s="209">
        <f>Tabla1[[#This Row],[PPTO]]/(1+'Lista Datos'!$B$1)</f>
        <v>25210084.033613447</v>
      </c>
      <c r="V781" s="67"/>
      <c r="W781" s="193" t="s">
        <v>10</v>
      </c>
      <c r="X781" s="127"/>
      <c r="Y781" s="127"/>
      <c r="Z781" s="154" t="s">
        <v>10</v>
      </c>
      <c r="AA781" s="30" t="s">
        <v>512</v>
      </c>
      <c r="AB781" s="30"/>
      <c r="AC781" s="30"/>
      <c r="AD781" s="30"/>
      <c r="AE781" s="145">
        <f>Tabla1[[#This Row],[Cierre]]+Tabla1[[#This Row],[Vigencia Oferta (días)]]</f>
        <v>45068.645833333299</v>
      </c>
      <c r="AF781" s="68"/>
      <c r="AG781" s="157"/>
      <c r="AH781" s="194">
        <f>Tabla1[[#This Row],[Unidades2]]*Tabla1[[#This Row],[Precio Unitario]]</f>
        <v>0</v>
      </c>
      <c r="AI781" s="97" t="s">
        <v>270</v>
      </c>
      <c r="AJ781" s="104"/>
      <c r="AK781" s="104">
        <f>Tabla1[[#This Row],[Fecha Vigencia]]-AJ781</f>
        <v>45068.645833333299</v>
      </c>
      <c r="AL781" s="68"/>
      <c r="AM781" s="91"/>
      <c r="AN781" s="68"/>
      <c r="AO781" s="218"/>
      <c r="AP781" s="68"/>
      <c r="AQ781" s="69"/>
      <c r="AR781" s="68"/>
      <c r="AS781" s="68"/>
      <c r="AT781" s="68"/>
      <c r="AU781" s="68"/>
      <c r="AV781" s="68"/>
      <c r="AW781" s="68"/>
      <c r="AX781" s="68"/>
      <c r="AY781" s="30"/>
      <c r="AZ781" s="30"/>
      <c r="BA781" s="30"/>
      <c r="BB781" s="75"/>
    </row>
    <row r="782" spans="1:54" x14ac:dyDescent="0.25">
      <c r="A782" s="117" t="s">
        <v>3874</v>
      </c>
      <c r="B782" s="118" t="s">
        <v>3875</v>
      </c>
      <c r="C782" s="118" t="s">
        <v>3875</v>
      </c>
      <c r="D782" s="119" t="s">
        <v>3876</v>
      </c>
      <c r="E782" s="38" t="s">
        <v>3877</v>
      </c>
      <c r="F782" s="39">
        <v>10</v>
      </c>
      <c r="G782" s="118" t="s">
        <v>21</v>
      </c>
      <c r="H782" s="118" t="s">
        <v>106</v>
      </c>
      <c r="I782" s="206">
        <v>45062.408680405097</v>
      </c>
      <c r="J782" s="121">
        <v>45068.625</v>
      </c>
      <c r="K782" s="121">
        <v>45062.408680405097</v>
      </c>
      <c r="L782" s="206">
        <v>45068.625</v>
      </c>
      <c r="M782" s="211">
        <v>45063</v>
      </c>
      <c r="N782" s="207" t="s">
        <v>10</v>
      </c>
      <c r="O782" s="206" t="s">
        <v>27</v>
      </c>
      <c r="P782" s="38"/>
      <c r="Q782" s="121"/>
      <c r="R782" s="121"/>
      <c r="S782" s="19"/>
      <c r="T782" s="38"/>
      <c r="U782" s="65">
        <f>Tabla1[[#This Row],[PPTO]]/(1+'Lista Datos'!$B$1)</f>
        <v>0</v>
      </c>
      <c r="V782" s="64"/>
      <c r="W782" s="191"/>
      <c r="X782" s="122"/>
      <c r="Y782" s="122"/>
      <c r="Z782" s="123"/>
      <c r="AA782" s="118"/>
      <c r="AB782" s="118"/>
      <c r="AC782" s="118"/>
      <c r="AD782" s="118"/>
      <c r="AE782" s="145">
        <f>Tabla1[[#This Row],[Cierre]]+Tabla1[[#This Row],[Vigencia Oferta (días)]]</f>
        <v>45068.625</v>
      </c>
      <c r="AF782" s="65"/>
      <c r="AG782" s="181"/>
      <c r="AH782" s="192">
        <f>Tabla1[[#This Row],[Unidades2]]*Tabla1[[#This Row],[Precio Unitario]]</f>
        <v>0</v>
      </c>
      <c r="AI782" s="126" t="s">
        <v>270</v>
      </c>
      <c r="AJ782" s="149"/>
      <c r="AK782" s="149">
        <f>Tabla1[[#This Row],[Fecha Vigencia]]-AJ782</f>
        <v>45068.625</v>
      </c>
      <c r="AL782" s="65"/>
      <c r="AM782" s="90"/>
      <c r="AN782" s="65"/>
      <c r="AO782" s="217"/>
      <c r="AP782" s="65"/>
      <c r="AQ782" s="66"/>
      <c r="AR782" s="65"/>
      <c r="AS782" s="65"/>
      <c r="AT782" s="65"/>
      <c r="AU782" s="65"/>
      <c r="AV782" s="65"/>
      <c r="AW782" s="65"/>
      <c r="AX782" s="65"/>
      <c r="AY782" s="118"/>
      <c r="AZ782" s="118"/>
      <c r="BA782" s="118"/>
      <c r="BB782" s="124"/>
    </row>
    <row r="783" spans="1:54" x14ac:dyDescent="0.25">
      <c r="A783" s="117" t="s">
        <v>3878</v>
      </c>
      <c r="B783" s="118" t="s">
        <v>3879</v>
      </c>
      <c r="C783" s="118" t="s">
        <v>3880</v>
      </c>
      <c r="D783" s="119" t="s">
        <v>371</v>
      </c>
      <c r="E783" s="38" t="s">
        <v>3881</v>
      </c>
      <c r="F783" s="39">
        <v>1</v>
      </c>
      <c r="G783" s="118" t="s">
        <v>18</v>
      </c>
      <c r="H783" s="118" t="s">
        <v>145</v>
      </c>
      <c r="I783" s="206">
        <v>45063.703046412003</v>
      </c>
      <c r="J783" s="38">
        <v>45083.625</v>
      </c>
      <c r="K783" s="38">
        <v>45063.703046412003</v>
      </c>
      <c r="L783" s="206">
        <v>45083.625</v>
      </c>
      <c r="M783" s="211">
        <v>45064</v>
      </c>
      <c r="N783" s="207" t="s">
        <v>10</v>
      </c>
      <c r="O783" s="206" t="s">
        <v>28</v>
      </c>
      <c r="P783" s="38"/>
      <c r="Q783" s="121"/>
      <c r="R783" s="121"/>
      <c r="S783" s="19"/>
      <c r="T783" s="38"/>
      <c r="U783" s="65">
        <f>Tabla1[[#This Row],[PPTO]]/(1+'Lista Datos'!$B$1)</f>
        <v>0</v>
      </c>
      <c r="V783" s="64"/>
      <c r="W783" s="191"/>
      <c r="X783" s="122"/>
      <c r="Y783" s="122"/>
      <c r="Z783" s="123"/>
      <c r="AA783" s="118"/>
      <c r="AB783" s="118"/>
      <c r="AC783" s="118"/>
      <c r="AD783" s="118"/>
      <c r="AE783" s="145">
        <f>Tabla1[[#This Row],[Cierre]]+Tabla1[[#This Row],[Vigencia Oferta (días)]]</f>
        <v>45083.625</v>
      </c>
      <c r="AF783" s="65"/>
      <c r="AG783" s="181"/>
      <c r="AH783" s="192">
        <f>Tabla1[[#This Row],[Unidades2]]*Tabla1[[#This Row],[Precio Unitario]]</f>
        <v>0</v>
      </c>
      <c r="AI783" s="126" t="s">
        <v>270</v>
      </c>
      <c r="AJ783" s="149"/>
      <c r="AK783" s="149">
        <f>Tabla1[[#This Row],[Fecha Vigencia]]-AJ783</f>
        <v>45083.625</v>
      </c>
      <c r="AL783" s="65"/>
      <c r="AM783" s="90"/>
      <c r="AN783" s="65"/>
      <c r="AO783" s="217"/>
      <c r="AP783" s="65"/>
      <c r="AQ783" s="66"/>
      <c r="AR783" s="65"/>
      <c r="AS783" s="65"/>
      <c r="AT783" s="65"/>
      <c r="AU783" s="65"/>
      <c r="AV783" s="65"/>
      <c r="AW783" s="65"/>
      <c r="AX783" s="65"/>
      <c r="AY783" s="118"/>
      <c r="AZ783" s="118"/>
      <c r="BA783" s="118"/>
      <c r="BB783" s="124"/>
    </row>
    <row r="784" spans="1:54" x14ac:dyDescent="0.25">
      <c r="A784" s="117" t="s">
        <v>3882</v>
      </c>
      <c r="B784" s="118" t="s">
        <v>3883</v>
      </c>
      <c r="C784" s="118" t="s">
        <v>3884</v>
      </c>
      <c r="D784" s="119" t="s">
        <v>3885</v>
      </c>
      <c r="E784" s="38" t="s">
        <v>3886</v>
      </c>
      <c r="F784" s="39">
        <v>2</v>
      </c>
      <c r="G784" s="118" t="s">
        <v>17</v>
      </c>
      <c r="H784" s="118" t="s">
        <v>213</v>
      </c>
      <c r="I784" s="206">
        <v>45064.787965705997</v>
      </c>
      <c r="J784" s="38">
        <v>45084.729166666701</v>
      </c>
      <c r="K784" s="38">
        <v>45064.787965705997</v>
      </c>
      <c r="L784" s="206">
        <v>45084.729166666701</v>
      </c>
      <c r="M784" s="211">
        <v>45065</v>
      </c>
      <c r="N784" s="207" t="s">
        <v>10</v>
      </c>
      <c r="O784" s="206" t="s">
        <v>27</v>
      </c>
      <c r="P784" s="38"/>
      <c r="Q784" s="121"/>
      <c r="R784" s="121"/>
      <c r="S784" s="19"/>
      <c r="T784" s="38"/>
      <c r="U784" s="65">
        <f>Tabla1[[#This Row],[PPTO]]/(1+'Lista Datos'!$B$1)</f>
        <v>0</v>
      </c>
      <c r="V784" s="64"/>
      <c r="W784" s="191"/>
      <c r="X784" s="122"/>
      <c r="Y784" s="122"/>
      <c r="Z784" s="123"/>
      <c r="AA784" s="118"/>
      <c r="AB784" s="118"/>
      <c r="AC784" s="118"/>
      <c r="AD784" s="118"/>
      <c r="AE784" s="145">
        <f>Tabla1[[#This Row],[Cierre]]+Tabla1[[#This Row],[Vigencia Oferta (días)]]</f>
        <v>45084.729166666701</v>
      </c>
      <c r="AF784" s="65"/>
      <c r="AG784" s="181"/>
      <c r="AH784" s="192">
        <f>Tabla1[[#This Row],[Unidades2]]*Tabla1[[#This Row],[Precio Unitario]]</f>
        <v>0</v>
      </c>
      <c r="AI784" s="126" t="s">
        <v>270</v>
      </c>
      <c r="AJ784" s="149"/>
      <c r="AK784" s="149">
        <f>Tabla1[[#This Row],[Fecha Vigencia]]-AJ784</f>
        <v>45084.729166666701</v>
      </c>
      <c r="AL784" s="65"/>
      <c r="AM784" s="90"/>
      <c r="AN784" s="65"/>
      <c r="AO784" s="217"/>
      <c r="AP784" s="65"/>
      <c r="AQ784" s="66"/>
      <c r="AR784" s="65"/>
      <c r="AS784" s="65"/>
      <c r="AT784" s="65"/>
      <c r="AU784" s="65"/>
      <c r="AV784" s="65"/>
      <c r="AW784" s="65"/>
      <c r="AX784" s="65"/>
      <c r="AY784" s="118"/>
      <c r="AZ784" s="118"/>
      <c r="BA784" s="118"/>
      <c r="BB784" s="124"/>
    </row>
    <row r="785" spans="1:54" x14ac:dyDescent="0.25">
      <c r="A785" s="117" t="s">
        <v>3887</v>
      </c>
      <c r="B785" s="118" t="s">
        <v>3888</v>
      </c>
      <c r="C785" s="118" t="s">
        <v>3889</v>
      </c>
      <c r="D785" s="119" t="s">
        <v>829</v>
      </c>
      <c r="E785" s="38" t="s">
        <v>3890</v>
      </c>
      <c r="F785" s="39">
        <v>9</v>
      </c>
      <c r="G785" s="118" t="s">
        <v>16</v>
      </c>
      <c r="H785" s="118" t="s">
        <v>533</v>
      </c>
      <c r="I785" s="206">
        <v>45064.740014733798</v>
      </c>
      <c r="J785" s="38">
        <v>45071.340277777803</v>
      </c>
      <c r="K785" s="38">
        <v>45064.740014733798</v>
      </c>
      <c r="L785" s="206">
        <v>45071.340277777803</v>
      </c>
      <c r="M785" s="211">
        <v>45065</v>
      </c>
      <c r="N785" s="207" t="s">
        <v>10</v>
      </c>
      <c r="O785" s="206" t="s">
        <v>27</v>
      </c>
      <c r="P785" s="38"/>
      <c r="Q785" s="121"/>
      <c r="R785" s="121"/>
      <c r="S785" s="19"/>
      <c r="T785" s="38"/>
      <c r="U785" s="65">
        <f>Tabla1[[#This Row],[PPTO]]/(1+'Lista Datos'!$B$1)</f>
        <v>0</v>
      </c>
      <c r="V785" s="64"/>
      <c r="W785" s="191"/>
      <c r="X785" s="122"/>
      <c r="Y785" s="122"/>
      <c r="Z785" s="123"/>
      <c r="AA785" s="118"/>
      <c r="AB785" s="118"/>
      <c r="AC785" s="118"/>
      <c r="AD785" s="118"/>
      <c r="AE785" s="145">
        <f>Tabla1[[#This Row],[Cierre]]+Tabla1[[#This Row],[Vigencia Oferta (días)]]</f>
        <v>45071.340277777803</v>
      </c>
      <c r="AF785" s="65"/>
      <c r="AG785" s="181"/>
      <c r="AH785" s="192">
        <f>Tabla1[[#This Row],[Unidades2]]*Tabla1[[#This Row],[Precio Unitario]]</f>
        <v>0</v>
      </c>
      <c r="AI785" s="126" t="s">
        <v>270</v>
      </c>
      <c r="AJ785" s="149"/>
      <c r="AK785" s="149">
        <f>Tabla1[[#This Row],[Fecha Vigencia]]-AJ785</f>
        <v>45071.340277777803</v>
      </c>
      <c r="AL785" s="65"/>
      <c r="AM785" s="90"/>
      <c r="AN785" s="65"/>
      <c r="AO785" s="217"/>
      <c r="AP785" s="65"/>
      <c r="AQ785" s="66"/>
      <c r="AR785" s="65"/>
      <c r="AS785" s="65"/>
      <c r="AT785" s="65"/>
      <c r="AU785" s="65"/>
      <c r="AV785" s="65"/>
      <c r="AW785" s="65"/>
      <c r="AX785" s="65"/>
      <c r="AY785" s="118"/>
      <c r="AZ785" s="118"/>
      <c r="BA785" s="118"/>
      <c r="BB785" s="124"/>
    </row>
    <row r="786" spans="1:54" x14ac:dyDescent="0.25">
      <c r="A786" s="153" t="s">
        <v>3891</v>
      </c>
      <c r="B786" s="30" t="s">
        <v>3892</v>
      </c>
      <c r="C786" s="30" t="s">
        <v>3893</v>
      </c>
      <c r="D786" s="84" t="s">
        <v>2767</v>
      </c>
      <c r="E786" s="24" t="s">
        <v>3894</v>
      </c>
      <c r="F786" s="25">
        <v>1</v>
      </c>
      <c r="G786" s="30" t="s">
        <v>20</v>
      </c>
      <c r="H786" s="30" t="s">
        <v>106</v>
      </c>
      <c r="I786" s="203">
        <v>45065.568726851852</v>
      </c>
      <c r="J786" s="38">
        <v>45085.625694444447</v>
      </c>
      <c r="K786" s="38">
        <v>45065.568726851852</v>
      </c>
      <c r="L786" s="203">
        <v>45089.625694444447</v>
      </c>
      <c r="M786" s="204">
        <v>45065</v>
      </c>
      <c r="N786" s="205" t="s">
        <v>11</v>
      </c>
      <c r="O786" s="203"/>
      <c r="P786" s="24"/>
      <c r="Q786" s="160">
        <v>45075.583333333336</v>
      </c>
      <c r="R786" s="160">
        <v>45080.708333333336</v>
      </c>
      <c r="S786" s="161">
        <v>45119.791666666664</v>
      </c>
      <c r="T786" s="210">
        <v>308845000</v>
      </c>
      <c r="U786" s="209">
        <f>Tabla1[[#This Row],[PPTO]]/(1+'Lista Datos'!$B$1)</f>
        <v>259533613.44537815</v>
      </c>
      <c r="V786" s="67">
        <v>30</v>
      </c>
      <c r="W786" s="193" t="s">
        <v>11</v>
      </c>
      <c r="X786" s="127">
        <v>300000</v>
      </c>
      <c r="Y786" s="104">
        <v>45176</v>
      </c>
      <c r="Z786" s="154" t="s">
        <v>10</v>
      </c>
      <c r="AA786" s="30" t="s">
        <v>177</v>
      </c>
      <c r="AB786" s="30">
        <v>24</v>
      </c>
      <c r="AC786" s="30" t="s">
        <v>10</v>
      </c>
      <c r="AD786" s="30">
        <v>90</v>
      </c>
      <c r="AE786" s="145">
        <f>Tabla1[[#This Row],[Cierre]]+Tabla1[[#This Row],[Vigencia Oferta (días)]]</f>
        <v>45179.625694444447</v>
      </c>
      <c r="AF786" s="68"/>
      <c r="AG786" s="157"/>
      <c r="AH786" s="194">
        <f>Tabla1[[#This Row],[Unidades2]]*Tabla1[[#This Row],[Precio Unitario]]</f>
        <v>0</v>
      </c>
      <c r="AI786" s="97" t="s">
        <v>385</v>
      </c>
      <c r="AJ786" s="104"/>
      <c r="AK786" s="104">
        <f>Tabla1[[#This Row],[Fecha Vigencia]]-AJ786</f>
        <v>45179.625694444447</v>
      </c>
      <c r="AL786" s="68"/>
      <c r="AM786" s="91"/>
      <c r="AN786" s="68"/>
      <c r="AO786" s="218"/>
      <c r="AP786" s="68"/>
      <c r="AQ786" s="69"/>
      <c r="AR786" s="68"/>
      <c r="AS786" s="68"/>
      <c r="AT786" s="68"/>
      <c r="AU786" s="68"/>
      <c r="AV786" s="68"/>
      <c r="AW786" s="68"/>
      <c r="AX786" s="68"/>
      <c r="AY786" s="30"/>
      <c r="AZ786" s="30"/>
      <c r="BA786" s="30"/>
      <c r="BB786" s="75"/>
    </row>
    <row r="787" spans="1:54" x14ac:dyDescent="0.25">
      <c r="A787" s="153" t="s">
        <v>3895</v>
      </c>
      <c r="B787" s="30" t="s">
        <v>3896</v>
      </c>
      <c r="C787" s="30" t="s">
        <v>3897</v>
      </c>
      <c r="D787" s="84" t="s">
        <v>3898</v>
      </c>
      <c r="E787" s="24" t="s">
        <v>3899</v>
      </c>
      <c r="F787" s="25">
        <v>1</v>
      </c>
      <c r="G787" s="30" t="s">
        <v>16</v>
      </c>
      <c r="H787" s="30" t="s">
        <v>1983</v>
      </c>
      <c r="I787" s="203">
        <v>45065.599560185183</v>
      </c>
      <c r="J787" s="121">
        <v>45070.6875</v>
      </c>
      <c r="K787" s="121">
        <v>45065.599560185183</v>
      </c>
      <c r="L787" s="203">
        <v>45070.6875</v>
      </c>
      <c r="M787" s="204">
        <v>45065</v>
      </c>
      <c r="N787" s="205" t="s">
        <v>11</v>
      </c>
      <c r="O787" s="203"/>
      <c r="P787" s="24"/>
      <c r="Q787" s="160">
        <v>45068.5</v>
      </c>
      <c r="R787" s="60" t="s">
        <v>3900</v>
      </c>
      <c r="S787" s="161">
        <v>45076.729861111111</v>
      </c>
      <c r="T787" s="24"/>
      <c r="U787" s="68">
        <f>Tabla1[[#This Row],[PPTO]]/(1+'Lista Datos'!$B$1)</f>
        <v>0</v>
      </c>
      <c r="V787" s="67"/>
      <c r="W787" s="193" t="s">
        <v>10</v>
      </c>
      <c r="X787" s="127"/>
      <c r="Y787" s="127"/>
      <c r="Z787" s="154" t="s">
        <v>10</v>
      </c>
      <c r="AA787" s="30" t="s">
        <v>177</v>
      </c>
      <c r="AB787" s="30">
        <v>14</v>
      </c>
      <c r="AC787" s="30"/>
      <c r="AD787" s="30"/>
      <c r="AE787" s="145">
        <f>Tabla1[[#This Row],[Cierre]]+Tabla1[[#This Row],[Vigencia Oferta (días)]]</f>
        <v>45070.6875</v>
      </c>
      <c r="AF787" s="68"/>
      <c r="AG787" s="157"/>
      <c r="AH787" s="194">
        <f>Tabla1[[#This Row],[Unidades2]]*Tabla1[[#This Row],[Precio Unitario]]</f>
        <v>0</v>
      </c>
      <c r="AI787" s="97" t="s">
        <v>44</v>
      </c>
      <c r="AJ787" s="104">
        <v>45112</v>
      </c>
      <c r="AK787" s="104">
        <f>Tabla1[[#This Row],[Fecha Vigencia]]-AJ787</f>
        <v>-41.3125</v>
      </c>
      <c r="AL787" s="68" t="s">
        <v>115</v>
      </c>
      <c r="AM787" s="91">
        <v>28000000</v>
      </c>
      <c r="AN787" s="157">
        <v>45112</v>
      </c>
      <c r="AO787" s="218">
        <v>45540</v>
      </c>
      <c r="AP787" s="68" t="s">
        <v>177</v>
      </c>
      <c r="AQ787" s="69" t="s">
        <v>891</v>
      </c>
      <c r="AR787" s="68" t="s">
        <v>11</v>
      </c>
      <c r="AS787" s="156">
        <v>0.05</v>
      </c>
      <c r="AT787" s="157">
        <v>45657</v>
      </c>
      <c r="AU787" s="30" t="s">
        <v>3901</v>
      </c>
      <c r="AV787" s="30" t="s">
        <v>3902</v>
      </c>
      <c r="AW787" s="30" t="s">
        <v>892</v>
      </c>
      <c r="AX787" s="30" t="s">
        <v>893</v>
      </c>
      <c r="AY787" s="30"/>
      <c r="AZ787" s="30"/>
      <c r="BA787" s="30"/>
      <c r="BB787" s="75"/>
    </row>
    <row r="788" spans="1:54" x14ac:dyDescent="0.25">
      <c r="A788" s="153" t="s">
        <v>3903</v>
      </c>
      <c r="B788" s="30" t="s">
        <v>3904</v>
      </c>
      <c r="C788" s="30" t="s">
        <v>3905</v>
      </c>
      <c r="D788" s="84" t="s">
        <v>883</v>
      </c>
      <c r="E788" s="24" t="s">
        <v>3906</v>
      </c>
      <c r="F788" s="25">
        <v>1</v>
      </c>
      <c r="G788" s="30" t="s">
        <v>16</v>
      </c>
      <c r="H788" s="30" t="s">
        <v>1983</v>
      </c>
      <c r="I788" s="203">
        <v>45065.628668981481</v>
      </c>
      <c r="J788" s="121">
        <v>45075.679861111108</v>
      </c>
      <c r="K788" s="121">
        <v>45065.628668981481</v>
      </c>
      <c r="L788" s="203">
        <v>45075.679861111108</v>
      </c>
      <c r="M788" s="204">
        <v>45065</v>
      </c>
      <c r="N788" s="205" t="s">
        <v>11</v>
      </c>
      <c r="O788" s="203"/>
      <c r="P788" s="24"/>
      <c r="Q788" s="160">
        <v>45069.777777777781</v>
      </c>
      <c r="R788" s="160">
        <v>45070.777777777781</v>
      </c>
      <c r="S788" s="161">
        <v>45077.680555555555</v>
      </c>
      <c r="T788" s="210">
        <v>30000000</v>
      </c>
      <c r="U788" s="209">
        <f>Tabla1[[#This Row],[PPTO]]/(1+'Lista Datos'!$B$1)</f>
        <v>25210084.033613447</v>
      </c>
      <c r="V788" s="67"/>
      <c r="W788" s="193" t="s">
        <v>10</v>
      </c>
      <c r="X788" s="127"/>
      <c r="Y788" s="127"/>
      <c r="Z788" s="154" t="s">
        <v>10</v>
      </c>
      <c r="AA788" s="30" t="s">
        <v>177</v>
      </c>
      <c r="AB788" s="30">
        <v>24</v>
      </c>
      <c r="AC788" s="30"/>
      <c r="AD788" s="30"/>
      <c r="AE788" s="145">
        <f>Tabla1[[#This Row],[Cierre]]+Tabla1[[#This Row],[Vigencia Oferta (días)]]</f>
        <v>45075.679861111108</v>
      </c>
      <c r="AF788" s="68"/>
      <c r="AG788" s="157"/>
      <c r="AH788" s="194">
        <f>Tabla1[[#This Row],[Unidades2]]*Tabla1[[#This Row],[Precio Unitario]]</f>
        <v>0</v>
      </c>
      <c r="AI788" s="97" t="s">
        <v>44</v>
      </c>
      <c r="AJ788" s="104">
        <v>45077</v>
      </c>
      <c r="AK788" s="104">
        <f>Tabla1[[#This Row],[Fecha Vigencia]]-AJ788</f>
        <v>-1.320138888891961</v>
      </c>
      <c r="AL788" s="68" t="s">
        <v>115</v>
      </c>
      <c r="AM788" s="91" t="s">
        <v>3907</v>
      </c>
      <c r="AN788" s="157">
        <v>45077</v>
      </c>
      <c r="AO788" s="218">
        <v>45808</v>
      </c>
      <c r="AP788" s="68" t="s">
        <v>177</v>
      </c>
      <c r="AQ788" s="69" t="s">
        <v>884</v>
      </c>
      <c r="AR788" s="68" t="s">
        <v>10</v>
      </c>
      <c r="AS788" s="68"/>
      <c r="AT788" s="68"/>
      <c r="AU788" s="68"/>
      <c r="AV788" s="68"/>
      <c r="AW788" s="68"/>
      <c r="AX788" s="68"/>
      <c r="AY788" s="30"/>
      <c r="AZ788" s="30"/>
      <c r="BA788" s="30"/>
      <c r="BB788" s="75"/>
    </row>
    <row r="789" spans="1:54" x14ac:dyDescent="0.25">
      <c r="A789" s="153" t="s">
        <v>3908</v>
      </c>
      <c r="B789" s="30" t="s">
        <v>3909</v>
      </c>
      <c r="C789" s="30" t="s">
        <v>3910</v>
      </c>
      <c r="D789" s="84" t="s">
        <v>245</v>
      </c>
      <c r="E789" s="24" t="s">
        <v>3911</v>
      </c>
      <c r="F789" s="25">
        <v>270</v>
      </c>
      <c r="G789" s="30" t="s">
        <v>14</v>
      </c>
      <c r="H789" s="30" t="s">
        <v>520</v>
      </c>
      <c r="I789" s="203">
        <v>45065.657534722224</v>
      </c>
      <c r="J789" s="121">
        <v>45075.667361111111</v>
      </c>
      <c r="K789" s="121">
        <v>45065.657534722224</v>
      </c>
      <c r="L789" s="203">
        <v>45075.667361111111</v>
      </c>
      <c r="M789" s="204">
        <v>45065</v>
      </c>
      <c r="N789" s="205" t="s">
        <v>10</v>
      </c>
      <c r="O789" s="203" t="s">
        <v>25</v>
      </c>
      <c r="P789" s="24"/>
      <c r="Q789" s="160">
        <v>45069.75</v>
      </c>
      <c r="R789" s="160">
        <v>45071.75</v>
      </c>
      <c r="S789" s="161">
        <v>45096.625</v>
      </c>
      <c r="T789" s="24"/>
      <c r="U789" s="68">
        <f>Tabla1[[#This Row],[PPTO]]/(1+'Lista Datos'!$B$1)</f>
        <v>0</v>
      </c>
      <c r="V789" s="67"/>
      <c r="W789" s="193" t="s">
        <v>11</v>
      </c>
      <c r="X789" s="127">
        <v>500000</v>
      </c>
      <c r="Y789" s="104">
        <v>45195</v>
      </c>
      <c r="Z789" s="154" t="s">
        <v>10</v>
      </c>
      <c r="AA789" s="30" t="s">
        <v>177</v>
      </c>
      <c r="AB789" s="30">
        <v>24</v>
      </c>
      <c r="AC789" s="30"/>
      <c r="AD789" s="30"/>
      <c r="AE789" s="145">
        <f>Tabla1[[#This Row],[Cierre]]+Tabla1[[#This Row],[Vigencia Oferta (días)]]</f>
        <v>45075.667361111111</v>
      </c>
      <c r="AF789" s="68"/>
      <c r="AG789" s="157"/>
      <c r="AH789" s="194">
        <f>Tabla1[[#This Row],[Unidades2]]*Tabla1[[#This Row],[Precio Unitario]]</f>
        <v>0</v>
      </c>
      <c r="AI789" s="97" t="s">
        <v>270</v>
      </c>
      <c r="AJ789" s="104"/>
      <c r="AK789" s="104">
        <f>Tabla1[[#This Row],[Fecha Vigencia]]-AJ789</f>
        <v>45075.667361111111</v>
      </c>
      <c r="AL789" s="68"/>
      <c r="AM789" s="91"/>
      <c r="AN789" s="68"/>
      <c r="AO789" s="218"/>
      <c r="AP789" s="68"/>
      <c r="AQ789" s="69"/>
      <c r="AR789" s="68"/>
      <c r="AS789" s="68"/>
      <c r="AT789" s="68"/>
      <c r="AU789" s="30" t="s">
        <v>3912</v>
      </c>
      <c r="AV789" s="30" t="s">
        <v>3913</v>
      </c>
      <c r="AW789" s="30" t="s">
        <v>3914</v>
      </c>
      <c r="AX789" s="30" t="s">
        <v>3915</v>
      </c>
      <c r="AY789" s="30"/>
      <c r="AZ789" s="30"/>
      <c r="BA789" s="30"/>
      <c r="BB789" s="75"/>
    </row>
    <row r="790" spans="1:54" x14ac:dyDescent="0.25">
      <c r="A790" s="117" t="s">
        <v>3916</v>
      </c>
      <c r="B790" s="118" t="s">
        <v>3585</v>
      </c>
      <c r="C790" s="118" t="s">
        <v>3586</v>
      </c>
      <c r="D790" s="119" t="s">
        <v>3917</v>
      </c>
      <c r="E790" s="38" t="s">
        <v>3588</v>
      </c>
      <c r="F790" s="39">
        <v>1</v>
      </c>
      <c r="G790" s="118" t="s">
        <v>17</v>
      </c>
      <c r="H790" s="118" t="s">
        <v>213</v>
      </c>
      <c r="I790" s="206">
        <v>45065.665914351855</v>
      </c>
      <c r="J790" s="121">
        <v>45075.708333333336</v>
      </c>
      <c r="K790" s="121">
        <v>45065.665914351855</v>
      </c>
      <c r="L790" s="206">
        <v>45075.708333333336</v>
      </c>
      <c r="M790" s="211">
        <v>45065</v>
      </c>
      <c r="N790" s="207" t="s">
        <v>10</v>
      </c>
      <c r="O790" s="206" t="s">
        <v>25</v>
      </c>
      <c r="P790" s="38"/>
      <c r="Q790" s="121"/>
      <c r="R790" s="121"/>
      <c r="S790" s="19"/>
      <c r="T790" s="38"/>
      <c r="U790" s="65">
        <f>Tabla1[[#This Row],[PPTO]]/(1+'Lista Datos'!$B$1)</f>
        <v>0</v>
      </c>
      <c r="V790" s="64"/>
      <c r="W790" s="191"/>
      <c r="X790" s="122"/>
      <c r="Y790" s="122"/>
      <c r="Z790" s="123"/>
      <c r="AA790" s="118"/>
      <c r="AB790" s="118"/>
      <c r="AC790" s="118"/>
      <c r="AD790" s="118"/>
      <c r="AE790" s="145">
        <f>Tabla1[[#This Row],[Cierre]]+Tabla1[[#This Row],[Vigencia Oferta (días)]]</f>
        <v>45075.708333333336</v>
      </c>
      <c r="AF790" s="65"/>
      <c r="AG790" s="181"/>
      <c r="AH790" s="192">
        <f>Tabla1[[#This Row],[Unidades2]]*Tabla1[[#This Row],[Precio Unitario]]</f>
        <v>0</v>
      </c>
      <c r="AI790" s="126" t="s">
        <v>270</v>
      </c>
      <c r="AJ790" s="149"/>
      <c r="AK790" s="149">
        <f>Tabla1[[#This Row],[Fecha Vigencia]]-AJ790</f>
        <v>45075.708333333336</v>
      </c>
      <c r="AL790" s="65"/>
      <c r="AM790" s="90"/>
      <c r="AN790" s="65"/>
      <c r="AO790" s="217"/>
      <c r="AP790" s="65"/>
      <c r="AQ790" s="66"/>
      <c r="AR790" s="65"/>
      <c r="AS790" s="65"/>
      <c r="AT790" s="65"/>
      <c r="AU790" s="65"/>
      <c r="AV790" s="65"/>
      <c r="AW790" s="65"/>
      <c r="AX790" s="65"/>
      <c r="AY790" s="118"/>
      <c r="AZ790" s="118"/>
      <c r="BA790" s="118"/>
      <c r="BB790" s="124"/>
    </row>
    <row r="791" spans="1:54" x14ac:dyDescent="0.25">
      <c r="A791" s="117" t="s">
        <v>3918</v>
      </c>
      <c r="B791" s="118" t="s">
        <v>3919</v>
      </c>
      <c r="C791" s="118" t="s">
        <v>3920</v>
      </c>
      <c r="D791" s="119" t="s">
        <v>3921</v>
      </c>
      <c r="E791" s="38" t="s">
        <v>3922</v>
      </c>
      <c r="F791" s="39">
        <v>22</v>
      </c>
      <c r="G791" s="118" t="s">
        <v>21</v>
      </c>
      <c r="H791" s="118" t="s">
        <v>106</v>
      </c>
      <c r="I791" s="206">
        <v>45065.720112962998</v>
      </c>
      <c r="J791" s="38">
        <v>45071.708333333299</v>
      </c>
      <c r="K791" s="38">
        <v>45065.720112962998</v>
      </c>
      <c r="L791" s="206">
        <v>45071.708333333299</v>
      </c>
      <c r="M791" s="211">
        <v>45068</v>
      </c>
      <c r="N791" s="207" t="s">
        <v>10</v>
      </c>
      <c r="O791" s="206" t="s">
        <v>35</v>
      </c>
      <c r="P791" s="38"/>
      <c r="Q791" s="147">
        <v>45067.458333333336</v>
      </c>
      <c r="R791" s="147">
        <v>45068.504166666666</v>
      </c>
      <c r="S791" s="148">
        <v>45078.5</v>
      </c>
      <c r="T791" s="38"/>
      <c r="U791" s="65">
        <f>Tabla1[[#This Row],[PPTO]]/(1+'Lista Datos'!$B$1)</f>
        <v>0</v>
      </c>
      <c r="V791" s="64"/>
      <c r="W791" s="191" t="s">
        <v>10</v>
      </c>
      <c r="X791" s="122"/>
      <c r="Y791" s="122"/>
      <c r="Z791" s="123" t="s">
        <v>10</v>
      </c>
      <c r="AA791" s="118" t="s">
        <v>512</v>
      </c>
      <c r="AB791" s="118"/>
      <c r="AC791" s="118"/>
      <c r="AD791" s="118"/>
      <c r="AE791" s="145">
        <f>Tabla1[[#This Row],[Cierre]]+Tabla1[[#This Row],[Vigencia Oferta (días)]]</f>
        <v>45071.708333333299</v>
      </c>
      <c r="AF791" s="65"/>
      <c r="AG791" s="181"/>
      <c r="AH791" s="192">
        <f>Tabla1[[#This Row],[Unidades2]]*Tabla1[[#This Row],[Precio Unitario]]</f>
        <v>0</v>
      </c>
      <c r="AI791" s="126" t="s">
        <v>270</v>
      </c>
      <c r="AJ791" s="149"/>
      <c r="AK791" s="149">
        <f>Tabla1[[#This Row],[Fecha Vigencia]]-AJ791</f>
        <v>45071.708333333299</v>
      </c>
      <c r="AL791" s="65"/>
      <c r="AM791" s="90"/>
      <c r="AN791" s="65"/>
      <c r="AO791" s="217"/>
      <c r="AP791" s="65"/>
      <c r="AQ791" s="66"/>
      <c r="AR791" s="65"/>
      <c r="AS791" s="65"/>
      <c r="AT791" s="65"/>
      <c r="AU791" s="65"/>
      <c r="AV791" s="65"/>
      <c r="AW791" s="65"/>
      <c r="AX791" s="65"/>
      <c r="AY791" s="118"/>
      <c r="AZ791" s="118"/>
      <c r="BA791" s="118"/>
      <c r="BB791" s="124"/>
    </row>
    <row r="792" spans="1:54" x14ac:dyDescent="0.25">
      <c r="A792" s="117" t="s">
        <v>3923</v>
      </c>
      <c r="B792" s="118" t="s">
        <v>3924</v>
      </c>
      <c r="C792" s="118" t="s">
        <v>3925</v>
      </c>
      <c r="D792" s="119" t="s">
        <v>259</v>
      </c>
      <c r="E792" s="38" t="s">
        <v>3926</v>
      </c>
      <c r="F792" s="39">
        <v>1</v>
      </c>
      <c r="G792" s="118" t="s">
        <v>20</v>
      </c>
      <c r="H792" s="118" t="s">
        <v>106</v>
      </c>
      <c r="I792" s="206">
        <v>45065.630378472197</v>
      </c>
      <c r="J792" s="38">
        <v>45071.6472222222</v>
      </c>
      <c r="K792" s="38">
        <v>45065.630378472197</v>
      </c>
      <c r="L792" s="206">
        <v>45071.6472222222</v>
      </c>
      <c r="M792" s="211">
        <v>45068</v>
      </c>
      <c r="N792" s="207" t="s">
        <v>10</v>
      </c>
      <c r="O792" s="206" t="s">
        <v>35</v>
      </c>
      <c r="P792" s="38"/>
      <c r="Q792" s="147">
        <v>45068.645833333336</v>
      </c>
      <c r="R792" s="121" t="s">
        <v>3927</v>
      </c>
      <c r="S792" s="148">
        <v>45082.648611111108</v>
      </c>
      <c r="T792" s="215">
        <v>43182720</v>
      </c>
      <c r="U792" s="214">
        <f>Tabla1[[#This Row],[PPTO]]/(1+'Lista Datos'!$B$1)</f>
        <v>36288000</v>
      </c>
      <c r="V792" s="64"/>
      <c r="W792" s="191" t="s">
        <v>10</v>
      </c>
      <c r="X792" s="122"/>
      <c r="Y792" s="122"/>
      <c r="Z792" s="123" t="s">
        <v>10</v>
      </c>
      <c r="AA792" s="118" t="s">
        <v>177</v>
      </c>
      <c r="AB792" s="118">
        <v>24</v>
      </c>
      <c r="AC792" s="118"/>
      <c r="AD792" s="118"/>
      <c r="AE792" s="145">
        <f>Tabla1[[#This Row],[Cierre]]+Tabla1[[#This Row],[Vigencia Oferta (días)]]</f>
        <v>45071.6472222222</v>
      </c>
      <c r="AF792" s="65"/>
      <c r="AG792" s="181"/>
      <c r="AH792" s="192">
        <f>Tabla1[[#This Row],[Unidades2]]*Tabla1[[#This Row],[Precio Unitario]]</f>
        <v>0</v>
      </c>
      <c r="AI792" s="126" t="s">
        <v>270</v>
      </c>
      <c r="AJ792" s="149"/>
      <c r="AK792" s="149">
        <f>Tabla1[[#This Row],[Fecha Vigencia]]-AJ792</f>
        <v>45071.6472222222</v>
      </c>
      <c r="AL792" s="65"/>
      <c r="AM792" s="90"/>
      <c r="AN792" s="65"/>
      <c r="AO792" s="217"/>
      <c r="AP792" s="65"/>
      <c r="AQ792" s="66"/>
      <c r="AR792" s="65"/>
      <c r="AS792" s="65"/>
      <c r="AT792" s="65"/>
      <c r="AU792" s="65"/>
      <c r="AV792" s="65"/>
      <c r="AW792" s="65"/>
      <c r="AX792" s="65"/>
      <c r="AY792" s="118"/>
      <c r="AZ792" s="118"/>
      <c r="BA792" s="118"/>
      <c r="BB792" s="124"/>
    </row>
    <row r="793" spans="1:54" x14ac:dyDescent="0.25">
      <c r="A793" s="117" t="s">
        <v>3928</v>
      </c>
      <c r="B793" s="118" t="s">
        <v>3929</v>
      </c>
      <c r="C793" s="118" t="s">
        <v>3929</v>
      </c>
      <c r="D793" s="119" t="s">
        <v>2422</v>
      </c>
      <c r="E793" s="38" t="s">
        <v>3930</v>
      </c>
      <c r="F793" s="39">
        <v>1</v>
      </c>
      <c r="G793" s="118" t="s">
        <v>21</v>
      </c>
      <c r="H793" s="118" t="s">
        <v>106</v>
      </c>
      <c r="I793" s="206">
        <v>45068.721253703698</v>
      </c>
      <c r="J793" s="38">
        <v>45075.645833333299</v>
      </c>
      <c r="K793" s="38">
        <v>45068.721253703698</v>
      </c>
      <c r="L793" s="206">
        <v>45075.645833333299</v>
      </c>
      <c r="M793" s="211">
        <v>45069</v>
      </c>
      <c r="N793" s="207" t="s">
        <v>10</v>
      </c>
      <c r="O793" s="206" t="s">
        <v>27</v>
      </c>
      <c r="P793" s="38"/>
      <c r="Q793" s="121"/>
      <c r="R793" s="121"/>
      <c r="S793" s="19"/>
      <c r="T793" s="38"/>
      <c r="U793" s="65">
        <f>Tabla1[[#This Row],[PPTO]]/(1+'Lista Datos'!$B$1)</f>
        <v>0</v>
      </c>
      <c r="V793" s="64"/>
      <c r="W793" s="191"/>
      <c r="X793" s="122"/>
      <c r="Y793" s="122"/>
      <c r="Z793" s="123"/>
      <c r="AA793" s="118"/>
      <c r="AB793" s="118"/>
      <c r="AC793" s="118"/>
      <c r="AD793" s="118"/>
      <c r="AE793" s="145">
        <f>Tabla1[[#This Row],[Cierre]]+Tabla1[[#This Row],[Vigencia Oferta (días)]]</f>
        <v>45075.645833333299</v>
      </c>
      <c r="AF793" s="65"/>
      <c r="AG793" s="181"/>
      <c r="AH793" s="192">
        <f>Tabla1[[#This Row],[Unidades2]]*Tabla1[[#This Row],[Precio Unitario]]</f>
        <v>0</v>
      </c>
      <c r="AI793" s="126" t="s">
        <v>270</v>
      </c>
      <c r="AJ793" s="149"/>
      <c r="AK793" s="149">
        <f>Tabla1[[#This Row],[Fecha Vigencia]]-AJ793</f>
        <v>45075.645833333299</v>
      </c>
      <c r="AL793" s="65"/>
      <c r="AM793" s="90"/>
      <c r="AN793" s="65"/>
      <c r="AO793" s="217"/>
      <c r="AP793" s="65"/>
      <c r="AQ793" s="66"/>
      <c r="AR793" s="65"/>
      <c r="AS793" s="65"/>
      <c r="AT793" s="65"/>
      <c r="AU793" s="65"/>
      <c r="AV793" s="65"/>
      <c r="AW793" s="65"/>
      <c r="AX793" s="65"/>
      <c r="AY793" s="118"/>
      <c r="AZ793" s="118"/>
      <c r="BA793" s="118"/>
      <c r="BB793" s="124"/>
    </row>
    <row r="794" spans="1:54" x14ac:dyDescent="0.25">
      <c r="A794" s="117" t="s">
        <v>3931</v>
      </c>
      <c r="B794" s="118" t="s">
        <v>3932</v>
      </c>
      <c r="C794" s="118" t="s">
        <v>3519</v>
      </c>
      <c r="D794" s="119" t="s">
        <v>3520</v>
      </c>
      <c r="E794" s="38" t="s">
        <v>3933</v>
      </c>
      <c r="F794" s="39">
        <v>1</v>
      </c>
      <c r="G794" s="118" t="s">
        <v>21</v>
      </c>
      <c r="H794" s="118" t="s">
        <v>106</v>
      </c>
      <c r="I794" s="206">
        <v>45068.381882175898</v>
      </c>
      <c r="J794" s="38">
        <v>45075.75</v>
      </c>
      <c r="K794" s="38">
        <v>45068.381882175898</v>
      </c>
      <c r="L794" s="206">
        <v>45075.75</v>
      </c>
      <c r="M794" s="211">
        <v>44704</v>
      </c>
      <c r="N794" s="207" t="s">
        <v>10</v>
      </c>
      <c r="O794" s="206" t="s">
        <v>27</v>
      </c>
      <c r="P794" s="38"/>
      <c r="Q794" s="121"/>
      <c r="R794" s="121"/>
      <c r="S794" s="19"/>
      <c r="T794" s="38"/>
      <c r="U794" s="65">
        <f>Tabla1[[#This Row],[PPTO]]/(1+'Lista Datos'!$B$1)</f>
        <v>0</v>
      </c>
      <c r="V794" s="64"/>
      <c r="W794" s="191"/>
      <c r="X794" s="122"/>
      <c r="Y794" s="122"/>
      <c r="Z794" s="123"/>
      <c r="AA794" s="118"/>
      <c r="AB794" s="118"/>
      <c r="AC794" s="118"/>
      <c r="AD794" s="118"/>
      <c r="AE794" s="145">
        <f>Tabla1[[#This Row],[Cierre]]+Tabla1[[#This Row],[Vigencia Oferta (días)]]</f>
        <v>45075.75</v>
      </c>
      <c r="AF794" s="65"/>
      <c r="AG794" s="181"/>
      <c r="AH794" s="192">
        <f>Tabla1[[#This Row],[Unidades2]]*Tabla1[[#This Row],[Precio Unitario]]</f>
        <v>0</v>
      </c>
      <c r="AI794" s="126" t="s">
        <v>270</v>
      </c>
      <c r="AJ794" s="149"/>
      <c r="AK794" s="149">
        <f>Tabla1[[#This Row],[Fecha Vigencia]]-AJ794</f>
        <v>45075.75</v>
      </c>
      <c r="AL794" s="65"/>
      <c r="AM794" s="90"/>
      <c r="AN794" s="65"/>
      <c r="AO794" s="217"/>
      <c r="AP794" s="65"/>
      <c r="AQ794" s="66"/>
      <c r="AR794" s="65"/>
      <c r="AS794" s="65"/>
      <c r="AT794" s="65"/>
      <c r="AU794" s="65"/>
      <c r="AV794" s="65"/>
      <c r="AW794" s="65"/>
      <c r="AX794" s="65"/>
      <c r="AY794" s="118"/>
      <c r="AZ794" s="118"/>
      <c r="BA794" s="118"/>
      <c r="BB794" s="124"/>
    </row>
    <row r="795" spans="1:54" x14ac:dyDescent="0.25">
      <c r="A795" s="117" t="s">
        <v>3934</v>
      </c>
      <c r="B795" s="118" t="s">
        <v>3935</v>
      </c>
      <c r="C795" s="118" t="s">
        <v>3936</v>
      </c>
      <c r="D795" s="119" t="s">
        <v>1641</v>
      </c>
      <c r="E795" s="38" t="s">
        <v>3937</v>
      </c>
      <c r="F795" s="39">
        <v>3</v>
      </c>
      <c r="G795" s="118" t="s">
        <v>14</v>
      </c>
      <c r="H795" s="118" t="s">
        <v>1596</v>
      </c>
      <c r="I795" s="206">
        <v>45069.674693368099</v>
      </c>
      <c r="J795" s="38">
        <v>45082.625</v>
      </c>
      <c r="K795" s="38">
        <v>45069.674693368099</v>
      </c>
      <c r="L795" s="206">
        <v>45082.625</v>
      </c>
      <c r="M795" s="211">
        <v>45070</v>
      </c>
      <c r="N795" s="207" t="s">
        <v>10</v>
      </c>
      <c r="O795" s="206" t="s">
        <v>27</v>
      </c>
      <c r="P795" s="38"/>
      <c r="Q795" s="147">
        <v>45076.5</v>
      </c>
      <c r="R795" s="147">
        <v>45079.666666666664</v>
      </c>
      <c r="S795" s="148">
        <v>45126.5</v>
      </c>
      <c r="T795" s="38"/>
      <c r="U795" s="65">
        <f>Tabla1[[#This Row],[PPTO]]/(1+'Lista Datos'!$B$1)</f>
        <v>0</v>
      </c>
      <c r="V795" s="64"/>
      <c r="W795" s="191" t="s">
        <v>11</v>
      </c>
      <c r="X795" s="122" t="s">
        <v>3938</v>
      </c>
      <c r="Y795" s="149">
        <v>45174</v>
      </c>
      <c r="Z795" s="123" t="s">
        <v>10</v>
      </c>
      <c r="AA795" s="118" t="s">
        <v>177</v>
      </c>
      <c r="AB795" s="118">
        <v>24</v>
      </c>
      <c r="AC795" s="118"/>
      <c r="AD795" s="118"/>
      <c r="AE795" s="145">
        <f>Tabla1[[#This Row],[Cierre]]+Tabla1[[#This Row],[Vigencia Oferta (días)]]</f>
        <v>45082.625</v>
      </c>
      <c r="AF795" s="65"/>
      <c r="AG795" s="181"/>
      <c r="AH795" s="192">
        <f>Tabla1[[#This Row],[Unidades2]]*Tabla1[[#This Row],[Precio Unitario]]</f>
        <v>0</v>
      </c>
      <c r="AI795" s="126" t="s">
        <v>270</v>
      </c>
      <c r="AJ795" s="149"/>
      <c r="AK795" s="149">
        <f>Tabla1[[#This Row],[Fecha Vigencia]]-AJ795</f>
        <v>45082.625</v>
      </c>
      <c r="AL795" s="65"/>
      <c r="AM795" s="90"/>
      <c r="AN795" s="65"/>
      <c r="AO795" s="217"/>
      <c r="AP795" s="65"/>
      <c r="AQ795" s="66"/>
      <c r="AR795" s="65"/>
      <c r="AS795" s="65"/>
      <c r="AT795" s="65"/>
      <c r="AU795" s="65"/>
      <c r="AV795" s="65"/>
      <c r="AW795" s="65"/>
      <c r="AX795" s="65"/>
      <c r="AY795" s="118"/>
      <c r="AZ795" s="118"/>
      <c r="BA795" s="118"/>
      <c r="BB795" s="124"/>
    </row>
    <row r="796" spans="1:54" x14ac:dyDescent="0.25">
      <c r="A796" s="117" t="s">
        <v>3939</v>
      </c>
      <c r="B796" s="118" t="s">
        <v>3940</v>
      </c>
      <c r="C796" s="118" t="s">
        <v>3941</v>
      </c>
      <c r="D796" s="119" t="s">
        <v>3942</v>
      </c>
      <c r="E796" s="38" t="s">
        <v>3943</v>
      </c>
      <c r="F796" s="39">
        <v>1</v>
      </c>
      <c r="G796" s="118" t="s">
        <v>16</v>
      </c>
      <c r="H796" s="118" t="s">
        <v>345</v>
      </c>
      <c r="I796" s="206">
        <v>45069.642058564801</v>
      </c>
      <c r="J796" s="38">
        <v>45079.625</v>
      </c>
      <c r="K796" s="38">
        <v>45069.642058564801</v>
      </c>
      <c r="L796" s="206">
        <v>45079.625</v>
      </c>
      <c r="M796" s="211">
        <v>45070</v>
      </c>
      <c r="N796" s="207" t="s">
        <v>10</v>
      </c>
      <c r="O796" s="206" t="s">
        <v>25</v>
      </c>
      <c r="P796" s="38"/>
      <c r="Q796" s="147">
        <v>45070.999305555553</v>
      </c>
      <c r="R796" s="147">
        <v>45071.999305555553</v>
      </c>
      <c r="S796" s="148">
        <v>45093.75</v>
      </c>
      <c r="T796" s="38"/>
      <c r="U796" s="65">
        <f>Tabla1[[#This Row],[PPTO]]/(1+'Lista Datos'!$B$1)</f>
        <v>0</v>
      </c>
      <c r="V796" s="64"/>
      <c r="W796" s="191" t="s">
        <v>10</v>
      </c>
      <c r="X796" s="122"/>
      <c r="Y796" s="122"/>
      <c r="Z796" s="123" t="s">
        <v>10</v>
      </c>
      <c r="AA796" s="118" t="s">
        <v>177</v>
      </c>
      <c r="AB796" s="118">
        <v>24</v>
      </c>
      <c r="AC796" s="118"/>
      <c r="AD796" s="118"/>
      <c r="AE796" s="145">
        <f>Tabla1[[#This Row],[Cierre]]+Tabla1[[#This Row],[Vigencia Oferta (días)]]</f>
        <v>45079.625</v>
      </c>
      <c r="AF796" s="65"/>
      <c r="AG796" s="181"/>
      <c r="AH796" s="192">
        <f>Tabla1[[#This Row],[Unidades2]]*Tabla1[[#This Row],[Precio Unitario]]</f>
        <v>0</v>
      </c>
      <c r="AI796" s="126" t="s">
        <v>270</v>
      </c>
      <c r="AJ796" s="149"/>
      <c r="AK796" s="149">
        <f>Tabla1[[#This Row],[Fecha Vigencia]]-AJ796</f>
        <v>45079.625</v>
      </c>
      <c r="AL796" s="65"/>
      <c r="AM796" s="90"/>
      <c r="AN796" s="65"/>
      <c r="AO796" s="217"/>
      <c r="AP796" s="65"/>
      <c r="AQ796" s="66"/>
      <c r="AR796" s="65"/>
      <c r="AS796" s="65"/>
      <c r="AT796" s="65"/>
      <c r="AU796" s="65"/>
      <c r="AV796" s="65"/>
      <c r="AW796" s="65"/>
      <c r="AX796" s="65"/>
      <c r="AY796" s="118"/>
      <c r="AZ796" s="118"/>
      <c r="BA796" s="118"/>
      <c r="BB796" s="124"/>
    </row>
    <row r="797" spans="1:54" x14ac:dyDescent="0.25">
      <c r="A797" s="153" t="s">
        <v>3944</v>
      </c>
      <c r="B797" s="30" t="s">
        <v>3945</v>
      </c>
      <c r="C797" s="30" t="s">
        <v>3946</v>
      </c>
      <c r="D797" s="84" t="s">
        <v>1046</v>
      </c>
      <c r="E797" s="24" t="s">
        <v>3947</v>
      </c>
      <c r="F797" s="25">
        <v>1</v>
      </c>
      <c r="G797" s="30" t="s">
        <v>18</v>
      </c>
      <c r="H797" s="30" t="s">
        <v>345</v>
      </c>
      <c r="I797" s="203">
        <v>45069.504811342602</v>
      </c>
      <c r="J797" s="38">
        <v>45090.829166666699</v>
      </c>
      <c r="K797" s="38">
        <v>45069.504811342602</v>
      </c>
      <c r="L797" s="203">
        <v>45090.829166666699</v>
      </c>
      <c r="M797" s="204">
        <v>45070</v>
      </c>
      <c r="N797" s="205" t="s">
        <v>10</v>
      </c>
      <c r="O797" s="203" t="s">
        <v>28</v>
      </c>
      <c r="P797" s="24"/>
      <c r="Q797" s="60"/>
      <c r="R797" s="60"/>
      <c r="S797" s="18"/>
      <c r="T797" s="24"/>
      <c r="U797" s="68">
        <f>Tabla1[[#This Row],[PPTO]]/(1+'Lista Datos'!$B$1)</f>
        <v>0</v>
      </c>
      <c r="V797" s="67"/>
      <c r="W797" s="193"/>
      <c r="X797" s="127"/>
      <c r="Y797" s="127"/>
      <c r="Z797" s="154"/>
      <c r="AA797" s="30"/>
      <c r="AB797" s="30"/>
      <c r="AC797" s="30"/>
      <c r="AD797" s="30"/>
      <c r="AE797" s="145">
        <f>Tabla1[[#This Row],[Cierre]]+Tabla1[[#This Row],[Vigencia Oferta (días)]]</f>
        <v>45090.829166666699</v>
      </c>
      <c r="AF797" s="68"/>
      <c r="AG797" s="157"/>
      <c r="AH797" s="194">
        <f>Tabla1[[#This Row],[Unidades2]]*Tabla1[[#This Row],[Precio Unitario]]</f>
        <v>0</v>
      </c>
      <c r="AI797" s="97" t="s">
        <v>270</v>
      </c>
      <c r="AJ797" s="104"/>
      <c r="AK797" s="104">
        <f>Tabla1[[#This Row],[Fecha Vigencia]]-AJ797</f>
        <v>45090.829166666699</v>
      </c>
      <c r="AL797" s="68"/>
      <c r="AM797" s="91"/>
      <c r="AN797" s="68"/>
      <c r="AO797" s="218"/>
      <c r="AP797" s="68"/>
      <c r="AQ797" s="69"/>
      <c r="AR797" s="68"/>
      <c r="AS797" s="68"/>
      <c r="AT797" s="68"/>
      <c r="AU797" s="68"/>
      <c r="AV797" s="68"/>
      <c r="AW797" s="68"/>
      <c r="AX797" s="68"/>
      <c r="AY797" s="30"/>
      <c r="AZ797" s="30"/>
      <c r="BA797" s="30"/>
      <c r="BB797" s="75"/>
    </row>
    <row r="798" spans="1:54" x14ac:dyDescent="0.25">
      <c r="A798" s="153" t="s">
        <v>3948</v>
      </c>
      <c r="B798" s="30" t="s">
        <v>3949</v>
      </c>
      <c r="C798" s="30" t="s">
        <v>3950</v>
      </c>
      <c r="D798" s="84" t="s">
        <v>3951</v>
      </c>
      <c r="E798" s="24" t="s">
        <v>3952</v>
      </c>
      <c r="F798" s="25">
        <v>60000</v>
      </c>
      <c r="G798" s="30" t="s">
        <v>16</v>
      </c>
      <c r="H798" s="30" t="s">
        <v>145</v>
      </c>
      <c r="I798" s="203">
        <v>45069.481833993101</v>
      </c>
      <c r="J798" s="121">
        <v>45091.583333333299</v>
      </c>
      <c r="K798" s="121">
        <v>45069.481833993101</v>
      </c>
      <c r="L798" s="203">
        <v>45091.583333333299</v>
      </c>
      <c r="M798" s="204">
        <v>45070</v>
      </c>
      <c r="N798" s="205" t="s">
        <v>10</v>
      </c>
      <c r="O798" s="203" t="s">
        <v>25</v>
      </c>
      <c r="P798" s="24"/>
      <c r="Q798" s="160">
        <v>45082.5</v>
      </c>
      <c r="R798" s="160">
        <v>45086.708333333336</v>
      </c>
      <c r="S798" s="161">
        <v>45181.708333333336</v>
      </c>
      <c r="T798" s="24"/>
      <c r="U798" s="68">
        <f>Tabla1[[#This Row],[PPTO]]/(1+'Lista Datos'!$B$1)</f>
        <v>0</v>
      </c>
      <c r="V798" s="67"/>
      <c r="W798" s="193" t="s">
        <v>11</v>
      </c>
      <c r="X798" s="127">
        <v>500000</v>
      </c>
      <c r="Y798" s="104">
        <v>45211</v>
      </c>
      <c r="Z798" s="154" t="s">
        <v>2783</v>
      </c>
      <c r="AA798" s="30" t="s">
        <v>177</v>
      </c>
      <c r="AB798" s="30">
        <v>24</v>
      </c>
      <c r="AC798" s="30"/>
      <c r="AD798" s="30"/>
      <c r="AE798" s="145">
        <f>Tabla1[[#This Row],[Cierre]]+Tabla1[[#This Row],[Vigencia Oferta (días)]]</f>
        <v>45091.583333333299</v>
      </c>
      <c r="AF798" s="68"/>
      <c r="AG798" s="157"/>
      <c r="AH798" s="194">
        <f>Tabla1[[#This Row],[Unidades2]]*Tabla1[[#This Row],[Precio Unitario]]</f>
        <v>0</v>
      </c>
      <c r="AI798" s="97" t="s">
        <v>385</v>
      </c>
      <c r="AJ798" s="104"/>
      <c r="AK798" s="104">
        <f>Tabla1[[#This Row],[Fecha Vigencia]]-AJ798</f>
        <v>45091.583333333299</v>
      </c>
      <c r="AL798" s="68"/>
      <c r="AM798" s="91"/>
      <c r="AN798" s="68"/>
      <c r="AO798" s="218"/>
      <c r="AP798" s="68"/>
      <c r="AQ798" s="69"/>
      <c r="AR798" s="68"/>
      <c r="AS798" s="68"/>
      <c r="AT798" s="68"/>
      <c r="AU798" s="68"/>
      <c r="AV798" s="68"/>
      <c r="AW798" s="68"/>
      <c r="AX798" s="68"/>
      <c r="AY798" s="30"/>
      <c r="AZ798" s="30"/>
      <c r="BA798" s="30"/>
      <c r="BB798" s="75"/>
    </row>
    <row r="799" spans="1:54" x14ac:dyDescent="0.25">
      <c r="A799" s="117" t="s">
        <v>3953</v>
      </c>
      <c r="B799" s="118" t="s">
        <v>3954</v>
      </c>
      <c r="C799" s="118" t="s">
        <v>3954</v>
      </c>
      <c r="D799" s="119" t="s">
        <v>378</v>
      </c>
      <c r="E799" s="38" t="s">
        <v>3955</v>
      </c>
      <c r="F799" s="39">
        <v>1</v>
      </c>
      <c r="G799" s="118" t="s">
        <v>16</v>
      </c>
      <c r="H799" s="118" t="s">
        <v>123</v>
      </c>
      <c r="I799" s="206">
        <v>45069.423262766199</v>
      </c>
      <c r="J799" s="121">
        <v>45082.625694444403</v>
      </c>
      <c r="K799" s="121">
        <v>45069.423262766199</v>
      </c>
      <c r="L799" s="206">
        <v>45082.625694444403</v>
      </c>
      <c r="M799" s="211">
        <v>45070</v>
      </c>
      <c r="N799" s="207" t="s">
        <v>10</v>
      </c>
      <c r="O799" s="206" t="s">
        <v>27</v>
      </c>
      <c r="P799" s="38"/>
      <c r="Q799" s="147">
        <v>45072.708333333336</v>
      </c>
      <c r="R799" s="147">
        <v>45075.708333333336</v>
      </c>
      <c r="S799" s="148">
        <v>45120.78125</v>
      </c>
      <c r="T799" s="215">
        <v>123000000</v>
      </c>
      <c r="U799" s="214">
        <f>Tabla1[[#This Row],[PPTO]]/(1+'Lista Datos'!$B$1)</f>
        <v>103361344.53781512</v>
      </c>
      <c r="V799" s="64"/>
      <c r="W799" s="191" t="s">
        <v>11</v>
      </c>
      <c r="X799" s="122">
        <v>200000</v>
      </c>
      <c r="Y799" s="149">
        <v>45169</v>
      </c>
      <c r="Z799" s="123" t="s">
        <v>10</v>
      </c>
      <c r="AA799" s="118" t="s">
        <v>177</v>
      </c>
      <c r="AB799" s="118">
        <v>12</v>
      </c>
      <c r="AC799" s="118"/>
      <c r="AD799" s="118"/>
      <c r="AE799" s="145">
        <f>Tabla1[[#This Row],[Cierre]]+Tabla1[[#This Row],[Vigencia Oferta (días)]]</f>
        <v>45082.625694444403</v>
      </c>
      <c r="AF799" s="65"/>
      <c r="AG799" s="181"/>
      <c r="AH799" s="192">
        <f>Tabla1[[#This Row],[Unidades2]]*Tabla1[[#This Row],[Precio Unitario]]</f>
        <v>0</v>
      </c>
      <c r="AI799" s="126" t="s">
        <v>270</v>
      </c>
      <c r="AJ799" s="149"/>
      <c r="AK799" s="149">
        <f>Tabla1[[#This Row],[Fecha Vigencia]]-AJ799</f>
        <v>45082.625694444403</v>
      </c>
      <c r="AL799" s="65"/>
      <c r="AM799" s="90"/>
      <c r="AN799" s="65"/>
      <c r="AO799" s="217"/>
      <c r="AP799" s="65"/>
      <c r="AQ799" s="66"/>
      <c r="AR799" s="65"/>
      <c r="AS799" s="65"/>
      <c r="AT799" s="65"/>
      <c r="AU799" s="65"/>
      <c r="AV799" s="65"/>
      <c r="AW799" s="65"/>
      <c r="AX799" s="65"/>
      <c r="AY799" s="118"/>
      <c r="AZ799" s="118"/>
      <c r="BA799" s="118"/>
      <c r="BB799" s="124"/>
    </row>
    <row r="800" spans="1:54" x14ac:dyDescent="0.25">
      <c r="A800" s="117" t="s">
        <v>3956</v>
      </c>
      <c r="B800" s="118" t="s">
        <v>3957</v>
      </c>
      <c r="C800" s="118" t="s">
        <v>3958</v>
      </c>
      <c r="D800" s="119" t="s">
        <v>3959</v>
      </c>
      <c r="E800" s="38" t="s">
        <v>3960</v>
      </c>
      <c r="F800" s="39">
        <v>5</v>
      </c>
      <c r="G800" s="118" t="s">
        <v>21</v>
      </c>
      <c r="H800" s="118" t="s">
        <v>106</v>
      </c>
      <c r="I800" s="206">
        <v>45070.657847951399</v>
      </c>
      <c r="J800" s="38">
        <v>45079.791666666701</v>
      </c>
      <c r="K800" s="38">
        <v>45070.657847951399</v>
      </c>
      <c r="L800" s="206">
        <v>45079.791666666701</v>
      </c>
      <c r="M800" s="211">
        <v>45071</v>
      </c>
      <c r="N800" s="207" t="s">
        <v>10</v>
      </c>
      <c r="O800" s="206" t="s">
        <v>27</v>
      </c>
      <c r="P800" s="38"/>
      <c r="Q800" s="121"/>
      <c r="R800" s="121"/>
      <c r="S800" s="19"/>
      <c r="T800" s="38"/>
      <c r="U800" s="65">
        <f>Tabla1[[#This Row],[PPTO]]/(1+'Lista Datos'!$B$1)</f>
        <v>0</v>
      </c>
      <c r="V800" s="64"/>
      <c r="W800" s="191"/>
      <c r="X800" s="122"/>
      <c r="Y800" s="122"/>
      <c r="Z800" s="123"/>
      <c r="AA800" s="118"/>
      <c r="AB800" s="118"/>
      <c r="AC800" s="118"/>
      <c r="AD800" s="118"/>
      <c r="AE800" s="145">
        <f>Tabla1[[#This Row],[Cierre]]+Tabla1[[#This Row],[Vigencia Oferta (días)]]</f>
        <v>45079.791666666701</v>
      </c>
      <c r="AF800" s="65"/>
      <c r="AG800" s="181"/>
      <c r="AH800" s="192">
        <f>Tabla1[[#This Row],[Unidades2]]*Tabla1[[#This Row],[Precio Unitario]]</f>
        <v>0</v>
      </c>
      <c r="AI800" s="126" t="s">
        <v>270</v>
      </c>
      <c r="AJ800" s="149"/>
      <c r="AK800" s="149">
        <f>Tabla1[[#This Row],[Fecha Vigencia]]-AJ800</f>
        <v>45079.791666666701</v>
      </c>
      <c r="AL800" s="65"/>
      <c r="AM800" s="90"/>
      <c r="AN800" s="65"/>
      <c r="AO800" s="217"/>
      <c r="AP800" s="65"/>
      <c r="AQ800" s="66"/>
      <c r="AR800" s="65"/>
      <c r="AS800" s="65"/>
      <c r="AT800" s="65"/>
      <c r="AU800" s="65"/>
      <c r="AV800" s="65"/>
      <c r="AW800" s="65"/>
      <c r="AX800" s="65"/>
      <c r="AY800" s="118"/>
      <c r="AZ800" s="118"/>
      <c r="BA800" s="118"/>
      <c r="BB800" s="124"/>
    </row>
    <row r="801" spans="1:54" x14ac:dyDescent="0.25">
      <c r="A801" s="117" t="s">
        <v>3961</v>
      </c>
      <c r="B801" s="118" t="s">
        <v>3962</v>
      </c>
      <c r="C801" s="118" t="s">
        <v>3963</v>
      </c>
      <c r="D801" s="119" t="s">
        <v>3964</v>
      </c>
      <c r="E801" s="38" t="s">
        <v>3965</v>
      </c>
      <c r="F801" s="39">
        <v>1</v>
      </c>
      <c r="G801" s="118" t="s">
        <v>16</v>
      </c>
      <c r="H801" s="118" t="s">
        <v>520</v>
      </c>
      <c r="I801" s="206">
        <v>45070.654629282399</v>
      </c>
      <c r="J801" s="38">
        <v>45082.824999999997</v>
      </c>
      <c r="K801" s="38">
        <v>45070.654629282399</v>
      </c>
      <c r="L801" s="206">
        <v>45082.824999999997</v>
      </c>
      <c r="M801" s="211">
        <v>45071</v>
      </c>
      <c r="N801" s="207" t="s">
        <v>10</v>
      </c>
      <c r="O801" s="206" t="s">
        <v>25</v>
      </c>
      <c r="P801" s="38"/>
      <c r="Q801" s="147">
        <v>45073.79583333333</v>
      </c>
      <c r="R801" s="147">
        <v>45075.79583333333</v>
      </c>
      <c r="S801" s="148">
        <v>45113.825694444444</v>
      </c>
      <c r="T801" s="38"/>
      <c r="U801" s="65">
        <f>Tabla1[[#This Row],[PPTO]]/(1+'Lista Datos'!$B$1)</f>
        <v>0</v>
      </c>
      <c r="V801" s="64"/>
      <c r="W801" s="191" t="s">
        <v>11</v>
      </c>
      <c r="X801" s="122">
        <v>150000</v>
      </c>
      <c r="Y801" s="149">
        <v>45175</v>
      </c>
      <c r="Z801" s="123" t="s">
        <v>10</v>
      </c>
      <c r="AA801" s="118" t="s">
        <v>177</v>
      </c>
      <c r="AB801" s="118">
        <v>12</v>
      </c>
      <c r="AC801" s="118"/>
      <c r="AD801" s="118"/>
      <c r="AE801" s="145">
        <f>Tabla1[[#This Row],[Cierre]]+Tabla1[[#This Row],[Vigencia Oferta (días)]]</f>
        <v>45082.824999999997</v>
      </c>
      <c r="AF801" s="65"/>
      <c r="AG801" s="181"/>
      <c r="AH801" s="192">
        <f>Tabla1[[#This Row],[Unidades2]]*Tabla1[[#This Row],[Precio Unitario]]</f>
        <v>0</v>
      </c>
      <c r="AI801" s="126" t="s">
        <v>270</v>
      </c>
      <c r="AJ801" s="149"/>
      <c r="AK801" s="149">
        <f>Tabla1[[#This Row],[Fecha Vigencia]]-AJ801</f>
        <v>45082.824999999997</v>
      </c>
      <c r="AL801" s="65"/>
      <c r="AM801" s="90"/>
      <c r="AN801" s="65"/>
      <c r="AO801" s="217"/>
      <c r="AP801" s="65"/>
      <c r="AQ801" s="66"/>
      <c r="AR801" s="65"/>
      <c r="AS801" s="65"/>
      <c r="AT801" s="65"/>
      <c r="AU801" s="65"/>
      <c r="AV801" s="65"/>
      <c r="AW801" s="65"/>
      <c r="AX801" s="65"/>
      <c r="AY801" s="118"/>
      <c r="AZ801" s="118"/>
      <c r="BA801" s="118"/>
      <c r="BB801" s="124"/>
    </row>
    <row r="802" spans="1:54" x14ac:dyDescent="0.25">
      <c r="A802" s="117" t="s">
        <v>3966</v>
      </c>
      <c r="B802" s="118" t="s">
        <v>3967</v>
      </c>
      <c r="C802" s="118" t="s">
        <v>3968</v>
      </c>
      <c r="D802" s="119" t="s">
        <v>3673</v>
      </c>
      <c r="E802" s="38" t="s">
        <v>3969</v>
      </c>
      <c r="F802" s="39">
        <v>35</v>
      </c>
      <c r="G802" s="118" t="s">
        <v>14</v>
      </c>
      <c r="H802" s="118" t="s">
        <v>520</v>
      </c>
      <c r="I802" s="206">
        <v>45070.645612071799</v>
      </c>
      <c r="J802" s="38">
        <v>45076.729861111096</v>
      </c>
      <c r="K802" s="38">
        <v>45070.645612071799</v>
      </c>
      <c r="L802" s="206">
        <v>45076.729861111096</v>
      </c>
      <c r="M802" s="211">
        <v>45071</v>
      </c>
      <c r="N802" s="207" t="s">
        <v>10</v>
      </c>
      <c r="O802" s="206" t="s">
        <v>25</v>
      </c>
      <c r="P802" s="38"/>
      <c r="Q802" s="147">
        <v>45073.65</v>
      </c>
      <c r="R802" s="147">
        <v>45075.729166666664</v>
      </c>
      <c r="S802" s="148">
        <v>45106.729166666664</v>
      </c>
      <c r="T802" s="38"/>
      <c r="U802" s="65">
        <f>Tabla1[[#This Row],[PPTO]]/(1+'Lista Datos'!$B$1)</f>
        <v>0</v>
      </c>
      <c r="V802" s="64"/>
      <c r="W802" s="191" t="s">
        <v>10</v>
      </c>
      <c r="X802" s="122"/>
      <c r="Y802" s="122"/>
      <c r="Z802" s="123" t="s">
        <v>10</v>
      </c>
      <c r="AA802" s="118" t="s">
        <v>512</v>
      </c>
      <c r="AB802" s="118"/>
      <c r="AC802" s="118"/>
      <c r="AD802" s="118"/>
      <c r="AE802" s="145">
        <f>Tabla1[[#This Row],[Cierre]]+Tabla1[[#This Row],[Vigencia Oferta (días)]]</f>
        <v>45076.729861111096</v>
      </c>
      <c r="AF802" s="65"/>
      <c r="AG802" s="181"/>
      <c r="AH802" s="192">
        <f>Tabla1[[#This Row],[Unidades2]]*Tabla1[[#This Row],[Precio Unitario]]</f>
        <v>0</v>
      </c>
      <c r="AI802" s="126" t="s">
        <v>270</v>
      </c>
      <c r="AJ802" s="149"/>
      <c r="AK802" s="149">
        <f>Tabla1[[#This Row],[Fecha Vigencia]]-AJ802</f>
        <v>45076.729861111096</v>
      </c>
      <c r="AL802" s="65"/>
      <c r="AM802" s="90"/>
      <c r="AN802" s="65"/>
      <c r="AO802" s="217"/>
      <c r="AP802" s="65"/>
      <c r="AQ802" s="66"/>
      <c r="AR802" s="65"/>
      <c r="AS802" s="65"/>
      <c r="AT802" s="65"/>
      <c r="AU802" s="65"/>
      <c r="AV802" s="65"/>
      <c r="AW802" s="65"/>
      <c r="AX802" s="65"/>
      <c r="AY802" s="118"/>
      <c r="AZ802" s="118"/>
      <c r="BA802" s="118"/>
      <c r="BB802" s="124"/>
    </row>
    <row r="803" spans="1:54" x14ac:dyDescent="0.25">
      <c r="A803" s="117" t="s">
        <v>3970</v>
      </c>
      <c r="B803" s="118" t="s">
        <v>3971</v>
      </c>
      <c r="C803" s="118" t="s">
        <v>3972</v>
      </c>
      <c r="D803" s="119" t="s">
        <v>3921</v>
      </c>
      <c r="E803" s="38" t="s">
        <v>3973</v>
      </c>
      <c r="F803" s="39">
        <v>2</v>
      </c>
      <c r="G803" s="118" t="s">
        <v>21</v>
      </c>
      <c r="H803" s="118" t="s">
        <v>106</v>
      </c>
      <c r="I803" s="206">
        <v>45071.803272141202</v>
      </c>
      <c r="J803" s="38">
        <v>45078.541666666701</v>
      </c>
      <c r="K803" s="38">
        <v>45071.803272141202</v>
      </c>
      <c r="L803" s="206">
        <v>45078.541666666701</v>
      </c>
      <c r="M803" s="211">
        <v>45072</v>
      </c>
      <c r="N803" s="207" t="s">
        <v>10</v>
      </c>
      <c r="O803" s="206" t="s">
        <v>27</v>
      </c>
      <c r="P803" s="38"/>
      <c r="Q803" s="121"/>
      <c r="R803" s="121"/>
      <c r="S803" s="19"/>
      <c r="T803" s="38"/>
      <c r="U803" s="65">
        <f>Tabla1[[#This Row],[PPTO]]/(1+'Lista Datos'!$B$1)</f>
        <v>0</v>
      </c>
      <c r="V803" s="64"/>
      <c r="W803" s="191"/>
      <c r="X803" s="122"/>
      <c r="Y803" s="122"/>
      <c r="Z803" s="123"/>
      <c r="AA803" s="118"/>
      <c r="AB803" s="118"/>
      <c r="AC803" s="118"/>
      <c r="AD803" s="118"/>
      <c r="AE803" s="145">
        <f>Tabla1[[#This Row],[Cierre]]+Tabla1[[#This Row],[Vigencia Oferta (días)]]</f>
        <v>45078.541666666701</v>
      </c>
      <c r="AF803" s="65"/>
      <c r="AG803" s="181"/>
      <c r="AH803" s="192">
        <f>Tabla1[[#This Row],[Unidades2]]*Tabla1[[#This Row],[Precio Unitario]]</f>
        <v>0</v>
      </c>
      <c r="AI803" s="126" t="s">
        <v>270</v>
      </c>
      <c r="AJ803" s="149"/>
      <c r="AK803" s="149">
        <f>Tabla1[[#This Row],[Fecha Vigencia]]-AJ803</f>
        <v>45078.541666666701</v>
      </c>
      <c r="AL803" s="65"/>
      <c r="AM803" s="90"/>
      <c r="AN803" s="65"/>
      <c r="AO803" s="217"/>
      <c r="AP803" s="65"/>
      <c r="AQ803" s="66"/>
      <c r="AR803" s="65"/>
      <c r="AS803" s="65"/>
      <c r="AT803" s="65"/>
      <c r="AU803" s="65"/>
      <c r="AV803" s="65"/>
      <c r="AW803" s="65"/>
      <c r="AX803" s="65"/>
      <c r="AY803" s="118"/>
      <c r="AZ803" s="118"/>
      <c r="BA803" s="118"/>
      <c r="BB803" s="124"/>
    </row>
    <row r="804" spans="1:54" x14ac:dyDescent="0.25">
      <c r="A804" s="117" t="s">
        <v>3974</v>
      </c>
      <c r="B804" s="118" t="s">
        <v>3975</v>
      </c>
      <c r="C804" s="118" t="s">
        <v>3975</v>
      </c>
      <c r="D804" s="119" t="s">
        <v>1484</v>
      </c>
      <c r="E804" s="38" t="s">
        <v>3976</v>
      </c>
      <c r="F804" s="39">
        <v>4</v>
      </c>
      <c r="G804" s="118" t="s">
        <v>21</v>
      </c>
      <c r="H804" s="118" t="s">
        <v>106</v>
      </c>
      <c r="I804" s="206">
        <v>45071.6045667824</v>
      </c>
      <c r="J804" s="38">
        <v>45104.666666666701</v>
      </c>
      <c r="K804" s="38">
        <v>45071.6045667824</v>
      </c>
      <c r="L804" s="206">
        <v>45104.666666666701</v>
      </c>
      <c r="M804" s="211">
        <v>45072</v>
      </c>
      <c r="N804" s="207" t="s">
        <v>10</v>
      </c>
      <c r="O804" s="206" t="s">
        <v>27</v>
      </c>
      <c r="P804" s="38"/>
      <c r="Q804" s="121"/>
      <c r="R804" s="121"/>
      <c r="S804" s="19"/>
      <c r="T804" s="38"/>
      <c r="U804" s="65">
        <f>Tabla1[[#This Row],[PPTO]]/(1+'Lista Datos'!$B$1)</f>
        <v>0</v>
      </c>
      <c r="V804" s="64"/>
      <c r="W804" s="191"/>
      <c r="X804" s="122"/>
      <c r="Y804" s="122"/>
      <c r="Z804" s="123"/>
      <c r="AA804" s="118"/>
      <c r="AB804" s="118"/>
      <c r="AC804" s="118"/>
      <c r="AD804" s="118"/>
      <c r="AE804" s="145">
        <f>Tabla1[[#This Row],[Cierre]]+Tabla1[[#This Row],[Vigencia Oferta (días)]]</f>
        <v>45104.666666666701</v>
      </c>
      <c r="AF804" s="65"/>
      <c r="AG804" s="181"/>
      <c r="AH804" s="192">
        <f>Tabla1[[#This Row],[Unidades2]]*Tabla1[[#This Row],[Precio Unitario]]</f>
        <v>0</v>
      </c>
      <c r="AI804" s="126" t="s">
        <v>270</v>
      </c>
      <c r="AJ804" s="149"/>
      <c r="AK804" s="149">
        <f>Tabla1[[#This Row],[Fecha Vigencia]]-AJ804</f>
        <v>45104.666666666701</v>
      </c>
      <c r="AL804" s="65"/>
      <c r="AM804" s="90"/>
      <c r="AN804" s="65"/>
      <c r="AO804" s="217"/>
      <c r="AP804" s="65"/>
      <c r="AQ804" s="66"/>
      <c r="AR804" s="65"/>
      <c r="AS804" s="65"/>
      <c r="AT804" s="65"/>
      <c r="AU804" s="65"/>
      <c r="AV804" s="65"/>
      <c r="AW804" s="65"/>
      <c r="AX804" s="65"/>
      <c r="AY804" s="118"/>
      <c r="AZ804" s="118"/>
      <c r="BA804" s="118"/>
      <c r="BB804" s="124"/>
    </row>
    <row r="805" spans="1:54" x14ac:dyDescent="0.25">
      <c r="A805" s="117" t="s">
        <v>3977</v>
      </c>
      <c r="B805" s="118" t="s">
        <v>3978</v>
      </c>
      <c r="C805" s="118" t="s">
        <v>3979</v>
      </c>
      <c r="D805" s="119" t="s">
        <v>3980</v>
      </c>
      <c r="E805" s="38" t="s">
        <v>3981</v>
      </c>
      <c r="F805" s="39">
        <v>6</v>
      </c>
      <c r="G805" s="118" t="s">
        <v>21</v>
      </c>
      <c r="H805" s="118" t="s">
        <v>106</v>
      </c>
      <c r="I805" s="206">
        <v>45072.6836672801</v>
      </c>
      <c r="J805" s="38">
        <v>45078.5</v>
      </c>
      <c r="K805" s="38">
        <v>45072.6836672801</v>
      </c>
      <c r="L805" s="206">
        <v>45078.5</v>
      </c>
      <c r="M805" s="211">
        <v>45075</v>
      </c>
      <c r="N805" s="207" t="s">
        <v>10</v>
      </c>
      <c r="O805" s="206" t="s">
        <v>28</v>
      </c>
      <c r="P805" s="38"/>
      <c r="Q805" s="147">
        <v>45075.5</v>
      </c>
      <c r="R805" s="147">
        <v>45075.708333333336</v>
      </c>
      <c r="S805" s="148">
        <v>45110.708333333336</v>
      </c>
      <c r="T805" s="38"/>
      <c r="U805" s="65">
        <f>Tabla1[[#This Row],[PPTO]]/(1+'Lista Datos'!$B$1)</f>
        <v>0</v>
      </c>
      <c r="V805" s="64"/>
      <c r="W805" s="191" t="s">
        <v>10</v>
      </c>
      <c r="X805" s="122"/>
      <c r="Y805" s="122"/>
      <c r="Z805" s="123" t="s">
        <v>10</v>
      </c>
      <c r="AA805" s="118" t="s">
        <v>512</v>
      </c>
      <c r="AB805" s="118"/>
      <c r="AC805" s="118"/>
      <c r="AD805" s="118"/>
      <c r="AE805" s="145">
        <f>Tabla1[[#This Row],[Cierre]]+Tabla1[[#This Row],[Vigencia Oferta (días)]]</f>
        <v>45078.5</v>
      </c>
      <c r="AF805" s="65"/>
      <c r="AG805" s="181"/>
      <c r="AH805" s="192">
        <f>Tabla1[[#This Row],[Unidades2]]*Tabla1[[#This Row],[Precio Unitario]]</f>
        <v>0</v>
      </c>
      <c r="AI805" s="126" t="s">
        <v>270</v>
      </c>
      <c r="AJ805" s="149"/>
      <c r="AK805" s="149">
        <f>Tabla1[[#This Row],[Fecha Vigencia]]-AJ805</f>
        <v>45078.5</v>
      </c>
      <c r="AL805" s="65"/>
      <c r="AM805" s="90"/>
      <c r="AN805" s="65"/>
      <c r="AO805" s="217"/>
      <c r="AP805" s="65"/>
      <c r="AQ805" s="66"/>
      <c r="AR805" s="65"/>
      <c r="AS805" s="65"/>
      <c r="AT805" s="65"/>
      <c r="AU805" s="65"/>
      <c r="AV805" s="65"/>
      <c r="AW805" s="65"/>
      <c r="AX805" s="65"/>
      <c r="AY805" s="118"/>
      <c r="AZ805" s="118"/>
      <c r="BA805" s="118"/>
      <c r="BB805" s="124"/>
    </row>
    <row r="806" spans="1:54" x14ac:dyDescent="0.25">
      <c r="A806" s="117" t="s">
        <v>3982</v>
      </c>
      <c r="B806" s="118" t="s">
        <v>3983</v>
      </c>
      <c r="C806" s="118" t="s">
        <v>3984</v>
      </c>
      <c r="D806" s="119" t="s">
        <v>2985</v>
      </c>
      <c r="E806" s="38" t="s">
        <v>3985</v>
      </c>
      <c r="F806" s="39">
        <v>1</v>
      </c>
      <c r="G806" s="118" t="s">
        <v>14</v>
      </c>
      <c r="H806" s="118" t="s">
        <v>1983</v>
      </c>
      <c r="I806" s="206">
        <v>45072.657756979199</v>
      </c>
      <c r="J806" s="121">
        <v>45079.5847222222</v>
      </c>
      <c r="K806" s="121">
        <v>45072.657756979199</v>
      </c>
      <c r="L806" s="206">
        <v>45079.5847222222</v>
      </c>
      <c r="M806" s="211">
        <v>45075</v>
      </c>
      <c r="N806" s="207" t="s">
        <v>10</v>
      </c>
      <c r="O806" s="206" t="s">
        <v>35</v>
      </c>
      <c r="P806" s="38"/>
      <c r="Q806" s="147">
        <v>45076.583333333336</v>
      </c>
      <c r="R806" s="147">
        <v>45077.584027777775</v>
      </c>
      <c r="S806" s="148">
        <v>45110.625</v>
      </c>
      <c r="T806" s="38"/>
      <c r="U806" s="65">
        <f>Tabla1[[#This Row],[PPTO]]/(1+'Lista Datos'!$B$1)</f>
        <v>0</v>
      </c>
      <c r="V806" s="64"/>
      <c r="W806" s="191" t="s">
        <v>10</v>
      </c>
      <c r="X806" s="122"/>
      <c r="Y806" s="122"/>
      <c r="Z806" s="123" t="s">
        <v>10</v>
      </c>
      <c r="AA806" s="118" t="s">
        <v>512</v>
      </c>
      <c r="AB806" s="118"/>
      <c r="AC806" s="118"/>
      <c r="AD806" s="118"/>
      <c r="AE806" s="145">
        <f>Tabla1[[#This Row],[Cierre]]+Tabla1[[#This Row],[Vigencia Oferta (días)]]</f>
        <v>45079.5847222222</v>
      </c>
      <c r="AF806" s="65"/>
      <c r="AG806" s="181"/>
      <c r="AH806" s="192">
        <f>Tabla1[[#This Row],[Unidades2]]*Tabla1[[#This Row],[Precio Unitario]]</f>
        <v>0</v>
      </c>
      <c r="AI806" s="126" t="s">
        <v>270</v>
      </c>
      <c r="AJ806" s="149"/>
      <c r="AK806" s="149">
        <f>Tabla1[[#This Row],[Fecha Vigencia]]-AJ806</f>
        <v>45079.5847222222</v>
      </c>
      <c r="AL806" s="65"/>
      <c r="AM806" s="90"/>
      <c r="AN806" s="65"/>
      <c r="AO806" s="217"/>
      <c r="AP806" s="65"/>
      <c r="AQ806" s="66"/>
      <c r="AR806" s="65"/>
      <c r="AS806" s="65"/>
      <c r="AT806" s="65"/>
      <c r="AU806" s="65"/>
      <c r="AV806" s="65"/>
      <c r="AW806" s="65"/>
      <c r="AX806" s="65"/>
      <c r="AY806" s="118"/>
      <c r="AZ806" s="118"/>
      <c r="BA806" s="118"/>
      <c r="BB806" s="124"/>
    </row>
    <row r="807" spans="1:54" x14ac:dyDescent="0.25">
      <c r="A807" s="117" t="s">
        <v>3986</v>
      </c>
      <c r="B807" s="118" t="s">
        <v>3987</v>
      </c>
      <c r="C807" s="118" t="s">
        <v>3988</v>
      </c>
      <c r="D807" s="119" t="s">
        <v>3989</v>
      </c>
      <c r="E807" s="38" t="s">
        <v>3990</v>
      </c>
      <c r="F807" s="39">
        <v>1</v>
      </c>
      <c r="G807" s="118" t="s">
        <v>18</v>
      </c>
      <c r="H807" s="118"/>
      <c r="I807" s="206">
        <v>45072.515131631902</v>
      </c>
      <c r="J807" s="38">
        <v>45082.625</v>
      </c>
      <c r="K807" s="38">
        <v>45072.515131631902</v>
      </c>
      <c r="L807" s="206">
        <v>45082.625</v>
      </c>
      <c r="M807" s="211">
        <v>45075</v>
      </c>
      <c r="N807" s="207" t="s">
        <v>10</v>
      </c>
      <c r="O807" s="206" t="s">
        <v>28</v>
      </c>
      <c r="P807" s="38"/>
      <c r="Q807" s="121"/>
      <c r="R807" s="121"/>
      <c r="S807" s="19"/>
      <c r="T807" s="38"/>
      <c r="U807" s="65">
        <f>Tabla1[[#This Row],[PPTO]]/(1+'Lista Datos'!$B$1)</f>
        <v>0</v>
      </c>
      <c r="V807" s="64"/>
      <c r="W807" s="191"/>
      <c r="X807" s="122"/>
      <c r="Y807" s="122"/>
      <c r="Z807" s="123"/>
      <c r="AA807" s="118"/>
      <c r="AB807" s="118"/>
      <c r="AC807" s="118"/>
      <c r="AD807" s="118"/>
      <c r="AE807" s="145">
        <f>Tabla1[[#This Row],[Cierre]]+Tabla1[[#This Row],[Vigencia Oferta (días)]]</f>
        <v>45082.625</v>
      </c>
      <c r="AF807" s="65"/>
      <c r="AG807" s="181"/>
      <c r="AH807" s="192">
        <f>Tabla1[[#This Row],[Unidades2]]*Tabla1[[#This Row],[Precio Unitario]]</f>
        <v>0</v>
      </c>
      <c r="AI807" s="126" t="s">
        <v>270</v>
      </c>
      <c r="AJ807" s="149"/>
      <c r="AK807" s="149">
        <f>Tabla1[[#This Row],[Fecha Vigencia]]-AJ807</f>
        <v>45082.625</v>
      </c>
      <c r="AL807" s="65"/>
      <c r="AM807" s="90"/>
      <c r="AN807" s="65"/>
      <c r="AO807" s="217"/>
      <c r="AP807" s="65"/>
      <c r="AQ807" s="66"/>
      <c r="AR807" s="65"/>
      <c r="AS807" s="65"/>
      <c r="AT807" s="65"/>
      <c r="AU807" s="65"/>
      <c r="AV807" s="65"/>
      <c r="AW807" s="65"/>
      <c r="AX807" s="65"/>
      <c r="AY807" s="118"/>
      <c r="AZ807" s="118"/>
      <c r="BA807" s="118"/>
      <c r="BB807" s="124"/>
    </row>
    <row r="808" spans="1:54" x14ac:dyDescent="0.25">
      <c r="A808" s="117" t="s">
        <v>3991</v>
      </c>
      <c r="B808" s="118" t="s">
        <v>3992</v>
      </c>
      <c r="C808" s="118" t="s">
        <v>3993</v>
      </c>
      <c r="D808" s="119" t="s">
        <v>553</v>
      </c>
      <c r="E808" s="38" t="s">
        <v>3994</v>
      </c>
      <c r="F808" s="39">
        <v>1</v>
      </c>
      <c r="G808" s="118" t="s">
        <v>14</v>
      </c>
      <c r="H808" s="118" t="s">
        <v>1983</v>
      </c>
      <c r="I808" s="206">
        <v>45075.7433975694</v>
      </c>
      <c r="J808" s="38">
        <v>45096.625</v>
      </c>
      <c r="K808" s="38">
        <v>45075.7433975694</v>
      </c>
      <c r="L808" s="206">
        <v>45096.625</v>
      </c>
      <c r="M808" s="211">
        <v>45076</v>
      </c>
      <c r="N808" s="207" t="s">
        <v>10</v>
      </c>
      <c r="O808" s="206" t="s">
        <v>25</v>
      </c>
      <c r="P808" s="38"/>
      <c r="Q808" s="147">
        <v>45079.708333333336</v>
      </c>
      <c r="R808" s="147">
        <v>45084.709027777775</v>
      </c>
      <c r="S808" s="148">
        <v>45159.708333333336</v>
      </c>
      <c r="T808" s="38"/>
      <c r="U808" s="65">
        <f>Tabla1[[#This Row],[PPTO]]/(1+'Lista Datos'!$B$1)</f>
        <v>0</v>
      </c>
      <c r="V808" s="64"/>
      <c r="W808" s="191" t="s">
        <v>11</v>
      </c>
      <c r="X808" s="122">
        <v>200000</v>
      </c>
      <c r="Y808" s="149">
        <v>45188</v>
      </c>
      <c r="Z808" s="123" t="s">
        <v>10</v>
      </c>
      <c r="AA808" s="118" t="s">
        <v>177</v>
      </c>
      <c r="AB808" s="118">
        <v>12</v>
      </c>
      <c r="AC808" s="118"/>
      <c r="AD808" s="118"/>
      <c r="AE808" s="145">
        <f>Tabla1[[#This Row],[Cierre]]+Tabla1[[#This Row],[Vigencia Oferta (días)]]</f>
        <v>45096.625</v>
      </c>
      <c r="AF808" s="65"/>
      <c r="AG808" s="181"/>
      <c r="AH808" s="192">
        <f>Tabla1[[#This Row],[Unidades2]]*Tabla1[[#This Row],[Precio Unitario]]</f>
        <v>0</v>
      </c>
      <c r="AI808" s="126" t="s">
        <v>270</v>
      </c>
      <c r="AJ808" s="149"/>
      <c r="AK808" s="149">
        <f>Tabla1[[#This Row],[Fecha Vigencia]]-AJ808</f>
        <v>45096.625</v>
      </c>
      <c r="AL808" s="65"/>
      <c r="AM808" s="90"/>
      <c r="AN808" s="65"/>
      <c r="AO808" s="217"/>
      <c r="AP808" s="65"/>
      <c r="AQ808" s="66"/>
      <c r="AR808" s="65"/>
      <c r="AS808" s="65"/>
      <c r="AT808" s="65"/>
      <c r="AU808" s="65"/>
      <c r="AV808" s="65"/>
      <c r="AW808" s="65"/>
      <c r="AX808" s="65"/>
      <c r="AY808" s="118"/>
      <c r="AZ808" s="118"/>
      <c r="BA808" s="118"/>
      <c r="BB808" s="124"/>
    </row>
    <row r="809" spans="1:54" x14ac:dyDescent="0.25">
      <c r="A809" s="117" t="s">
        <v>3995</v>
      </c>
      <c r="B809" s="118" t="s">
        <v>3996</v>
      </c>
      <c r="C809" s="118" t="s">
        <v>3997</v>
      </c>
      <c r="D809" s="119" t="s">
        <v>378</v>
      </c>
      <c r="E809" s="38" t="s">
        <v>3998</v>
      </c>
      <c r="F809" s="39">
        <v>1</v>
      </c>
      <c r="G809" s="118" t="s">
        <v>21</v>
      </c>
      <c r="H809" s="118" t="s">
        <v>106</v>
      </c>
      <c r="I809" s="206">
        <v>45075.702583946797</v>
      </c>
      <c r="J809" s="38">
        <v>45085.6875</v>
      </c>
      <c r="K809" s="38">
        <v>45075.702583946797</v>
      </c>
      <c r="L809" s="206">
        <v>45085.6875</v>
      </c>
      <c r="M809" s="211">
        <v>45076</v>
      </c>
      <c r="N809" s="207" t="s">
        <v>10</v>
      </c>
      <c r="O809" s="206" t="s">
        <v>34</v>
      </c>
      <c r="P809" s="38"/>
      <c r="Q809" s="121"/>
      <c r="R809" s="121"/>
      <c r="S809" s="19"/>
      <c r="T809" s="38"/>
      <c r="U809" s="65">
        <f>Tabla1[[#This Row],[PPTO]]/(1+'Lista Datos'!$B$1)</f>
        <v>0</v>
      </c>
      <c r="V809" s="64"/>
      <c r="W809" s="191"/>
      <c r="X809" s="122"/>
      <c r="Y809" s="122"/>
      <c r="Z809" s="123"/>
      <c r="AA809" s="118"/>
      <c r="AB809" s="118"/>
      <c r="AC809" s="118"/>
      <c r="AD809" s="118"/>
      <c r="AE809" s="145">
        <f>Tabla1[[#This Row],[Cierre]]+Tabla1[[#This Row],[Vigencia Oferta (días)]]</f>
        <v>45085.6875</v>
      </c>
      <c r="AF809" s="65"/>
      <c r="AG809" s="181"/>
      <c r="AH809" s="192">
        <f>Tabla1[[#This Row],[Unidades2]]*Tabla1[[#This Row],[Precio Unitario]]</f>
        <v>0</v>
      </c>
      <c r="AI809" s="126" t="s">
        <v>270</v>
      </c>
      <c r="AJ809" s="149"/>
      <c r="AK809" s="149">
        <f>Tabla1[[#This Row],[Fecha Vigencia]]-AJ809</f>
        <v>45085.6875</v>
      </c>
      <c r="AL809" s="65"/>
      <c r="AM809" s="90"/>
      <c r="AN809" s="65"/>
      <c r="AO809" s="217"/>
      <c r="AP809" s="65"/>
      <c r="AQ809" s="66"/>
      <c r="AR809" s="65"/>
      <c r="AS809" s="65"/>
      <c r="AT809" s="65"/>
      <c r="AU809" s="65"/>
      <c r="AV809" s="65"/>
      <c r="AW809" s="65"/>
      <c r="AX809" s="65"/>
      <c r="AY809" s="118"/>
      <c r="AZ809" s="118"/>
      <c r="BA809" s="118"/>
      <c r="BB809" s="124"/>
    </row>
    <row r="810" spans="1:54" x14ac:dyDescent="0.25">
      <c r="A810" s="153" t="s">
        <v>3999</v>
      </c>
      <c r="B810" s="30" t="s">
        <v>4000</v>
      </c>
      <c r="C810" s="30" t="s">
        <v>4001</v>
      </c>
      <c r="D810" s="84" t="s">
        <v>2822</v>
      </c>
      <c r="E810" s="24" t="s">
        <v>4002</v>
      </c>
      <c r="F810" s="25">
        <v>1</v>
      </c>
      <c r="G810" s="30" t="s">
        <v>17</v>
      </c>
      <c r="H810" s="30" t="s">
        <v>213</v>
      </c>
      <c r="I810" s="203">
        <v>45077.519628275499</v>
      </c>
      <c r="J810" s="38">
        <v>45097.791666666701</v>
      </c>
      <c r="K810" s="38">
        <v>45077.519628275499</v>
      </c>
      <c r="L810" s="203">
        <v>45097.791666666701</v>
      </c>
      <c r="M810" s="204">
        <v>45078</v>
      </c>
      <c r="N810" s="205" t="s">
        <v>10</v>
      </c>
      <c r="O810" s="203" t="s">
        <v>25</v>
      </c>
      <c r="P810" s="24"/>
      <c r="Q810" s="160">
        <v>45087.375</v>
      </c>
      <c r="R810" s="160">
        <v>45092.791666666664</v>
      </c>
      <c r="S810" s="161">
        <v>45169.791666666664</v>
      </c>
      <c r="T810" s="210">
        <v>80000000</v>
      </c>
      <c r="U810" s="209">
        <f>Tabla1[[#This Row],[PPTO]]/(1+'Lista Datos'!$B$1)</f>
        <v>67226890.756302521</v>
      </c>
      <c r="V810" s="67"/>
      <c r="W810" s="193" t="s">
        <v>10</v>
      </c>
      <c r="X810" s="127"/>
      <c r="Y810" s="127"/>
      <c r="Z810" s="154" t="s">
        <v>11</v>
      </c>
      <c r="AA810" s="30" t="s">
        <v>177</v>
      </c>
      <c r="AB810" s="30">
        <v>12</v>
      </c>
      <c r="AC810" s="30"/>
      <c r="AD810" s="30"/>
      <c r="AE810" s="145">
        <f>Tabla1[[#This Row],[Cierre]]+Tabla1[[#This Row],[Vigencia Oferta (días)]]</f>
        <v>45097.791666666701</v>
      </c>
      <c r="AF810" s="68"/>
      <c r="AG810" s="157"/>
      <c r="AH810" s="194">
        <f>Tabla1[[#This Row],[Unidades2]]*Tabla1[[#This Row],[Precio Unitario]]</f>
        <v>0</v>
      </c>
      <c r="AI810" s="97" t="s">
        <v>270</v>
      </c>
      <c r="AJ810" s="149"/>
      <c r="AK810" s="149">
        <f>Tabla1[[#This Row],[Fecha Vigencia]]-AJ810</f>
        <v>45097.791666666701</v>
      </c>
      <c r="AL810" s="68"/>
      <c r="AM810" s="91"/>
      <c r="AN810" s="68"/>
      <c r="AO810" s="218"/>
      <c r="AP810" s="68"/>
      <c r="AQ810" s="69"/>
      <c r="AR810" s="68"/>
      <c r="AS810" s="68"/>
      <c r="AT810" s="68"/>
      <c r="AU810" s="68"/>
      <c r="AV810" s="68"/>
      <c r="AW810" s="68"/>
      <c r="AX810" s="68"/>
      <c r="AY810" s="30"/>
      <c r="AZ810" s="30"/>
      <c r="BA810" s="30"/>
      <c r="BB810" s="75"/>
    </row>
    <row r="811" spans="1:54" x14ac:dyDescent="0.25">
      <c r="A811" s="117" t="s">
        <v>4003</v>
      </c>
      <c r="B811" s="118" t="s">
        <v>4004</v>
      </c>
      <c r="C811" s="118" t="s">
        <v>4005</v>
      </c>
      <c r="D811" s="119" t="s">
        <v>4006</v>
      </c>
      <c r="E811" s="38" t="s">
        <v>4007</v>
      </c>
      <c r="F811" s="39">
        <v>1</v>
      </c>
      <c r="G811" s="118" t="s">
        <v>16</v>
      </c>
      <c r="H811" s="118" t="s">
        <v>123</v>
      </c>
      <c r="I811" s="206">
        <v>45077.372917743101</v>
      </c>
      <c r="J811" s="121">
        <v>45084.458333333299</v>
      </c>
      <c r="K811" s="121">
        <v>45077.372917743101</v>
      </c>
      <c r="L811" s="206">
        <v>45084.458333333299</v>
      </c>
      <c r="M811" s="211">
        <v>45078</v>
      </c>
      <c r="N811" s="207" t="s">
        <v>10</v>
      </c>
      <c r="O811" s="206" t="s">
        <v>33</v>
      </c>
      <c r="P811" s="38"/>
      <c r="Q811" s="121"/>
      <c r="R811" s="121"/>
      <c r="S811" s="19"/>
      <c r="T811" s="38"/>
      <c r="U811" s="65">
        <f>Tabla1[[#This Row],[PPTO]]/(1+'Lista Datos'!$B$1)</f>
        <v>0</v>
      </c>
      <c r="V811" s="64"/>
      <c r="W811" s="191"/>
      <c r="X811" s="122"/>
      <c r="Y811" s="122"/>
      <c r="Z811" s="123"/>
      <c r="AA811" s="118"/>
      <c r="AB811" s="118"/>
      <c r="AC811" s="118"/>
      <c r="AD811" s="118"/>
      <c r="AE811" s="145">
        <f>Tabla1[[#This Row],[Cierre]]+Tabla1[[#This Row],[Vigencia Oferta (días)]]</f>
        <v>45084.458333333299</v>
      </c>
      <c r="AF811" s="65"/>
      <c r="AG811" s="181"/>
      <c r="AH811" s="192">
        <f>Tabla1[[#This Row],[Unidades2]]*Tabla1[[#This Row],[Precio Unitario]]</f>
        <v>0</v>
      </c>
      <c r="AI811" s="126" t="s">
        <v>270</v>
      </c>
      <c r="AJ811" s="149"/>
      <c r="AK811" s="149">
        <f>Tabla1[[#This Row],[Fecha Vigencia]]-AJ811</f>
        <v>45084.458333333299</v>
      </c>
      <c r="AL811" s="65"/>
      <c r="AM811" s="90"/>
      <c r="AN811" s="65"/>
      <c r="AO811" s="217"/>
      <c r="AP811" s="65"/>
      <c r="AQ811" s="66"/>
      <c r="AR811" s="65"/>
      <c r="AS811" s="65"/>
      <c r="AT811" s="65"/>
      <c r="AU811" s="65"/>
      <c r="AV811" s="65"/>
      <c r="AW811" s="65"/>
      <c r="AX811" s="65"/>
      <c r="AY811" s="118"/>
      <c r="AZ811" s="118"/>
      <c r="BA811" s="118"/>
      <c r="BB811" s="124"/>
    </row>
    <row r="812" spans="1:54" x14ac:dyDescent="0.25">
      <c r="A812" s="153" t="s">
        <v>4008</v>
      </c>
      <c r="B812" s="30" t="s">
        <v>4009</v>
      </c>
      <c r="C812" s="30" t="s">
        <v>4010</v>
      </c>
      <c r="D812" s="84" t="s">
        <v>994</v>
      </c>
      <c r="E812" s="24" t="s">
        <v>4011</v>
      </c>
      <c r="F812" s="25">
        <v>130</v>
      </c>
      <c r="G812" s="30" t="s">
        <v>21</v>
      </c>
      <c r="H812" s="30" t="s">
        <v>106</v>
      </c>
      <c r="I812" s="203">
        <v>45078.523926504597</v>
      </c>
      <c r="J812" s="38">
        <v>45089.625694444403</v>
      </c>
      <c r="K812" s="38">
        <v>45078.523926504597</v>
      </c>
      <c r="L812" s="203">
        <v>45089.625694444403</v>
      </c>
      <c r="M812" s="204">
        <v>45079</v>
      </c>
      <c r="N812" s="205" t="s">
        <v>10</v>
      </c>
      <c r="O812" s="203" t="s">
        <v>34</v>
      </c>
      <c r="P812" s="24"/>
      <c r="Q812" s="60"/>
      <c r="R812" s="60"/>
      <c r="S812" s="18"/>
      <c r="T812" s="24"/>
      <c r="U812" s="68">
        <f>Tabla1[[#This Row],[PPTO]]/(1+'Lista Datos'!$B$1)</f>
        <v>0</v>
      </c>
      <c r="V812" s="67"/>
      <c r="W812" s="193"/>
      <c r="X812" s="127"/>
      <c r="Y812" s="127"/>
      <c r="Z812" s="154"/>
      <c r="AA812" s="30"/>
      <c r="AB812" s="30"/>
      <c r="AC812" s="30"/>
      <c r="AD812" s="30"/>
      <c r="AE812" s="145">
        <f>Tabla1[[#This Row],[Cierre]]+Tabla1[[#This Row],[Vigencia Oferta (días)]]</f>
        <v>45089.625694444403</v>
      </c>
      <c r="AF812" s="68"/>
      <c r="AG812" s="157"/>
      <c r="AH812" s="194">
        <f>Tabla1[[#This Row],[Unidades2]]*Tabla1[[#This Row],[Precio Unitario]]</f>
        <v>0</v>
      </c>
      <c r="AI812" s="97" t="s">
        <v>270</v>
      </c>
      <c r="AJ812" s="149"/>
      <c r="AK812" s="149">
        <f>Tabla1[[#This Row],[Fecha Vigencia]]-AJ812</f>
        <v>45089.625694444403</v>
      </c>
      <c r="AL812" s="68"/>
      <c r="AM812" s="91"/>
      <c r="AN812" s="68"/>
      <c r="AO812" s="218"/>
      <c r="AP812" s="68"/>
      <c r="AQ812" s="69"/>
      <c r="AR812" s="68"/>
      <c r="AS812" s="68"/>
      <c r="AT812" s="68"/>
      <c r="AU812" s="68"/>
      <c r="AV812" s="68"/>
      <c r="AW812" s="68"/>
      <c r="AX812" s="68"/>
      <c r="AY812" s="30"/>
      <c r="AZ812" s="30"/>
      <c r="BA812" s="30"/>
      <c r="BB812" s="75"/>
    </row>
    <row r="813" spans="1:54" x14ac:dyDescent="0.25">
      <c r="A813" s="117" t="s">
        <v>4012</v>
      </c>
      <c r="B813" s="118" t="s">
        <v>4013</v>
      </c>
      <c r="C813" s="118" t="s">
        <v>4014</v>
      </c>
      <c r="D813" s="119" t="s">
        <v>1484</v>
      </c>
      <c r="E813" s="38" t="s">
        <v>4015</v>
      </c>
      <c r="F813" s="39">
        <v>2</v>
      </c>
      <c r="G813" s="118" t="s">
        <v>16</v>
      </c>
      <c r="H813" s="118" t="s">
        <v>123</v>
      </c>
      <c r="I813" s="206">
        <v>45078.520322685203</v>
      </c>
      <c r="J813" s="121">
        <v>45089.828472222202</v>
      </c>
      <c r="K813" s="121">
        <v>45078.520322685203</v>
      </c>
      <c r="L813" s="206">
        <v>45089.828472222202</v>
      </c>
      <c r="M813" s="211">
        <v>45079</v>
      </c>
      <c r="N813" s="207" t="s">
        <v>10</v>
      </c>
      <c r="O813" s="206" t="s">
        <v>25</v>
      </c>
      <c r="P813" s="38"/>
      <c r="Q813" s="121"/>
      <c r="R813" s="121"/>
      <c r="S813" s="19"/>
      <c r="T813" s="38"/>
      <c r="U813" s="65">
        <f>Tabla1[[#This Row],[PPTO]]/(1+'Lista Datos'!$B$1)</f>
        <v>0</v>
      </c>
      <c r="V813" s="64"/>
      <c r="W813" s="191"/>
      <c r="X813" s="122"/>
      <c r="Y813" s="122"/>
      <c r="Z813" s="123"/>
      <c r="AA813" s="118"/>
      <c r="AB813" s="118"/>
      <c r="AC813" s="118"/>
      <c r="AD813" s="118"/>
      <c r="AE813" s="145">
        <f>Tabla1[[#This Row],[Cierre]]+Tabla1[[#This Row],[Vigencia Oferta (días)]]</f>
        <v>45089.828472222202</v>
      </c>
      <c r="AF813" s="65"/>
      <c r="AG813" s="181"/>
      <c r="AH813" s="192">
        <f>Tabla1[[#This Row],[Unidades2]]*Tabla1[[#This Row],[Precio Unitario]]</f>
        <v>0</v>
      </c>
      <c r="AI813" s="126" t="s">
        <v>270</v>
      </c>
      <c r="AJ813" s="149"/>
      <c r="AK813" s="149">
        <f>Tabla1[[#This Row],[Fecha Vigencia]]-AJ813</f>
        <v>45089.828472222202</v>
      </c>
      <c r="AL813" s="65"/>
      <c r="AM813" s="90"/>
      <c r="AN813" s="65"/>
      <c r="AO813" s="217"/>
      <c r="AP813" s="65"/>
      <c r="AQ813" s="66"/>
      <c r="AR813" s="65"/>
      <c r="AS813" s="65"/>
      <c r="AT813" s="65"/>
      <c r="AU813" s="65"/>
      <c r="AV813" s="65"/>
      <c r="AW813" s="65"/>
      <c r="AX813" s="65"/>
      <c r="AY813" s="118"/>
      <c r="AZ813" s="118"/>
      <c r="BA813" s="118"/>
      <c r="BB813" s="124"/>
    </row>
    <row r="814" spans="1:54" x14ac:dyDescent="0.25">
      <c r="A814" s="117" t="s">
        <v>4016</v>
      </c>
      <c r="B814" s="118" t="s">
        <v>4017</v>
      </c>
      <c r="C814" s="118" t="s">
        <v>4018</v>
      </c>
      <c r="D814" s="119" t="s">
        <v>847</v>
      </c>
      <c r="E814" s="38" t="s">
        <v>4019</v>
      </c>
      <c r="F814" s="39">
        <v>20</v>
      </c>
      <c r="G814" s="118" t="s">
        <v>21</v>
      </c>
      <c r="H814" s="118" t="s">
        <v>106</v>
      </c>
      <c r="I814" s="206">
        <v>45078.487950543997</v>
      </c>
      <c r="J814" s="38">
        <v>45085.729166666701</v>
      </c>
      <c r="K814" s="38">
        <v>45078.487950543997</v>
      </c>
      <c r="L814" s="206">
        <v>45085.729166666701</v>
      </c>
      <c r="M814" s="211">
        <v>45079</v>
      </c>
      <c r="N814" s="207" t="s">
        <v>10</v>
      </c>
      <c r="O814" s="206" t="s">
        <v>27</v>
      </c>
      <c r="P814" s="38"/>
      <c r="Q814" s="147">
        <v>45080.832638888889</v>
      </c>
      <c r="R814" s="147">
        <v>45082.75</v>
      </c>
      <c r="S814" s="148">
        <v>45105.832638888889</v>
      </c>
      <c r="T814" s="38"/>
      <c r="U814" s="65">
        <f>Tabla1[[#This Row],[PPTO]]/(1+'Lista Datos'!$B$1)</f>
        <v>0</v>
      </c>
      <c r="V814" s="64"/>
      <c r="W814" s="191" t="s">
        <v>10</v>
      </c>
      <c r="X814" s="122"/>
      <c r="Y814" s="122"/>
      <c r="Z814" s="123" t="s">
        <v>10</v>
      </c>
      <c r="AA814" s="118" t="s">
        <v>512</v>
      </c>
      <c r="AB814" s="118"/>
      <c r="AC814" s="118"/>
      <c r="AD814" s="118"/>
      <c r="AE814" s="145">
        <f>Tabla1[[#This Row],[Cierre]]+Tabla1[[#This Row],[Vigencia Oferta (días)]]</f>
        <v>45085.729166666701</v>
      </c>
      <c r="AF814" s="65"/>
      <c r="AG814" s="181"/>
      <c r="AH814" s="192">
        <f>Tabla1[[#This Row],[Unidades2]]*Tabla1[[#This Row],[Precio Unitario]]</f>
        <v>0</v>
      </c>
      <c r="AI814" s="126" t="s">
        <v>270</v>
      </c>
      <c r="AJ814" s="149"/>
      <c r="AK814" s="149">
        <f>Tabla1[[#This Row],[Fecha Vigencia]]-AJ814</f>
        <v>45085.729166666701</v>
      </c>
      <c r="AL814" s="65"/>
      <c r="AM814" s="90"/>
      <c r="AN814" s="65"/>
      <c r="AO814" s="217"/>
      <c r="AP814" s="65"/>
      <c r="AQ814" s="66"/>
      <c r="AR814" s="65"/>
      <c r="AS814" s="65"/>
      <c r="AT814" s="65"/>
      <c r="AU814" s="65"/>
      <c r="AV814" s="65"/>
      <c r="AW814" s="65"/>
      <c r="AX814" s="65"/>
      <c r="AY814" s="118"/>
      <c r="AZ814" s="118"/>
      <c r="BA814" s="118"/>
      <c r="BB814" s="124"/>
    </row>
    <row r="815" spans="1:54" x14ac:dyDescent="0.25">
      <c r="A815" s="153" t="s">
        <v>4020</v>
      </c>
      <c r="B815" s="30" t="s">
        <v>4021</v>
      </c>
      <c r="C815" s="30" t="s">
        <v>4022</v>
      </c>
      <c r="D815" s="84" t="s">
        <v>2822</v>
      </c>
      <c r="E815" s="24" t="s">
        <v>4023</v>
      </c>
      <c r="F815" s="25">
        <v>24</v>
      </c>
      <c r="G815" s="30" t="s">
        <v>21</v>
      </c>
      <c r="H815" s="30" t="s">
        <v>106</v>
      </c>
      <c r="I815" s="203">
        <v>45078.485595682898</v>
      </c>
      <c r="J815" s="38">
        <v>45084.708333333299</v>
      </c>
      <c r="K815" s="38">
        <v>45078.485595682898</v>
      </c>
      <c r="L815" s="203">
        <v>45084.708333333299</v>
      </c>
      <c r="M815" s="204">
        <v>45079</v>
      </c>
      <c r="N815" s="205" t="s">
        <v>10</v>
      </c>
      <c r="O815" s="203" t="s">
        <v>28</v>
      </c>
      <c r="P815" s="24"/>
      <c r="Q815" s="60"/>
      <c r="R815" s="60"/>
      <c r="S815" s="18"/>
      <c r="T815" s="24"/>
      <c r="U815" s="68">
        <f>Tabla1[[#This Row],[PPTO]]/(1+'Lista Datos'!$B$1)</f>
        <v>0</v>
      </c>
      <c r="V815" s="67"/>
      <c r="W815" s="193"/>
      <c r="X815" s="127"/>
      <c r="Y815" s="127"/>
      <c r="Z815" s="154"/>
      <c r="AA815" s="30"/>
      <c r="AB815" s="30"/>
      <c r="AC815" s="30"/>
      <c r="AD815" s="30"/>
      <c r="AE815" s="145">
        <f>Tabla1[[#This Row],[Cierre]]+Tabla1[[#This Row],[Vigencia Oferta (días)]]</f>
        <v>45084.708333333299</v>
      </c>
      <c r="AF815" s="68"/>
      <c r="AG815" s="157"/>
      <c r="AH815" s="194">
        <f>Tabla1[[#This Row],[Unidades2]]*Tabla1[[#This Row],[Precio Unitario]]</f>
        <v>0</v>
      </c>
      <c r="AI815" s="97" t="s">
        <v>270</v>
      </c>
      <c r="AJ815" s="149"/>
      <c r="AK815" s="149">
        <f>Tabla1[[#This Row],[Fecha Vigencia]]-AJ815</f>
        <v>45084.708333333299</v>
      </c>
      <c r="AL815" s="68"/>
      <c r="AM815" s="91"/>
      <c r="AN815" s="68"/>
      <c r="AO815" s="218"/>
      <c r="AP815" s="68"/>
      <c r="AQ815" s="69"/>
      <c r="AR815" s="68"/>
      <c r="AS815" s="68"/>
      <c r="AT815" s="68"/>
      <c r="AU815" s="68"/>
      <c r="AV815" s="68"/>
      <c r="AW815" s="68"/>
      <c r="AX815" s="68"/>
      <c r="AY815" s="30"/>
      <c r="AZ815" s="30"/>
      <c r="BA815" s="30"/>
      <c r="BB815" s="75"/>
    </row>
    <row r="816" spans="1:54" x14ac:dyDescent="0.25">
      <c r="A816" s="117" t="s">
        <v>4024</v>
      </c>
      <c r="B816" s="118" t="s">
        <v>4025</v>
      </c>
      <c r="C816" s="118" t="s">
        <v>4026</v>
      </c>
      <c r="D816" s="119" t="s">
        <v>553</v>
      </c>
      <c r="E816" s="38" t="s">
        <v>4027</v>
      </c>
      <c r="F816" s="39">
        <v>81</v>
      </c>
      <c r="G816" s="118" t="s">
        <v>14</v>
      </c>
      <c r="H816" s="118" t="s">
        <v>1983</v>
      </c>
      <c r="I816" s="206">
        <v>45078.445756446803</v>
      </c>
      <c r="J816" s="121">
        <v>45089.625</v>
      </c>
      <c r="K816" s="121">
        <v>45078.445756446803</v>
      </c>
      <c r="L816" s="206">
        <v>45089.625</v>
      </c>
      <c r="M816" s="211">
        <v>45079</v>
      </c>
      <c r="N816" s="207" t="s">
        <v>10</v>
      </c>
      <c r="O816" s="206" t="s">
        <v>25</v>
      </c>
      <c r="P816" s="38"/>
      <c r="Q816" s="147">
        <v>45082.5</v>
      </c>
      <c r="R816" s="147">
        <v>45084.709027777775</v>
      </c>
      <c r="S816" s="148">
        <v>45152.708333333336</v>
      </c>
      <c r="T816" s="215">
        <v>50000000</v>
      </c>
      <c r="U816" s="214">
        <f>Tabla1[[#This Row],[PPTO]]/(1+'Lista Datos'!$B$1)</f>
        <v>42016806.722689077</v>
      </c>
      <c r="V816" s="64"/>
      <c r="W816" s="191" t="s">
        <v>11</v>
      </c>
      <c r="X816" s="122">
        <v>300000</v>
      </c>
      <c r="Y816" s="149">
        <v>45181</v>
      </c>
      <c r="Z816" s="123" t="s">
        <v>10</v>
      </c>
      <c r="AA816" s="118" t="s">
        <v>512</v>
      </c>
      <c r="AB816" s="118"/>
      <c r="AC816" s="118"/>
      <c r="AD816" s="118"/>
      <c r="AE816" s="145">
        <f>Tabla1[[#This Row],[Cierre]]+Tabla1[[#This Row],[Vigencia Oferta (días)]]</f>
        <v>45089.625</v>
      </c>
      <c r="AF816" s="65"/>
      <c r="AG816" s="181"/>
      <c r="AH816" s="192">
        <f>Tabla1[[#This Row],[Unidades2]]*Tabla1[[#This Row],[Precio Unitario]]</f>
        <v>0</v>
      </c>
      <c r="AI816" s="126" t="s">
        <v>270</v>
      </c>
      <c r="AJ816" s="149"/>
      <c r="AK816" s="149">
        <f>Tabla1[[#This Row],[Fecha Vigencia]]-AJ816</f>
        <v>45089.625</v>
      </c>
      <c r="AL816" s="65"/>
      <c r="AM816" s="90"/>
      <c r="AN816" s="65"/>
      <c r="AO816" s="217"/>
      <c r="AP816" s="65"/>
      <c r="AQ816" s="66"/>
      <c r="AR816" s="65"/>
      <c r="AS816" s="65"/>
      <c r="AT816" s="65"/>
      <c r="AU816" s="65"/>
      <c r="AV816" s="65"/>
      <c r="AW816" s="65"/>
      <c r="AX816" s="65"/>
      <c r="AY816" s="118"/>
      <c r="AZ816" s="118"/>
      <c r="BA816" s="118"/>
      <c r="BB816" s="124"/>
    </row>
    <row r="817" spans="1:54" x14ac:dyDescent="0.25">
      <c r="A817" s="117" t="s">
        <v>4028</v>
      </c>
      <c r="B817" s="118" t="s">
        <v>4029</v>
      </c>
      <c r="C817" s="118" t="s">
        <v>4030</v>
      </c>
      <c r="D817" s="119" t="s">
        <v>688</v>
      </c>
      <c r="E817" s="38" t="s">
        <v>4031</v>
      </c>
      <c r="F817" s="39">
        <v>1</v>
      </c>
      <c r="G817" s="118" t="s">
        <v>16</v>
      </c>
      <c r="H817" s="118" t="s">
        <v>145</v>
      </c>
      <c r="I817" s="206">
        <v>45079.550347222219</v>
      </c>
      <c r="J817" s="38">
        <f>MONTH(Tabla1[[#This Row],[Publicación]])</f>
        <v>6</v>
      </c>
      <c r="K817" s="38">
        <f>YEAR(Tabla1[[#This Row],[Publicación]])</f>
        <v>2023</v>
      </c>
      <c r="L817" s="206">
        <v>45086.416666666664</v>
      </c>
      <c r="M817" s="211">
        <v>45079</v>
      </c>
      <c r="N817" s="207" t="s">
        <v>10</v>
      </c>
      <c r="O817" s="206" t="s">
        <v>25</v>
      </c>
      <c r="P817" s="38"/>
      <c r="Q817" s="147">
        <v>45082.625</v>
      </c>
      <c r="R817" s="147">
        <v>45083.625</v>
      </c>
      <c r="S817" s="148">
        <v>45107.825694444444</v>
      </c>
      <c r="T817" s="215">
        <v>18000000</v>
      </c>
      <c r="U817" s="214">
        <f>Tabla1[[#This Row],[PPTO]]/(1+'Lista Datos'!$B$1)</f>
        <v>15126050.420168068</v>
      </c>
      <c r="V817" s="64"/>
      <c r="W817" s="191" t="s">
        <v>10</v>
      </c>
      <c r="X817" s="122"/>
      <c r="Y817" s="122"/>
      <c r="Z817" s="123" t="s">
        <v>10</v>
      </c>
      <c r="AA817" s="118" t="s">
        <v>177</v>
      </c>
      <c r="AB817" s="118"/>
      <c r="AC817" s="118"/>
      <c r="AD817" s="118"/>
      <c r="AE817" s="145">
        <f>Tabla1[[#This Row],[Cierre]]+Tabla1[[#This Row],[Vigencia Oferta (días)]]</f>
        <v>45086.416666666664</v>
      </c>
      <c r="AF817" s="65"/>
      <c r="AG817" s="181"/>
      <c r="AH817" s="192">
        <f>Tabla1[[#This Row],[Unidades2]]*Tabla1[[#This Row],[Precio Unitario]]</f>
        <v>0</v>
      </c>
      <c r="AI817" s="126" t="s">
        <v>270</v>
      </c>
      <c r="AJ817" s="149"/>
      <c r="AK817" s="149">
        <f>Tabla1[[#This Row],[Fecha Vigencia]]-AJ817</f>
        <v>45086.416666666664</v>
      </c>
      <c r="AL817" s="65"/>
      <c r="AM817" s="90"/>
      <c r="AN817" s="65"/>
      <c r="AO817" s="217"/>
      <c r="AP817" s="65"/>
      <c r="AQ817" s="66"/>
      <c r="AR817" s="65"/>
      <c r="AS817" s="65"/>
      <c r="AT817" s="65"/>
      <c r="AU817" s="65"/>
      <c r="AV817" s="65"/>
      <c r="AW817" s="65"/>
      <c r="AX817" s="65"/>
      <c r="AY817" s="118"/>
      <c r="AZ817" s="118"/>
      <c r="BA817" s="118"/>
      <c r="BB817" s="124"/>
    </row>
    <row r="818" spans="1:54" x14ac:dyDescent="0.25">
      <c r="A818" s="117" t="s">
        <v>4032</v>
      </c>
      <c r="B818" s="118" t="s">
        <v>4033</v>
      </c>
      <c r="C818" s="118" t="s">
        <v>4034</v>
      </c>
      <c r="D818" s="119" t="s">
        <v>3696</v>
      </c>
      <c r="E818" s="38" t="s">
        <v>4035</v>
      </c>
      <c r="F818" s="39">
        <v>1</v>
      </c>
      <c r="G818" s="118" t="s">
        <v>16</v>
      </c>
      <c r="H818" s="118" t="s">
        <v>520</v>
      </c>
      <c r="I818" s="206">
        <v>45079.664606481485</v>
      </c>
      <c r="J818" s="38">
        <f>MONTH(Tabla1[[#This Row],[Publicación]])</f>
        <v>6</v>
      </c>
      <c r="K818" s="38">
        <f>YEAR(Tabla1[[#This Row],[Publicación]])</f>
        <v>2023</v>
      </c>
      <c r="L818" s="206">
        <v>45110.625694444447</v>
      </c>
      <c r="M818" s="211">
        <v>45079</v>
      </c>
      <c r="N818" s="207" t="s">
        <v>10</v>
      </c>
      <c r="O818" s="206" t="s">
        <v>25</v>
      </c>
      <c r="P818" s="38"/>
      <c r="Q818" s="147">
        <v>45093.416666666664</v>
      </c>
      <c r="R818" s="147">
        <v>45105.875</v>
      </c>
      <c r="S818" s="148">
        <v>45141.729166666664</v>
      </c>
      <c r="T818" s="38"/>
      <c r="U818" s="65">
        <f>Tabla1[[#This Row],[PPTO]]/(1+'Lista Datos'!$B$1)</f>
        <v>0</v>
      </c>
      <c r="V818" s="64"/>
      <c r="W818" s="191" t="s">
        <v>11</v>
      </c>
      <c r="X818" s="122">
        <v>1000000</v>
      </c>
      <c r="Y818" s="149">
        <v>45201</v>
      </c>
      <c r="Z818" s="123" t="s">
        <v>10</v>
      </c>
      <c r="AA818" s="118" t="s">
        <v>177</v>
      </c>
      <c r="AB818" s="118">
        <v>48</v>
      </c>
      <c r="AC818" s="118"/>
      <c r="AD818" s="118"/>
      <c r="AE818" s="145">
        <f>Tabla1[[#This Row],[Cierre]]+Tabla1[[#This Row],[Vigencia Oferta (días)]]</f>
        <v>45110.625694444447</v>
      </c>
      <c r="AF818" s="65"/>
      <c r="AG818" s="181"/>
      <c r="AH818" s="192">
        <f>Tabla1[[#This Row],[Unidades2]]*Tabla1[[#This Row],[Precio Unitario]]</f>
        <v>0</v>
      </c>
      <c r="AI818" s="126" t="s">
        <v>270</v>
      </c>
      <c r="AJ818" s="149"/>
      <c r="AK818" s="149">
        <f>Tabla1[[#This Row],[Fecha Vigencia]]-AJ818</f>
        <v>45110.625694444447</v>
      </c>
      <c r="AL818" s="65"/>
      <c r="AM818" s="90"/>
      <c r="AN818" s="65"/>
      <c r="AO818" s="217"/>
      <c r="AP818" s="65"/>
      <c r="AQ818" s="66"/>
      <c r="AR818" s="65"/>
      <c r="AS818" s="65"/>
      <c r="AT818" s="65"/>
      <c r="AU818" s="65"/>
      <c r="AV818" s="65"/>
      <c r="AW818" s="65"/>
      <c r="AX818" s="65"/>
      <c r="AY818" s="118"/>
      <c r="AZ818" s="118"/>
      <c r="BA818" s="118"/>
      <c r="BB818" s="124"/>
    </row>
    <row r="819" spans="1:54" x14ac:dyDescent="0.25">
      <c r="A819" s="117" t="s">
        <v>4036</v>
      </c>
      <c r="B819" s="118" t="s">
        <v>4037</v>
      </c>
      <c r="C819" s="118" t="s">
        <v>4038</v>
      </c>
      <c r="D819" s="119" t="s">
        <v>3757</v>
      </c>
      <c r="E819" s="38" t="s">
        <v>4039</v>
      </c>
      <c r="F819" s="39">
        <v>4</v>
      </c>
      <c r="G819" s="118" t="s">
        <v>21</v>
      </c>
      <c r="H819" s="118" t="s">
        <v>106</v>
      </c>
      <c r="I819" s="206">
        <v>45079.732451122698</v>
      </c>
      <c r="J819" s="38">
        <v>45084.819444444402</v>
      </c>
      <c r="K819" s="38">
        <v>45079.732451122698</v>
      </c>
      <c r="L819" s="206">
        <v>45084.819444444402</v>
      </c>
      <c r="M819" s="211">
        <v>45082</v>
      </c>
      <c r="N819" s="207" t="s">
        <v>10</v>
      </c>
      <c r="O819" s="206" t="s">
        <v>27</v>
      </c>
      <c r="P819" s="38"/>
      <c r="Q819" s="121"/>
      <c r="R819" s="121"/>
      <c r="S819" s="19"/>
      <c r="T819" s="38"/>
      <c r="U819" s="65">
        <f>Tabla1[[#This Row],[PPTO]]/(1+'Lista Datos'!$B$1)</f>
        <v>0</v>
      </c>
      <c r="V819" s="64"/>
      <c r="W819" s="191"/>
      <c r="X819" s="122"/>
      <c r="Y819" s="122"/>
      <c r="Z819" s="123"/>
      <c r="AA819" s="118"/>
      <c r="AB819" s="118"/>
      <c r="AC819" s="118"/>
      <c r="AD819" s="118"/>
      <c r="AE819" s="145">
        <f>Tabla1[[#This Row],[Cierre]]+Tabla1[[#This Row],[Vigencia Oferta (días)]]</f>
        <v>45084.819444444402</v>
      </c>
      <c r="AF819" s="65"/>
      <c r="AG819" s="181"/>
      <c r="AH819" s="192">
        <f>Tabla1[[#This Row],[Unidades2]]*Tabla1[[#This Row],[Precio Unitario]]</f>
        <v>0</v>
      </c>
      <c r="AI819" s="126" t="s">
        <v>270</v>
      </c>
      <c r="AJ819" s="149"/>
      <c r="AK819" s="149">
        <f>Tabla1[[#This Row],[Fecha Vigencia]]-AJ819</f>
        <v>45084.819444444402</v>
      </c>
      <c r="AL819" s="65"/>
      <c r="AM819" s="90"/>
      <c r="AN819" s="65"/>
      <c r="AO819" s="217"/>
      <c r="AP819" s="65"/>
      <c r="AQ819" s="66"/>
      <c r="AR819" s="65"/>
      <c r="AS819" s="65"/>
      <c r="AT819" s="65"/>
      <c r="AU819" s="65"/>
      <c r="AV819" s="65"/>
      <c r="AW819" s="65"/>
      <c r="AX819" s="65"/>
      <c r="AY819" s="118"/>
      <c r="AZ819" s="118"/>
      <c r="BA819" s="118"/>
      <c r="BB819" s="124"/>
    </row>
    <row r="820" spans="1:54" x14ac:dyDescent="0.25">
      <c r="A820" s="153" t="s">
        <v>4040</v>
      </c>
      <c r="B820" s="30" t="s">
        <v>4041</v>
      </c>
      <c r="C820" s="30" t="s">
        <v>4042</v>
      </c>
      <c r="D820" s="84" t="s">
        <v>1178</v>
      </c>
      <c r="E820" s="24" t="s">
        <v>4043</v>
      </c>
      <c r="F820" s="25">
        <v>1</v>
      </c>
      <c r="G820" s="30" t="s">
        <v>16</v>
      </c>
      <c r="H820" s="30" t="s">
        <v>520</v>
      </c>
      <c r="I820" s="203">
        <v>45079.675660416702</v>
      </c>
      <c r="J820" s="38">
        <v>45091.666666666701</v>
      </c>
      <c r="K820" s="38">
        <v>45079.675660416702</v>
      </c>
      <c r="L820" s="203">
        <v>45091.666666666701</v>
      </c>
      <c r="M820" s="204">
        <v>45082</v>
      </c>
      <c r="N820" s="205" t="s">
        <v>10</v>
      </c>
      <c r="O820" s="203" t="s">
        <v>25</v>
      </c>
      <c r="P820" s="24"/>
      <c r="Q820" s="160">
        <v>45085.708333333336</v>
      </c>
      <c r="R820" s="160">
        <v>45089.708333333336</v>
      </c>
      <c r="S820" s="161">
        <v>45152.75</v>
      </c>
      <c r="T820" s="210">
        <v>12000000</v>
      </c>
      <c r="U820" s="209">
        <f>Tabla1[[#This Row],[PPTO]]/(1+'Lista Datos'!$B$1)</f>
        <v>10084033.613445379</v>
      </c>
      <c r="V820" s="67"/>
      <c r="W820" s="193" t="s">
        <v>10</v>
      </c>
      <c r="X820" s="127"/>
      <c r="Y820" s="127"/>
      <c r="Z820" s="154" t="s">
        <v>11</v>
      </c>
      <c r="AA820" s="30" t="s">
        <v>177</v>
      </c>
      <c r="AB820" s="30">
        <v>24</v>
      </c>
      <c r="AC820" s="30"/>
      <c r="AD820" s="30"/>
      <c r="AE820" s="145">
        <f>Tabla1[[#This Row],[Cierre]]+Tabla1[[#This Row],[Vigencia Oferta (días)]]</f>
        <v>45091.666666666701</v>
      </c>
      <c r="AF820" s="68"/>
      <c r="AG820" s="157"/>
      <c r="AH820" s="194">
        <f>Tabla1[[#This Row],[Unidades2]]*Tabla1[[#This Row],[Precio Unitario]]</f>
        <v>0</v>
      </c>
      <c r="AI820" s="97" t="s">
        <v>270</v>
      </c>
      <c r="AJ820" s="149"/>
      <c r="AK820" s="149">
        <f>Tabla1[[#This Row],[Fecha Vigencia]]-AJ820</f>
        <v>45091.666666666701</v>
      </c>
      <c r="AL820" s="68"/>
      <c r="AM820" s="91"/>
      <c r="AN820" s="68"/>
      <c r="AO820" s="218"/>
      <c r="AP820" s="68"/>
      <c r="AQ820" s="69"/>
      <c r="AR820" s="68"/>
      <c r="AS820" s="68"/>
      <c r="AT820" s="68"/>
      <c r="AU820" s="68"/>
      <c r="AV820" s="68"/>
      <c r="AW820" s="68"/>
      <c r="AX820" s="68"/>
      <c r="AY820" s="30"/>
      <c r="AZ820" s="30"/>
      <c r="BA820" s="30"/>
      <c r="BB820" s="75"/>
    </row>
    <row r="821" spans="1:54" x14ac:dyDescent="0.25">
      <c r="A821" s="153" t="s">
        <v>4044</v>
      </c>
      <c r="B821" s="30" t="s">
        <v>4045</v>
      </c>
      <c r="C821" s="30" t="s">
        <v>4046</v>
      </c>
      <c r="D821" s="84" t="s">
        <v>4047</v>
      </c>
      <c r="E821" s="24" t="s">
        <v>4048</v>
      </c>
      <c r="F821" s="25">
        <v>1</v>
      </c>
      <c r="G821" s="30" t="s">
        <v>14</v>
      </c>
      <c r="H821" s="30" t="s">
        <v>533</v>
      </c>
      <c r="I821" s="203">
        <v>45079.655474652798</v>
      </c>
      <c r="J821" s="121">
        <v>45085.625</v>
      </c>
      <c r="K821" s="121">
        <v>45079.655474652798</v>
      </c>
      <c r="L821" s="203">
        <v>45085.625</v>
      </c>
      <c r="M821" s="204">
        <v>45082</v>
      </c>
      <c r="N821" s="205" t="s">
        <v>10</v>
      </c>
      <c r="O821" s="203" t="s">
        <v>27</v>
      </c>
      <c r="P821" s="24"/>
      <c r="Q821" s="60"/>
      <c r="R821" s="60"/>
      <c r="S821" s="18"/>
      <c r="T821" s="24"/>
      <c r="U821" s="68">
        <f>Tabla1[[#This Row],[PPTO]]/(1+'Lista Datos'!$B$1)</f>
        <v>0</v>
      </c>
      <c r="V821" s="67"/>
      <c r="W821" s="193"/>
      <c r="X821" s="127"/>
      <c r="Y821" s="127"/>
      <c r="Z821" s="154"/>
      <c r="AA821" s="30"/>
      <c r="AB821" s="30"/>
      <c r="AC821" s="30"/>
      <c r="AD821" s="30"/>
      <c r="AE821" s="145">
        <f>Tabla1[[#This Row],[Cierre]]+Tabla1[[#This Row],[Vigencia Oferta (días)]]</f>
        <v>45085.625</v>
      </c>
      <c r="AF821" s="68"/>
      <c r="AG821" s="157"/>
      <c r="AH821" s="194">
        <f>Tabla1[[#This Row],[Unidades2]]*Tabla1[[#This Row],[Precio Unitario]]</f>
        <v>0</v>
      </c>
      <c r="AI821" s="97" t="s">
        <v>270</v>
      </c>
      <c r="AJ821" s="149"/>
      <c r="AK821" s="149">
        <f>Tabla1[[#This Row],[Fecha Vigencia]]-AJ821</f>
        <v>45085.625</v>
      </c>
      <c r="AL821" s="68"/>
      <c r="AM821" s="91"/>
      <c r="AN821" s="68"/>
      <c r="AO821" s="218"/>
      <c r="AP821" s="68"/>
      <c r="AQ821" s="69"/>
      <c r="AR821" s="68"/>
      <c r="AS821" s="68"/>
      <c r="AT821" s="68"/>
      <c r="AU821" s="68"/>
      <c r="AV821" s="68"/>
      <c r="AW821" s="68"/>
      <c r="AX821" s="68"/>
      <c r="AY821" s="30"/>
      <c r="AZ821" s="30"/>
      <c r="BA821" s="30"/>
      <c r="BB821" s="75"/>
    </row>
    <row r="822" spans="1:54" x14ac:dyDescent="0.25">
      <c r="A822" s="153" t="s">
        <v>4049</v>
      </c>
      <c r="B822" s="30" t="s">
        <v>4050</v>
      </c>
      <c r="C822" s="30" t="s">
        <v>4051</v>
      </c>
      <c r="D822" s="84" t="s">
        <v>847</v>
      </c>
      <c r="E822" s="24" t="s">
        <v>4052</v>
      </c>
      <c r="F822" s="25">
        <v>40</v>
      </c>
      <c r="G822" s="30" t="s">
        <v>21</v>
      </c>
      <c r="H822" s="30" t="s">
        <v>106</v>
      </c>
      <c r="I822" s="203">
        <v>45079.5475693634</v>
      </c>
      <c r="J822" s="121">
        <v>45085.708333333299</v>
      </c>
      <c r="K822" s="121">
        <v>45079.5475693634</v>
      </c>
      <c r="L822" s="203">
        <v>45085.708333333299</v>
      </c>
      <c r="M822" s="204">
        <v>45082</v>
      </c>
      <c r="N822" s="205" t="s">
        <v>10</v>
      </c>
      <c r="O822" s="203" t="s">
        <v>25</v>
      </c>
      <c r="P822" s="24"/>
      <c r="Q822" s="60"/>
      <c r="R822" s="60"/>
      <c r="S822" s="18"/>
      <c r="T822" s="24"/>
      <c r="U822" s="68">
        <f>Tabla1[[#This Row],[PPTO]]/(1+'Lista Datos'!$B$1)</f>
        <v>0</v>
      </c>
      <c r="V822" s="67"/>
      <c r="W822" s="193"/>
      <c r="X822" s="127"/>
      <c r="Y822" s="127"/>
      <c r="Z822" s="154"/>
      <c r="AA822" s="30"/>
      <c r="AB822" s="30"/>
      <c r="AC822" s="30"/>
      <c r="AD822" s="30"/>
      <c r="AE822" s="145">
        <f>Tabla1[[#This Row],[Cierre]]+Tabla1[[#This Row],[Vigencia Oferta (días)]]</f>
        <v>45085.708333333299</v>
      </c>
      <c r="AF822" s="68"/>
      <c r="AG822" s="157"/>
      <c r="AH822" s="194">
        <f>Tabla1[[#This Row],[Unidades2]]*Tabla1[[#This Row],[Precio Unitario]]</f>
        <v>0</v>
      </c>
      <c r="AI822" s="97" t="s">
        <v>270</v>
      </c>
      <c r="AJ822" s="149"/>
      <c r="AK822" s="149">
        <f>Tabla1[[#This Row],[Fecha Vigencia]]-AJ822</f>
        <v>45085.708333333299</v>
      </c>
      <c r="AL822" s="68"/>
      <c r="AM822" s="91"/>
      <c r="AN822" s="68"/>
      <c r="AO822" s="218"/>
      <c r="AP822" s="68"/>
      <c r="AQ822" s="69"/>
      <c r="AR822" s="68"/>
      <c r="AS822" s="68"/>
      <c r="AT822" s="68"/>
      <c r="AU822" s="68"/>
      <c r="AV822" s="68"/>
      <c r="AW822" s="68"/>
      <c r="AX822" s="68"/>
      <c r="AY822" s="30"/>
      <c r="AZ822" s="30"/>
      <c r="BA822" s="30"/>
      <c r="BB822" s="75"/>
    </row>
    <row r="823" spans="1:54" x14ac:dyDescent="0.25">
      <c r="A823" s="117" t="s">
        <v>4053</v>
      </c>
      <c r="B823" s="118" t="s">
        <v>4054</v>
      </c>
      <c r="C823" s="118" t="s">
        <v>4055</v>
      </c>
      <c r="D823" s="119" t="s">
        <v>943</v>
      </c>
      <c r="E823" s="38" t="s">
        <v>4056</v>
      </c>
      <c r="F823" s="39">
        <v>8</v>
      </c>
      <c r="G823" s="118" t="s">
        <v>14</v>
      </c>
      <c r="H823" s="118" t="s">
        <v>145</v>
      </c>
      <c r="I823" s="206">
        <v>45079.472947766197</v>
      </c>
      <c r="J823" s="121">
        <v>45085.545833333301</v>
      </c>
      <c r="K823" s="121">
        <v>45079.472947766197</v>
      </c>
      <c r="L823" s="206">
        <v>45085.545833333301</v>
      </c>
      <c r="M823" s="211">
        <v>45082</v>
      </c>
      <c r="N823" s="207" t="s">
        <v>10</v>
      </c>
      <c r="O823" s="206" t="s">
        <v>27</v>
      </c>
      <c r="P823" s="38"/>
      <c r="Q823" s="121"/>
      <c r="R823" s="121"/>
      <c r="S823" s="19"/>
      <c r="T823" s="38"/>
      <c r="U823" s="65">
        <f>Tabla1[[#This Row],[PPTO]]/(1+'Lista Datos'!$B$1)</f>
        <v>0</v>
      </c>
      <c r="V823" s="64"/>
      <c r="W823" s="191"/>
      <c r="X823" s="122"/>
      <c r="Y823" s="122"/>
      <c r="Z823" s="123"/>
      <c r="AA823" s="118"/>
      <c r="AB823" s="118"/>
      <c r="AC823" s="118"/>
      <c r="AD823" s="118"/>
      <c r="AE823" s="145">
        <f>Tabla1[[#This Row],[Cierre]]+Tabla1[[#This Row],[Vigencia Oferta (días)]]</f>
        <v>45085.545833333301</v>
      </c>
      <c r="AF823" s="65"/>
      <c r="AG823" s="181"/>
      <c r="AH823" s="192">
        <f>Tabla1[[#This Row],[Unidades2]]*Tabla1[[#This Row],[Precio Unitario]]</f>
        <v>0</v>
      </c>
      <c r="AI823" s="126" t="s">
        <v>270</v>
      </c>
      <c r="AJ823" s="149"/>
      <c r="AK823" s="149">
        <f>Tabla1[[#This Row],[Fecha Vigencia]]-AJ823</f>
        <v>45085.545833333301</v>
      </c>
      <c r="AL823" s="65"/>
      <c r="AM823" s="90"/>
      <c r="AN823" s="65"/>
      <c r="AO823" s="217"/>
      <c r="AP823" s="65"/>
      <c r="AQ823" s="66"/>
      <c r="AR823" s="65"/>
      <c r="AS823" s="65"/>
      <c r="AT823" s="65"/>
      <c r="AU823" s="65"/>
      <c r="AV823" s="65"/>
      <c r="AW823" s="65"/>
      <c r="AX823" s="65"/>
      <c r="AY823" s="118"/>
      <c r="AZ823" s="118"/>
      <c r="BA823" s="118"/>
      <c r="BB823" s="124"/>
    </row>
    <row r="824" spans="1:54" x14ac:dyDescent="0.25">
      <c r="A824" s="117" t="s">
        <v>4057</v>
      </c>
      <c r="B824" s="118" t="s">
        <v>4058</v>
      </c>
      <c r="C824" s="118" t="s">
        <v>4059</v>
      </c>
      <c r="D824" s="119" t="s">
        <v>615</v>
      </c>
      <c r="E824" s="38" t="s">
        <v>4060</v>
      </c>
      <c r="F824" s="39">
        <v>250</v>
      </c>
      <c r="G824" s="118" t="s">
        <v>21</v>
      </c>
      <c r="H824" s="118" t="s">
        <v>106</v>
      </c>
      <c r="I824" s="206">
        <v>45082.412921261603</v>
      </c>
      <c r="J824" s="38">
        <v>45089.625</v>
      </c>
      <c r="K824" s="38">
        <v>45082.412921261603</v>
      </c>
      <c r="L824" s="206">
        <v>45089.625</v>
      </c>
      <c r="M824" s="211">
        <v>45083</v>
      </c>
      <c r="N824" s="207" t="s">
        <v>10</v>
      </c>
      <c r="O824" s="206" t="s">
        <v>34</v>
      </c>
      <c r="P824" s="38"/>
      <c r="Q824" s="121"/>
      <c r="R824" s="121"/>
      <c r="S824" s="19"/>
      <c r="T824" s="38"/>
      <c r="U824" s="65">
        <f>Tabla1[[#This Row],[PPTO]]/(1+'Lista Datos'!$B$1)</f>
        <v>0</v>
      </c>
      <c r="V824" s="64"/>
      <c r="W824" s="191"/>
      <c r="X824" s="122"/>
      <c r="Y824" s="122"/>
      <c r="Z824" s="123"/>
      <c r="AA824" s="118"/>
      <c r="AB824" s="118"/>
      <c r="AC824" s="118"/>
      <c r="AD824" s="118"/>
      <c r="AE824" s="145">
        <f>Tabla1[[#This Row],[Cierre]]+Tabla1[[#This Row],[Vigencia Oferta (días)]]</f>
        <v>45089.625</v>
      </c>
      <c r="AF824" s="65"/>
      <c r="AG824" s="181"/>
      <c r="AH824" s="192">
        <f>Tabla1[[#This Row],[Unidades2]]*Tabla1[[#This Row],[Precio Unitario]]</f>
        <v>0</v>
      </c>
      <c r="AI824" s="126" t="s">
        <v>270</v>
      </c>
      <c r="AJ824" s="149"/>
      <c r="AK824" s="149">
        <f>Tabla1[[#This Row],[Fecha Vigencia]]-AJ824</f>
        <v>45089.625</v>
      </c>
      <c r="AL824" s="65"/>
      <c r="AM824" s="90"/>
      <c r="AN824" s="65"/>
      <c r="AO824" s="217"/>
      <c r="AP824" s="65"/>
      <c r="AQ824" s="66"/>
      <c r="AR824" s="65"/>
      <c r="AS824" s="65"/>
      <c r="AT824" s="65"/>
      <c r="AU824" s="65"/>
      <c r="AV824" s="65"/>
      <c r="AW824" s="65"/>
      <c r="AX824" s="65"/>
      <c r="AY824" s="118"/>
      <c r="AZ824" s="118"/>
      <c r="BA824" s="118"/>
      <c r="BB824" s="124"/>
    </row>
    <row r="825" spans="1:54" x14ac:dyDescent="0.25">
      <c r="A825" s="117" t="s">
        <v>4061</v>
      </c>
      <c r="B825" s="118" t="s">
        <v>4062</v>
      </c>
      <c r="C825" s="118" t="s">
        <v>4063</v>
      </c>
      <c r="D825" s="119" t="s">
        <v>1641</v>
      </c>
      <c r="E825" s="38" t="s">
        <v>4064</v>
      </c>
      <c r="F825" s="39">
        <v>50</v>
      </c>
      <c r="G825" s="118" t="s">
        <v>14</v>
      </c>
      <c r="H825" s="118" t="s">
        <v>1596</v>
      </c>
      <c r="I825" s="206">
        <v>45083.718804317097</v>
      </c>
      <c r="J825" s="38">
        <v>45096.625</v>
      </c>
      <c r="K825" s="38">
        <v>45083.718804317097</v>
      </c>
      <c r="L825" s="206">
        <v>45096.625</v>
      </c>
      <c r="M825" s="211">
        <v>45084</v>
      </c>
      <c r="N825" s="207" t="s">
        <v>10</v>
      </c>
      <c r="O825" s="206" t="s">
        <v>25</v>
      </c>
      <c r="P825" s="38"/>
      <c r="Q825" s="147">
        <v>45090.5</v>
      </c>
      <c r="R825" s="147">
        <v>45093.666666666664</v>
      </c>
      <c r="S825" s="148">
        <v>45169.5</v>
      </c>
      <c r="T825" s="38"/>
      <c r="U825" s="65">
        <f>Tabla1[[#This Row],[PPTO]]/(1+'Lista Datos'!$B$1)</f>
        <v>0</v>
      </c>
      <c r="V825" s="64"/>
      <c r="W825" s="191" t="s">
        <v>10</v>
      </c>
      <c r="X825" s="122"/>
      <c r="Y825" s="122"/>
      <c r="Z825" s="123" t="s">
        <v>10</v>
      </c>
      <c r="AA825" s="118" t="s">
        <v>177</v>
      </c>
      <c r="AB825" s="118">
        <v>24</v>
      </c>
      <c r="AC825" s="118"/>
      <c r="AD825" s="118"/>
      <c r="AE825" s="145">
        <f>Tabla1[[#This Row],[Cierre]]+Tabla1[[#This Row],[Vigencia Oferta (días)]]</f>
        <v>45096.625</v>
      </c>
      <c r="AF825" s="65"/>
      <c r="AG825" s="181"/>
      <c r="AH825" s="192">
        <f>Tabla1[[#This Row],[Unidades2]]*Tabla1[[#This Row],[Precio Unitario]]</f>
        <v>0</v>
      </c>
      <c r="AI825" s="126" t="s">
        <v>270</v>
      </c>
      <c r="AJ825" s="149"/>
      <c r="AK825" s="149">
        <f>Tabla1[[#This Row],[Fecha Vigencia]]-AJ825</f>
        <v>45096.625</v>
      </c>
      <c r="AL825" s="65"/>
      <c r="AM825" s="90"/>
      <c r="AN825" s="65"/>
      <c r="AO825" s="217"/>
      <c r="AP825" s="65"/>
      <c r="AQ825" s="66"/>
      <c r="AR825" s="65"/>
      <c r="AS825" s="65"/>
      <c r="AT825" s="65"/>
      <c r="AU825" s="65"/>
      <c r="AV825" s="65"/>
      <c r="AW825" s="65"/>
      <c r="AX825" s="65"/>
      <c r="AY825" s="118"/>
      <c r="AZ825" s="118"/>
      <c r="BA825" s="118"/>
      <c r="BB825" s="124"/>
    </row>
    <row r="826" spans="1:54" x14ac:dyDescent="0.25">
      <c r="A826" s="153" t="s">
        <v>4065</v>
      </c>
      <c r="B826" s="30" t="s">
        <v>4066</v>
      </c>
      <c r="C826" s="30" t="s">
        <v>4067</v>
      </c>
      <c r="D826" s="84" t="s">
        <v>4068</v>
      </c>
      <c r="E826" s="24" t="s">
        <v>4069</v>
      </c>
      <c r="F826" s="25">
        <v>20</v>
      </c>
      <c r="G826" s="30" t="s">
        <v>21</v>
      </c>
      <c r="H826" s="30" t="s">
        <v>106</v>
      </c>
      <c r="I826" s="203">
        <v>45083.704898148098</v>
      </c>
      <c r="J826" s="38">
        <v>45093.416666666701</v>
      </c>
      <c r="K826" s="38">
        <v>45083.704898148098</v>
      </c>
      <c r="L826" s="203">
        <v>45093.416666666701</v>
      </c>
      <c r="M826" s="204">
        <v>45084</v>
      </c>
      <c r="N826" s="205" t="s">
        <v>10</v>
      </c>
      <c r="O826" s="203" t="s">
        <v>25</v>
      </c>
      <c r="P826" s="24"/>
      <c r="Q826" s="160">
        <v>45085.698611111111</v>
      </c>
      <c r="R826" s="160">
        <v>45086.458333333336</v>
      </c>
      <c r="S826" s="161">
        <v>45107.727777777778</v>
      </c>
      <c r="T826" s="210">
        <v>20000000</v>
      </c>
      <c r="U826" s="209">
        <f>Tabla1[[#This Row],[PPTO]]/(1+'Lista Datos'!$B$1)</f>
        <v>16806722.68907563</v>
      </c>
      <c r="V826" s="67"/>
      <c r="W826" s="193" t="s">
        <v>10</v>
      </c>
      <c r="X826" s="127"/>
      <c r="Y826" s="127"/>
      <c r="Z826" s="154" t="s">
        <v>10</v>
      </c>
      <c r="AA826" s="30" t="s">
        <v>512</v>
      </c>
      <c r="AB826" s="30"/>
      <c r="AC826" s="30"/>
      <c r="AD826" s="30"/>
      <c r="AE826" s="145">
        <f>Tabla1[[#This Row],[Cierre]]+Tabla1[[#This Row],[Vigencia Oferta (días)]]</f>
        <v>45093.416666666701</v>
      </c>
      <c r="AF826" s="68"/>
      <c r="AG826" s="157"/>
      <c r="AH826" s="194">
        <f>Tabla1[[#This Row],[Unidades2]]*Tabla1[[#This Row],[Precio Unitario]]</f>
        <v>0</v>
      </c>
      <c r="AI826" s="97" t="s">
        <v>270</v>
      </c>
      <c r="AJ826" s="149"/>
      <c r="AK826" s="149">
        <f>Tabla1[[#This Row],[Fecha Vigencia]]-AJ826</f>
        <v>45093.416666666701</v>
      </c>
      <c r="AL826" s="68"/>
      <c r="AM826" s="91"/>
      <c r="AN826" s="68"/>
      <c r="AO826" s="218"/>
      <c r="AP826" s="68"/>
      <c r="AQ826" s="69"/>
      <c r="AR826" s="68"/>
      <c r="AS826" s="68"/>
      <c r="AT826" s="68"/>
      <c r="AU826" s="68"/>
      <c r="AV826" s="68"/>
      <c r="AW826" s="68"/>
      <c r="AX826" s="68"/>
      <c r="AY826" s="30"/>
      <c r="AZ826" s="30"/>
      <c r="BA826" s="30"/>
      <c r="BB826" s="75"/>
    </row>
    <row r="827" spans="1:54" x14ac:dyDescent="0.25">
      <c r="A827" s="117" t="s">
        <v>4070</v>
      </c>
      <c r="B827" s="118" t="s">
        <v>4071</v>
      </c>
      <c r="C827" s="118" t="s">
        <v>2470</v>
      </c>
      <c r="D827" s="119" t="s">
        <v>2471</v>
      </c>
      <c r="E827" s="38" t="s">
        <v>4072</v>
      </c>
      <c r="F827" s="39">
        <v>48</v>
      </c>
      <c r="G827" s="118" t="s">
        <v>20</v>
      </c>
      <c r="H827" s="118" t="s">
        <v>106</v>
      </c>
      <c r="I827" s="206">
        <v>45083.497667557902</v>
      </c>
      <c r="J827" s="121">
        <v>45093.5</v>
      </c>
      <c r="K827" s="121">
        <v>45083.497667557902</v>
      </c>
      <c r="L827" s="206">
        <v>45093.5</v>
      </c>
      <c r="M827" s="211">
        <v>45084</v>
      </c>
      <c r="N827" s="207" t="s">
        <v>10</v>
      </c>
      <c r="O827" s="206" t="s">
        <v>26</v>
      </c>
      <c r="P827" s="38" t="s">
        <v>11</v>
      </c>
      <c r="Q827" s="147">
        <v>45086.666666666664</v>
      </c>
      <c r="R827" s="147">
        <v>45089.867361111108</v>
      </c>
      <c r="S827" s="148">
        <v>45134.511805555558</v>
      </c>
      <c r="T827" s="215">
        <v>48000000</v>
      </c>
      <c r="U827" s="214">
        <f>Tabla1[[#This Row],[PPTO]]/(1+'Lista Datos'!$B$1)</f>
        <v>40336134.453781515</v>
      </c>
      <c r="V827" s="64">
        <v>30</v>
      </c>
      <c r="W827" s="191" t="s">
        <v>10</v>
      </c>
      <c r="X827" s="122"/>
      <c r="Y827" s="122"/>
      <c r="Z827" s="123" t="s">
        <v>10</v>
      </c>
      <c r="AA827" s="118" t="s">
        <v>177</v>
      </c>
      <c r="AB827" s="118">
        <v>24</v>
      </c>
      <c r="AC827" s="118" t="s">
        <v>10</v>
      </c>
      <c r="AD827" s="118">
        <v>120</v>
      </c>
      <c r="AE827" s="145">
        <f>Tabla1[[#This Row],[Cierre]]+Tabla1[[#This Row],[Vigencia Oferta (días)]]</f>
        <v>45213.5</v>
      </c>
      <c r="AF827" s="65"/>
      <c r="AG827" s="181"/>
      <c r="AH827" s="192">
        <f>Tabla1[[#This Row],[Unidades2]]*Tabla1[[#This Row],[Precio Unitario]]</f>
        <v>0</v>
      </c>
      <c r="AI827" s="126" t="s">
        <v>320</v>
      </c>
      <c r="AJ827" s="149"/>
      <c r="AK827" s="149">
        <f>Tabla1[[#This Row],[Fecha Vigencia]]-AJ827</f>
        <v>45213.5</v>
      </c>
      <c r="AL827" s="65"/>
      <c r="AM827" s="90"/>
      <c r="AN827" s="65"/>
      <c r="AO827" s="217"/>
      <c r="AP827" s="65"/>
      <c r="AQ827" s="66"/>
      <c r="AR827" s="65"/>
      <c r="AS827" s="65"/>
      <c r="AT827" s="65"/>
      <c r="AU827" s="65"/>
      <c r="AV827" s="65"/>
      <c r="AW827" s="65"/>
      <c r="AX827" s="65"/>
      <c r="AY827" s="118"/>
      <c r="AZ827" s="118"/>
      <c r="BA827" s="118"/>
      <c r="BB827" s="124"/>
    </row>
    <row r="828" spans="1:54" x14ac:dyDescent="0.25">
      <c r="A828" s="153" t="s">
        <v>4073</v>
      </c>
      <c r="B828" s="30" t="s">
        <v>4074</v>
      </c>
      <c r="C828" s="30" t="s">
        <v>4075</v>
      </c>
      <c r="D828" s="84" t="s">
        <v>1103</v>
      </c>
      <c r="E828" s="24" t="s">
        <v>4074</v>
      </c>
      <c r="F828" s="25">
        <v>1</v>
      </c>
      <c r="G828" s="30" t="s">
        <v>14</v>
      </c>
      <c r="H828" s="30" t="s">
        <v>1983</v>
      </c>
      <c r="I828" s="203">
        <v>45084.69903935185</v>
      </c>
      <c r="J828" s="38">
        <v>45090.416666666701</v>
      </c>
      <c r="K828" s="38">
        <v>45084.699038622697</v>
      </c>
      <c r="L828" s="203">
        <v>45090.416666666701</v>
      </c>
      <c r="M828" s="204">
        <v>45085</v>
      </c>
      <c r="N828" s="205" t="s">
        <v>10</v>
      </c>
      <c r="O828" s="203" t="s">
        <v>29</v>
      </c>
      <c r="P828" s="24"/>
      <c r="Q828" s="160">
        <v>45087.833333333336</v>
      </c>
      <c r="R828" s="160">
        <v>45089.708333333336</v>
      </c>
      <c r="S828" s="161">
        <v>45105.708333333336</v>
      </c>
      <c r="T828" s="24"/>
      <c r="U828" s="68">
        <f>Tabla1[[#This Row],[PPTO]]/(1+'Lista Datos'!$B$1)</f>
        <v>0</v>
      </c>
      <c r="V828" s="67"/>
      <c r="W828" s="193" t="s">
        <v>10</v>
      </c>
      <c r="X828" s="127"/>
      <c r="Y828" s="127"/>
      <c r="Z828" s="154" t="s">
        <v>10</v>
      </c>
      <c r="AA828" s="30" t="s">
        <v>512</v>
      </c>
      <c r="AB828" s="30"/>
      <c r="AC828" s="30"/>
      <c r="AD828" s="30"/>
      <c r="AE828" s="145">
        <f>Tabla1[[#This Row],[Cierre]]+Tabla1[[#This Row],[Vigencia Oferta (días)]]</f>
        <v>45090.416666666701</v>
      </c>
      <c r="AF828" s="68"/>
      <c r="AG828" s="157"/>
      <c r="AH828" s="194">
        <f>Tabla1[[#This Row],[Unidades2]]*Tabla1[[#This Row],[Precio Unitario]]</f>
        <v>0</v>
      </c>
      <c r="AI828" s="97" t="s">
        <v>270</v>
      </c>
      <c r="AJ828" s="149"/>
      <c r="AK828" s="149">
        <f>Tabla1[[#This Row],[Fecha Vigencia]]-AJ828</f>
        <v>45090.416666666701</v>
      </c>
      <c r="AL828" s="68"/>
      <c r="AM828" s="91"/>
      <c r="AN828" s="68"/>
      <c r="AO828" s="218"/>
      <c r="AP828" s="68"/>
      <c r="AQ828" s="69"/>
      <c r="AR828" s="68"/>
      <c r="AS828" s="68"/>
      <c r="AT828" s="68"/>
      <c r="AU828" s="68"/>
      <c r="AV828" s="68"/>
      <c r="AW828" s="68"/>
      <c r="AX828" s="68"/>
      <c r="AY828" s="30"/>
      <c r="AZ828" s="30"/>
      <c r="BA828" s="30"/>
      <c r="BB828" s="75"/>
    </row>
    <row r="829" spans="1:54" x14ac:dyDescent="0.25">
      <c r="A829" s="153" t="s">
        <v>4076</v>
      </c>
      <c r="B829" s="30" t="s">
        <v>4077</v>
      </c>
      <c r="C829" s="30" t="s">
        <v>4078</v>
      </c>
      <c r="D829" s="84" t="s">
        <v>1802</v>
      </c>
      <c r="E829" s="24" t="s">
        <v>4079</v>
      </c>
      <c r="F829" s="25">
        <v>420000</v>
      </c>
      <c r="G829" s="30" t="s">
        <v>16</v>
      </c>
      <c r="H829" s="30" t="s">
        <v>520</v>
      </c>
      <c r="I829" s="203">
        <v>45084.699036689803</v>
      </c>
      <c r="J829" s="121">
        <v>45104.666666666701</v>
      </c>
      <c r="K829" s="121">
        <v>45084.699036689803</v>
      </c>
      <c r="L829" s="203">
        <v>45104.666666666701</v>
      </c>
      <c r="M829" s="204">
        <v>45085</v>
      </c>
      <c r="N829" s="205" t="s">
        <v>11</v>
      </c>
      <c r="O829" s="203"/>
      <c r="P829" s="24"/>
      <c r="Q829" s="160">
        <v>45089.999305555553</v>
      </c>
      <c r="R829" s="160">
        <v>45096.729166666664</v>
      </c>
      <c r="S829" s="161">
        <v>45132.729166666664</v>
      </c>
      <c r="T829" s="210">
        <v>146706897</v>
      </c>
      <c r="U829" s="209">
        <f>Tabla1[[#This Row],[PPTO]]/(1+'Lista Datos'!$B$1)</f>
        <v>123283106.72268908</v>
      </c>
      <c r="V829" s="67"/>
      <c r="W829" s="193" t="s">
        <v>11</v>
      </c>
      <c r="X829" s="127">
        <v>200000</v>
      </c>
      <c r="Y829" s="104">
        <v>45284</v>
      </c>
      <c r="Z829" s="154" t="s">
        <v>10</v>
      </c>
      <c r="AA829" s="30" t="s">
        <v>177</v>
      </c>
      <c r="AB829" s="30">
        <v>24</v>
      </c>
      <c r="AC829" s="30"/>
      <c r="AD829" s="30"/>
      <c r="AE829" s="145">
        <f>Tabla1[[#This Row],[Cierre]]+Tabla1[[#This Row],[Vigencia Oferta (días)]]</f>
        <v>45104.666666666701</v>
      </c>
      <c r="AF829" s="68"/>
      <c r="AG829" s="157"/>
      <c r="AH829" s="194">
        <f>Tabla1[[#This Row],[Unidades2]]*Tabla1[[#This Row],[Precio Unitario]]</f>
        <v>0</v>
      </c>
      <c r="AI829" s="97" t="s">
        <v>44</v>
      </c>
      <c r="AJ829" s="149">
        <v>45148</v>
      </c>
      <c r="AK829" s="149">
        <f>Tabla1[[#This Row],[Fecha Vigencia]]-AJ829</f>
        <v>-43.333333333299379</v>
      </c>
      <c r="AL829" s="68" t="s">
        <v>45</v>
      </c>
      <c r="AM829" s="91">
        <v>140700000</v>
      </c>
      <c r="AN829" s="157">
        <v>45148</v>
      </c>
      <c r="AO829" s="218">
        <v>45879</v>
      </c>
      <c r="AP829" s="68" t="s">
        <v>177</v>
      </c>
      <c r="AQ829" s="69"/>
      <c r="AR829" s="68"/>
      <c r="AS829" s="68"/>
      <c r="AT829" s="68"/>
      <c r="AU829" s="68"/>
      <c r="AV829" s="68"/>
      <c r="AW829" s="68"/>
      <c r="AX829" s="68"/>
      <c r="AY829" s="30"/>
      <c r="AZ829" s="30"/>
      <c r="BA829" s="30"/>
      <c r="BB829" s="75"/>
    </row>
    <row r="830" spans="1:54" x14ac:dyDescent="0.25">
      <c r="A830" s="117" t="s">
        <v>4080</v>
      </c>
      <c r="B830" s="118" t="s">
        <v>4081</v>
      </c>
      <c r="C830" s="118" t="s">
        <v>4082</v>
      </c>
      <c r="D830" s="119" t="s">
        <v>212</v>
      </c>
      <c r="E830" s="38" t="s">
        <v>4083</v>
      </c>
      <c r="F830" s="39">
        <v>1</v>
      </c>
      <c r="G830" s="118" t="s">
        <v>17</v>
      </c>
      <c r="H830" s="118" t="s">
        <v>213</v>
      </c>
      <c r="I830" s="206">
        <v>45084.628245023101</v>
      </c>
      <c r="J830" s="121">
        <v>45089.645138888904</v>
      </c>
      <c r="K830" s="121">
        <v>45084.628245023101</v>
      </c>
      <c r="L830" s="206">
        <v>45089.645138888904</v>
      </c>
      <c r="M830" s="211">
        <v>45085</v>
      </c>
      <c r="N830" s="207" t="s">
        <v>10</v>
      </c>
      <c r="O830" s="206" t="s">
        <v>25</v>
      </c>
      <c r="P830" s="38"/>
      <c r="Q830" s="121" t="s">
        <v>4084</v>
      </c>
      <c r="R830" s="147">
        <v>45086.645138888889</v>
      </c>
      <c r="S830" s="148">
        <v>45149.645138888889</v>
      </c>
      <c r="T830" s="38"/>
      <c r="U830" s="65">
        <f>Tabla1[[#This Row],[PPTO]]/(1+'Lista Datos'!$B$1)</f>
        <v>0</v>
      </c>
      <c r="V830" s="64"/>
      <c r="W830" s="191" t="s">
        <v>10</v>
      </c>
      <c r="X830" s="122"/>
      <c r="Y830" s="122"/>
      <c r="Z830" s="123" t="s">
        <v>10</v>
      </c>
      <c r="AA830" s="118" t="s">
        <v>512</v>
      </c>
      <c r="AB830" s="118"/>
      <c r="AC830" s="118"/>
      <c r="AD830" s="118"/>
      <c r="AE830" s="145">
        <f>Tabla1[[#This Row],[Cierre]]+Tabla1[[#This Row],[Vigencia Oferta (días)]]</f>
        <v>45089.645138888904</v>
      </c>
      <c r="AF830" s="65"/>
      <c r="AG830" s="181"/>
      <c r="AH830" s="192">
        <f>Tabla1[[#This Row],[Unidades2]]*Tabla1[[#This Row],[Precio Unitario]]</f>
        <v>0</v>
      </c>
      <c r="AI830" s="126" t="s">
        <v>270</v>
      </c>
      <c r="AJ830" s="149"/>
      <c r="AK830" s="149">
        <f>Tabla1[[#This Row],[Fecha Vigencia]]-AJ830</f>
        <v>45089.645138888904</v>
      </c>
      <c r="AL830" s="65"/>
      <c r="AM830" s="90"/>
      <c r="AN830" s="65"/>
      <c r="AO830" s="217"/>
      <c r="AP830" s="65"/>
      <c r="AQ830" s="66"/>
      <c r="AR830" s="65"/>
      <c r="AS830" s="65"/>
      <c r="AT830" s="65"/>
      <c r="AU830" s="65"/>
      <c r="AV830" s="65"/>
      <c r="AW830" s="65"/>
      <c r="AX830" s="65"/>
      <c r="AY830" s="118"/>
      <c r="AZ830" s="118"/>
      <c r="BA830" s="118"/>
      <c r="BB830" s="124"/>
    </row>
    <row r="831" spans="1:54" x14ac:dyDescent="0.25">
      <c r="A831" s="153" t="s">
        <v>4085</v>
      </c>
      <c r="B831" s="30" t="s">
        <v>4086</v>
      </c>
      <c r="C831" s="30" t="s">
        <v>4087</v>
      </c>
      <c r="D831" s="84" t="s">
        <v>3799</v>
      </c>
      <c r="E831" s="24" t="s">
        <v>4088</v>
      </c>
      <c r="F831" s="25">
        <v>6</v>
      </c>
      <c r="G831" s="30" t="s">
        <v>14</v>
      </c>
      <c r="H831" s="30" t="s">
        <v>123</v>
      </c>
      <c r="I831" s="203">
        <v>45085.6695076736</v>
      </c>
      <c r="J831" s="38">
        <v>45091.3840277778</v>
      </c>
      <c r="K831" s="38">
        <v>45085.6695076736</v>
      </c>
      <c r="L831" s="203">
        <v>45091.3840277778</v>
      </c>
      <c r="M831" s="204">
        <v>45086</v>
      </c>
      <c r="N831" s="205" t="s">
        <v>10</v>
      </c>
      <c r="O831" s="203" t="s">
        <v>27</v>
      </c>
      <c r="P831" s="24"/>
      <c r="Q831" s="60"/>
      <c r="R831" s="60"/>
      <c r="S831" s="18"/>
      <c r="T831" s="24"/>
      <c r="U831" s="68">
        <f>Tabla1[[#This Row],[PPTO]]/(1+'Lista Datos'!$B$1)</f>
        <v>0</v>
      </c>
      <c r="V831" s="67"/>
      <c r="W831" s="193"/>
      <c r="X831" s="127"/>
      <c r="Y831" s="127"/>
      <c r="Z831" s="154"/>
      <c r="AA831" s="30"/>
      <c r="AB831" s="30"/>
      <c r="AC831" s="30"/>
      <c r="AD831" s="30"/>
      <c r="AE831" s="145">
        <f>Tabla1[[#This Row],[Cierre]]+Tabla1[[#This Row],[Vigencia Oferta (días)]]</f>
        <v>45091.3840277778</v>
      </c>
      <c r="AF831" s="68"/>
      <c r="AG831" s="157"/>
      <c r="AH831" s="194">
        <f>Tabla1[[#This Row],[Unidades2]]*Tabla1[[#This Row],[Precio Unitario]]</f>
        <v>0</v>
      </c>
      <c r="AI831" s="97" t="s">
        <v>270</v>
      </c>
      <c r="AJ831" s="149"/>
      <c r="AK831" s="149">
        <f>Tabla1[[#This Row],[Fecha Vigencia]]-AJ831</f>
        <v>45091.3840277778</v>
      </c>
      <c r="AL831" s="68"/>
      <c r="AM831" s="91"/>
      <c r="AN831" s="68"/>
      <c r="AO831" s="218"/>
      <c r="AP831" s="68"/>
      <c r="AQ831" s="69"/>
      <c r="AR831" s="68"/>
      <c r="AS831" s="68"/>
      <c r="AT831" s="68"/>
      <c r="AU831" s="68"/>
      <c r="AV831" s="68"/>
      <c r="AW831" s="68"/>
      <c r="AX831" s="68"/>
      <c r="AY831" s="30"/>
      <c r="AZ831" s="30"/>
      <c r="BA831" s="30"/>
      <c r="BB831" s="75"/>
    </row>
    <row r="832" spans="1:54" x14ac:dyDescent="0.25">
      <c r="A832" s="117" t="s">
        <v>4089</v>
      </c>
      <c r="B832" s="118" t="s">
        <v>4090</v>
      </c>
      <c r="C832" s="118" t="s">
        <v>4091</v>
      </c>
      <c r="D832" s="119" t="s">
        <v>1243</v>
      </c>
      <c r="E832" s="38" t="s">
        <v>4092</v>
      </c>
      <c r="F832" s="39">
        <v>2</v>
      </c>
      <c r="G832" s="118" t="s">
        <v>21</v>
      </c>
      <c r="H832" s="118" t="s">
        <v>106</v>
      </c>
      <c r="I832" s="206">
        <v>45085.594893715301</v>
      </c>
      <c r="J832" s="121">
        <v>45091.416666666701</v>
      </c>
      <c r="K832" s="121">
        <v>45085.594893715301</v>
      </c>
      <c r="L832" s="206">
        <v>45091.416666666701</v>
      </c>
      <c r="M832" s="211">
        <v>45086</v>
      </c>
      <c r="N832" s="207" t="s">
        <v>10</v>
      </c>
      <c r="O832" s="206" t="s">
        <v>27</v>
      </c>
      <c r="P832" s="38"/>
      <c r="Q832" s="121"/>
      <c r="R832" s="121"/>
      <c r="S832" s="19"/>
      <c r="T832" s="38"/>
      <c r="U832" s="65">
        <f>Tabla1[[#This Row],[PPTO]]/(1+'Lista Datos'!$B$1)</f>
        <v>0</v>
      </c>
      <c r="V832" s="64"/>
      <c r="W832" s="191"/>
      <c r="X832" s="122"/>
      <c r="Y832" s="122"/>
      <c r="Z832" s="123"/>
      <c r="AA832" s="118"/>
      <c r="AB832" s="118"/>
      <c r="AC832" s="118"/>
      <c r="AD832" s="118"/>
      <c r="AE832" s="145">
        <f>Tabla1[[#This Row],[Cierre]]+Tabla1[[#This Row],[Vigencia Oferta (días)]]</f>
        <v>45091.416666666701</v>
      </c>
      <c r="AF832" s="65"/>
      <c r="AG832" s="181"/>
      <c r="AH832" s="192">
        <f>Tabla1[[#This Row],[Unidades2]]*Tabla1[[#This Row],[Precio Unitario]]</f>
        <v>0</v>
      </c>
      <c r="AI832" s="126" t="s">
        <v>270</v>
      </c>
      <c r="AJ832" s="149"/>
      <c r="AK832" s="149">
        <f>Tabla1[[#This Row],[Fecha Vigencia]]-AJ832</f>
        <v>45091.416666666701</v>
      </c>
      <c r="AL832" s="65"/>
      <c r="AM832" s="90"/>
      <c r="AN832" s="65"/>
      <c r="AO832" s="217"/>
      <c r="AP832" s="65"/>
      <c r="AQ832" s="66"/>
      <c r="AR832" s="65"/>
      <c r="AS832" s="65"/>
      <c r="AT832" s="65"/>
      <c r="AU832" s="65"/>
      <c r="AV832" s="65"/>
      <c r="AW832" s="65"/>
      <c r="AX832" s="65"/>
      <c r="AY832" s="118"/>
      <c r="AZ832" s="118"/>
      <c r="BA832" s="118"/>
      <c r="BB832" s="124"/>
    </row>
    <row r="833" spans="1:54" x14ac:dyDescent="0.25">
      <c r="A833" s="117" t="s">
        <v>4093</v>
      </c>
      <c r="B833" s="118" t="s">
        <v>4094</v>
      </c>
      <c r="C833" s="118" t="s">
        <v>4094</v>
      </c>
      <c r="D833" s="119" t="s">
        <v>546</v>
      </c>
      <c r="E833" s="38" t="s">
        <v>4095</v>
      </c>
      <c r="F833" s="39">
        <v>12</v>
      </c>
      <c r="G833" s="118" t="s">
        <v>16</v>
      </c>
      <c r="H833" s="118" t="s">
        <v>123</v>
      </c>
      <c r="I833" s="206">
        <v>45085.571658217603</v>
      </c>
      <c r="J833" s="38">
        <v>45096.731249999997</v>
      </c>
      <c r="K833" s="38">
        <v>45085.571658217603</v>
      </c>
      <c r="L833" s="206">
        <v>45096.731249999997</v>
      </c>
      <c r="M833" s="211">
        <v>45086</v>
      </c>
      <c r="N833" s="207" t="s">
        <v>10</v>
      </c>
      <c r="O833" s="206" t="s">
        <v>34</v>
      </c>
      <c r="P833" s="38"/>
      <c r="Q833" s="121"/>
      <c r="R833" s="121"/>
      <c r="S833" s="19"/>
      <c r="T833" s="38"/>
      <c r="U833" s="65">
        <f>Tabla1[[#This Row],[PPTO]]/(1+'Lista Datos'!$B$1)</f>
        <v>0</v>
      </c>
      <c r="V833" s="64"/>
      <c r="W833" s="191"/>
      <c r="X833" s="122"/>
      <c r="Y833" s="122"/>
      <c r="Z833" s="123"/>
      <c r="AA833" s="118"/>
      <c r="AB833" s="118"/>
      <c r="AC833" s="118"/>
      <c r="AD833" s="118"/>
      <c r="AE833" s="145">
        <f>Tabla1[[#This Row],[Cierre]]+Tabla1[[#This Row],[Vigencia Oferta (días)]]</f>
        <v>45096.731249999997</v>
      </c>
      <c r="AF833" s="65"/>
      <c r="AG833" s="181"/>
      <c r="AH833" s="192">
        <f>Tabla1[[#This Row],[Unidades2]]*Tabla1[[#This Row],[Precio Unitario]]</f>
        <v>0</v>
      </c>
      <c r="AI833" s="126" t="s">
        <v>270</v>
      </c>
      <c r="AJ833" s="149"/>
      <c r="AK833" s="149">
        <f>Tabla1[[#This Row],[Fecha Vigencia]]-AJ833</f>
        <v>45096.731249999997</v>
      </c>
      <c r="AL833" s="65"/>
      <c r="AM833" s="90"/>
      <c r="AN833" s="65"/>
      <c r="AO833" s="217"/>
      <c r="AP833" s="65"/>
      <c r="AQ833" s="66"/>
      <c r="AR833" s="65"/>
      <c r="AS833" s="65"/>
      <c r="AT833" s="65"/>
      <c r="AU833" s="65"/>
      <c r="AV833" s="65"/>
      <c r="AW833" s="65"/>
      <c r="AX833" s="65"/>
      <c r="AY833" s="118"/>
      <c r="AZ833" s="118"/>
      <c r="BA833" s="118"/>
      <c r="BB833" s="124"/>
    </row>
    <row r="834" spans="1:54" x14ac:dyDescent="0.25">
      <c r="A834" s="153" t="s">
        <v>4096</v>
      </c>
      <c r="B834" s="30" t="s">
        <v>4097</v>
      </c>
      <c r="C834" s="30" t="s">
        <v>4098</v>
      </c>
      <c r="D834" s="84" t="s">
        <v>4099</v>
      </c>
      <c r="E834" s="24" t="s">
        <v>4100</v>
      </c>
      <c r="F834" s="25">
        <v>1</v>
      </c>
      <c r="G834" s="30" t="s">
        <v>18</v>
      </c>
      <c r="H834" s="30" t="s">
        <v>213</v>
      </c>
      <c r="I834" s="203">
        <v>45085.538146794002</v>
      </c>
      <c r="J834" s="38">
        <v>45092.625</v>
      </c>
      <c r="K834" s="38">
        <v>45085.538146794002</v>
      </c>
      <c r="L834" s="203">
        <v>45092.625</v>
      </c>
      <c r="M834" s="204">
        <v>45086</v>
      </c>
      <c r="N834" s="205" t="s">
        <v>10</v>
      </c>
      <c r="O834" s="203" t="s">
        <v>28</v>
      </c>
      <c r="P834" s="24"/>
      <c r="Q834" s="60"/>
      <c r="R834" s="60"/>
      <c r="S834" s="18"/>
      <c r="T834" s="24"/>
      <c r="U834" s="68">
        <f>Tabla1[[#This Row],[PPTO]]/(1+'Lista Datos'!$B$1)</f>
        <v>0</v>
      </c>
      <c r="V834" s="67"/>
      <c r="W834" s="193"/>
      <c r="X834" s="127"/>
      <c r="Y834" s="127"/>
      <c r="Z834" s="154"/>
      <c r="AA834" s="30"/>
      <c r="AB834" s="30"/>
      <c r="AC834" s="30"/>
      <c r="AD834" s="30"/>
      <c r="AE834" s="145">
        <f>Tabla1[[#This Row],[Cierre]]+Tabla1[[#This Row],[Vigencia Oferta (días)]]</f>
        <v>45092.625</v>
      </c>
      <c r="AF834" s="68"/>
      <c r="AG834" s="157"/>
      <c r="AH834" s="194">
        <f>Tabla1[[#This Row],[Unidades2]]*Tabla1[[#This Row],[Precio Unitario]]</f>
        <v>0</v>
      </c>
      <c r="AI834" s="97" t="s">
        <v>270</v>
      </c>
      <c r="AJ834" s="149"/>
      <c r="AK834" s="149">
        <f>Tabla1[[#This Row],[Fecha Vigencia]]-AJ834</f>
        <v>45092.625</v>
      </c>
      <c r="AL834" s="68"/>
      <c r="AM834" s="91"/>
      <c r="AN834" s="68"/>
      <c r="AO834" s="218"/>
      <c r="AP834" s="68"/>
      <c r="AQ834" s="69"/>
      <c r="AR834" s="68"/>
      <c r="AS834" s="68"/>
      <c r="AT834" s="68"/>
      <c r="AU834" s="68"/>
      <c r="AV834" s="68"/>
      <c r="AW834" s="68"/>
      <c r="AX834" s="68"/>
      <c r="AY834" s="30"/>
      <c r="AZ834" s="30"/>
      <c r="BA834" s="30"/>
      <c r="BB834" s="75"/>
    </row>
    <row r="835" spans="1:54" x14ac:dyDescent="0.25">
      <c r="A835" s="153" t="s">
        <v>4101</v>
      </c>
      <c r="B835" s="30" t="s">
        <v>4102</v>
      </c>
      <c r="C835" s="30" t="s">
        <v>4103</v>
      </c>
      <c r="D835" s="84" t="s">
        <v>3343</v>
      </c>
      <c r="E835" s="24" t="s">
        <v>4104</v>
      </c>
      <c r="F835" s="25">
        <v>3</v>
      </c>
      <c r="G835" s="30" t="s">
        <v>21</v>
      </c>
      <c r="H835" s="30" t="s">
        <v>106</v>
      </c>
      <c r="I835" s="203">
        <v>45085.414278124998</v>
      </c>
      <c r="J835" s="121">
        <v>45096.645833333299</v>
      </c>
      <c r="K835" s="121">
        <v>45085.414278124998</v>
      </c>
      <c r="L835" s="203">
        <v>45096.645833333299</v>
      </c>
      <c r="M835" s="204">
        <v>45086</v>
      </c>
      <c r="N835" s="205" t="s">
        <v>10</v>
      </c>
      <c r="O835" s="203" t="s">
        <v>28</v>
      </c>
      <c r="P835" s="24"/>
      <c r="Q835" s="60"/>
      <c r="R835" s="60"/>
      <c r="S835" s="18"/>
      <c r="T835" s="24"/>
      <c r="U835" s="68">
        <f>Tabla1[[#This Row],[PPTO]]/(1+'Lista Datos'!$B$1)</f>
        <v>0</v>
      </c>
      <c r="V835" s="67"/>
      <c r="W835" s="193"/>
      <c r="X835" s="127"/>
      <c r="Y835" s="127"/>
      <c r="Z835" s="154"/>
      <c r="AA835" s="30"/>
      <c r="AB835" s="30"/>
      <c r="AC835" s="30"/>
      <c r="AD835" s="30"/>
      <c r="AE835" s="145">
        <f>Tabla1[[#This Row],[Cierre]]+Tabla1[[#This Row],[Vigencia Oferta (días)]]</f>
        <v>45096.645833333299</v>
      </c>
      <c r="AF835" s="68"/>
      <c r="AG835" s="157"/>
      <c r="AH835" s="194">
        <f>Tabla1[[#This Row],[Unidades2]]*Tabla1[[#This Row],[Precio Unitario]]</f>
        <v>0</v>
      </c>
      <c r="AI835" s="97" t="s">
        <v>270</v>
      </c>
      <c r="AJ835" s="149"/>
      <c r="AK835" s="149">
        <f>Tabla1[[#This Row],[Fecha Vigencia]]-AJ835</f>
        <v>45096.645833333299</v>
      </c>
      <c r="AL835" s="68"/>
      <c r="AM835" s="91"/>
      <c r="AN835" s="68"/>
      <c r="AO835" s="218"/>
      <c r="AP835" s="68"/>
      <c r="AQ835" s="69"/>
      <c r="AR835" s="68"/>
      <c r="AS835" s="68"/>
      <c r="AT835" s="68"/>
      <c r="AU835" s="68"/>
      <c r="AV835" s="68"/>
      <c r="AW835" s="68"/>
      <c r="AX835" s="68"/>
      <c r="AY835" s="30"/>
      <c r="AZ835" s="30"/>
      <c r="BA835" s="30"/>
      <c r="BB835" s="75"/>
    </row>
    <row r="836" spans="1:54" x14ac:dyDescent="0.25">
      <c r="A836" s="117" t="s">
        <v>4105</v>
      </c>
      <c r="B836" s="118" t="s">
        <v>4106</v>
      </c>
      <c r="C836" s="118" t="s">
        <v>4107</v>
      </c>
      <c r="D836" s="119" t="s">
        <v>1255</v>
      </c>
      <c r="E836" s="38" t="s">
        <v>4107</v>
      </c>
      <c r="F836" s="39">
        <v>1</v>
      </c>
      <c r="G836" s="118" t="s">
        <v>18</v>
      </c>
      <c r="H836" s="118" t="s">
        <v>213</v>
      </c>
      <c r="I836" s="206">
        <v>45085.389350034697</v>
      </c>
      <c r="J836" s="121">
        <v>45091.454166666699</v>
      </c>
      <c r="K836" s="121">
        <v>45085.389350034697</v>
      </c>
      <c r="L836" s="206">
        <v>45091.454166666699</v>
      </c>
      <c r="M836" s="211">
        <v>45086</v>
      </c>
      <c r="N836" s="207" t="s">
        <v>10</v>
      </c>
      <c r="O836" s="206" t="s">
        <v>28</v>
      </c>
      <c r="P836" s="38"/>
      <c r="Q836" s="121"/>
      <c r="R836" s="121"/>
      <c r="S836" s="19"/>
      <c r="T836" s="38"/>
      <c r="U836" s="65">
        <f>Tabla1[[#This Row],[PPTO]]/(1+'Lista Datos'!$B$1)</f>
        <v>0</v>
      </c>
      <c r="V836" s="64"/>
      <c r="W836" s="191"/>
      <c r="X836" s="122"/>
      <c r="Y836" s="122"/>
      <c r="Z836" s="123"/>
      <c r="AA836" s="118"/>
      <c r="AB836" s="118"/>
      <c r="AC836" s="118"/>
      <c r="AD836" s="118"/>
      <c r="AE836" s="145">
        <f>Tabla1[[#This Row],[Cierre]]+Tabla1[[#This Row],[Vigencia Oferta (días)]]</f>
        <v>45091.454166666699</v>
      </c>
      <c r="AF836" s="65"/>
      <c r="AG836" s="181"/>
      <c r="AH836" s="192">
        <f>Tabla1[[#This Row],[Unidades2]]*Tabla1[[#This Row],[Precio Unitario]]</f>
        <v>0</v>
      </c>
      <c r="AI836" s="126" t="s">
        <v>270</v>
      </c>
      <c r="AJ836" s="149"/>
      <c r="AK836" s="149">
        <f>Tabla1[[#This Row],[Fecha Vigencia]]-AJ836</f>
        <v>45091.454166666699</v>
      </c>
      <c r="AL836" s="65"/>
      <c r="AM836" s="90"/>
      <c r="AN836" s="65"/>
      <c r="AO836" s="217"/>
      <c r="AP836" s="65"/>
      <c r="AQ836" s="66"/>
      <c r="AR836" s="65"/>
      <c r="AS836" s="65"/>
      <c r="AT836" s="65"/>
      <c r="AU836" s="65"/>
      <c r="AV836" s="65"/>
      <c r="AW836" s="65"/>
      <c r="AX836" s="65"/>
      <c r="AY836" s="118"/>
      <c r="AZ836" s="118"/>
      <c r="BA836" s="118"/>
      <c r="BB836" s="124"/>
    </row>
    <row r="837" spans="1:54" x14ac:dyDescent="0.25">
      <c r="A837" s="153" t="s">
        <v>4108</v>
      </c>
      <c r="B837" s="30" t="s">
        <v>4109</v>
      </c>
      <c r="C837" s="30" t="s">
        <v>4110</v>
      </c>
      <c r="D837" s="84" t="s">
        <v>3445</v>
      </c>
      <c r="E837" s="24" t="s">
        <v>4111</v>
      </c>
      <c r="F837" s="25">
        <v>1</v>
      </c>
      <c r="G837" s="30" t="s">
        <v>16</v>
      </c>
      <c r="H837" s="30" t="s">
        <v>520</v>
      </c>
      <c r="I837" s="203">
        <v>45086.675128935203</v>
      </c>
      <c r="J837" s="38">
        <v>45106.625</v>
      </c>
      <c r="K837" s="38">
        <v>45086.675128935203</v>
      </c>
      <c r="L837" s="203">
        <v>45106.625</v>
      </c>
      <c r="M837" s="204">
        <v>45089</v>
      </c>
      <c r="N837" s="205" t="s">
        <v>10</v>
      </c>
      <c r="O837" s="203" t="s">
        <v>25</v>
      </c>
      <c r="P837" s="24"/>
      <c r="Q837" s="160">
        <v>45096.666666666664</v>
      </c>
      <c r="R837" s="160">
        <v>45099.999305555553</v>
      </c>
      <c r="S837" s="161">
        <v>45126.708333333336</v>
      </c>
      <c r="T837" s="24"/>
      <c r="U837" s="68">
        <f>Tabla1[[#This Row],[PPTO]]/(1+'Lista Datos'!$B$1)</f>
        <v>0</v>
      </c>
      <c r="V837" s="67"/>
      <c r="W837" s="193" t="s">
        <v>10</v>
      </c>
      <c r="X837" s="127"/>
      <c r="Y837" s="127"/>
      <c r="Z837" s="154" t="s">
        <v>11</v>
      </c>
      <c r="AA837" s="30" t="s">
        <v>177</v>
      </c>
      <c r="AB837" s="30">
        <v>12</v>
      </c>
      <c r="AC837" s="30"/>
      <c r="AD837" s="30"/>
      <c r="AE837" s="145">
        <f>Tabla1[[#This Row],[Cierre]]+Tabla1[[#This Row],[Vigencia Oferta (días)]]</f>
        <v>45106.625</v>
      </c>
      <c r="AF837" s="68"/>
      <c r="AG837" s="157"/>
      <c r="AH837" s="194">
        <f>Tabla1[[#This Row],[Unidades2]]*Tabla1[[#This Row],[Precio Unitario]]</f>
        <v>0</v>
      </c>
      <c r="AI837" s="97" t="s">
        <v>270</v>
      </c>
      <c r="AJ837" s="149"/>
      <c r="AK837" s="149">
        <f>Tabla1[[#This Row],[Fecha Vigencia]]-AJ837</f>
        <v>45106.625</v>
      </c>
      <c r="AL837" s="68"/>
      <c r="AM837" s="91"/>
      <c r="AN837" s="68"/>
      <c r="AO837" s="218"/>
      <c r="AP837" s="68"/>
      <c r="AQ837" s="69"/>
      <c r="AR837" s="68"/>
      <c r="AS837" s="68"/>
      <c r="AT837" s="68"/>
      <c r="AU837" s="68"/>
      <c r="AV837" s="68"/>
      <c r="AW837" s="68"/>
      <c r="AX837" s="68"/>
      <c r="AY837" s="30"/>
      <c r="AZ837" s="30"/>
      <c r="BA837" s="30"/>
      <c r="BB837" s="75"/>
    </row>
    <row r="838" spans="1:54" x14ac:dyDescent="0.25">
      <c r="A838" s="153" t="s">
        <v>4112</v>
      </c>
      <c r="B838" s="30" t="s">
        <v>4113</v>
      </c>
      <c r="C838" s="30" t="s">
        <v>4114</v>
      </c>
      <c r="D838" s="84" t="s">
        <v>3673</v>
      </c>
      <c r="E838" s="24" t="s">
        <v>4115</v>
      </c>
      <c r="F838" s="25">
        <v>1</v>
      </c>
      <c r="G838" s="30" t="s">
        <v>16</v>
      </c>
      <c r="H838" s="30" t="s">
        <v>123</v>
      </c>
      <c r="I838" s="203">
        <v>45086.638820405104</v>
      </c>
      <c r="J838" s="121">
        <v>45117.6694444444</v>
      </c>
      <c r="K838" s="121">
        <v>45086.638820405104</v>
      </c>
      <c r="L838" s="203">
        <v>45117.6694444444</v>
      </c>
      <c r="M838" s="204">
        <v>45089</v>
      </c>
      <c r="N838" s="205" t="s">
        <v>10</v>
      </c>
      <c r="O838" s="203" t="s">
        <v>33</v>
      </c>
      <c r="P838" s="24"/>
      <c r="Q838" s="60"/>
      <c r="R838" s="60"/>
      <c r="S838" s="18"/>
      <c r="T838" s="24"/>
      <c r="U838" s="68">
        <f>Tabla1[[#This Row],[PPTO]]/(1+'Lista Datos'!$B$1)</f>
        <v>0</v>
      </c>
      <c r="V838" s="67"/>
      <c r="W838" s="193"/>
      <c r="X838" s="127"/>
      <c r="Y838" s="127"/>
      <c r="Z838" s="154"/>
      <c r="AA838" s="30"/>
      <c r="AB838" s="30"/>
      <c r="AC838" s="30"/>
      <c r="AD838" s="30"/>
      <c r="AE838" s="145">
        <f>Tabla1[[#This Row],[Cierre]]+Tabla1[[#This Row],[Vigencia Oferta (días)]]</f>
        <v>45117.6694444444</v>
      </c>
      <c r="AF838" s="68"/>
      <c r="AG838" s="157"/>
      <c r="AH838" s="194">
        <f>Tabla1[[#This Row],[Unidades2]]*Tabla1[[#This Row],[Precio Unitario]]</f>
        <v>0</v>
      </c>
      <c r="AI838" s="97" t="s">
        <v>270</v>
      </c>
      <c r="AJ838" s="149"/>
      <c r="AK838" s="149">
        <f>Tabla1[[#This Row],[Fecha Vigencia]]-AJ838</f>
        <v>45117.6694444444</v>
      </c>
      <c r="AL838" s="68"/>
      <c r="AM838" s="91"/>
      <c r="AN838" s="68"/>
      <c r="AO838" s="218"/>
      <c r="AP838" s="68"/>
      <c r="AQ838" s="69"/>
      <c r="AR838" s="68"/>
      <c r="AS838" s="68"/>
      <c r="AT838" s="68"/>
      <c r="AU838" s="68"/>
      <c r="AV838" s="68"/>
      <c r="AW838" s="68"/>
      <c r="AX838" s="68"/>
      <c r="AY838" s="30"/>
      <c r="AZ838" s="30"/>
      <c r="BA838" s="30"/>
      <c r="BB838" s="75"/>
    </row>
    <row r="839" spans="1:54" x14ac:dyDescent="0.25">
      <c r="A839" s="153" t="s">
        <v>4116</v>
      </c>
      <c r="B839" s="30" t="s">
        <v>4117</v>
      </c>
      <c r="C839" s="30" t="s">
        <v>4118</v>
      </c>
      <c r="D839" s="84" t="s">
        <v>1477</v>
      </c>
      <c r="E839" s="24" t="s">
        <v>4119</v>
      </c>
      <c r="F839" s="25">
        <v>1</v>
      </c>
      <c r="G839" s="30" t="s">
        <v>16</v>
      </c>
      <c r="H839" s="30" t="s">
        <v>520</v>
      </c>
      <c r="I839" s="203">
        <v>45086.6360067477</v>
      </c>
      <c r="J839" s="121">
        <v>45097.416666666701</v>
      </c>
      <c r="K839" s="121">
        <v>45086.6360067477</v>
      </c>
      <c r="L839" s="203">
        <v>45097.416666666701</v>
      </c>
      <c r="M839" s="204">
        <v>45089</v>
      </c>
      <c r="N839" s="205" t="s">
        <v>10</v>
      </c>
      <c r="O839" s="203" t="s">
        <v>25</v>
      </c>
      <c r="P839" s="24"/>
      <c r="Q839" s="160">
        <v>45091.625</v>
      </c>
      <c r="R839" s="160">
        <v>45092.708333333336</v>
      </c>
      <c r="S839" s="161">
        <v>45132.549305555556</v>
      </c>
      <c r="T839" s="24"/>
      <c r="U839" s="68">
        <f>Tabla1[[#This Row],[PPTO]]/(1+'Lista Datos'!$B$1)</f>
        <v>0</v>
      </c>
      <c r="V839" s="67"/>
      <c r="W839" s="193" t="s">
        <v>10</v>
      </c>
      <c r="X839" s="127"/>
      <c r="Y839" s="127"/>
      <c r="Z839" s="154" t="s">
        <v>10</v>
      </c>
      <c r="AA839" s="30" t="s">
        <v>177</v>
      </c>
      <c r="AB839" s="30">
        <v>18</v>
      </c>
      <c r="AC839" s="30"/>
      <c r="AD839" s="30"/>
      <c r="AE839" s="145">
        <f>Tabla1[[#This Row],[Cierre]]+Tabla1[[#This Row],[Vigencia Oferta (días)]]</f>
        <v>45097.416666666701</v>
      </c>
      <c r="AF839" s="68"/>
      <c r="AG839" s="157"/>
      <c r="AH839" s="194">
        <f>Tabla1[[#This Row],[Unidades2]]*Tabla1[[#This Row],[Precio Unitario]]</f>
        <v>0</v>
      </c>
      <c r="AI839" s="97" t="s">
        <v>270</v>
      </c>
      <c r="AJ839" s="149"/>
      <c r="AK839" s="149">
        <f>Tabla1[[#This Row],[Fecha Vigencia]]-AJ839</f>
        <v>45097.416666666701</v>
      </c>
      <c r="AL839" s="68"/>
      <c r="AM839" s="91"/>
      <c r="AN839" s="68"/>
      <c r="AO839" s="218"/>
      <c r="AP839" s="68"/>
      <c r="AQ839" s="69"/>
      <c r="AR839" s="68"/>
      <c r="AS839" s="68"/>
      <c r="AT839" s="68"/>
      <c r="AU839" s="68"/>
      <c r="AV839" s="68"/>
      <c r="AW839" s="68"/>
      <c r="AX839" s="68"/>
      <c r="AY839" s="30"/>
      <c r="AZ839" s="30"/>
      <c r="BA839" s="30"/>
      <c r="BB839" s="75"/>
    </row>
    <row r="840" spans="1:54" x14ac:dyDescent="0.25">
      <c r="A840" s="153" t="s">
        <v>4120</v>
      </c>
      <c r="B840" s="30" t="s">
        <v>4121</v>
      </c>
      <c r="C840" s="30" t="s">
        <v>4122</v>
      </c>
      <c r="D840" s="84" t="s">
        <v>204</v>
      </c>
      <c r="E840" s="24" t="s">
        <v>4123</v>
      </c>
      <c r="F840" s="25">
        <v>200</v>
      </c>
      <c r="G840" s="30" t="s">
        <v>14</v>
      </c>
      <c r="H840" s="30" t="s">
        <v>520</v>
      </c>
      <c r="I840" s="203">
        <v>45086.632219131898</v>
      </c>
      <c r="J840" s="121">
        <v>45096.625</v>
      </c>
      <c r="K840" s="121">
        <v>45086.632219131898</v>
      </c>
      <c r="L840" s="203">
        <v>45096.625</v>
      </c>
      <c r="M840" s="204">
        <v>45089</v>
      </c>
      <c r="N840" s="205" t="s">
        <v>10</v>
      </c>
      <c r="O840" s="203" t="s">
        <v>29</v>
      </c>
      <c r="P840" s="24"/>
      <c r="Q840" s="160">
        <v>45091.625</v>
      </c>
      <c r="R840" s="160">
        <v>45093.625</v>
      </c>
      <c r="S840" s="161">
        <v>45156.625</v>
      </c>
      <c r="T840" s="24"/>
      <c r="U840" s="68">
        <f>Tabla1[[#This Row],[PPTO]]/(1+'Lista Datos'!$B$1)</f>
        <v>0</v>
      </c>
      <c r="V840" s="67"/>
      <c r="W840" s="193" t="s">
        <v>10</v>
      </c>
      <c r="X840" s="127"/>
      <c r="Y840" s="127"/>
      <c r="Z840" s="154" t="s">
        <v>10</v>
      </c>
      <c r="AA840" s="30" t="s">
        <v>177</v>
      </c>
      <c r="AB840" s="30">
        <v>24</v>
      </c>
      <c r="AC840" s="30"/>
      <c r="AD840" s="30"/>
      <c r="AE840" s="145">
        <f>Tabla1[[#This Row],[Cierre]]+Tabla1[[#This Row],[Vigencia Oferta (días)]]</f>
        <v>45096.625</v>
      </c>
      <c r="AF840" s="68"/>
      <c r="AG840" s="157"/>
      <c r="AH840" s="194">
        <f>Tabla1[[#This Row],[Unidades2]]*Tabla1[[#This Row],[Precio Unitario]]</f>
        <v>0</v>
      </c>
      <c r="AI840" s="97" t="s">
        <v>270</v>
      </c>
      <c r="AJ840" s="149"/>
      <c r="AK840" s="149">
        <f>Tabla1[[#This Row],[Fecha Vigencia]]-AJ840</f>
        <v>45096.625</v>
      </c>
      <c r="AL840" s="68"/>
      <c r="AM840" s="91"/>
      <c r="AN840" s="68"/>
      <c r="AO840" s="218"/>
      <c r="AP840" s="68"/>
      <c r="AQ840" s="69"/>
      <c r="AR840" s="68"/>
      <c r="AS840" s="68"/>
      <c r="AT840" s="68"/>
      <c r="AU840" s="68"/>
      <c r="AV840" s="68"/>
      <c r="AW840" s="68"/>
      <c r="AX840" s="68"/>
      <c r="AY840" s="30"/>
      <c r="AZ840" s="30"/>
      <c r="BA840" s="30"/>
      <c r="BB840" s="75"/>
    </row>
    <row r="841" spans="1:54" x14ac:dyDescent="0.25">
      <c r="A841" s="153" t="s">
        <v>4124</v>
      </c>
      <c r="B841" s="30" t="s">
        <v>4125</v>
      </c>
      <c r="C841" s="30" t="s">
        <v>4126</v>
      </c>
      <c r="D841" s="84" t="s">
        <v>4127</v>
      </c>
      <c r="E841" s="24" t="s">
        <v>4128</v>
      </c>
      <c r="F841" s="25">
        <v>4</v>
      </c>
      <c r="G841" s="30" t="s">
        <v>14</v>
      </c>
      <c r="H841" s="30" t="s">
        <v>145</v>
      </c>
      <c r="I841" s="203">
        <v>45086.620138888902</v>
      </c>
      <c r="J841" s="121">
        <v>45092.635416666701</v>
      </c>
      <c r="K841" s="121">
        <v>45086.620138888902</v>
      </c>
      <c r="L841" s="203">
        <v>45092.635416666701</v>
      </c>
      <c r="M841" s="204">
        <v>45089</v>
      </c>
      <c r="N841" s="205" t="s">
        <v>10</v>
      </c>
      <c r="O841" s="203" t="s">
        <v>27</v>
      </c>
      <c r="P841" s="24"/>
      <c r="Q841" s="60"/>
      <c r="R841" s="60"/>
      <c r="S841" s="18"/>
      <c r="T841" s="24"/>
      <c r="U841" s="68">
        <f>Tabla1[[#This Row],[PPTO]]/(1+'Lista Datos'!$B$1)</f>
        <v>0</v>
      </c>
      <c r="V841" s="67"/>
      <c r="W841" s="193"/>
      <c r="X841" s="127"/>
      <c r="Y841" s="127"/>
      <c r="Z841" s="154"/>
      <c r="AA841" s="30"/>
      <c r="AB841" s="30"/>
      <c r="AC841" s="30"/>
      <c r="AD841" s="30"/>
      <c r="AE841" s="145">
        <f>Tabla1[[#This Row],[Cierre]]+Tabla1[[#This Row],[Vigencia Oferta (días)]]</f>
        <v>45092.635416666701</v>
      </c>
      <c r="AF841" s="68"/>
      <c r="AG841" s="157"/>
      <c r="AH841" s="194">
        <f>Tabla1[[#This Row],[Unidades2]]*Tabla1[[#This Row],[Precio Unitario]]</f>
        <v>0</v>
      </c>
      <c r="AI841" s="97" t="s">
        <v>270</v>
      </c>
      <c r="AJ841" s="149"/>
      <c r="AK841" s="149">
        <f>Tabla1[[#This Row],[Fecha Vigencia]]-AJ841</f>
        <v>45092.635416666701</v>
      </c>
      <c r="AL841" s="68"/>
      <c r="AM841" s="91"/>
      <c r="AN841" s="68"/>
      <c r="AO841" s="218"/>
      <c r="AP841" s="68"/>
      <c r="AQ841" s="69"/>
      <c r="AR841" s="68"/>
      <c r="AS841" s="68"/>
      <c r="AT841" s="68"/>
      <c r="AU841" s="68"/>
      <c r="AV841" s="68"/>
      <c r="AW841" s="68"/>
      <c r="AX841" s="68"/>
      <c r="AY841" s="30"/>
      <c r="AZ841" s="30"/>
      <c r="BA841" s="30"/>
      <c r="BB841" s="75"/>
    </row>
    <row r="842" spans="1:54" x14ac:dyDescent="0.25">
      <c r="A842" s="153" t="s">
        <v>4129</v>
      </c>
      <c r="B842" s="30" t="s">
        <v>4130</v>
      </c>
      <c r="C842" s="30" t="s">
        <v>4131</v>
      </c>
      <c r="D842" s="84" t="s">
        <v>2985</v>
      </c>
      <c r="E842" s="24" t="s">
        <v>4132</v>
      </c>
      <c r="F842" s="25">
        <v>8</v>
      </c>
      <c r="G842" s="30" t="s">
        <v>21</v>
      </c>
      <c r="H842" s="30" t="s">
        <v>106</v>
      </c>
      <c r="I842" s="203">
        <v>45086.618769826397</v>
      </c>
      <c r="J842" s="121">
        <v>45091.6340277778</v>
      </c>
      <c r="K842" s="121">
        <v>45086.618769826397</v>
      </c>
      <c r="L842" s="203">
        <v>45091.6340277778</v>
      </c>
      <c r="M842" s="204">
        <v>45089</v>
      </c>
      <c r="N842" s="205" t="s">
        <v>10</v>
      </c>
      <c r="O842" s="203" t="s">
        <v>27</v>
      </c>
      <c r="P842" s="24"/>
      <c r="Q842" s="60"/>
      <c r="R842" s="60"/>
      <c r="S842" s="18"/>
      <c r="T842" s="24"/>
      <c r="U842" s="68">
        <f>Tabla1[[#This Row],[PPTO]]/(1+'Lista Datos'!$B$1)</f>
        <v>0</v>
      </c>
      <c r="V842" s="67"/>
      <c r="W842" s="193"/>
      <c r="X842" s="127"/>
      <c r="Y842" s="127"/>
      <c r="Z842" s="154"/>
      <c r="AA842" s="30"/>
      <c r="AB842" s="30"/>
      <c r="AC842" s="30"/>
      <c r="AD842" s="30"/>
      <c r="AE842" s="145">
        <f>Tabla1[[#This Row],[Cierre]]+Tabla1[[#This Row],[Vigencia Oferta (días)]]</f>
        <v>45091.6340277778</v>
      </c>
      <c r="AF842" s="68"/>
      <c r="AG842" s="157"/>
      <c r="AH842" s="194">
        <f>Tabla1[[#This Row],[Unidades2]]*Tabla1[[#This Row],[Precio Unitario]]</f>
        <v>0</v>
      </c>
      <c r="AI842" s="97" t="s">
        <v>270</v>
      </c>
      <c r="AJ842" s="149"/>
      <c r="AK842" s="149">
        <f>Tabla1[[#This Row],[Fecha Vigencia]]-AJ842</f>
        <v>45091.6340277778</v>
      </c>
      <c r="AL842" s="68"/>
      <c r="AM842" s="91"/>
      <c r="AN842" s="68"/>
      <c r="AO842" s="218"/>
      <c r="AP842" s="68"/>
      <c r="AQ842" s="69"/>
      <c r="AR842" s="68"/>
      <c r="AS842" s="68"/>
      <c r="AT842" s="68"/>
      <c r="AU842" s="68"/>
      <c r="AV842" s="68"/>
      <c r="AW842" s="68"/>
      <c r="AX842" s="68"/>
      <c r="AY842" s="30"/>
      <c r="AZ842" s="30"/>
      <c r="BA842" s="30"/>
      <c r="BB842" s="75"/>
    </row>
    <row r="843" spans="1:54" x14ac:dyDescent="0.25">
      <c r="A843" s="153" t="s">
        <v>4133</v>
      </c>
      <c r="B843" s="30" t="s">
        <v>4134</v>
      </c>
      <c r="C843" s="30" t="s">
        <v>4135</v>
      </c>
      <c r="D843" s="84" t="s">
        <v>3128</v>
      </c>
      <c r="E843" s="24" t="s">
        <v>4136</v>
      </c>
      <c r="F843" s="25">
        <v>1</v>
      </c>
      <c r="G843" s="30" t="s">
        <v>15</v>
      </c>
      <c r="H843" s="30" t="s">
        <v>114</v>
      </c>
      <c r="I843" s="203">
        <v>45086.536103738399</v>
      </c>
      <c r="J843" s="121">
        <v>45091.824305555601</v>
      </c>
      <c r="K843" s="121">
        <v>45086.536103738399</v>
      </c>
      <c r="L843" s="203">
        <v>45091.824305555601</v>
      </c>
      <c r="M843" s="204">
        <v>45089</v>
      </c>
      <c r="N843" s="205" t="s">
        <v>11</v>
      </c>
      <c r="O843" s="203"/>
      <c r="P843" s="24"/>
      <c r="Q843" s="160">
        <v>45089.679861111108</v>
      </c>
      <c r="R843" s="160">
        <v>45090.75</v>
      </c>
      <c r="S843" s="161">
        <v>45134.824999999997</v>
      </c>
      <c r="T843" s="210">
        <v>20593334</v>
      </c>
      <c r="U843" s="209">
        <f>Tabla1[[#This Row],[PPTO]]/(1+'Lista Datos'!$B$1)</f>
        <v>17305322.68907563</v>
      </c>
      <c r="V843" s="67"/>
      <c r="W843" s="193" t="s">
        <v>10</v>
      </c>
      <c r="X843" s="127"/>
      <c r="Y843" s="127"/>
      <c r="Z843" s="154" t="s">
        <v>10</v>
      </c>
      <c r="AA843" s="30" t="s">
        <v>512</v>
      </c>
      <c r="AB843" s="30"/>
      <c r="AC843" s="30"/>
      <c r="AD843" s="30"/>
      <c r="AE843" s="145">
        <f>Tabla1[[#This Row],[Cierre]]+Tabla1[[#This Row],[Vigencia Oferta (días)]]</f>
        <v>45091.824305555601</v>
      </c>
      <c r="AF843" s="68"/>
      <c r="AG843" s="157"/>
      <c r="AH843" s="194">
        <f>Tabla1[[#This Row],[Unidades2]]*Tabla1[[#This Row],[Precio Unitario]]</f>
        <v>0</v>
      </c>
      <c r="AI843" s="97" t="s">
        <v>44</v>
      </c>
      <c r="AJ843" s="149">
        <v>45099</v>
      </c>
      <c r="AK843" s="149">
        <f>Tabla1[[#This Row],[Fecha Vigencia]]-AJ843</f>
        <v>-7.1756944443986868</v>
      </c>
      <c r="AL843" s="65" t="s">
        <v>115</v>
      </c>
      <c r="AM843" s="231">
        <v>15708000</v>
      </c>
      <c r="AN843" s="65"/>
      <c r="AO843" s="65"/>
      <c r="AP843" s="23" t="s">
        <v>292</v>
      </c>
      <c r="AQ843" s="23" t="s">
        <v>1814</v>
      </c>
      <c r="AR843" s="23" t="s">
        <v>11</v>
      </c>
      <c r="AS843" s="33">
        <v>0.05</v>
      </c>
      <c r="AT843" s="181">
        <v>45203</v>
      </c>
      <c r="AU843" s="23" t="s">
        <v>4137</v>
      </c>
      <c r="AV843" s="23" t="s">
        <v>1860</v>
      </c>
      <c r="AW843" s="23" t="s">
        <v>1815</v>
      </c>
      <c r="AX843" s="23" t="s">
        <v>459</v>
      </c>
      <c r="AY843" s="30"/>
      <c r="AZ843" s="30"/>
      <c r="BA843" s="30"/>
      <c r="BB843" s="75"/>
    </row>
    <row r="844" spans="1:54" x14ac:dyDescent="0.25">
      <c r="A844" s="117" t="s">
        <v>4138</v>
      </c>
      <c r="B844" s="118" t="s">
        <v>4139</v>
      </c>
      <c r="C844" s="118" t="s">
        <v>4140</v>
      </c>
      <c r="D844" s="119" t="s">
        <v>1484</v>
      </c>
      <c r="E844" s="38" t="s">
        <v>4141</v>
      </c>
      <c r="F844" s="39">
        <v>8</v>
      </c>
      <c r="G844" s="118" t="s">
        <v>16</v>
      </c>
      <c r="H844" s="118" t="s">
        <v>533</v>
      </c>
      <c r="I844" s="206">
        <v>45086.520315196802</v>
      </c>
      <c r="J844" s="121">
        <v>45091.604166666701</v>
      </c>
      <c r="K844" s="121">
        <v>45086.520315196802</v>
      </c>
      <c r="L844" s="206">
        <v>45091.604166666701</v>
      </c>
      <c r="M844" s="211">
        <v>45089</v>
      </c>
      <c r="N844" s="207" t="s">
        <v>10</v>
      </c>
      <c r="O844" s="206" t="s">
        <v>27</v>
      </c>
      <c r="P844" s="38"/>
      <c r="Q844" s="121"/>
      <c r="R844" s="121"/>
      <c r="S844" s="19"/>
      <c r="T844" s="38"/>
      <c r="U844" s="65">
        <f>Tabla1[[#This Row],[PPTO]]/(1+'Lista Datos'!$B$1)</f>
        <v>0</v>
      </c>
      <c r="V844" s="64"/>
      <c r="W844" s="191"/>
      <c r="X844" s="122"/>
      <c r="Y844" s="122"/>
      <c r="Z844" s="123"/>
      <c r="AA844" s="118"/>
      <c r="AB844" s="118"/>
      <c r="AC844" s="118"/>
      <c r="AD844" s="118"/>
      <c r="AE844" s="145">
        <f>Tabla1[[#This Row],[Cierre]]+Tabla1[[#This Row],[Vigencia Oferta (días)]]</f>
        <v>45091.604166666701</v>
      </c>
      <c r="AF844" s="65"/>
      <c r="AG844" s="181"/>
      <c r="AH844" s="192">
        <f>Tabla1[[#This Row],[Unidades2]]*Tabla1[[#This Row],[Precio Unitario]]</f>
        <v>0</v>
      </c>
      <c r="AI844" s="126" t="s">
        <v>270</v>
      </c>
      <c r="AJ844" s="149"/>
      <c r="AK844" s="149">
        <f>Tabla1[[#This Row],[Fecha Vigencia]]-AJ844</f>
        <v>45091.604166666701</v>
      </c>
      <c r="AL844" s="65"/>
      <c r="AM844" s="90"/>
      <c r="AN844" s="65"/>
      <c r="AO844" s="217"/>
      <c r="AP844" s="65"/>
      <c r="AQ844" s="66"/>
      <c r="AR844" s="65"/>
      <c r="AS844" s="65"/>
      <c r="AT844" s="65"/>
      <c r="AU844" s="65"/>
      <c r="AV844" s="65"/>
      <c r="AW844" s="65"/>
      <c r="AX844" s="65"/>
      <c r="AY844" s="118"/>
      <c r="AZ844" s="118"/>
      <c r="BA844" s="118"/>
      <c r="BB844" s="124"/>
    </row>
    <row r="845" spans="1:54" x14ac:dyDescent="0.25">
      <c r="A845" s="153" t="s">
        <v>4142</v>
      </c>
      <c r="B845" s="30" t="s">
        <v>4143</v>
      </c>
      <c r="C845" s="30" t="s">
        <v>4144</v>
      </c>
      <c r="D845" s="84" t="s">
        <v>3587</v>
      </c>
      <c r="E845" s="24" t="s">
        <v>4145</v>
      </c>
      <c r="F845" s="25">
        <v>1</v>
      </c>
      <c r="G845" s="30" t="s">
        <v>18</v>
      </c>
      <c r="H845" s="30" t="s">
        <v>213</v>
      </c>
      <c r="I845" s="203">
        <v>45089.695041400497</v>
      </c>
      <c r="J845" s="38">
        <v>45097.708333333299</v>
      </c>
      <c r="K845" s="38">
        <v>45089.695041400497</v>
      </c>
      <c r="L845" s="203">
        <v>45097.708333333299</v>
      </c>
      <c r="M845" s="204">
        <v>45090</v>
      </c>
      <c r="N845" s="205" t="s">
        <v>10</v>
      </c>
      <c r="O845" s="203" t="s">
        <v>28</v>
      </c>
      <c r="P845" s="24"/>
      <c r="Q845" s="60"/>
      <c r="R845" s="60"/>
      <c r="S845" s="18"/>
      <c r="T845" s="24"/>
      <c r="U845" s="68">
        <f>Tabla1[[#This Row],[PPTO]]/(1+'Lista Datos'!$B$1)</f>
        <v>0</v>
      </c>
      <c r="V845" s="67"/>
      <c r="W845" s="193"/>
      <c r="X845" s="127"/>
      <c r="Y845" s="127"/>
      <c r="Z845" s="154"/>
      <c r="AA845" s="30"/>
      <c r="AB845" s="30"/>
      <c r="AC845" s="30"/>
      <c r="AD845" s="30"/>
      <c r="AE845" s="145">
        <f>Tabla1[[#This Row],[Cierre]]+Tabla1[[#This Row],[Vigencia Oferta (días)]]</f>
        <v>45097.708333333299</v>
      </c>
      <c r="AF845" s="68"/>
      <c r="AG845" s="157"/>
      <c r="AH845" s="194">
        <f>Tabla1[[#This Row],[Unidades2]]*Tabla1[[#This Row],[Precio Unitario]]</f>
        <v>0</v>
      </c>
      <c r="AI845" s="97" t="s">
        <v>270</v>
      </c>
      <c r="AJ845" s="149"/>
      <c r="AK845" s="149">
        <f>Tabla1[[#This Row],[Fecha Vigencia]]-AJ845</f>
        <v>45097.708333333299</v>
      </c>
      <c r="AL845" s="68"/>
      <c r="AM845" s="91"/>
      <c r="AN845" s="68"/>
      <c r="AO845" s="218"/>
      <c r="AP845" s="68"/>
      <c r="AQ845" s="69"/>
      <c r="AR845" s="68"/>
      <c r="AS845" s="68"/>
      <c r="AT845" s="68"/>
      <c r="AU845" s="68"/>
      <c r="AV845" s="68"/>
      <c r="AW845" s="68"/>
      <c r="AX845" s="68"/>
      <c r="AY845" s="30"/>
      <c r="AZ845" s="30"/>
      <c r="BA845" s="30"/>
      <c r="BB845" s="75"/>
    </row>
    <row r="846" spans="1:54" x14ac:dyDescent="0.25">
      <c r="A846" s="153" t="s">
        <v>4146</v>
      </c>
      <c r="B846" s="30" t="s">
        <v>4147</v>
      </c>
      <c r="C846" s="30" t="s">
        <v>4148</v>
      </c>
      <c r="D846" s="84" t="s">
        <v>1477</v>
      </c>
      <c r="E846" s="24" t="s">
        <v>4149</v>
      </c>
      <c r="F846" s="25">
        <v>1</v>
      </c>
      <c r="G846" s="30" t="s">
        <v>16</v>
      </c>
      <c r="H846" s="30" t="s">
        <v>520</v>
      </c>
      <c r="I846" s="203">
        <v>45089.691683946803</v>
      </c>
      <c r="J846" s="121">
        <v>45096.625</v>
      </c>
      <c r="K846" s="121">
        <v>45089.691683946803</v>
      </c>
      <c r="L846" s="203">
        <v>45096.625</v>
      </c>
      <c r="M846" s="204">
        <v>45090</v>
      </c>
      <c r="N846" s="205" t="s">
        <v>10</v>
      </c>
      <c r="O846" s="203" t="s">
        <v>27</v>
      </c>
      <c r="P846" s="24"/>
      <c r="Q846" s="60"/>
      <c r="R846" s="60"/>
      <c r="S846" s="18"/>
      <c r="T846" s="24"/>
      <c r="U846" s="68">
        <f>Tabla1[[#This Row],[PPTO]]/(1+'Lista Datos'!$B$1)</f>
        <v>0</v>
      </c>
      <c r="V846" s="67"/>
      <c r="W846" s="193"/>
      <c r="X846" s="127"/>
      <c r="Y846" s="127"/>
      <c r="Z846" s="154"/>
      <c r="AA846" s="30"/>
      <c r="AB846" s="30"/>
      <c r="AC846" s="30"/>
      <c r="AD846" s="30"/>
      <c r="AE846" s="145">
        <f>Tabla1[[#This Row],[Cierre]]+Tabla1[[#This Row],[Vigencia Oferta (días)]]</f>
        <v>45096.625</v>
      </c>
      <c r="AF846" s="68"/>
      <c r="AG846" s="157"/>
      <c r="AH846" s="194">
        <f>Tabla1[[#This Row],[Unidades2]]*Tabla1[[#This Row],[Precio Unitario]]</f>
        <v>0</v>
      </c>
      <c r="AI846" s="97" t="s">
        <v>270</v>
      </c>
      <c r="AJ846" s="149"/>
      <c r="AK846" s="149">
        <f>Tabla1[[#This Row],[Fecha Vigencia]]-AJ846</f>
        <v>45096.625</v>
      </c>
      <c r="AL846" s="68"/>
      <c r="AM846" s="91"/>
      <c r="AN846" s="68"/>
      <c r="AO846" s="218"/>
      <c r="AP846" s="68"/>
      <c r="AQ846" s="69"/>
      <c r="AR846" s="68"/>
      <c r="AS846" s="68"/>
      <c r="AT846" s="68"/>
      <c r="AU846" s="68"/>
      <c r="AV846" s="68"/>
      <c r="AW846" s="68"/>
      <c r="AX846" s="68"/>
      <c r="AY846" s="30"/>
      <c r="AZ846" s="30"/>
      <c r="BA846" s="30"/>
      <c r="BB846" s="75"/>
    </row>
    <row r="847" spans="1:54" x14ac:dyDescent="0.25">
      <c r="A847" s="153" t="s">
        <v>4150</v>
      </c>
      <c r="B847" s="30" t="s">
        <v>4151</v>
      </c>
      <c r="C847" s="30" t="s">
        <v>4152</v>
      </c>
      <c r="D847" s="84" t="s">
        <v>4153</v>
      </c>
      <c r="E847" s="24" t="s">
        <v>4154</v>
      </c>
      <c r="F847" s="25">
        <v>1</v>
      </c>
      <c r="G847" s="30" t="s">
        <v>18</v>
      </c>
      <c r="H847" s="30" t="s">
        <v>213</v>
      </c>
      <c r="I847" s="203">
        <v>45089.635004131902</v>
      </c>
      <c r="J847" s="121">
        <v>45110.625</v>
      </c>
      <c r="K847" s="121">
        <v>45089.635004131902</v>
      </c>
      <c r="L847" s="203">
        <v>45110.625</v>
      </c>
      <c r="M847" s="204">
        <v>45090</v>
      </c>
      <c r="N847" s="205" t="s">
        <v>10</v>
      </c>
      <c r="O847" s="203" t="s">
        <v>28</v>
      </c>
      <c r="P847" s="24"/>
      <c r="Q847" s="60"/>
      <c r="R847" s="60"/>
      <c r="S847" s="18"/>
      <c r="T847" s="24"/>
      <c r="U847" s="68">
        <f>Tabla1[[#This Row],[PPTO]]/(1+'Lista Datos'!$B$1)</f>
        <v>0</v>
      </c>
      <c r="V847" s="67"/>
      <c r="W847" s="193"/>
      <c r="X847" s="127"/>
      <c r="Y847" s="127"/>
      <c r="Z847" s="154"/>
      <c r="AA847" s="30"/>
      <c r="AB847" s="30"/>
      <c r="AC847" s="30"/>
      <c r="AD847" s="30"/>
      <c r="AE847" s="145">
        <f>Tabla1[[#This Row],[Cierre]]+Tabla1[[#This Row],[Vigencia Oferta (días)]]</f>
        <v>45110.625</v>
      </c>
      <c r="AF847" s="68"/>
      <c r="AG847" s="157"/>
      <c r="AH847" s="194">
        <f>Tabla1[[#This Row],[Unidades2]]*Tabla1[[#This Row],[Precio Unitario]]</f>
        <v>0</v>
      </c>
      <c r="AI847" s="97" t="s">
        <v>270</v>
      </c>
      <c r="AJ847" s="149"/>
      <c r="AK847" s="149">
        <f>Tabla1[[#This Row],[Fecha Vigencia]]-AJ847</f>
        <v>45110.625</v>
      </c>
      <c r="AL847" s="68"/>
      <c r="AM847" s="91"/>
      <c r="AN847" s="68"/>
      <c r="AO847" s="218"/>
      <c r="AP847" s="68"/>
      <c r="AQ847" s="69"/>
      <c r="AR847" s="68"/>
      <c r="AS847" s="68"/>
      <c r="AT847" s="68"/>
      <c r="AU847" s="68"/>
      <c r="AV847" s="68"/>
      <c r="AW847" s="68"/>
      <c r="AX847" s="68"/>
      <c r="AY847" s="30"/>
      <c r="AZ847" s="30"/>
      <c r="BA847" s="30"/>
      <c r="BB847" s="75"/>
    </row>
    <row r="848" spans="1:54" x14ac:dyDescent="0.25">
      <c r="A848" s="117" t="s">
        <v>4155</v>
      </c>
      <c r="B848" s="118" t="s">
        <v>4156</v>
      </c>
      <c r="C848" s="118" t="s">
        <v>4157</v>
      </c>
      <c r="D848" s="119" t="s">
        <v>4158</v>
      </c>
      <c r="E848" s="38" t="s">
        <v>4159</v>
      </c>
      <c r="F848" s="39">
        <v>2</v>
      </c>
      <c r="G848" s="118" t="s">
        <v>21</v>
      </c>
      <c r="H848" s="118" t="s">
        <v>106</v>
      </c>
      <c r="I848" s="206">
        <v>45089.587335451397</v>
      </c>
      <c r="J848" s="121">
        <v>45096.625</v>
      </c>
      <c r="K848" s="121">
        <v>45089.587335451397</v>
      </c>
      <c r="L848" s="206">
        <v>45096.625</v>
      </c>
      <c r="M848" s="211">
        <v>45090</v>
      </c>
      <c r="N848" s="207" t="s">
        <v>10</v>
      </c>
      <c r="O848" s="206" t="s">
        <v>27</v>
      </c>
      <c r="P848" s="38"/>
      <c r="Q848" s="121"/>
      <c r="R848" s="121"/>
      <c r="S848" s="19"/>
      <c r="T848" s="38"/>
      <c r="U848" s="65">
        <f>Tabla1[[#This Row],[PPTO]]/(1+'Lista Datos'!$B$1)</f>
        <v>0</v>
      </c>
      <c r="V848" s="64"/>
      <c r="W848" s="191"/>
      <c r="X848" s="122"/>
      <c r="Y848" s="122"/>
      <c r="Z848" s="123"/>
      <c r="AA848" s="118"/>
      <c r="AB848" s="118"/>
      <c r="AC848" s="118"/>
      <c r="AD848" s="118"/>
      <c r="AE848" s="145">
        <f>Tabla1[[#This Row],[Cierre]]+Tabla1[[#This Row],[Vigencia Oferta (días)]]</f>
        <v>45096.625</v>
      </c>
      <c r="AF848" s="65"/>
      <c r="AG848" s="181"/>
      <c r="AH848" s="192">
        <f>Tabla1[[#This Row],[Unidades2]]*Tabla1[[#This Row],[Precio Unitario]]</f>
        <v>0</v>
      </c>
      <c r="AI848" s="126" t="s">
        <v>270</v>
      </c>
      <c r="AJ848" s="149"/>
      <c r="AK848" s="149">
        <f>Tabla1[[#This Row],[Fecha Vigencia]]-AJ848</f>
        <v>45096.625</v>
      </c>
      <c r="AL848" s="65"/>
      <c r="AM848" s="90"/>
      <c r="AN848" s="65"/>
      <c r="AO848" s="217"/>
      <c r="AP848" s="65"/>
      <c r="AQ848" s="66"/>
      <c r="AR848" s="65"/>
      <c r="AS848" s="65"/>
      <c r="AT848" s="65"/>
      <c r="AU848" s="65"/>
      <c r="AV848" s="65"/>
      <c r="AW848" s="65"/>
      <c r="AX848" s="65"/>
      <c r="AY848" s="118"/>
      <c r="AZ848" s="118"/>
      <c r="BA848" s="118"/>
      <c r="BB848" s="124"/>
    </row>
    <row r="849" spans="1:54" x14ac:dyDescent="0.25">
      <c r="A849" s="153" t="s">
        <v>4160</v>
      </c>
      <c r="B849" s="30" t="s">
        <v>4161</v>
      </c>
      <c r="C849" s="30" t="s">
        <v>4162</v>
      </c>
      <c r="D849" s="84" t="s">
        <v>2947</v>
      </c>
      <c r="E849" s="24" t="s">
        <v>4163</v>
      </c>
      <c r="F849" s="25">
        <v>200</v>
      </c>
      <c r="G849" s="30" t="s">
        <v>14</v>
      </c>
      <c r="H849" s="30" t="s">
        <v>123</v>
      </c>
      <c r="I849" s="203">
        <v>45089.406199039397</v>
      </c>
      <c r="J849" s="121">
        <v>45096.625694444403</v>
      </c>
      <c r="K849" s="121">
        <v>45089.406199039397</v>
      </c>
      <c r="L849" s="203">
        <v>45096.625694444403</v>
      </c>
      <c r="M849" s="204">
        <v>45090</v>
      </c>
      <c r="N849" s="205" t="s">
        <v>10</v>
      </c>
      <c r="O849" s="203" t="s">
        <v>25</v>
      </c>
      <c r="P849" s="24"/>
      <c r="Q849" s="60"/>
      <c r="R849" s="60"/>
      <c r="S849" s="18"/>
      <c r="T849" s="24"/>
      <c r="U849" s="68">
        <f>Tabla1[[#This Row],[PPTO]]/(1+'Lista Datos'!$B$1)</f>
        <v>0</v>
      </c>
      <c r="V849" s="67"/>
      <c r="W849" s="193"/>
      <c r="X849" s="127"/>
      <c r="Y849" s="127"/>
      <c r="Z849" s="154"/>
      <c r="AA849" s="30"/>
      <c r="AB849" s="30"/>
      <c r="AC849" s="30"/>
      <c r="AD849" s="30"/>
      <c r="AE849" s="145">
        <f>Tabla1[[#This Row],[Cierre]]+Tabla1[[#This Row],[Vigencia Oferta (días)]]</f>
        <v>45096.625694444403</v>
      </c>
      <c r="AF849" s="68"/>
      <c r="AG849" s="157"/>
      <c r="AH849" s="194">
        <f>Tabla1[[#This Row],[Unidades2]]*Tabla1[[#This Row],[Precio Unitario]]</f>
        <v>0</v>
      </c>
      <c r="AI849" s="97" t="s">
        <v>270</v>
      </c>
      <c r="AJ849" s="149"/>
      <c r="AK849" s="149">
        <f>Tabla1[[#This Row],[Fecha Vigencia]]-AJ849</f>
        <v>45096.625694444403</v>
      </c>
      <c r="AL849" s="68"/>
      <c r="AM849" s="91"/>
      <c r="AN849" s="68"/>
      <c r="AO849" s="218"/>
      <c r="AP849" s="68"/>
      <c r="AQ849" s="69"/>
      <c r="AR849" s="68"/>
      <c r="AS849" s="68"/>
      <c r="AT849" s="68"/>
      <c r="AU849" s="68"/>
      <c r="AV849" s="68"/>
      <c r="AW849" s="68"/>
      <c r="AX849" s="68"/>
      <c r="AY849" s="30"/>
      <c r="AZ849" s="30"/>
      <c r="BA849" s="30"/>
      <c r="BB849" s="75"/>
    </row>
    <row r="850" spans="1:54" x14ac:dyDescent="0.25">
      <c r="A850" s="153" t="s">
        <v>4164</v>
      </c>
      <c r="B850" s="30" t="s">
        <v>4165</v>
      </c>
      <c r="C850" s="30" t="s">
        <v>4166</v>
      </c>
      <c r="D850" s="84" t="s">
        <v>3014</v>
      </c>
      <c r="E850" s="24" t="s">
        <v>4167</v>
      </c>
      <c r="F850" s="25">
        <v>2460</v>
      </c>
      <c r="G850" s="30" t="s">
        <v>14</v>
      </c>
      <c r="H850" s="30" t="s">
        <v>123</v>
      </c>
      <c r="I850" s="203">
        <v>45091.732956631902</v>
      </c>
      <c r="J850" s="38">
        <v>45111.736111111102</v>
      </c>
      <c r="K850" s="38">
        <v>45091.732956631902</v>
      </c>
      <c r="L850" s="203">
        <v>45111.736111111102</v>
      </c>
      <c r="M850" s="204">
        <v>45092</v>
      </c>
      <c r="N850" s="205" t="s">
        <v>10</v>
      </c>
      <c r="O850" s="203" t="s">
        <v>28</v>
      </c>
      <c r="P850" s="24"/>
      <c r="Q850" s="160">
        <v>45104.625694444447</v>
      </c>
      <c r="R850" s="160">
        <v>45106.736111111109</v>
      </c>
      <c r="S850" s="161">
        <v>45201.736111111109</v>
      </c>
      <c r="T850" s="210">
        <v>307817011</v>
      </c>
      <c r="U850" s="209">
        <f>Tabla1[[#This Row],[PPTO]]/(1+'Lista Datos'!$B$1)</f>
        <v>258669757.14285716</v>
      </c>
      <c r="V850" s="67"/>
      <c r="W850" s="193" t="s">
        <v>11</v>
      </c>
      <c r="X850" s="127">
        <v>200000</v>
      </c>
      <c r="Y850" s="104">
        <v>45231</v>
      </c>
      <c r="Z850" s="154" t="s">
        <v>10</v>
      </c>
      <c r="AA850" s="30" t="s">
        <v>177</v>
      </c>
      <c r="AB850" s="30">
        <v>24</v>
      </c>
      <c r="AC850" s="30"/>
      <c r="AD850" s="30"/>
      <c r="AE850" s="145">
        <f>Tabla1[[#This Row],[Cierre]]+Tabla1[[#This Row],[Vigencia Oferta (días)]]</f>
        <v>45111.736111111102</v>
      </c>
      <c r="AF850" s="68"/>
      <c r="AG850" s="157"/>
      <c r="AH850" s="194">
        <f>Tabla1[[#This Row],[Unidades2]]*Tabla1[[#This Row],[Precio Unitario]]</f>
        <v>0</v>
      </c>
      <c r="AI850" s="97" t="s">
        <v>270</v>
      </c>
      <c r="AJ850" s="149"/>
      <c r="AK850" s="149">
        <f>Tabla1[[#This Row],[Fecha Vigencia]]-AJ850</f>
        <v>45111.736111111102</v>
      </c>
      <c r="AL850" s="68"/>
      <c r="AM850" s="91"/>
      <c r="AN850" s="68"/>
      <c r="AO850" s="218"/>
      <c r="AP850" s="68"/>
      <c r="AQ850" s="69"/>
      <c r="AR850" s="68"/>
      <c r="AS850" s="68"/>
      <c r="AT850" s="68"/>
      <c r="AU850" s="68"/>
      <c r="AV850" s="68"/>
      <c r="AW850" s="68"/>
      <c r="AX850" s="68"/>
      <c r="AY850" s="30"/>
      <c r="AZ850" s="30"/>
      <c r="BA850" s="30"/>
      <c r="BB850" s="75"/>
    </row>
    <row r="851" spans="1:54" x14ac:dyDescent="0.25">
      <c r="A851" s="153" t="s">
        <v>4168</v>
      </c>
      <c r="B851" s="30" t="s">
        <v>4169</v>
      </c>
      <c r="C851" s="30" t="s">
        <v>4170</v>
      </c>
      <c r="D851" s="84" t="s">
        <v>319</v>
      </c>
      <c r="E851" s="24" t="s">
        <v>4171</v>
      </c>
      <c r="F851" s="25">
        <v>1</v>
      </c>
      <c r="G851" s="30" t="s">
        <v>18</v>
      </c>
      <c r="H851" s="30" t="s">
        <v>213</v>
      </c>
      <c r="I851" s="203">
        <v>45091.705325578703</v>
      </c>
      <c r="J851" s="121">
        <v>45104.645833333299</v>
      </c>
      <c r="K851" s="121">
        <v>45091.705325578703</v>
      </c>
      <c r="L851" s="203">
        <v>45104.645833333299</v>
      </c>
      <c r="M851" s="204">
        <v>45092</v>
      </c>
      <c r="N851" s="205" t="s">
        <v>10</v>
      </c>
      <c r="O851" s="203" t="s">
        <v>28</v>
      </c>
      <c r="P851" s="24"/>
      <c r="Q851" s="60"/>
      <c r="R851" s="60"/>
      <c r="S851" s="18"/>
      <c r="T851" s="24"/>
      <c r="U851" s="68">
        <f>Tabla1[[#This Row],[PPTO]]/(1+'Lista Datos'!$B$1)</f>
        <v>0</v>
      </c>
      <c r="V851" s="67"/>
      <c r="W851" s="193"/>
      <c r="X851" s="127"/>
      <c r="Y851" s="127"/>
      <c r="Z851" s="154"/>
      <c r="AA851" s="30"/>
      <c r="AB851" s="30"/>
      <c r="AC851" s="30"/>
      <c r="AD851" s="30"/>
      <c r="AE851" s="145">
        <f>Tabla1[[#This Row],[Cierre]]+Tabla1[[#This Row],[Vigencia Oferta (días)]]</f>
        <v>45104.645833333299</v>
      </c>
      <c r="AF851" s="68"/>
      <c r="AG851" s="157"/>
      <c r="AH851" s="194">
        <f>Tabla1[[#This Row],[Unidades2]]*Tabla1[[#This Row],[Precio Unitario]]</f>
        <v>0</v>
      </c>
      <c r="AI851" s="97" t="s">
        <v>270</v>
      </c>
      <c r="AJ851" s="149"/>
      <c r="AK851" s="149">
        <f>Tabla1[[#This Row],[Fecha Vigencia]]-AJ851</f>
        <v>45104.645833333299</v>
      </c>
      <c r="AL851" s="68"/>
      <c r="AM851" s="91"/>
      <c r="AN851" s="68"/>
      <c r="AO851" s="218"/>
      <c r="AP851" s="68"/>
      <c r="AQ851" s="69"/>
      <c r="AR851" s="68"/>
      <c r="AS851" s="68"/>
      <c r="AT851" s="68"/>
      <c r="AU851" s="68"/>
      <c r="AV851" s="68"/>
      <c r="AW851" s="68"/>
      <c r="AX851" s="68"/>
      <c r="AY851" s="30"/>
      <c r="AZ851" s="30"/>
      <c r="BA851" s="30"/>
      <c r="BB851" s="75"/>
    </row>
    <row r="852" spans="1:54" x14ac:dyDescent="0.25">
      <c r="A852" s="117" t="s">
        <v>4172</v>
      </c>
      <c r="B852" s="118" t="s">
        <v>4173</v>
      </c>
      <c r="C852" s="118" t="s">
        <v>4174</v>
      </c>
      <c r="D852" s="119" t="s">
        <v>3137</v>
      </c>
      <c r="E852" s="38" t="s">
        <v>4175</v>
      </c>
      <c r="F852" s="39">
        <v>1</v>
      </c>
      <c r="G852" s="118" t="s">
        <v>16</v>
      </c>
      <c r="H852" s="118" t="s">
        <v>123</v>
      </c>
      <c r="I852" s="206">
        <v>45091.700458796302</v>
      </c>
      <c r="J852" s="121">
        <v>45100.724999999999</v>
      </c>
      <c r="K852" s="121">
        <v>45091.700458796302</v>
      </c>
      <c r="L852" s="206">
        <v>45100.724999999999</v>
      </c>
      <c r="M852" s="211">
        <v>45092</v>
      </c>
      <c r="N852" s="207" t="s">
        <v>10</v>
      </c>
      <c r="O852" s="206" t="s">
        <v>25</v>
      </c>
      <c r="P852" s="38"/>
      <c r="Q852" s="121" t="s">
        <v>4176</v>
      </c>
      <c r="R852" s="147">
        <v>45094.6875</v>
      </c>
      <c r="S852" s="148">
        <v>45138.725694444445</v>
      </c>
      <c r="T852" s="38"/>
      <c r="U852" s="65">
        <f>Tabla1[[#This Row],[PPTO]]/(1+'Lista Datos'!$B$1)</f>
        <v>0</v>
      </c>
      <c r="V852" s="64"/>
      <c r="W852" s="191" t="s">
        <v>10</v>
      </c>
      <c r="X852" s="122"/>
      <c r="Y852" s="122"/>
      <c r="Z852" s="123" t="s">
        <v>10</v>
      </c>
      <c r="AA852" s="118"/>
      <c r="AB852" s="118"/>
      <c r="AC852" s="118"/>
      <c r="AD852" s="118"/>
      <c r="AE852" s="145">
        <f>Tabla1[[#This Row],[Cierre]]+Tabla1[[#This Row],[Vigencia Oferta (días)]]</f>
        <v>45100.724999999999</v>
      </c>
      <c r="AF852" s="65"/>
      <c r="AG852" s="181"/>
      <c r="AH852" s="192">
        <f>Tabla1[[#This Row],[Unidades2]]*Tabla1[[#This Row],[Precio Unitario]]</f>
        <v>0</v>
      </c>
      <c r="AI852" s="126" t="s">
        <v>270</v>
      </c>
      <c r="AJ852" s="149"/>
      <c r="AK852" s="149">
        <f>Tabla1[[#This Row],[Fecha Vigencia]]-AJ852</f>
        <v>45100.724999999999</v>
      </c>
      <c r="AL852" s="65"/>
      <c r="AM852" s="90"/>
      <c r="AN852" s="65"/>
      <c r="AO852" s="217"/>
      <c r="AP852" s="65"/>
      <c r="AQ852" s="66"/>
      <c r="AR852" s="65"/>
      <c r="AS852" s="65"/>
      <c r="AT852" s="65"/>
      <c r="AU852" s="65"/>
      <c r="AV852" s="65"/>
      <c r="AW852" s="65"/>
      <c r="AX852" s="65"/>
      <c r="AY852" s="118"/>
      <c r="AZ852" s="118"/>
      <c r="BA852" s="118"/>
      <c r="BB852" s="124"/>
    </row>
    <row r="853" spans="1:54" x14ac:dyDescent="0.25">
      <c r="A853" s="117" t="s">
        <v>4177</v>
      </c>
      <c r="B853" s="118" t="s">
        <v>4178</v>
      </c>
      <c r="C853" s="118" t="s">
        <v>4179</v>
      </c>
      <c r="D853" s="119" t="s">
        <v>4180</v>
      </c>
      <c r="E853" s="38" t="s">
        <v>4181</v>
      </c>
      <c r="F853" s="39">
        <v>1</v>
      </c>
      <c r="G853" s="118" t="s">
        <v>16</v>
      </c>
      <c r="H853" s="118" t="s">
        <v>145</v>
      </c>
      <c r="I853" s="206">
        <v>45091.621434409702</v>
      </c>
      <c r="J853" s="38">
        <v>45097.690277777801</v>
      </c>
      <c r="K853" s="38">
        <v>45091.621434409702</v>
      </c>
      <c r="L853" s="206">
        <v>45097.690277777801</v>
      </c>
      <c r="M853" s="211">
        <v>45092</v>
      </c>
      <c r="N853" s="207" t="s">
        <v>10</v>
      </c>
      <c r="O853" s="206" t="s">
        <v>25</v>
      </c>
      <c r="P853" s="38"/>
      <c r="Q853" s="147">
        <v>45094.773611111108</v>
      </c>
      <c r="R853" s="147">
        <v>45095.773611111108</v>
      </c>
      <c r="S853" s="148">
        <v>45104.690972222219</v>
      </c>
      <c r="T853" s="215">
        <v>4000000</v>
      </c>
      <c r="U853" s="214">
        <f>Tabla1[[#This Row],[PPTO]]/(1+'Lista Datos'!$B$1)</f>
        <v>3361344.5378151261</v>
      </c>
      <c r="V853" s="64"/>
      <c r="W853" s="191" t="s">
        <v>11</v>
      </c>
      <c r="X853" s="122"/>
      <c r="Y853" s="122"/>
      <c r="Z853" s="123" t="s">
        <v>10</v>
      </c>
      <c r="AA853" s="118" t="s">
        <v>177</v>
      </c>
      <c r="AB853" s="118">
        <v>24</v>
      </c>
      <c r="AC853" s="118"/>
      <c r="AD853" s="118"/>
      <c r="AE853" s="145">
        <f>Tabla1[[#This Row],[Cierre]]+Tabla1[[#This Row],[Vigencia Oferta (días)]]</f>
        <v>45097.690277777801</v>
      </c>
      <c r="AF853" s="65"/>
      <c r="AG853" s="181"/>
      <c r="AH853" s="192">
        <f>Tabla1[[#This Row],[Unidades2]]*Tabla1[[#This Row],[Precio Unitario]]</f>
        <v>0</v>
      </c>
      <c r="AI853" s="126" t="s">
        <v>270</v>
      </c>
      <c r="AJ853" s="149"/>
      <c r="AK853" s="149">
        <f>Tabla1[[#This Row],[Fecha Vigencia]]-AJ853</f>
        <v>45097.690277777801</v>
      </c>
      <c r="AL853" s="65"/>
      <c r="AM853" s="90"/>
      <c r="AN853" s="65"/>
      <c r="AO853" s="217"/>
      <c r="AP853" s="65"/>
      <c r="AQ853" s="66"/>
      <c r="AR853" s="65"/>
      <c r="AS853" s="65"/>
      <c r="AT853" s="65"/>
      <c r="AU853" s="65"/>
      <c r="AV853" s="65"/>
      <c r="AW853" s="65"/>
      <c r="AX853" s="65"/>
      <c r="AY853" s="118"/>
      <c r="AZ853" s="118"/>
      <c r="BA853" s="118"/>
      <c r="BB853" s="124"/>
    </row>
    <row r="854" spans="1:54" x14ac:dyDescent="0.25">
      <c r="A854" s="153" t="s">
        <v>4182</v>
      </c>
      <c r="B854" s="30" t="s">
        <v>4183</v>
      </c>
      <c r="C854" s="30" t="s">
        <v>4184</v>
      </c>
      <c r="D854" s="84" t="s">
        <v>3778</v>
      </c>
      <c r="E854" s="24" t="s">
        <v>4185</v>
      </c>
      <c r="F854" s="25">
        <v>1</v>
      </c>
      <c r="G854" s="30" t="s">
        <v>18</v>
      </c>
      <c r="H854" s="30" t="s">
        <v>213</v>
      </c>
      <c r="I854" s="203">
        <v>45091.612387499998</v>
      </c>
      <c r="J854" s="38">
        <v>45112.6875</v>
      </c>
      <c r="K854" s="38">
        <v>45091.612387499998</v>
      </c>
      <c r="L854" s="203">
        <v>45112.6875</v>
      </c>
      <c r="M854" s="204">
        <v>45092</v>
      </c>
      <c r="N854" s="205" t="s">
        <v>10</v>
      </c>
      <c r="O854" s="203" t="s">
        <v>28</v>
      </c>
      <c r="P854" s="24"/>
      <c r="Q854" s="60"/>
      <c r="R854" s="60"/>
      <c r="S854" s="18"/>
      <c r="T854" s="24"/>
      <c r="U854" s="68">
        <f>Tabla1[[#This Row],[PPTO]]/(1+'Lista Datos'!$B$1)</f>
        <v>0</v>
      </c>
      <c r="V854" s="67"/>
      <c r="W854" s="193"/>
      <c r="X854" s="127"/>
      <c r="Y854" s="127"/>
      <c r="Z854" s="154"/>
      <c r="AA854" s="30"/>
      <c r="AB854" s="30"/>
      <c r="AC854" s="30"/>
      <c r="AD854" s="30"/>
      <c r="AE854" s="145">
        <f>Tabla1[[#This Row],[Cierre]]+Tabla1[[#This Row],[Vigencia Oferta (días)]]</f>
        <v>45112.6875</v>
      </c>
      <c r="AF854" s="68"/>
      <c r="AG854" s="157"/>
      <c r="AH854" s="194">
        <f>Tabla1[[#This Row],[Unidades2]]*Tabla1[[#This Row],[Precio Unitario]]</f>
        <v>0</v>
      </c>
      <c r="AI854" s="97" t="s">
        <v>270</v>
      </c>
      <c r="AJ854" s="149"/>
      <c r="AK854" s="149">
        <f>Tabla1[[#This Row],[Fecha Vigencia]]-AJ854</f>
        <v>45112.6875</v>
      </c>
      <c r="AL854" s="68"/>
      <c r="AM854" s="91"/>
      <c r="AN854" s="68"/>
      <c r="AO854" s="218"/>
      <c r="AP854" s="68"/>
      <c r="AQ854" s="69"/>
      <c r="AR854" s="68"/>
      <c r="AS854" s="68"/>
      <c r="AT854" s="68"/>
      <c r="AU854" s="68"/>
      <c r="AV854" s="68"/>
      <c r="AW854" s="68"/>
      <c r="AX854" s="68"/>
      <c r="AY854" s="30"/>
      <c r="AZ854" s="30"/>
      <c r="BA854" s="30"/>
      <c r="BB854" s="75"/>
    </row>
    <row r="855" spans="1:54" x14ac:dyDescent="0.25">
      <c r="A855" s="153" t="s">
        <v>4186</v>
      </c>
      <c r="B855" s="30" t="s">
        <v>4187</v>
      </c>
      <c r="C855" s="30" t="s">
        <v>4188</v>
      </c>
      <c r="D855" s="84" t="s">
        <v>3778</v>
      </c>
      <c r="E855" s="24" t="s">
        <v>4189</v>
      </c>
      <c r="F855" s="25">
        <v>3</v>
      </c>
      <c r="G855" s="30" t="s">
        <v>21</v>
      </c>
      <c r="H855" s="30" t="s">
        <v>106</v>
      </c>
      <c r="I855" s="203">
        <v>45091.542778206</v>
      </c>
      <c r="J855" s="121">
        <v>45112.666666666701</v>
      </c>
      <c r="K855" s="121">
        <v>45091.542778206</v>
      </c>
      <c r="L855" s="203">
        <v>45112.666666666701</v>
      </c>
      <c r="M855" s="204">
        <v>45092</v>
      </c>
      <c r="N855" s="205" t="s">
        <v>10</v>
      </c>
      <c r="O855" s="203" t="s">
        <v>28</v>
      </c>
      <c r="P855" s="24"/>
      <c r="Q855" s="60"/>
      <c r="R855" s="60"/>
      <c r="S855" s="18"/>
      <c r="T855" s="24"/>
      <c r="U855" s="68">
        <f>Tabla1[[#This Row],[PPTO]]/(1+'Lista Datos'!$B$1)</f>
        <v>0</v>
      </c>
      <c r="V855" s="67"/>
      <c r="W855" s="193"/>
      <c r="X855" s="127"/>
      <c r="Y855" s="127"/>
      <c r="Z855" s="154"/>
      <c r="AA855" s="30"/>
      <c r="AB855" s="30"/>
      <c r="AC855" s="30"/>
      <c r="AD855" s="30"/>
      <c r="AE855" s="145">
        <f>Tabla1[[#This Row],[Cierre]]+Tabla1[[#This Row],[Vigencia Oferta (días)]]</f>
        <v>45112.666666666701</v>
      </c>
      <c r="AF855" s="68"/>
      <c r="AG855" s="157"/>
      <c r="AH855" s="194">
        <f>Tabla1[[#This Row],[Unidades2]]*Tabla1[[#This Row],[Precio Unitario]]</f>
        <v>0</v>
      </c>
      <c r="AI855" s="97" t="s">
        <v>270</v>
      </c>
      <c r="AJ855" s="149"/>
      <c r="AK855" s="149">
        <f>Tabla1[[#This Row],[Fecha Vigencia]]-AJ855</f>
        <v>45112.666666666701</v>
      </c>
      <c r="AL855" s="68"/>
      <c r="AM855" s="91"/>
      <c r="AN855" s="68"/>
      <c r="AO855" s="218"/>
      <c r="AP855" s="68"/>
      <c r="AQ855" s="69"/>
      <c r="AR855" s="68"/>
      <c r="AS855" s="68"/>
      <c r="AT855" s="68"/>
      <c r="AU855" s="68"/>
      <c r="AV855" s="68"/>
      <c r="AW855" s="68"/>
      <c r="AX855" s="68"/>
      <c r="AY855" s="30"/>
      <c r="AZ855" s="30"/>
      <c r="BA855" s="30"/>
      <c r="BB855" s="75"/>
    </row>
    <row r="856" spans="1:54" x14ac:dyDescent="0.25">
      <c r="A856" s="153" t="s">
        <v>4190</v>
      </c>
      <c r="B856" s="30" t="s">
        <v>4191</v>
      </c>
      <c r="C856" s="30" t="s">
        <v>4192</v>
      </c>
      <c r="D856" s="84" t="s">
        <v>3343</v>
      </c>
      <c r="E856" s="24" t="s">
        <v>4193</v>
      </c>
      <c r="F856" s="25">
        <v>30</v>
      </c>
      <c r="G856" s="30" t="s">
        <v>14</v>
      </c>
      <c r="H856" s="30" t="s">
        <v>145</v>
      </c>
      <c r="I856" s="203">
        <v>45091.479334756899</v>
      </c>
      <c r="J856" s="121">
        <v>45104.645833333299</v>
      </c>
      <c r="K856" s="121">
        <v>45091.479334756899</v>
      </c>
      <c r="L856" s="203">
        <v>45104.645833333299</v>
      </c>
      <c r="M856" s="204">
        <v>45092</v>
      </c>
      <c r="N856" s="205" t="s">
        <v>10</v>
      </c>
      <c r="O856" s="203" t="s">
        <v>34</v>
      </c>
      <c r="P856" s="24"/>
      <c r="Q856" s="60"/>
      <c r="R856" s="60"/>
      <c r="S856" s="18"/>
      <c r="T856" s="24"/>
      <c r="U856" s="68">
        <f>Tabla1[[#This Row],[PPTO]]/(1+'Lista Datos'!$B$1)</f>
        <v>0</v>
      </c>
      <c r="V856" s="67"/>
      <c r="W856" s="193"/>
      <c r="X856" s="127"/>
      <c r="Y856" s="127"/>
      <c r="Z856" s="154"/>
      <c r="AA856" s="30"/>
      <c r="AB856" s="30"/>
      <c r="AC856" s="30"/>
      <c r="AD856" s="30"/>
      <c r="AE856" s="145">
        <f>Tabla1[[#This Row],[Cierre]]+Tabla1[[#This Row],[Vigencia Oferta (días)]]</f>
        <v>45104.645833333299</v>
      </c>
      <c r="AF856" s="68"/>
      <c r="AG856" s="157"/>
      <c r="AH856" s="194">
        <f>Tabla1[[#This Row],[Unidades2]]*Tabla1[[#This Row],[Precio Unitario]]</f>
        <v>0</v>
      </c>
      <c r="AI856" s="97" t="s">
        <v>270</v>
      </c>
      <c r="AJ856" s="149"/>
      <c r="AK856" s="149">
        <f>Tabla1[[#This Row],[Fecha Vigencia]]-AJ856</f>
        <v>45104.645833333299</v>
      </c>
      <c r="AL856" s="68"/>
      <c r="AM856" s="91"/>
      <c r="AN856" s="68"/>
      <c r="AO856" s="218"/>
      <c r="AP856" s="68"/>
      <c r="AQ856" s="69"/>
      <c r="AR856" s="68"/>
      <c r="AS856" s="68"/>
      <c r="AT856" s="68"/>
      <c r="AU856" s="68"/>
      <c r="AV856" s="68"/>
      <c r="AW856" s="68"/>
      <c r="AX856" s="68"/>
      <c r="AY856" s="30"/>
      <c r="AZ856" s="30"/>
      <c r="BA856" s="30"/>
      <c r="BB856" s="75"/>
    </row>
    <row r="857" spans="1:54" x14ac:dyDescent="0.25">
      <c r="A857" s="117" t="s">
        <v>4194</v>
      </c>
      <c r="B857" s="118" t="s">
        <v>4195</v>
      </c>
      <c r="C857" s="118" t="s">
        <v>3753</v>
      </c>
      <c r="D857" s="119" t="s">
        <v>955</v>
      </c>
      <c r="E857" s="38" t="s">
        <v>4196</v>
      </c>
      <c r="F857" s="39">
        <v>2880</v>
      </c>
      <c r="G857" s="118" t="s">
        <v>16</v>
      </c>
      <c r="H857" s="118" t="s">
        <v>345</v>
      </c>
      <c r="I857" s="206">
        <v>45091.442199884303</v>
      </c>
      <c r="J857" s="121">
        <v>45111.708333333299</v>
      </c>
      <c r="K857" s="121">
        <v>45091.442199884303</v>
      </c>
      <c r="L857" s="206">
        <v>45111.708333333299</v>
      </c>
      <c r="M857" s="211">
        <v>45092</v>
      </c>
      <c r="N857" s="207" t="s">
        <v>10</v>
      </c>
      <c r="O857" s="206" t="s">
        <v>25</v>
      </c>
      <c r="P857" s="38"/>
      <c r="Q857" s="147">
        <v>45099.708333333336</v>
      </c>
      <c r="R857" s="147">
        <v>45103.708333333336</v>
      </c>
      <c r="S857" s="148">
        <v>45112.512499999997</v>
      </c>
      <c r="T857" s="38"/>
      <c r="U857" s="65">
        <f>Tabla1[[#This Row],[PPTO]]/(1+'Lista Datos'!$B$1)</f>
        <v>0</v>
      </c>
      <c r="V857" s="64"/>
      <c r="W857" s="191" t="s">
        <v>11</v>
      </c>
      <c r="X857" s="122">
        <v>500000</v>
      </c>
      <c r="Y857" s="149">
        <v>45230</v>
      </c>
      <c r="Z857" s="123" t="s">
        <v>10</v>
      </c>
      <c r="AA857" s="118" t="s">
        <v>177</v>
      </c>
      <c r="AB857" s="118">
        <v>24</v>
      </c>
      <c r="AC857" s="118"/>
      <c r="AD857" s="118"/>
      <c r="AE857" s="145">
        <f>Tabla1[[#This Row],[Cierre]]+Tabla1[[#This Row],[Vigencia Oferta (días)]]</f>
        <v>45111.708333333299</v>
      </c>
      <c r="AF857" s="65"/>
      <c r="AG857" s="181"/>
      <c r="AH857" s="192">
        <f>Tabla1[[#This Row],[Unidades2]]*Tabla1[[#This Row],[Precio Unitario]]</f>
        <v>0</v>
      </c>
      <c r="AI857" s="126" t="s">
        <v>270</v>
      </c>
      <c r="AJ857" s="149"/>
      <c r="AK857" s="149">
        <f>Tabla1[[#This Row],[Fecha Vigencia]]-AJ857</f>
        <v>45111.708333333299</v>
      </c>
      <c r="AL857" s="65"/>
      <c r="AM857" s="90"/>
      <c r="AN857" s="65"/>
      <c r="AO857" s="217"/>
      <c r="AP857" s="65"/>
      <c r="AQ857" s="66"/>
      <c r="AR857" s="65"/>
      <c r="AS857" s="65"/>
      <c r="AT857" s="65"/>
      <c r="AU857" s="65"/>
      <c r="AV857" s="65"/>
      <c r="AW857" s="65"/>
      <c r="AX857" s="65"/>
      <c r="AY857" s="118"/>
      <c r="AZ857" s="118"/>
      <c r="BA857" s="118"/>
      <c r="BB857" s="124"/>
    </row>
    <row r="858" spans="1:54" x14ac:dyDescent="0.25">
      <c r="A858" s="153" t="s">
        <v>4197</v>
      </c>
      <c r="B858" s="30" t="s">
        <v>4198</v>
      </c>
      <c r="C858" s="30" t="s">
        <v>4199</v>
      </c>
      <c r="D858" s="84" t="s">
        <v>3778</v>
      </c>
      <c r="E858" s="24" t="s">
        <v>4200</v>
      </c>
      <c r="F858" s="25">
        <v>1</v>
      </c>
      <c r="G858" s="30" t="s">
        <v>17</v>
      </c>
      <c r="H858" s="30" t="s">
        <v>213</v>
      </c>
      <c r="I858" s="203">
        <v>45091.381088854199</v>
      </c>
      <c r="J858" s="38">
        <v>45112.666666666701</v>
      </c>
      <c r="K858" s="38">
        <v>45091.381088854199</v>
      </c>
      <c r="L858" s="203">
        <v>45112.666666666701</v>
      </c>
      <c r="M858" s="211">
        <v>45092</v>
      </c>
      <c r="N858" s="205" t="s">
        <v>10</v>
      </c>
      <c r="O858" s="203" t="s">
        <v>25</v>
      </c>
      <c r="P858" s="24"/>
      <c r="Q858" s="160">
        <v>45104.666666666664</v>
      </c>
      <c r="R858" s="160">
        <v>45110.708333333336</v>
      </c>
      <c r="S858" s="161">
        <v>45133.6875</v>
      </c>
      <c r="T858" s="24"/>
      <c r="U858" s="68">
        <f>Tabla1[[#This Row],[PPTO]]/(1+'Lista Datos'!$B$1)</f>
        <v>0</v>
      </c>
      <c r="V858" s="67"/>
      <c r="W858" s="193" t="s">
        <v>11</v>
      </c>
      <c r="X858" s="127">
        <v>500000</v>
      </c>
      <c r="Y858" s="104">
        <v>45264</v>
      </c>
      <c r="Z858" s="154" t="s">
        <v>11</v>
      </c>
      <c r="AA858" s="30" t="s">
        <v>512</v>
      </c>
      <c r="AB858" s="30"/>
      <c r="AC858" s="30"/>
      <c r="AD858" s="30"/>
      <c r="AE858" s="145">
        <f>Tabla1[[#This Row],[Cierre]]+Tabla1[[#This Row],[Vigencia Oferta (días)]]</f>
        <v>45112.666666666701</v>
      </c>
      <c r="AF858" s="68"/>
      <c r="AG858" s="157"/>
      <c r="AH858" s="194">
        <f>Tabla1[[#This Row],[Unidades2]]*Tabla1[[#This Row],[Precio Unitario]]</f>
        <v>0</v>
      </c>
      <c r="AI858" s="97" t="s">
        <v>270</v>
      </c>
      <c r="AJ858" s="149"/>
      <c r="AK858" s="149">
        <f>Tabla1[[#This Row],[Fecha Vigencia]]-AJ858</f>
        <v>45112.666666666701</v>
      </c>
      <c r="AL858" s="68"/>
      <c r="AM858" s="91"/>
      <c r="AN858" s="68"/>
      <c r="AO858" s="218"/>
      <c r="AP858" s="68"/>
      <c r="AQ858" s="69"/>
      <c r="AR858" s="68"/>
      <c r="AS858" s="68"/>
      <c r="AT858" s="68"/>
      <c r="AU858" s="68"/>
      <c r="AV858" s="68"/>
      <c r="AW858" s="68"/>
      <c r="AX858" s="68"/>
      <c r="AY858" s="30"/>
      <c r="AZ858" s="30"/>
      <c r="BA858" s="30"/>
      <c r="BB858" s="75"/>
    </row>
    <row r="859" spans="1:54" x14ac:dyDescent="0.25">
      <c r="A859" s="153" t="s">
        <v>4201</v>
      </c>
      <c r="B859" s="30" t="s">
        <v>4202</v>
      </c>
      <c r="C859" s="30" t="s">
        <v>2068</v>
      </c>
      <c r="D859" s="84" t="s">
        <v>4203</v>
      </c>
      <c r="E859" s="24" t="s">
        <v>4204</v>
      </c>
      <c r="F859" s="25">
        <v>4</v>
      </c>
      <c r="G859" s="30" t="s">
        <v>14</v>
      </c>
      <c r="H859" s="30" t="s">
        <v>123</v>
      </c>
      <c r="I859" s="203">
        <v>45090.714092789298</v>
      </c>
      <c r="J859" s="121">
        <v>45097.583333333299</v>
      </c>
      <c r="K859" s="121">
        <v>45090.714092789298</v>
      </c>
      <c r="L859" s="203">
        <v>45097.583333333299</v>
      </c>
      <c r="M859" s="211">
        <v>45092</v>
      </c>
      <c r="N859" s="205" t="s">
        <v>10</v>
      </c>
      <c r="O859" s="203" t="s">
        <v>27</v>
      </c>
      <c r="P859" s="24"/>
      <c r="Q859" s="60"/>
      <c r="R859" s="60"/>
      <c r="S859" s="18"/>
      <c r="T859" s="24"/>
      <c r="U859" s="68">
        <f>Tabla1[[#This Row],[PPTO]]/(1+'Lista Datos'!$B$1)</f>
        <v>0</v>
      </c>
      <c r="V859" s="67"/>
      <c r="W859" s="193"/>
      <c r="X859" s="127"/>
      <c r="Y859" s="127"/>
      <c r="Z859" s="154"/>
      <c r="AA859" s="30"/>
      <c r="AB859" s="30"/>
      <c r="AC859" s="30"/>
      <c r="AD859" s="30"/>
      <c r="AE859" s="145">
        <f>Tabla1[[#This Row],[Cierre]]+Tabla1[[#This Row],[Vigencia Oferta (días)]]</f>
        <v>45097.583333333299</v>
      </c>
      <c r="AF859" s="68"/>
      <c r="AG859" s="157"/>
      <c r="AH859" s="194">
        <f>Tabla1[[#This Row],[Unidades2]]*Tabla1[[#This Row],[Precio Unitario]]</f>
        <v>0</v>
      </c>
      <c r="AI859" s="97" t="s">
        <v>270</v>
      </c>
      <c r="AJ859" s="149"/>
      <c r="AK859" s="149">
        <f>Tabla1[[#This Row],[Fecha Vigencia]]-AJ859</f>
        <v>45097.583333333299</v>
      </c>
      <c r="AL859" s="68"/>
      <c r="AM859" s="91"/>
      <c r="AN859" s="68"/>
      <c r="AO859" s="218"/>
      <c r="AP859" s="68"/>
      <c r="AQ859" s="69"/>
      <c r="AR859" s="68"/>
      <c r="AS859" s="68"/>
      <c r="AT859" s="68"/>
      <c r="AU859" s="68"/>
      <c r="AV859" s="68"/>
      <c r="AW859" s="68"/>
      <c r="AX859" s="68"/>
      <c r="AY859" s="30"/>
      <c r="AZ859" s="30"/>
      <c r="BA859" s="30"/>
      <c r="BB859" s="75"/>
    </row>
    <row r="860" spans="1:54" x14ac:dyDescent="0.25">
      <c r="A860" s="117" t="s">
        <v>4205</v>
      </c>
      <c r="B860" s="118" t="s">
        <v>4206</v>
      </c>
      <c r="C860" s="118" t="s">
        <v>4207</v>
      </c>
      <c r="D860" s="119" t="s">
        <v>2471</v>
      </c>
      <c r="E860" s="38" t="s">
        <v>4208</v>
      </c>
      <c r="F860" s="39">
        <v>1</v>
      </c>
      <c r="G860" s="118" t="s">
        <v>21</v>
      </c>
      <c r="H860" s="118" t="s">
        <v>106</v>
      </c>
      <c r="I860" s="206">
        <v>45090.679839004602</v>
      </c>
      <c r="J860" s="121">
        <v>45096.625</v>
      </c>
      <c r="K860" s="121">
        <v>45090.679839004602</v>
      </c>
      <c r="L860" s="206">
        <v>45096.625</v>
      </c>
      <c r="M860" s="211">
        <v>45092</v>
      </c>
      <c r="N860" s="207" t="s">
        <v>10</v>
      </c>
      <c r="O860" s="206" t="s">
        <v>27</v>
      </c>
      <c r="P860" s="38"/>
      <c r="Q860" s="121"/>
      <c r="R860" s="121"/>
      <c r="S860" s="19"/>
      <c r="T860" s="38"/>
      <c r="U860" s="65">
        <f>Tabla1[[#This Row],[PPTO]]/(1+'Lista Datos'!$B$1)</f>
        <v>0</v>
      </c>
      <c r="V860" s="64"/>
      <c r="W860" s="191"/>
      <c r="X860" s="122"/>
      <c r="Y860" s="122"/>
      <c r="Z860" s="123"/>
      <c r="AA860" s="118"/>
      <c r="AB860" s="118"/>
      <c r="AC860" s="118"/>
      <c r="AD860" s="118"/>
      <c r="AE860" s="145">
        <f>Tabla1[[#This Row],[Cierre]]+Tabla1[[#This Row],[Vigencia Oferta (días)]]</f>
        <v>45096.625</v>
      </c>
      <c r="AF860" s="65"/>
      <c r="AG860" s="181"/>
      <c r="AH860" s="192">
        <f>Tabla1[[#This Row],[Unidades2]]*Tabla1[[#This Row],[Precio Unitario]]</f>
        <v>0</v>
      </c>
      <c r="AI860" s="126" t="s">
        <v>270</v>
      </c>
      <c r="AJ860" s="149"/>
      <c r="AK860" s="149">
        <f>Tabla1[[#This Row],[Fecha Vigencia]]-AJ860</f>
        <v>45096.625</v>
      </c>
      <c r="AL860" s="65"/>
      <c r="AM860" s="90"/>
      <c r="AN860" s="65"/>
      <c r="AO860" s="217"/>
      <c r="AP860" s="65"/>
      <c r="AQ860" s="66"/>
      <c r="AR860" s="65"/>
      <c r="AS860" s="65"/>
      <c r="AT860" s="65"/>
      <c r="AU860" s="65"/>
      <c r="AV860" s="65"/>
      <c r="AW860" s="65"/>
      <c r="AX860" s="65"/>
      <c r="AY860" s="118"/>
      <c r="AZ860" s="118"/>
      <c r="BA860" s="118"/>
      <c r="BB860" s="124"/>
    </row>
    <row r="861" spans="1:54" x14ac:dyDescent="0.25">
      <c r="A861" s="117" t="s">
        <v>4209</v>
      </c>
      <c r="B861" s="118" t="s">
        <v>4210</v>
      </c>
      <c r="C861" s="118" t="s">
        <v>4211</v>
      </c>
      <c r="D861" s="119" t="s">
        <v>3047</v>
      </c>
      <c r="E861" s="38" t="s">
        <v>4212</v>
      </c>
      <c r="F861" s="39">
        <v>6</v>
      </c>
      <c r="G861" s="118" t="s">
        <v>21</v>
      </c>
      <c r="H861" s="118" t="s">
        <v>106</v>
      </c>
      <c r="I861" s="206">
        <v>45090.658216203701</v>
      </c>
      <c r="J861" s="38">
        <v>45100.625</v>
      </c>
      <c r="K861" s="38">
        <v>45090.658216203701</v>
      </c>
      <c r="L861" s="206">
        <v>45100.625</v>
      </c>
      <c r="M861" s="211">
        <v>45092</v>
      </c>
      <c r="N861" s="207" t="s">
        <v>10</v>
      </c>
      <c r="O861" s="206" t="s">
        <v>35</v>
      </c>
      <c r="P861" s="38"/>
      <c r="Q861" s="147">
        <v>45096.5</v>
      </c>
      <c r="R861" s="147">
        <v>45097.708333333336</v>
      </c>
      <c r="S861" s="148">
        <v>45160.708333333336</v>
      </c>
      <c r="T861" s="215">
        <v>25000000</v>
      </c>
      <c r="U861" s="214">
        <f>Tabla1[[#This Row],[PPTO]]/(1+'Lista Datos'!$B$1)</f>
        <v>21008403.361344539</v>
      </c>
      <c r="V861" s="64"/>
      <c r="W861" s="191" t="s">
        <v>11</v>
      </c>
      <c r="X861" s="122" t="s">
        <v>4213</v>
      </c>
      <c r="Y861" s="149">
        <v>45160</v>
      </c>
      <c r="Z861" s="123" t="s">
        <v>10</v>
      </c>
      <c r="AA861" s="118" t="s">
        <v>512</v>
      </c>
      <c r="AB861" s="118"/>
      <c r="AC861" s="118" t="s">
        <v>11</v>
      </c>
      <c r="AD861" s="118"/>
      <c r="AE861" s="145">
        <f>Tabla1[[#This Row],[Cierre]]+Tabla1[[#This Row],[Vigencia Oferta (días)]]</f>
        <v>45100.625</v>
      </c>
      <c r="AF861" s="65"/>
      <c r="AG861" s="181"/>
      <c r="AH861" s="192">
        <f>Tabla1[[#This Row],[Unidades2]]*Tabla1[[#This Row],[Precio Unitario]]</f>
        <v>0</v>
      </c>
      <c r="AI861" s="126" t="s">
        <v>270</v>
      </c>
      <c r="AJ861" s="149"/>
      <c r="AK861" s="149">
        <f>Tabla1[[#This Row],[Fecha Vigencia]]-AJ861</f>
        <v>45100.625</v>
      </c>
      <c r="AL861" s="65"/>
      <c r="AM861" s="90"/>
      <c r="AN861" s="65"/>
      <c r="AO861" s="217"/>
      <c r="AP861" s="65"/>
      <c r="AQ861" s="66"/>
      <c r="AR861" s="65"/>
      <c r="AS861" s="65"/>
      <c r="AT861" s="65"/>
      <c r="AU861" s="65"/>
      <c r="AV861" s="65"/>
      <c r="AW861" s="65"/>
      <c r="AX861" s="65"/>
      <c r="AY861" s="118"/>
      <c r="AZ861" s="118"/>
      <c r="BA861" s="118"/>
      <c r="BB861" s="124"/>
    </row>
    <row r="862" spans="1:54" x14ac:dyDescent="0.25">
      <c r="A862" s="153" t="s">
        <v>4214</v>
      </c>
      <c r="B862" s="30" t="s">
        <v>4215</v>
      </c>
      <c r="C862" s="30" t="s">
        <v>4216</v>
      </c>
      <c r="D862" s="84" t="s">
        <v>464</v>
      </c>
      <c r="E862" s="24" t="s">
        <v>4217</v>
      </c>
      <c r="F862" s="25">
        <v>1</v>
      </c>
      <c r="G862" s="30" t="s">
        <v>19</v>
      </c>
      <c r="H862" s="30" t="s">
        <v>114</v>
      </c>
      <c r="I862" s="203">
        <v>45090.6496037037</v>
      </c>
      <c r="J862" s="38">
        <v>45110.666666666701</v>
      </c>
      <c r="K862" s="38">
        <v>45090.6496037037</v>
      </c>
      <c r="L862" s="203">
        <v>45110.666666666701</v>
      </c>
      <c r="M862" s="211">
        <v>45092</v>
      </c>
      <c r="N862" s="205" t="s">
        <v>11</v>
      </c>
      <c r="O862" s="203"/>
      <c r="P862" s="24"/>
      <c r="Q862" s="160">
        <v>45100.666666666664</v>
      </c>
      <c r="R862" s="160">
        <v>45105.666666666664</v>
      </c>
      <c r="S862" s="161">
        <v>45180.536805555559</v>
      </c>
      <c r="T862" s="24"/>
      <c r="U862" s="68">
        <f>Tabla1[[#This Row],[PPTO]]/(1+'Lista Datos'!$B$1)</f>
        <v>0</v>
      </c>
      <c r="V862" s="67"/>
      <c r="W862" s="193" t="s">
        <v>11</v>
      </c>
      <c r="X862" s="127">
        <v>500000</v>
      </c>
      <c r="Y862" s="104">
        <v>45230</v>
      </c>
      <c r="Z862" s="154" t="s">
        <v>10</v>
      </c>
      <c r="AA862" s="30" t="s">
        <v>177</v>
      </c>
      <c r="AB862" s="30">
        <v>24</v>
      </c>
      <c r="AC862" s="30"/>
      <c r="AD862" s="30"/>
      <c r="AE862" s="145">
        <f>Tabla1[[#This Row],[Cierre]]+Tabla1[[#This Row],[Vigencia Oferta (días)]]</f>
        <v>45110.666666666701</v>
      </c>
      <c r="AF862" s="68"/>
      <c r="AG862" s="157"/>
      <c r="AH862" s="194">
        <f>Tabla1[[#This Row],[Unidades2]]*Tabla1[[#This Row],[Precio Unitario]]</f>
        <v>0</v>
      </c>
      <c r="AI862" s="97" t="s">
        <v>44</v>
      </c>
      <c r="AJ862" s="149">
        <v>45198</v>
      </c>
      <c r="AK862" s="149">
        <f>Tabla1[[#This Row],[Fecha Vigencia]]-AJ862</f>
        <v>-87.333333333299379</v>
      </c>
      <c r="AL862" s="68" t="s">
        <v>115</v>
      </c>
      <c r="AM862" s="91">
        <v>105000000</v>
      </c>
      <c r="AN862" s="157">
        <v>45198</v>
      </c>
      <c r="AO862" s="218">
        <v>45929</v>
      </c>
      <c r="AP862" s="68" t="s">
        <v>177</v>
      </c>
      <c r="AQ862" s="69" t="s">
        <v>465</v>
      </c>
      <c r="AR862" s="68" t="s">
        <v>11</v>
      </c>
      <c r="AS862" s="156">
        <v>0.05</v>
      </c>
      <c r="AT862" s="157">
        <v>46017</v>
      </c>
      <c r="AU862" s="30" t="s">
        <v>4218</v>
      </c>
      <c r="AV862" s="30" t="s">
        <v>4219</v>
      </c>
      <c r="AW862" s="30" t="s">
        <v>466</v>
      </c>
      <c r="AX862" s="30" t="s">
        <v>4220</v>
      </c>
      <c r="AY862" s="30"/>
      <c r="AZ862" s="30"/>
      <c r="BA862" s="30"/>
      <c r="BB862" s="75"/>
    </row>
    <row r="863" spans="1:54" x14ac:dyDescent="0.25">
      <c r="A863" s="117" t="s">
        <v>4221</v>
      </c>
      <c r="B863" s="118" t="s">
        <v>4222</v>
      </c>
      <c r="C863" s="118" t="s">
        <v>4223</v>
      </c>
      <c r="D863" s="119" t="s">
        <v>4224</v>
      </c>
      <c r="E863" s="38" t="s">
        <v>4225</v>
      </c>
      <c r="F863" s="39">
        <v>2</v>
      </c>
      <c r="G863" s="118" t="s">
        <v>18</v>
      </c>
      <c r="H863" s="118" t="s">
        <v>213</v>
      </c>
      <c r="I863" s="206">
        <v>45090.590231053196</v>
      </c>
      <c r="J863" s="121">
        <v>45100.599305555603</v>
      </c>
      <c r="K863" s="121">
        <v>45090.590231053196</v>
      </c>
      <c r="L863" s="206">
        <v>45100.599305555603</v>
      </c>
      <c r="M863" s="211">
        <v>45092</v>
      </c>
      <c r="N863" s="207" t="s">
        <v>10</v>
      </c>
      <c r="O863" s="206" t="s">
        <v>28</v>
      </c>
      <c r="P863" s="38"/>
      <c r="Q863" s="121"/>
      <c r="R863" s="121"/>
      <c r="S863" s="19"/>
      <c r="T863" s="38"/>
      <c r="U863" s="65">
        <f>Tabla1[[#This Row],[PPTO]]/(1+'Lista Datos'!$B$1)</f>
        <v>0</v>
      </c>
      <c r="V863" s="64"/>
      <c r="W863" s="191"/>
      <c r="X863" s="122"/>
      <c r="Y863" s="122"/>
      <c r="Z863" s="123"/>
      <c r="AA863" s="118"/>
      <c r="AB863" s="118"/>
      <c r="AC863" s="118"/>
      <c r="AD863" s="118"/>
      <c r="AE863" s="145">
        <f>Tabla1[[#This Row],[Cierre]]+Tabla1[[#This Row],[Vigencia Oferta (días)]]</f>
        <v>45100.599305555603</v>
      </c>
      <c r="AF863" s="65"/>
      <c r="AG863" s="181"/>
      <c r="AH863" s="192">
        <f>Tabla1[[#This Row],[Unidades2]]*Tabla1[[#This Row],[Precio Unitario]]</f>
        <v>0</v>
      </c>
      <c r="AI863" s="126" t="s">
        <v>270</v>
      </c>
      <c r="AJ863" s="149"/>
      <c r="AK863" s="149">
        <f>Tabla1[[#This Row],[Fecha Vigencia]]-AJ863</f>
        <v>45100.599305555603</v>
      </c>
      <c r="AL863" s="65"/>
      <c r="AM863" s="90"/>
      <c r="AN863" s="65"/>
      <c r="AO863" s="217"/>
      <c r="AP863" s="65"/>
      <c r="AQ863" s="66"/>
      <c r="AR863" s="65"/>
      <c r="AS863" s="65"/>
      <c r="AT863" s="65"/>
      <c r="AU863" s="65"/>
      <c r="AV863" s="65"/>
      <c r="AW863" s="65"/>
      <c r="AX863" s="65"/>
      <c r="AY863" s="118"/>
      <c r="AZ863" s="118"/>
      <c r="BA863" s="118"/>
      <c r="BB863" s="124"/>
    </row>
    <row r="864" spans="1:54" x14ac:dyDescent="0.25">
      <c r="A864" s="153" t="s">
        <v>4226</v>
      </c>
      <c r="B864" s="30" t="s">
        <v>4227</v>
      </c>
      <c r="C864" s="30" t="s">
        <v>4228</v>
      </c>
      <c r="D864" s="84" t="s">
        <v>965</v>
      </c>
      <c r="E864" s="24" t="s">
        <v>4229</v>
      </c>
      <c r="F864" s="25">
        <v>1</v>
      </c>
      <c r="G864" s="30" t="s">
        <v>18</v>
      </c>
      <c r="H864" s="30" t="s">
        <v>213</v>
      </c>
      <c r="I864" s="203">
        <v>45090.581650497697</v>
      </c>
      <c r="J864" s="38">
        <v>45111.541666666701</v>
      </c>
      <c r="K864" s="38">
        <v>45090.581650497697</v>
      </c>
      <c r="L864" s="203">
        <v>45111.541666666701</v>
      </c>
      <c r="M864" s="211">
        <v>45092</v>
      </c>
      <c r="N864" s="205" t="s">
        <v>10</v>
      </c>
      <c r="O864" s="203" t="s">
        <v>28</v>
      </c>
      <c r="P864" s="24"/>
      <c r="Q864" s="60"/>
      <c r="R864" s="60"/>
      <c r="S864" s="18"/>
      <c r="T864" s="24"/>
      <c r="U864" s="68">
        <f>Tabla1[[#This Row],[PPTO]]/(1+'Lista Datos'!$B$1)</f>
        <v>0</v>
      </c>
      <c r="V864" s="67"/>
      <c r="W864" s="193"/>
      <c r="X864" s="127"/>
      <c r="Y864" s="127"/>
      <c r="Z864" s="154"/>
      <c r="AA864" s="30"/>
      <c r="AB864" s="30"/>
      <c r="AC864" s="30"/>
      <c r="AD864" s="30"/>
      <c r="AE864" s="145">
        <f>Tabla1[[#This Row],[Cierre]]+Tabla1[[#This Row],[Vigencia Oferta (días)]]</f>
        <v>45111.541666666701</v>
      </c>
      <c r="AF864" s="68"/>
      <c r="AG864" s="157"/>
      <c r="AH864" s="194">
        <f>Tabla1[[#This Row],[Unidades2]]*Tabla1[[#This Row],[Precio Unitario]]</f>
        <v>0</v>
      </c>
      <c r="AI864" s="97" t="s">
        <v>270</v>
      </c>
      <c r="AJ864" s="149"/>
      <c r="AK864" s="149">
        <f>Tabla1[[#This Row],[Fecha Vigencia]]-AJ864</f>
        <v>45111.541666666701</v>
      </c>
      <c r="AL864" s="68"/>
      <c r="AM864" s="91"/>
      <c r="AN864" s="68"/>
      <c r="AO864" s="218"/>
      <c r="AP864" s="68"/>
      <c r="AQ864" s="69"/>
      <c r="AR864" s="68"/>
      <c r="AS864" s="68"/>
      <c r="AT864" s="68"/>
      <c r="AU864" s="68"/>
      <c r="AV864" s="68"/>
      <c r="AW864" s="68"/>
      <c r="AX864" s="68"/>
      <c r="AY864" s="30"/>
      <c r="AZ864" s="30"/>
      <c r="BA864" s="30"/>
      <c r="BB864" s="75"/>
    </row>
    <row r="865" spans="1:54" x14ac:dyDescent="0.25">
      <c r="A865" s="153" t="s">
        <v>4230</v>
      </c>
      <c r="B865" s="30" t="s">
        <v>4231</v>
      </c>
      <c r="C865" s="30" t="s">
        <v>4232</v>
      </c>
      <c r="D865" s="84" t="s">
        <v>4233</v>
      </c>
      <c r="E865" s="24" t="s">
        <v>4234</v>
      </c>
      <c r="F865" s="25">
        <v>4</v>
      </c>
      <c r="G865" s="30" t="s">
        <v>21</v>
      </c>
      <c r="H865" s="30" t="s">
        <v>106</v>
      </c>
      <c r="I865" s="203">
        <v>45090.507898113399</v>
      </c>
      <c r="J865" s="121">
        <v>45096.6430555556</v>
      </c>
      <c r="K865" s="121">
        <v>45090.507898113399</v>
      </c>
      <c r="L865" s="203">
        <v>45096.6430555556</v>
      </c>
      <c r="M865" s="211">
        <v>45092</v>
      </c>
      <c r="N865" s="205" t="s">
        <v>10</v>
      </c>
      <c r="O865" s="203" t="s">
        <v>27</v>
      </c>
      <c r="P865" s="24"/>
      <c r="Q865" s="60"/>
      <c r="R865" s="60"/>
      <c r="S865" s="18"/>
      <c r="T865" s="24"/>
      <c r="U865" s="68">
        <f>Tabla1[[#This Row],[PPTO]]/(1+'Lista Datos'!$B$1)</f>
        <v>0</v>
      </c>
      <c r="V865" s="67"/>
      <c r="W865" s="193"/>
      <c r="X865" s="127"/>
      <c r="Y865" s="127"/>
      <c r="Z865" s="154"/>
      <c r="AA865" s="30"/>
      <c r="AB865" s="30"/>
      <c r="AC865" s="30"/>
      <c r="AD865" s="30"/>
      <c r="AE865" s="145">
        <f>Tabla1[[#This Row],[Cierre]]+Tabla1[[#This Row],[Vigencia Oferta (días)]]</f>
        <v>45096.6430555556</v>
      </c>
      <c r="AF865" s="68"/>
      <c r="AG865" s="157"/>
      <c r="AH865" s="194">
        <f>Tabla1[[#This Row],[Unidades2]]*Tabla1[[#This Row],[Precio Unitario]]</f>
        <v>0</v>
      </c>
      <c r="AI865" s="97" t="s">
        <v>270</v>
      </c>
      <c r="AJ865" s="149"/>
      <c r="AK865" s="149">
        <f>Tabla1[[#This Row],[Fecha Vigencia]]-AJ865</f>
        <v>45096.6430555556</v>
      </c>
      <c r="AL865" s="68"/>
      <c r="AM865" s="91"/>
      <c r="AN865" s="68"/>
      <c r="AO865" s="218"/>
      <c r="AP865" s="68"/>
      <c r="AQ865" s="69"/>
      <c r="AR865" s="68"/>
      <c r="AS865" s="68"/>
      <c r="AT865" s="68"/>
      <c r="AU865" s="68"/>
      <c r="AV865" s="68"/>
      <c r="AW865" s="68"/>
      <c r="AX865" s="68"/>
      <c r="AY865" s="30"/>
      <c r="AZ865" s="30"/>
      <c r="BA865" s="30"/>
      <c r="BB865" s="75"/>
    </row>
    <row r="866" spans="1:54" x14ac:dyDescent="0.25">
      <c r="A866" s="117" t="s">
        <v>4235</v>
      </c>
      <c r="B866" s="118" t="s">
        <v>4236</v>
      </c>
      <c r="C866" s="118" t="s">
        <v>4237</v>
      </c>
      <c r="D866" s="119" t="s">
        <v>2377</v>
      </c>
      <c r="E866" s="38" t="s">
        <v>4238</v>
      </c>
      <c r="F866" s="39">
        <v>12</v>
      </c>
      <c r="G866" s="118" t="s">
        <v>14</v>
      </c>
      <c r="H866" s="118" t="s">
        <v>145</v>
      </c>
      <c r="I866" s="206">
        <v>45090.455410219904</v>
      </c>
      <c r="J866" s="121">
        <v>45097.625</v>
      </c>
      <c r="K866" s="121">
        <v>45090.455410219904</v>
      </c>
      <c r="L866" s="206">
        <v>45097.625</v>
      </c>
      <c r="M866" s="211">
        <v>45092</v>
      </c>
      <c r="N866" s="207" t="s">
        <v>10</v>
      </c>
      <c r="O866" s="206" t="s">
        <v>27</v>
      </c>
      <c r="P866" s="38"/>
      <c r="Q866" s="121"/>
      <c r="R866" s="121"/>
      <c r="S866" s="19"/>
      <c r="T866" s="38"/>
      <c r="U866" s="65">
        <f>Tabla1[[#This Row],[PPTO]]/(1+'Lista Datos'!$B$1)</f>
        <v>0</v>
      </c>
      <c r="V866" s="64"/>
      <c r="W866" s="191"/>
      <c r="X866" s="122"/>
      <c r="Y866" s="122"/>
      <c r="Z866" s="123"/>
      <c r="AA866" s="118"/>
      <c r="AB866" s="118"/>
      <c r="AC866" s="118"/>
      <c r="AD866" s="118"/>
      <c r="AE866" s="145">
        <f>Tabla1[[#This Row],[Cierre]]+Tabla1[[#This Row],[Vigencia Oferta (días)]]</f>
        <v>45097.625</v>
      </c>
      <c r="AF866" s="65"/>
      <c r="AG866" s="181"/>
      <c r="AH866" s="192">
        <f>Tabla1[[#This Row],[Unidades2]]*Tabla1[[#This Row],[Precio Unitario]]</f>
        <v>0</v>
      </c>
      <c r="AI866" s="126" t="s">
        <v>270</v>
      </c>
      <c r="AJ866" s="149"/>
      <c r="AK866" s="149">
        <f>Tabla1[[#This Row],[Fecha Vigencia]]-AJ866</f>
        <v>45097.625</v>
      </c>
      <c r="AL866" s="65"/>
      <c r="AM866" s="90"/>
      <c r="AN866" s="65"/>
      <c r="AO866" s="217"/>
      <c r="AP866" s="65"/>
      <c r="AQ866" s="66"/>
      <c r="AR866" s="65"/>
      <c r="AS866" s="65"/>
      <c r="AT866" s="65"/>
      <c r="AU866" s="65"/>
      <c r="AV866" s="65"/>
      <c r="AW866" s="65"/>
      <c r="AX866" s="65"/>
      <c r="AY866" s="118"/>
      <c r="AZ866" s="118"/>
      <c r="BA866" s="118"/>
      <c r="BB866" s="124"/>
    </row>
    <row r="867" spans="1:54" x14ac:dyDescent="0.25">
      <c r="A867" s="117" t="s">
        <v>4239</v>
      </c>
      <c r="B867" s="118" t="s">
        <v>4240</v>
      </c>
      <c r="C867" s="118" t="s">
        <v>4241</v>
      </c>
      <c r="D867" s="119" t="s">
        <v>3229</v>
      </c>
      <c r="E867" s="38" t="s">
        <v>4242</v>
      </c>
      <c r="F867" s="39">
        <v>1</v>
      </c>
      <c r="G867" s="118" t="s">
        <v>16</v>
      </c>
      <c r="H867" s="118" t="s">
        <v>1983</v>
      </c>
      <c r="I867" s="206">
        <v>45090.454395601897</v>
      </c>
      <c r="J867" s="38">
        <v>45100.583333333299</v>
      </c>
      <c r="K867" s="38">
        <v>45090.454395601897</v>
      </c>
      <c r="L867" s="206">
        <v>45100.583333333299</v>
      </c>
      <c r="M867" s="211">
        <v>45092</v>
      </c>
      <c r="N867" s="207" t="s">
        <v>10</v>
      </c>
      <c r="O867" s="206" t="s">
        <v>33</v>
      </c>
      <c r="P867" s="38"/>
      <c r="Q867" s="121"/>
      <c r="R867" s="121"/>
      <c r="S867" s="19"/>
      <c r="T867" s="38"/>
      <c r="U867" s="65">
        <f>Tabla1[[#This Row],[PPTO]]/(1+'Lista Datos'!$B$1)</f>
        <v>0</v>
      </c>
      <c r="V867" s="64"/>
      <c r="W867" s="191"/>
      <c r="X867" s="122"/>
      <c r="Y867" s="122"/>
      <c r="Z867" s="123"/>
      <c r="AA867" s="118"/>
      <c r="AB867" s="118"/>
      <c r="AC867" s="118"/>
      <c r="AD867" s="118"/>
      <c r="AE867" s="145">
        <f>Tabla1[[#This Row],[Cierre]]+Tabla1[[#This Row],[Vigencia Oferta (días)]]</f>
        <v>45100.583333333299</v>
      </c>
      <c r="AF867" s="65"/>
      <c r="AG867" s="181"/>
      <c r="AH867" s="192">
        <f>Tabla1[[#This Row],[Unidades2]]*Tabla1[[#This Row],[Precio Unitario]]</f>
        <v>0</v>
      </c>
      <c r="AI867" s="126" t="s">
        <v>270</v>
      </c>
      <c r="AJ867" s="149"/>
      <c r="AK867" s="149">
        <f>Tabla1[[#This Row],[Fecha Vigencia]]-AJ867</f>
        <v>45100.583333333299</v>
      </c>
      <c r="AL867" s="65"/>
      <c r="AM867" s="90"/>
      <c r="AN867" s="65"/>
      <c r="AO867" s="217"/>
      <c r="AP867" s="65"/>
      <c r="AQ867" s="66"/>
      <c r="AR867" s="65"/>
      <c r="AS867" s="65"/>
      <c r="AT867" s="65"/>
      <c r="AU867" s="65"/>
      <c r="AV867" s="65"/>
      <c r="AW867" s="65"/>
      <c r="AX867" s="65"/>
      <c r="AY867" s="118"/>
      <c r="AZ867" s="118"/>
      <c r="BA867" s="118"/>
      <c r="BB867" s="124"/>
    </row>
    <row r="868" spans="1:54" x14ac:dyDescent="0.25">
      <c r="A868" s="117" t="s">
        <v>4243</v>
      </c>
      <c r="B868" s="118" t="s">
        <v>4244</v>
      </c>
      <c r="C868" s="118" t="s">
        <v>4245</v>
      </c>
      <c r="D868" s="119" t="s">
        <v>471</v>
      </c>
      <c r="E868" s="38" t="s">
        <v>4246</v>
      </c>
      <c r="F868" s="39">
        <v>20</v>
      </c>
      <c r="G868" s="118" t="s">
        <v>21</v>
      </c>
      <c r="H868" s="118" t="s">
        <v>106</v>
      </c>
      <c r="I868" s="206">
        <v>45092.641811111098</v>
      </c>
      <c r="J868" s="38">
        <v>45104.6875</v>
      </c>
      <c r="K868" s="38">
        <v>45092.641811111098</v>
      </c>
      <c r="L868" s="206">
        <v>45104.6875</v>
      </c>
      <c r="M868" s="211">
        <v>45093</v>
      </c>
      <c r="N868" s="207" t="s">
        <v>10</v>
      </c>
      <c r="O868" s="206" t="s">
        <v>35</v>
      </c>
      <c r="P868" s="38"/>
      <c r="Q868" s="147">
        <v>45096.6875</v>
      </c>
      <c r="R868" s="147">
        <v>45099.708333333336</v>
      </c>
      <c r="S868" s="148">
        <v>45133.781944444447</v>
      </c>
      <c r="T868" s="215">
        <v>45000000</v>
      </c>
      <c r="U868" s="214">
        <f>Tabla1[[#This Row],[PPTO]]/(1+'Lista Datos'!$B$1)</f>
        <v>37815126.050420173</v>
      </c>
      <c r="V868" s="64"/>
      <c r="W868" s="191" t="s">
        <v>10</v>
      </c>
      <c r="X868" s="122"/>
      <c r="Y868" s="122"/>
      <c r="Z868" s="123" t="s">
        <v>10</v>
      </c>
      <c r="AA868" s="118" t="s">
        <v>512</v>
      </c>
      <c r="AB868" s="118"/>
      <c r="AC868" s="118"/>
      <c r="AD868" s="118"/>
      <c r="AE868" s="145">
        <f>Tabla1[[#This Row],[Cierre]]+Tabla1[[#This Row],[Vigencia Oferta (días)]]</f>
        <v>45104.6875</v>
      </c>
      <c r="AF868" s="65"/>
      <c r="AG868" s="181"/>
      <c r="AH868" s="192">
        <f>Tabla1[[#This Row],[Unidades2]]*Tabla1[[#This Row],[Precio Unitario]]</f>
        <v>0</v>
      </c>
      <c r="AI868" s="126" t="s">
        <v>270</v>
      </c>
      <c r="AJ868" s="149"/>
      <c r="AK868" s="149">
        <f>Tabla1[[#This Row],[Fecha Vigencia]]-AJ868</f>
        <v>45104.6875</v>
      </c>
      <c r="AL868" s="65"/>
      <c r="AM868" s="90"/>
      <c r="AN868" s="65"/>
      <c r="AO868" s="217"/>
      <c r="AP868" s="65"/>
      <c r="AQ868" s="66"/>
      <c r="AR868" s="65"/>
      <c r="AS868" s="65"/>
      <c r="AT868" s="65"/>
      <c r="AU868" s="65"/>
      <c r="AV868" s="65"/>
      <c r="AW868" s="65"/>
      <c r="AX868" s="65"/>
      <c r="AY868" s="118"/>
      <c r="AZ868" s="118"/>
      <c r="BA868" s="118"/>
      <c r="BB868" s="124"/>
    </row>
    <row r="869" spans="1:54" x14ac:dyDescent="0.25">
      <c r="A869" s="153" t="s">
        <v>4247</v>
      </c>
      <c r="B869" s="30" t="s">
        <v>4248</v>
      </c>
      <c r="C869" s="30" t="s">
        <v>4249</v>
      </c>
      <c r="D869" s="84" t="s">
        <v>4250</v>
      </c>
      <c r="E869" s="24" t="s">
        <v>4251</v>
      </c>
      <c r="F869" s="25">
        <v>3</v>
      </c>
      <c r="G869" s="30" t="s">
        <v>21</v>
      </c>
      <c r="H869" s="30" t="s">
        <v>106</v>
      </c>
      <c r="I869" s="203">
        <v>45092.5082791319</v>
      </c>
      <c r="J869" s="38">
        <v>45100.5</v>
      </c>
      <c r="K869" s="38">
        <v>45092.5082791319</v>
      </c>
      <c r="L869" s="203">
        <v>45100.5</v>
      </c>
      <c r="M869" s="204">
        <v>45093</v>
      </c>
      <c r="N869" s="205" t="s">
        <v>10</v>
      </c>
      <c r="O869" s="203" t="s">
        <v>27</v>
      </c>
      <c r="P869" s="24"/>
      <c r="Q869" s="60"/>
      <c r="R869" s="60"/>
      <c r="S869" s="18"/>
      <c r="T869" s="24"/>
      <c r="U869" s="68">
        <f>Tabla1[[#This Row],[PPTO]]/(1+'Lista Datos'!$B$1)</f>
        <v>0</v>
      </c>
      <c r="V869" s="67"/>
      <c r="W869" s="193"/>
      <c r="X869" s="127"/>
      <c r="Y869" s="127"/>
      <c r="Z869" s="154"/>
      <c r="AA869" s="30"/>
      <c r="AB869" s="30"/>
      <c r="AC869" s="30"/>
      <c r="AD869" s="30"/>
      <c r="AE869" s="145">
        <f>Tabla1[[#This Row],[Cierre]]+Tabla1[[#This Row],[Vigencia Oferta (días)]]</f>
        <v>45100.5</v>
      </c>
      <c r="AF869" s="68"/>
      <c r="AG869" s="157"/>
      <c r="AH869" s="194">
        <f>Tabla1[[#This Row],[Unidades2]]*Tabla1[[#This Row],[Precio Unitario]]</f>
        <v>0</v>
      </c>
      <c r="AI869" s="97" t="s">
        <v>270</v>
      </c>
      <c r="AJ869" s="149"/>
      <c r="AK869" s="149">
        <f>Tabla1[[#This Row],[Fecha Vigencia]]-AJ869</f>
        <v>45100.5</v>
      </c>
      <c r="AL869" s="68"/>
      <c r="AM869" s="91"/>
      <c r="AN869" s="68"/>
      <c r="AO869" s="218"/>
      <c r="AP869" s="68"/>
      <c r="AQ869" s="69"/>
      <c r="AR869" s="68"/>
      <c r="AS869" s="68"/>
      <c r="AT869" s="68"/>
      <c r="AU869" s="68"/>
      <c r="AV869" s="68"/>
      <c r="AW869" s="68"/>
      <c r="AX869" s="68"/>
      <c r="AY869" s="30"/>
      <c r="AZ869" s="30"/>
      <c r="BA869" s="30"/>
      <c r="BB869" s="75"/>
    </row>
    <row r="870" spans="1:54" x14ac:dyDescent="0.25">
      <c r="A870" s="117" t="s">
        <v>4252</v>
      </c>
      <c r="B870" s="118" t="s">
        <v>4253</v>
      </c>
      <c r="C870" s="118" t="s">
        <v>4254</v>
      </c>
      <c r="D870" s="119" t="s">
        <v>829</v>
      </c>
      <c r="E870" s="38" t="s">
        <v>4255</v>
      </c>
      <c r="F870" s="39">
        <v>1</v>
      </c>
      <c r="G870" s="118" t="s">
        <v>18</v>
      </c>
      <c r="H870" s="118" t="s">
        <v>213</v>
      </c>
      <c r="I870" s="206">
        <v>45092.471353159701</v>
      </c>
      <c r="J870" s="121">
        <v>45100.702777777798</v>
      </c>
      <c r="K870" s="121">
        <v>45092.471353159701</v>
      </c>
      <c r="L870" s="206">
        <v>45100.702777777798</v>
      </c>
      <c r="M870" s="211">
        <v>45093</v>
      </c>
      <c r="N870" s="207" t="s">
        <v>10</v>
      </c>
      <c r="O870" s="206" t="s">
        <v>28</v>
      </c>
      <c r="P870" s="38"/>
      <c r="Q870" s="121"/>
      <c r="R870" s="121"/>
      <c r="S870" s="19"/>
      <c r="T870" s="38"/>
      <c r="U870" s="65">
        <f>Tabla1[[#This Row],[PPTO]]/(1+'Lista Datos'!$B$1)</f>
        <v>0</v>
      </c>
      <c r="V870" s="64"/>
      <c r="W870" s="191"/>
      <c r="X870" s="122"/>
      <c r="Y870" s="122"/>
      <c r="Z870" s="123"/>
      <c r="AA870" s="118"/>
      <c r="AB870" s="118"/>
      <c r="AC870" s="118"/>
      <c r="AD870" s="118"/>
      <c r="AE870" s="145">
        <f>Tabla1[[#This Row],[Cierre]]+Tabla1[[#This Row],[Vigencia Oferta (días)]]</f>
        <v>45100.702777777798</v>
      </c>
      <c r="AF870" s="65"/>
      <c r="AG870" s="181"/>
      <c r="AH870" s="192">
        <f>Tabla1[[#This Row],[Unidades2]]*Tabla1[[#This Row],[Precio Unitario]]</f>
        <v>0</v>
      </c>
      <c r="AI870" s="126" t="s">
        <v>270</v>
      </c>
      <c r="AJ870" s="149"/>
      <c r="AK870" s="149">
        <f>Tabla1[[#This Row],[Fecha Vigencia]]-AJ870</f>
        <v>45100.702777777798</v>
      </c>
      <c r="AL870" s="65"/>
      <c r="AM870" s="90"/>
      <c r="AN870" s="65"/>
      <c r="AO870" s="217"/>
      <c r="AP870" s="65"/>
      <c r="AQ870" s="66"/>
      <c r="AR870" s="65"/>
      <c r="AS870" s="65"/>
      <c r="AT870" s="65"/>
      <c r="AU870" s="65"/>
      <c r="AV870" s="65"/>
      <c r="AW870" s="65"/>
      <c r="AX870" s="65"/>
      <c r="AY870" s="118"/>
      <c r="AZ870" s="118"/>
      <c r="BA870" s="118"/>
      <c r="BB870" s="124"/>
    </row>
    <row r="871" spans="1:54" x14ac:dyDescent="0.25">
      <c r="A871" s="153" t="s">
        <v>4256</v>
      </c>
      <c r="B871" s="30" t="s">
        <v>2660</v>
      </c>
      <c r="C871" s="30" t="s">
        <v>4257</v>
      </c>
      <c r="D871" s="84" t="s">
        <v>770</v>
      </c>
      <c r="E871" s="24" t="s">
        <v>2662</v>
      </c>
      <c r="F871" s="25">
        <v>1</v>
      </c>
      <c r="G871" s="30" t="s">
        <v>16</v>
      </c>
      <c r="H871" s="30" t="s">
        <v>123</v>
      </c>
      <c r="I871" s="203">
        <v>45094.517525381903</v>
      </c>
      <c r="J871" s="38">
        <v>45125.729861111096</v>
      </c>
      <c r="K871" s="38">
        <v>45094.517525381903</v>
      </c>
      <c r="L871" s="203">
        <v>45152.729861111111</v>
      </c>
      <c r="M871" s="204">
        <v>45096</v>
      </c>
      <c r="N871" s="205" t="s">
        <v>11</v>
      </c>
      <c r="O871" s="203"/>
      <c r="P871" s="24"/>
      <c r="Q871" s="160">
        <v>45100.563888888886</v>
      </c>
      <c r="R871" s="160">
        <v>45104.563888888886</v>
      </c>
      <c r="S871" s="161">
        <v>45128.730555555558</v>
      </c>
      <c r="T871" s="24"/>
      <c r="U871" s="68">
        <f>Tabla1[[#This Row],[PPTO]]/(1+'Lista Datos'!$B$1)</f>
        <v>0</v>
      </c>
      <c r="V871" s="67"/>
      <c r="W871" s="193" t="s">
        <v>11</v>
      </c>
      <c r="X871" s="223" t="s">
        <v>4258</v>
      </c>
      <c r="Y871" s="104">
        <v>45216</v>
      </c>
      <c r="Z871" s="154" t="s">
        <v>11</v>
      </c>
      <c r="AA871" s="30" t="s">
        <v>177</v>
      </c>
      <c r="AB871" s="30">
        <v>36</v>
      </c>
      <c r="AC871" s="30"/>
      <c r="AD871" s="30"/>
      <c r="AE871" s="145">
        <f>Tabla1[[#This Row],[Cierre]]+Tabla1[[#This Row],[Vigencia Oferta (días)]]</f>
        <v>45152.729861111111</v>
      </c>
      <c r="AF871" s="68"/>
      <c r="AG871" s="157"/>
      <c r="AH871" s="194">
        <f>Tabla1[[#This Row],[Unidades2]]*Tabla1[[#This Row],[Precio Unitario]]</f>
        <v>0</v>
      </c>
      <c r="AI871" s="97" t="s">
        <v>385</v>
      </c>
      <c r="AJ871" s="149"/>
      <c r="AK871" s="149">
        <f>Tabla1[[#This Row],[Fecha Vigencia]]-AJ871</f>
        <v>45152.729861111111</v>
      </c>
      <c r="AL871" s="68"/>
      <c r="AM871" s="91"/>
      <c r="AN871" s="68"/>
      <c r="AO871" s="218"/>
      <c r="AP871" s="68"/>
      <c r="AQ871" s="69"/>
      <c r="AR871" s="68"/>
      <c r="AS871" s="68"/>
      <c r="AT871" s="68"/>
      <c r="AU871" s="68"/>
      <c r="AV871" s="68"/>
      <c r="AW871" s="68"/>
      <c r="AX871" s="68"/>
      <c r="AY871" s="30"/>
      <c r="AZ871" s="30"/>
      <c r="BA871" s="30"/>
      <c r="BB871" s="75"/>
    </row>
    <row r="872" spans="1:54" x14ac:dyDescent="0.25">
      <c r="A872" s="117" t="s">
        <v>4259</v>
      </c>
      <c r="B872" s="118" t="s">
        <v>4260</v>
      </c>
      <c r="C872" s="118" t="s">
        <v>4260</v>
      </c>
      <c r="D872" s="119" t="s">
        <v>2569</v>
      </c>
      <c r="E872" s="38" t="s">
        <v>4261</v>
      </c>
      <c r="F872" s="39">
        <v>40</v>
      </c>
      <c r="G872" s="118" t="s">
        <v>14</v>
      </c>
      <c r="H872" s="118" t="s">
        <v>123</v>
      </c>
      <c r="I872" s="206">
        <v>45093.882838773097</v>
      </c>
      <c r="J872" s="121">
        <v>45104.627777777801</v>
      </c>
      <c r="K872" s="121">
        <v>45093.882838773097</v>
      </c>
      <c r="L872" s="206">
        <v>45104.627777777801</v>
      </c>
      <c r="M872" s="211">
        <v>45096</v>
      </c>
      <c r="N872" s="207" t="s">
        <v>10</v>
      </c>
      <c r="O872" s="206" t="s">
        <v>25</v>
      </c>
      <c r="P872" s="38"/>
      <c r="Q872" s="147">
        <v>45099.625694444447</v>
      </c>
      <c r="R872" s="147">
        <v>45100.627083333333</v>
      </c>
      <c r="S872" s="148">
        <v>45124.629166666666</v>
      </c>
      <c r="T872" s="38"/>
      <c r="U872" s="65">
        <f>Tabla1[[#This Row],[PPTO]]/(1+'Lista Datos'!$B$1)</f>
        <v>0</v>
      </c>
      <c r="V872" s="64"/>
      <c r="W872" s="191" t="s">
        <v>10</v>
      </c>
      <c r="X872" s="122"/>
      <c r="Y872" s="122"/>
      <c r="Z872" s="123" t="s">
        <v>10</v>
      </c>
      <c r="AA872" s="118" t="s">
        <v>512</v>
      </c>
      <c r="AB872" s="118"/>
      <c r="AC872" s="118"/>
      <c r="AD872" s="118"/>
      <c r="AE872" s="145">
        <f>Tabla1[[#This Row],[Cierre]]+Tabla1[[#This Row],[Vigencia Oferta (días)]]</f>
        <v>45104.627777777801</v>
      </c>
      <c r="AF872" s="65"/>
      <c r="AG872" s="181"/>
      <c r="AH872" s="192">
        <f>Tabla1[[#This Row],[Unidades2]]*Tabla1[[#This Row],[Precio Unitario]]</f>
        <v>0</v>
      </c>
      <c r="AI872" s="126" t="s">
        <v>270</v>
      </c>
      <c r="AJ872" s="149"/>
      <c r="AK872" s="149">
        <f>Tabla1[[#This Row],[Fecha Vigencia]]-AJ872</f>
        <v>45104.627777777801</v>
      </c>
      <c r="AL872" s="65"/>
      <c r="AM872" s="90"/>
      <c r="AN872" s="65"/>
      <c r="AO872" s="217"/>
      <c r="AP872" s="65"/>
      <c r="AQ872" s="66"/>
      <c r="AR872" s="65"/>
      <c r="AS872" s="65"/>
      <c r="AT872" s="65"/>
      <c r="AU872" s="65"/>
      <c r="AV872" s="65"/>
      <c r="AW872" s="65"/>
      <c r="AX872" s="65"/>
      <c r="AY872" s="118"/>
      <c r="AZ872" s="118"/>
      <c r="BA872" s="118"/>
      <c r="BB872" s="124"/>
    </row>
    <row r="873" spans="1:54" x14ac:dyDescent="0.25">
      <c r="A873" s="117" t="s">
        <v>4262</v>
      </c>
      <c r="B873" s="118" t="s">
        <v>4263</v>
      </c>
      <c r="C873" s="118" t="s">
        <v>4264</v>
      </c>
      <c r="D873" s="119" t="s">
        <v>1103</v>
      </c>
      <c r="E873" s="38" t="s">
        <v>4265</v>
      </c>
      <c r="F873" s="39">
        <v>1</v>
      </c>
      <c r="G873" s="118" t="s">
        <v>18</v>
      </c>
      <c r="H873" s="118" t="s">
        <v>213</v>
      </c>
      <c r="I873" s="206">
        <v>45093.684669675902</v>
      </c>
      <c r="J873" s="38">
        <v>45104.646527777797</v>
      </c>
      <c r="K873" s="38">
        <v>45093.684669675902</v>
      </c>
      <c r="L873" s="206">
        <v>45104.646527777797</v>
      </c>
      <c r="M873" s="211">
        <v>45096</v>
      </c>
      <c r="N873" s="207" t="s">
        <v>10</v>
      </c>
      <c r="O873" s="206" t="s">
        <v>28</v>
      </c>
      <c r="P873" s="38"/>
      <c r="Q873" s="121"/>
      <c r="R873" s="121"/>
      <c r="S873" s="19"/>
      <c r="T873" s="38"/>
      <c r="U873" s="65">
        <f>Tabla1[[#This Row],[PPTO]]/(1+'Lista Datos'!$B$1)</f>
        <v>0</v>
      </c>
      <c r="V873" s="64"/>
      <c r="W873" s="191"/>
      <c r="X873" s="122"/>
      <c r="Y873" s="122"/>
      <c r="Z873" s="123"/>
      <c r="AA873" s="118"/>
      <c r="AB873" s="118"/>
      <c r="AC873" s="118"/>
      <c r="AD873" s="118"/>
      <c r="AE873" s="145">
        <f>Tabla1[[#This Row],[Cierre]]+Tabla1[[#This Row],[Vigencia Oferta (días)]]</f>
        <v>45104.646527777797</v>
      </c>
      <c r="AF873" s="65"/>
      <c r="AG873" s="181"/>
      <c r="AH873" s="192">
        <f>Tabla1[[#This Row],[Unidades2]]*Tabla1[[#This Row],[Precio Unitario]]</f>
        <v>0</v>
      </c>
      <c r="AI873" s="126" t="s">
        <v>270</v>
      </c>
      <c r="AJ873" s="149"/>
      <c r="AK873" s="149">
        <f>Tabla1[[#This Row],[Fecha Vigencia]]-AJ873</f>
        <v>45104.646527777797</v>
      </c>
      <c r="AL873" s="65"/>
      <c r="AM873" s="90"/>
      <c r="AN873" s="65"/>
      <c r="AO873" s="217"/>
      <c r="AP873" s="65"/>
      <c r="AQ873" s="66"/>
      <c r="AR873" s="65"/>
      <c r="AS873" s="65"/>
      <c r="AT873" s="65"/>
      <c r="AU873" s="65"/>
      <c r="AV873" s="65"/>
      <c r="AW873" s="65"/>
      <c r="AX873" s="65"/>
      <c r="AY873" s="118"/>
      <c r="AZ873" s="118"/>
      <c r="BA873" s="118"/>
      <c r="BB873" s="124"/>
    </row>
    <row r="874" spans="1:54" x14ac:dyDescent="0.25">
      <c r="A874" s="153" t="s">
        <v>4266</v>
      </c>
      <c r="B874" s="30" t="s">
        <v>4267</v>
      </c>
      <c r="C874" s="30" t="s">
        <v>4268</v>
      </c>
      <c r="D874" s="84" t="s">
        <v>2787</v>
      </c>
      <c r="E874" s="24" t="s">
        <v>4267</v>
      </c>
      <c r="F874" s="25">
        <v>1</v>
      </c>
      <c r="G874" s="30" t="s">
        <v>15</v>
      </c>
      <c r="H874" s="30" t="s">
        <v>114</v>
      </c>
      <c r="I874" s="203">
        <v>45093.619925694402</v>
      </c>
      <c r="J874" s="38">
        <v>45105.625</v>
      </c>
      <c r="K874" s="38">
        <v>45093.619925694402</v>
      </c>
      <c r="L874" s="203">
        <v>45105.625</v>
      </c>
      <c r="M874" s="204">
        <v>45096</v>
      </c>
      <c r="N874" s="205" t="s">
        <v>10</v>
      </c>
      <c r="O874" s="203" t="s">
        <v>25</v>
      </c>
      <c r="P874" s="24"/>
      <c r="Q874" s="160">
        <v>45097.623611111114</v>
      </c>
      <c r="R874" s="160">
        <v>45099.623611111114</v>
      </c>
      <c r="S874" s="161">
        <v>45133.623611111114</v>
      </c>
      <c r="T874" s="210">
        <v>6000000</v>
      </c>
      <c r="U874" s="209">
        <f>Tabla1[[#This Row],[PPTO]]/(1+'Lista Datos'!$B$1)</f>
        <v>5042016.8067226894</v>
      </c>
      <c r="V874" s="67"/>
      <c r="W874" s="193" t="s">
        <v>10</v>
      </c>
      <c r="X874" s="127"/>
      <c r="Y874" s="127"/>
      <c r="Z874" s="154" t="s">
        <v>10</v>
      </c>
      <c r="AA874" s="30" t="s">
        <v>512</v>
      </c>
      <c r="AB874" s="30"/>
      <c r="AC874" s="30"/>
      <c r="AD874" s="30"/>
      <c r="AE874" s="145">
        <f>Tabla1[[#This Row],[Cierre]]+Tabla1[[#This Row],[Vigencia Oferta (días)]]</f>
        <v>45105.625</v>
      </c>
      <c r="AF874" s="68"/>
      <c r="AG874" s="157"/>
      <c r="AH874" s="194">
        <f>Tabla1[[#This Row],[Unidades2]]*Tabla1[[#This Row],[Precio Unitario]]</f>
        <v>0</v>
      </c>
      <c r="AI874" s="97" t="s">
        <v>270</v>
      </c>
      <c r="AJ874" s="149"/>
      <c r="AK874" s="149">
        <f>Tabla1[[#This Row],[Fecha Vigencia]]-AJ874</f>
        <v>45105.625</v>
      </c>
      <c r="AL874" s="68"/>
      <c r="AM874" s="91"/>
      <c r="AN874" s="68"/>
      <c r="AO874" s="218"/>
      <c r="AP874" s="68"/>
      <c r="AQ874" s="69"/>
      <c r="AR874" s="68"/>
      <c r="AS874" s="68"/>
      <c r="AT874" s="68"/>
      <c r="AU874" s="68"/>
      <c r="AV874" s="68"/>
      <c r="AW874" s="68"/>
      <c r="AX874" s="68"/>
      <c r="AY874" s="30"/>
      <c r="AZ874" s="30"/>
      <c r="BA874" s="30"/>
      <c r="BB874" s="75"/>
    </row>
    <row r="875" spans="1:54" x14ac:dyDescent="0.25">
      <c r="A875" s="153" t="s">
        <v>4269</v>
      </c>
      <c r="B875" s="30" t="s">
        <v>4270</v>
      </c>
      <c r="C875" s="30" t="s">
        <v>4271</v>
      </c>
      <c r="D875" s="84" t="s">
        <v>264</v>
      </c>
      <c r="E875" s="24" t="s">
        <v>4271</v>
      </c>
      <c r="F875" s="25">
        <v>1</v>
      </c>
      <c r="G875" s="30" t="s">
        <v>18</v>
      </c>
      <c r="H875" s="30" t="s">
        <v>213</v>
      </c>
      <c r="I875" s="203">
        <v>45093.480279780102</v>
      </c>
      <c r="J875" s="121">
        <v>45104.625694444403</v>
      </c>
      <c r="K875" s="121">
        <v>45093.480279780102</v>
      </c>
      <c r="L875" s="203">
        <v>45104.625694444403</v>
      </c>
      <c r="M875" s="204">
        <v>45096</v>
      </c>
      <c r="N875" s="205" t="s">
        <v>10</v>
      </c>
      <c r="O875" s="203" t="s">
        <v>28</v>
      </c>
      <c r="P875" s="24"/>
      <c r="Q875" s="60"/>
      <c r="R875" s="60"/>
      <c r="S875" s="18"/>
      <c r="T875" s="24"/>
      <c r="U875" s="68">
        <f>Tabla1[[#This Row],[PPTO]]/(1+'Lista Datos'!$B$1)</f>
        <v>0</v>
      </c>
      <c r="V875" s="67"/>
      <c r="W875" s="193"/>
      <c r="X875" s="127"/>
      <c r="Y875" s="127"/>
      <c r="Z875" s="154"/>
      <c r="AA875" s="30"/>
      <c r="AB875" s="30"/>
      <c r="AC875" s="30"/>
      <c r="AD875" s="30"/>
      <c r="AE875" s="145">
        <f>Tabla1[[#This Row],[Cierre]]+Tabla1[[#This Row],[Vigencia Oferta (días)]]</f>
        <v>45104.625694444403</v>
      </c>
      <c r="AF875" s="68"/>
      <c r="AG875" s="157"/>
      <c r="AH875" s="194">
        <f>Tabla1[[#This Row],[Unidades2]]*Tabla1[[#This Row],[Precio Unitario]]</f>
        <v>0</v>
      </c>
      <c r="AI875" s="97" t="s">
        <v>270</v>
      </c>
      <c r="AJ875" s="149"/>
      <c r="AK875" s="149">
        <f>Tabla1[[#This Row],[Fecha Vigencia]]-AJ875</f>
        <v>45104.625694444403</v>
      </c>
      <c r="AL875" s="68"/>
      <c r="AM875" s="91"/>
      <c r="AN875" s="68"/>
      <c r="AO875" s="218"/>
      <c r="AP875" s="68"/>
      <c r="AQ875" s="69"/>
      <c r="AR875" s="68"/>
      <c r="AS875" s="68"/>
      <c r="AT875" s="68"/>
      <c r="AU875" s="68"/>
      <c r="AV875" s="68"/>
      <c r="AW875" s="68"/>
      <c r="AX875" s="68"/>
      <c r="AY875" s="30"/>
      <c r="AZ875" s="30"/>
      <c r="BA875" s="30"/>
      <c r="BB875" s="75"/>
    </row>
    <row r="876" spans="1:54" x14ac:dyDescent="0.25">
      <c r="A876" s="117" t="s">
        <v>4272</v>
      </c>
      <c r="B876" s="118" t="s">
        <v>3815</v>
      </c>
      <c r="C876" s="118" t="s">
        <v>4273</v>
      </c>
      <c r="D876" s="119" t="s">
        <v>829</v>
      </c>
      <c r="E876" s="38" t="s">
        <v>4274</v>
      </c>
      <c r="F876" s="39">
        <v>3</v>
      </c>
      <c r="G876" s="118" t="s">
        <v>16</v>
      </c>
      <c r="H876" s="118" t="s">
        <v>533</v>
      </c>
      <c r="I876" s="206">
        <v>45093.362881481502</v>
      </c>
      <c r="J876" s="121">
        <v>45104.625</v>
      </c>
      <c r="K876" s="121">
        <v>45093.362881481502</v>
      </c>
      <c r="L876" s="206">
        <v>45104.625</v>
      </c>
      <c r="M876" s="211">
        <v>45096</v>
      </c>
      <c r="N876" s="207" t="s">
        <v>10</v>
      </c>
      <c r="O876" s="206" t="s">
        <v>33</v>
      </c>
      <c r="P876" s="38"/>
      <c r="Q876" s="147">
        <v>45096.345833333333</v>
      </c>
      <c r="R876" s="147">
        <v>45097.554166666669</v>
      </c>
      <c r="S876" s="148">
        <v>45125.595833333333</v>
      </c>
      <c r="T876" s="215">
        <v>3213000</v>
      </c>
      <c r="U876" s="214">
        <f>Tabla1[[#This Row],[PPTO]]/(1+'Lista Datos'!$B$1)</f>
        <v>2700000</v>
      </c>
      <c r="V876" s="64"/>
      <c r="W876" s="191" t="s">
        <v>10</v>
      </c>
      <c r="X876" s="122"/>
      <c r="Y876" s="122"/>
      <c r="Z876" s="123" t="s">
        <v>10</v>
      </c>
      <c r="AA876" s="118" t="s">
        <v>512</v>
      </c>
      <c r="AB876" s="118"/>
      <c r="AC876" s="118"/>
      <c r="AD876" s="118"/>
      <c r="AE876" s="145">
        <f>Tabla1[[#This Row],[Cierre]]+Tabla1[[#This Row],[Vigencia Oferta (días)]]</f>
        <v>45104.625</v>
      </c>
      <c r="AF876" s="65"/>
      <c r="AG876" s="181"/>
      <c r="AH876" s="192">
        <f>Tabla1[[#This Row],[Unidades2]]*Tabla1[[#This Row],[Precio Unitario]]</f>
        <v>0</v>
      </c>
      <c r="AI876" s="126" t="s">
        <v>270</v>
      </c>
      <c r="AJ876" s="149"/>
      <c r="AK876" s="149">
        <f>Tabla1[[#This Row],[Fecha Vigencia]]-AJ876</f>
        <v>45104.625</v>
      </c>
      <c r="AL876" s="65"/>
      <c r="AM876" s="90"/>
      <c r="AN876" s="65"/>
      <c r="AO876" s="217"/>
      <c r="AP876" s="65"/>
      <c r="AQ876" s="66"/>
      <c r="AR876" s="65"/>
      <c r="AS876" s="65"/>
      <c r="AT876" s="65"/>
      <c r="AU876" s="65"/>
      <c r="AV876" s="65"/>
      <c r="AW876" s="65"/>
      <c r="AX876" s="65"/>
      <c r="AY876" s="118"/>
      <c r="AZ876" s="118"/>
      <c r="BA876" s="118"/>
      <c r="BB876" s="124"/>
    </row>
    <row r="877" spans="1:54" x14ac:dyDescent="0.25">
      <c r="A877" s="117" t="s">
        <v>4275</v>
      </c>
      <c r="B877" s="118" t="s">
        <v>4276</v>
      </c>
      <c r="C877" s="118" t="s">
        <v>3119</v>
      </c>
      <c r="D877" s="119" t="s">
        <v>291</v>
      </c>
      <c r="E877" s="38" t="s">
        <v>3119</v>
      </c>
      <c r="F877" s="39">
        <v>1</v>
      </c>
      <c r="G877" s="118" t="s">
        <v>16</v>
      </c>
      <c r="H877" s="118" t="s">
        <v>145</v>
      </c>
      <c r="I877" s="206">
        <v>45096.670486493102</v>
      </c>
      <c r="J877" s="38">
        <v>45105.666666666701</v>
      </c>
      <c r="K877" s="38">
        <v>45096.670486493102</v>
      </c>
      <c r="L877" s="206">
        <v>45105.666666666701</v>
      </c>
      <c r="M877" s="211">
        <v>45097</v>
      </c>
      <c r="N877" s="207" t="s">
        <v>10</v>
      </c>
      <c r="O877" s="206" t="s">
        <v>29</v>
      </c>
      <c r="P877" s="38"/>
      <c r="Q877" s="121"/>
      <c r="R877" s="121"/>
      <c r="S877" s="19"/>
      <c r="T877" s="38"/>
      <c r="U877" s="65">
        <f>Tabla1[[#This Row],[PPTO]]/(1+'Lista Datos'!$B$1)</f>
        <v>0</v>
      </c>
      <c r="V877" s="64"/>
      <c r="W877" s="191"/>
      <c r="X877" s="122"/>
      <c r="Y877" s="122"/>
      <c r="Z877" s="123"/>
      <c r="AA877" s="118"/>
      <c r="AB877" s="118"/>
      <c r="AC877" s="118"/>
      <c r="AD877" s="118"/>
      <c r="AE877" s="145">
        <f>Tabla1[[#This Row],[Cierre]]+Tabla1[[#This Row],[Vigencia Oferta (días)]]</f>
        <v>45105.666666666701</v>
      </c>
      <c r="AF877" s="65"/>
      <c r="AG877" s="181"/>
      <c r="AH877" s="192">
        <f>Tabla1[[#This Row],[Unidades2]]*Tabla1[[#This Row],[Precio Unitario]]</f>
        <v>0</v>
      </c>
      <c r="AI877" s="126" t="s">
        <v>270</v>
      </c>
      <c r="AJ877" s="149"/>
      <c r="AK877" s="149">
        <f>Tabla1[[#This Row],[Fecha Vigencia]]-AJ877</f>
        <v>45105.666666666701</v>
      </c>
      <c r="AL877" s="65"/>
      <c r="AM877" s="90"/>
      <c r="AN877" s="65"/>
      <c r="AO877" s="217"/>
      <c r="AP877" s="65"/>
      <c r="AQ877" s="66"/>
      <c r="AR877" s="65"/>
      <c r="AS877" s="65"/>
      <c r="AT877" s="65"/>
      <c r="AU877" s="65"/>
      <c r="AV877" s="65"/>
      <c r="AW877" s="65"/>
      <c r="AX877" s="65"/>
      <c r="AY877" s="118"/>
      <c r="AZ877" s="118"/>
      <c r="BA877" s="118"/>
      <c r="BB877" s="124"/>
    </row>
    <row r="878" spans="1:54" x14ac:dyDescent="0.25">
      <c r="A878" s="153" t="s">
        <v>4277</v>
      </c>
      <c r="B878" s="30" t="s">
        <v>4278</v>
      </c>
      <c r="C878" s="30" t="s">
        <v>4279</v>
      </c>
      <c r="D878" s="84" t="s">
        <v>770</v>
      </c>
      <c r="E878" s="24" t="s">
        <v>4280</v>
      </c>
      <c r="F878" s="25">
        <v>1</v>
      </c>
      <c r="G878" s="30" t="s">
        <v>21</v>
      </c>
      <c r="H878" s="30" t="s">
        <v>106</v>
      </c>
      <c r="I878" s="203">
        <v>45097.710917824101</v>
      </c>
      <c r="J878" s="38">
        <v>45119.633333333302</v>
      </c>
      <c r="K878" s="38">
        <v>45097.710917824101</v>
      </c>
      <c r="L878" s="203">
        <v>45119.633333333302</v>
      </c>
      <c r="M878" s="204">
        <v>45099</v>
      </c>
      <c r="N878" s="205" t="s">
        <v>10</v>
      </c>
      <c r="O878" s="203" t="s">
        <v>34</v>
      </c>
      <c r="P878" s="24"/>
      <c r="Q878" s="60"/>
      <c r="R878" s="60"/>
      <c r="S878" s="18"/>
      <c r="T878" s="24"/>
      <c r="U878" s="68">
        <f>Tabla1[[#This Row],[PPTO]]/(1+'Lista Datos'!$B$1)</f>
        <v>0</v>
      </c>
      <c r="V878" s="67"/>
      <c r="W878" s="193"/>
      <c r="X878" s="127"/>
      <c r="Y878" s="127"/>
      <c r="Z878" s="154"/>
      <c r="AA878" s="30"/>
      <c r="AB878" s="30"/>
      <c r="AC878" s="30"/>
      <c r="AD878" s="30"/>
      <c r="AE878" s="145">
        <f>Tabla1[[#This Row],[Cierre]]+Tabla1[[#This Row],[Vigencia Oferta (días)]]</f>
        <v>45119.633333333302</v>
      </c>
      <c r="AF878" s="68"/>
      <c r="AG878" s="157"/>
      <c r="AH878" s="194">
        <f>Tabla1[[#This Row],[Unidades2]]*Tabla1[[#This Row],[Precio Unitario]]</f>
        <v>0</v>
      </c>
      <c r="AI878" s="97" t="s">
        <v>270</v>
      </c>
      <c r="AJ878" s="149"/>
      <c r="AK878" s="149">
        <f>Tabla1[[#This Row],[Fecha Vigencia]]-AJ878</f>
        <v>45119.633333333302</v>
      </c>
      <c r="AL878" s="68"/>
      <c r="AM878" s="91"/>
      <c r="AN878" s="68"/>
      <c r="AO878" s="218"/>
      <c r="AP878" s="68"/>
      <c r="AQ878" s="69"/>
      <c r="AR878" s="68"/>
      <c r="AS878" s="68"/>
      <c r="AT878" s="68"/>
      <c r="AU878" s="68"/>
      <c r="AV878" s="68"/>
      <c r="AW878" s="68"/>
      <c r="AX878" s="68"/>
      <c r="AY878" s="30"/>
      <c r="AZ878" s="30"/>
      <c r="BA878" s="30"/>
      <c r="BB878" s="75"/>
    </row>
    <row r="879" spans="1:54" x14ac:dyDescent="0.25">
      <c r="A879" s="153" t="s">
        <v>4281</v>
      </c>
      <c r="B879" s="30" t="s">
        <v>4282</v>
      </c>
      <c r="C879" s="30" t="s">
        <v>4283</v>
      </c>
      <c r="D879" s="84" t="s">
        <v>553</v>
      </c>
      <c r="E879" s="24" t="s">
        <v>4284</v>
      </c>
      <c r="F879" s="25">
        <v>2</v>
      </c>
      <c r="G879" s="30" t="s">
        <v>21</v>
      </c>
      <c r="H879" s="30" t="s">
        <v>106</v>
      </c>
      <c r="I879" s="203">
        <v>45097.640613113399</v>
      </c>
      <c r="J879" s="121">
        <v>45107.666666666701</v>
      </c>
      <c r="K879" s="121">
        <v>45097.640613113399</v>
      </c>
      <c r="L879" s="203">
        <v>45107.666666666701</v>
      </c>
      <c r="M879" s="204">
        <v>45099</v>
      </c>
      <c r="N879" s="205" t="s">
        <v>10</v>
      </c>
      <c r="O879" s="203" t="s">
        <v>34</v>
      </c>
      <c r="P879" s="24"/>
      <c r="Q879" s="60"/>
      <c r="R879" s="60"/>
      <c r="S879" s="18"/>
      <c r="T879" s="24"/>
      <c r="U879" s="68">
        <f>Tabla1[[#This Row],[PPTO]]/(1+'Lista Datos'!$B$1)</f>
        <v>0</v>
      </c>
      <c r="V879" s="67"/>
      <c r="W879" s="193"/>
      <c r="X879" s="127"/>
      <c r="Y879" s="127"/>
      <c r="Z879" s="154"/>
      <c r="AA879" s="30"/>
      <c r="AB879" s="30"/>
      <c r="AC879" s="30"/>
      <c r="AD879" s="30"/>
      <c r="AE879" s="145">
        <f>Tabla1[[#This Row],[Cierre]]+Tabla1[[#This Row],[Vigencia Oferta (días)]]</f>
        <v>45107.666666666701</v>
      </c>
      <c r="AF879" s="68"/>
      <c r="AG879" s="157"/>
      <c r="AH879" s="194">
        <f>Tabla1[[#This Row],[Unidades2]]*Tabla1[[#This Row],[Precio Unitario]]</f>
        <v>0</v>
      </c>
      <c r="AI879" s="97" t="s">
        <v>270</v>
      </c>
      <c r="AJ879" s="149"/>
      <c r="AK879" s="149">
        <f>Tabla1[[#This Row],[Fecha Vigencia]]-AJ879</f>
        <v>45107.666666666701</v>
      </c>
      <c r="AL879" s="68"/>
      <c r="AM879" s="91"/>
      <c r="AN879" s="68"/>
      <c r="AO879" s="218"/>
      <c r="AP879" s="68"/>
      <c r="AQ879" s="69"/>
      <c r="AR879" s="68"/>
      <c r="AS879" s="68"/>
      <c r="AT879" s="68"/>
      <c r="AU879" s="68"/>
      <c r="AV879" s="68"/>
      <c r="AW879" s="68"/>
      <c r="AX879" s="68"/>
      <c r="AY879" s="30"/>
      <c r="AZ879" s="30"/>
      <c r="BA879" s="30"/>
      <c r="BB879" s="75"/>
    </row>
    <row r="880" spans="1:54" x14ac:dyDescent="0.25">
      <c r="A880" s="117" t="s">
        <v>4285</v>
      </c>
      <c r="B880" s="118" t="s">
        <v>4286</v>
      </c>
      <c r="C880" s="118" t="s">
        <v>4287</v>
      </c>
      <c r="D880" s="119" t="s">
        <v>3128</v>
      </c>
      <c r="E880" s="38" t="s">
        <v>4288</v>
      </c>
      <c r="F880" s="39">
        <v>2</v>
      </c>
      <c r="G880" s="118" t="s">
        <v>21</v>
      </c>
      <c r="H880" s="118" t="s">
        <v>106</v>
      </c>
      <c r="I880" s="206">
        <v>45097.562561493098</v>
      </c>
      <c r="J880" s="121">
        <v>45107.625</v>
      </c>
      <c r="K880" s="121">
        <v>45097.562561493098</v>
      </c>
      <c r="L880" s="206">
        <v>45107.625</v>
      </c>
      <c r="M880" s="211">
        <v>45099</v>
      </c>
      <c r="N880" s="207" t="s">
        <v>10</v>
      </c>
      <c r="O880" s="206" t="s">
        <v>34</v>
      </c>
      <c r="P880" s="38"/>
      <c r="Q880" s="121"/>
      <c r="R880" s="121"/>
      <c r="S880" s="19"/>
      <c r="T880" s="38"/>
      <c r="U880" s="65">
        <f>Tabla1[[#This Row],[PPTO]]/(1+'Lista Datos'!$B$1)</f>
        <v>0</v>
      </c>
      <c r="V880" s="64"/>
      <c r="W880" s="191"/>
      <c r="X880" s="122"/>
      <c r="Y880" s="122"/>
      <c r="Z880" s="123"/>
      <c r="AA880" s="118"/>
      <c r="AB880" s="118"/>
      <c r="AC880" s="118"/>
      <c r="AD880" s="118"/>
      <c r="AE880" s="145">
        <f>Tabla1[[#This Row],[Cierre]]+Tabla1[[#This Row],[Vigencia Oferta (días)]]</f>
        <v>45107.625</v>
      </c>
      <c r="AF880" s="65"/>
      <c r="AG880" s="181"/>
      <c r="AH880" s="192">
        <f>Tabla1[[#This Row],[Unidades2]]*Tabla1[[#This Row],[Precio Unitario]]</f>
        <v>0</v>
      </c>
      <c r="AI880" s="126" t="s">
        <v>270</v>
      </c>
      <c r="AJ880" s="149"/>
      <c r="AK880" s="149">
        <f>Tabla1[[#This Row],[Fecha Vigencia]]-AJ880</f>
        <v>45107.625</v>
      </c>
      <c r="AL880" s="65"/>
      <c r="AM880" s="90"/>
      <c r="AN880" s="65"/>
      <c r="AO880" s="217"/>
      <c r="AP880" s="65"/>
      <c r="AQ880" s="66"/>
      <c r="AR880" s="65"/>
      <c r="AS880" s="65"/>
      <c r="AT880" s="65"/>
      <c r="AU880" s="65"/>
      <c r="AV880" s="65"/>
      <c r="AW880" s="65"/>
      <c r="AX880" s="65"/>
      <c r="AY880" s="118"/>
      <c r="AZ880" s="118"/>
      <c r="BA880" s="118"/>
      <c r="BB880" s="124"/>
    </row>
    <row r="881" spans="1:54" x14ac:dyDescent="0.25">
      <c r="A881" s="117" t="s">
        <v>4289</v>
      </c>
      <c r="B881" s="118" t="s">
        <v>1663</v>
      </c>
      <c r="C881" s="118" t="s">
        <v>4290</v>
      </c>
      <c r="D881" s="119" t="s">
        <v>4099</v>
      </c>
      <c r="E881" s="38" t="s">
        <v>4291</v>
      </c>
      <c r="F881" s="39">
        <v>1</v>
      </c>
      <c r="G881" s="118" t="s">
        <v>16</v>
      </c>
      <c r="H881" s="118" t="s">
        <v>533</v>
      </c>
      <c r="I881" s="206">
        <v>45099.642769872698</v>
      </c>
      <c r="J881" s="38">
        <v>45107.625</v>
      </c>
      <c r="K881" s="38">
        <v>45099.642769872698</v>
      </c>
      <c r="L881" s="206">
        <v>45107.625</v>
      </c>
      <c r="M881" s="211">
        <v>45100</v>
      </c>
      <c r="N881" s="207" t="s">
        <v>11</v>
      </c>
      <c r="O881" s="206"/>
      <c r="P881" s="38"/>
      <c r="Q881" s="147">
        <v>45104.416666666664</v>
      </c>
      <c r="R881" s="147">
        <v>45105.458333333336</v>
      </c>
      <c r="S881" s="148">
        <v>45121.666666666664</v>
      </c>
      <c r="T881" s="215">
        <v>30000000</v>
      </c>
      <c r="U881" s="214">
        <f>Tabla1[[#This Row],[PPTO]]/(1+'Lista Datos'!$B$1)</f>
        <v>25210084.033613447</v>
      </c>
      <c r="V881" s="64"/>
      <c r="W881" s="191" t="s">
        <v>10</v>
      </c>
      <c r="X881" s="122"/>
      <c r="Y881" s="122"/>
      <c r="Z881" s="123" t="s">
        <v>10</v>
      </c>
      <c r="AA881" s="118" t="s">
        <v>177</v>
      </c>
      <c r="AB881" s="118">
        <v>12</v>
      </c>
      <c r="AC881" s="118"/>
      <c r="AD881" s="118"/>
      <c r="AE881" s="145">
        <f>Tabla1[[#This Row],[Cierre]]+Tabla1[[#This Row],[Vigencia Oferta (días)]]</f>
        <v>45107.625</v>
      </c>
      <c r="AF881" s="65"/>
      <c r="AG881" s="181"/>
      <c r="AH881" s="192">
        <f>Tabla1[[#This Row],[Unidades2]]*Tabla1[[#This Row],[Precio Unitario]]</f>
        <v>0</v>
      </c>
      <c r="AI881" s="126" t="s">
        <v>385</v>
      </c>
      <c r="AJ881" s="149"/>
      <c r="AK881" s="149">
        <f>Tabla1[[#This Row],[Fecha Vigencia]]-AJ881</f>
        <v>45107.625</v>
      </c>
      <c r="AL881" s="65"/>
      <c r="AM881" s="90"/>
      <c r="AN881" s="65"/>
      <c r="AO881" s="217"/>
      <c r="AP881" s="65"/>
      <c r="AQ881" s="66"/>
      <c r="AR881" s="65"/>
      <c r="AS881" s="65"/>
      <c r="AT881" s="65"/>
      <c r="AU881" s="65"/>
      <c r="AV881" s="65"/>
      <c r="AW881" s="65"/>
      <c r="AX881" s="65"/>
      <c r="AY881" s="118"/>
      <c r="AZ881" s="118"/>
      <c r="BA881" s="118"/>
      <c r="BB881" s="124"/>
    </row>
    <row r="882" spans="1:54" x14ac:dyDescent="0.25">
      <c r="A882" s="153" t="s">
        <v>4292</v>
      </c>
      <c r="B882" s="30" t="s">
        <v>4293</v>
      </c>
      <c r="C882" s="30" t="s">
        <v>4294</v>
      </c>
      <c r="D882" s="84" t="s">
        <v>4295</v>
      </c>
      <c r="E882" s="24" t="s">
        <v>4296</v>
      </c>
      <c r="F882" s="25">
        <v>1</v>
      </c>
      <c r="G882" s="30" t="s">
        <v>16</v>
      </c>
      <c r="H882" s="30" t="s">
        <v>123</v>
      </c>
      <c r="I882" s="203">
        <v>45100.809810798601</v>
      </c>
      <c r="J882" s="38">
        <v>45112.486111111102</v>
      </c>
      <c r="K882" s="38">
        <v>45100.809810798601</v>
      </c>
      <c r="L882" s="203">
        <v>45112.486111111102</v>
      </c>
      <c r="M882" s="204">
        <v>45104</v>
      </c>
      <c r="N882" s="205" t="s">
        <v>11</v>
      </c>
      <c r="O882" s="203"/>
      <c r="P882" s="24"/>
      <c r="Q882" s="160">
        <v>45104.583333333336</v>
      </c>
      <c r="R882" s="160">
        <v>45105.916666666664</v>
      </c>
      <c r="S882" s="161">
        <v>45173.678472222222</v>
      </c>
      <c r="T882" s="24"/>
      <c r="U882" s="68">
        <f>Tabla1[[#This Row],[PPTO]]/(1+'Lista Datos'!$B$1)</f>
        <v>0</v>
      </c>
      <c r="V882" s="67"/>
      <c r="W882" s="193" t="s">
        <v>10</v>
      </c>
      <c r="X882" s="127"/>
      <c r="Y882" s="127"/>
      <c r="Z882" s="154" t="s">
        <v>10</v>
      </c>
      <c r="AA882" s="30" t="s">
        <v>177</v>
      </c>
      <c r="AB882" s="30">
        <v>12</v>
      </c>
      <c r="AC882" s="30"/>
      <c r="AD882" s="30"/>
      <c r="AE882" s="145">
        <f>Tabla1[[#This Row],[Cierre]]+Tabla1[[#This Row],[Vigencia Oferta (días)]]</f>
        <v>45112.486111111102</v>
      </c>
      <c r="AF882" s="68"/>
      <c r="AG882" s="157"/>
      <c r="AH882" s="194">
        <f>Tabla1[[#This Row],[Unidades2]]*Tabla1[[#This Row],[Precio Unitario]]</f>
        <v>0</v>
      </c>
      <c r="AI882" s="97" t="s">
        <v>44</v>
      </c>
      <c r="AJ882" s="149">
        <v>45139</v>
      </c>
      <c r="AK882" s="149">
        <f>Tabla1[[#This Row],[Fecha Vigencia]]-AJ882</f>
        <v>-26.513888888897782</v>
      </c>
      <c r="AL882" s="68" t="s">
        <v>46</v>
      </c>
      <c r="AM882" s="91">
        <v>39730000</v>
      </c>
      <c r="AN882" s="157">
        <v>45139</v>
      </c>
      <c r="AO882" s="218">
        <v>45505</v>
      </c>
      <c r="AP882" s="68" t="s">
        <v>177</v>
      </c>
      <c r="AQ882" s="69"/>
      <c r="AR882" s="68"/>
      <c r="AS882" s="68"/>
      <c r="AT882" s="68"/>
      <c r="AU882" s="68"/>
      <c r="AV882" s="68"/>
      <c r="AW882" s="68"/>
      <c r="AX882" s="68"/>
      <c r="AY882" s="30"/>
      <c r="AZ882" s="30"/>
      <c r="BA882" s="30"/>
      <c r="BB882" s="75"/>
    </row>
    <row r="883" spans="1:54" x14ac:dyDescent="0.25">
      <c r="A883" s="153" t="s">
        <v>4297</v>
      </c>
      <c r="B883" s="30" t="s">
        <v>4298</v>
      </c>
      <c r="C883" s="30" t="s">
        <v>4299</v>
      </c>
      <c r="D883" s="84" t="s">
        <v>3559</v>
      </c>
      <c r="E883" s="24" t="s">
        <v>4300</v>
      </c>
      <c r="F883" s="25">
        <v>4</v>
      </c>
      <c r="G883" s="30" t="s">
        <v>21</v>
      </c>
      <c r="H883" s="30" t="s">
        <v>106</v>
      </c>
      <c r="I883" s="203">
        <v>45100.454751157398</v>
      </c>
      <c r="J883" s="121">
        <v>45111.625</v>
      </c>
      <c r="K883" s="121">
        <v>45100.454751157398</v>
      </c>
      <c r="L883" s="203">
        <v>45111.625</v>
      </c>
      <c r="M883" s="204">
        <v>45104</v>
      </c>
      <c r="N883" s="205" t="s">
        <v>10</v>
      </c>
      <c r="O883" s="203" t="s">
        <v>27</v>
      </c>
      <c r="P883" s="24"/>
      <c r="Q883" s="60"/>
      <c r="R883" s="60"/>
      <c r="S883" s="18"/>
      <c r="T883" s="24"/>
      <c r="U883" s="68">
        <f>Tabla1[[#This Row],[PPTO]]/(1+'Lista Datos'!$B$1)</f>
        <v>0</v>
      </c>
      <c r="V883" s="67"/>
      <c r="W883" s="193"/>
      <c r="X883" s="127"/>
      <c r="Y883" s="127"/>
      <c r="Z883" s="154"/>
      <c r="AA883" s="30"/>
      <c r="AB883" s="30"/>
      <c r="AC883" s="30"/>
      <c r="AD883" s="30"/>
      <c r="AE883" s="145">
        <f>Tabla1[[#This Row],[Cierre]]+Tabla1[[#This Row],[Vigencia Oferta (días)]]</f>
        <v>45111.625</v>
      </c>
      <c r="AF883" s="68"/>
      <c r="AG883" s="157"/>
      <c r="AH883" s="194">
        <f>Tabla1[[#This Row],[Unidades2]]*Tabla1[[#This Row],[Precio Unitario]]</f>
        <v>0</v>
      </c>
      <c r="AI883" s="97" t="s">
        <v>270</v>
      </c>
      <c r="AJ883" s="149"/>
      <c r="AK883" s="149">
        <f>Tabla1[[#This Row],[Fecha Vigencia]]-AJ883</f>
        <v>45111.625</v>
      </c>
      <c r="AL883" s="68"/>
      <c r="AM883" s="91"/>
      <c r="AN883" s="68"/>
      <c r="AO883" s="218"/>
      <c r="AP883" s="68"/>
      <c r="AQ883" s="69"/>
      <c r="AR883" s="68"/>
      <c r="AS883" s="68"/>
      <c r="AT883" s="68"/>
      <c r="AU883" s="68"/>
      <c r="AV883" s="68"/>
      <c r="AW883" s="68"/>
      <c r="AX883" s="68"/>
      <c r="AY883" s="30"/>
      <c r="AZ883" s="30"/>
      <c r="BA883" s="30"/>
      <c r="BB883" s="75"/>
    </row>
    <row r="884" spans="1:54" x14ac:dyDescent="0.25">
      <c r="A884" s="117" t="s">
        <v>4301</v>
      </c>
      <c r="B884" s="118" t="s">
        <v>4302</v>
      </c>
      <c r="C884" s="118" t="s">
        <v>4303</v>
      </c>
      <c r="D884" s="119" t="s">
        <v>3942</v>
      </c>
      <c r="E884" s="38" t="s">
        <v>4304</v>
      </c>
      <c r="F884" s="39">
        <v>13</v>
      </c>
      <c r="G884" s="118" t="s">
        <v>21</v>
      </c>
      <c r="H884" s="118" t="s">
        <v>106</v>
      </c>
      <c r="I884" s="206">
        <v>45100.411688078697</v>
      </c>
      <c r="J884" s="121">
        <v>45107.583333333299</v>
      </c>
      <c r="K884" s="121">
        <v>45100.411688078697</v>
      </c>
      <c r="L884" s="206">
        <v>45107.583333333299</v>
      </c>
      <c r="M884" s="211">
        <v>45104</v>
      </c>
      <c r="N884" s="207" t="s">
        <v>10</v>
      </c>
      <c r="O884" s="206" t="s">
        <v>27</v>
      </c>
      <c r="P884" s="38"/>
      <c r="Q884" s="121"/>
      <c r="R884" s="121"/>
      <c r="S884" s="19"/>
      <c r="T884" s="38"/>
      <c r="U884" s="65">
        <f>Tabla1[[#This Row],[PPTO]]/(1+'Lista Datos'!$B$1)</f>
        <v>0</v>
      </c>
      <c r="V884" s="64"/>
      <c r="W884" s="191"/>
      <c r="X884" s="122"/>
      <c r="Y884" s="122"/>
      <c r="Z884" s="123"/>
      <c r="AA884" s="118"/>
      <c r="AB884" s="118"/>
      <c r="AC884" s="118"/>
      <c r="AD884" s="118"/>
      <c r="AE884" s="145">
        <f>Tabla1[[#This Row],[Cierre]]+Tabla1[[#This Row],[Vigencia Oferta (días)]]</f>
        <v>45107.583333333299</v>
      </c>
      <c r="AF884" s="65"/>
      <c r="AG884" s="181"/>
      <c r="AH884" s="192">
        <f>Tabla1[[#This Row],[Unidades2]]*Tabla1[[#This Row],[Precio Unitario]]</f>
        <v>0</v>
      </c>
      <c r="AI884" s="126" t="s">
        <v>270</v>
      </c>
      <c r="AJ884" s="149"/>
      <c r="AK884" s="149">
        <f>Tabla1[[#This Row],[Fecha Vigencia]]-AJ884</f>
        <v>45107.583333333299</v>
      </c>
      <c r="AL884" s="65"/>
      <c r="AM884" s="90"/>
      <c r="AN884" s="65"/>
      <c r="AO884" s="217"/>
      <c r="AP884" s="65"/>
      <c r="AQ884" s="66"/>
      <c r="AR884" s="65"/>
      <c r="AS884" s="65"/>
      <c r="AT884" s="65"/>
      <c r="AU884" s="65"/>
      <c r="AV884" s="65"/>
      <c r="AW884" s="65"/>
      <c r="AX884" s="65"/>
      <c r="AY884" s="118"/>
      <c r="AZ884" s="118"/>
      <c r="BA884" s="118"/>
      <c r="BB884" s="124"/>
    </row>
    <row r="885" spans="1:54" x14ac:dyDescent="0.25">
      <c r="A885" s="153" t="s">
        <v>4305</v>
      </c>
      <c r="B885" s="30" t="s">
        <v>4306</v>
      </c>
      <c r="C885" s="30" t="s">
        <v>4307</v>
      </c>
      <c r="D885" s="84" t="s">
        <v>4308</v>
      </c>
      <c r="E885" s="24" t="s">
        <v>4309</v>
      </c>
      <c r="F885" s="25">
        <v>10</v>
      </c>
      <c r="G885" s="30" t="s">
        <v>21</v>
      </c>
      <c r="H885" s="30" t="s">
        <v>106</v>
      </c>
      <c r="I885" s="203">
        <v>45104.718075810197</v>
      </c>
      <c r="J885" s="38">
        <v>45114.625</v>
      </c>
      <c r="K885" s="38">
        <v>45104.718075810197</v>
      </c>
      <c r="L885" s="203">
        <v>45114.625</v>
      </c>
      <c r="M885" s="204">
        <v>45105</v>
      </c>
      <c r="N885" s="205" t="s">
        <v>11</v>
      </c>
      <c r="O885" s="203"/>
      <c r="P885" s="24"/>
      <c r="Q885" s="160">
        <v>45107.75</v>
      </c>
      <c r="R885" s="160">
        <v>45111.999305555553</v>
      </c>
      <c r="S885" s="161">
        <v>45142.75</v>
      </c>
      <c r="T885" s="210">
        <v>9500000</v>
      </c>
      <c r="U885" s="209">
        <f>Tabla1[[#This Row],[PPTO]]/(1+'Lista Datos'!$B$1)</f>
        <v>7983193.2773109246</v>
      </c>
      <c r="V885" s="67"/>
      <c r="W885" s="193" t="s">
        <v>10</v>
      </c>
      <c r="X885" s="127"/>
      <c r="Y885" s="127"/>
      <c r="Z885" s="154" t="s">
        <v>10</v>
      </c>
      <c r="AA885" s="30" t="s">
        <v>512</v>
      </c>
      <c r="AB885" s="30"/>
      <c r="AC885" s="30"/>
      <c r="AD885" s="30"/>
      <c r="AE885" s="145">
        <f>Tabla1[[#This Row],[Cierre]]+Tabla1[[#This Row],[Vigencia Oferta (días)]]</f>
        <v>45114.625</v>
      </c>
      <c r="AF885" s="68"/>
      <c r="AG885" s="157"/>
      <c r="AH885" s="194">
        <f>Tabla1[[#This Row],[Unidades2]]*Tabla1[[#This Row],[Precio Unitario]]</f>
        <v>0</v>
      </c>
      <c r="AI885" s="97" t="s">
        <v>44</v>
      </c>
      <c r="AJ885" s="149">
        <v>45127</v>
      </c>
      <c r="AK885" s="149">
        <f>Tabla1[[#This Row],[Fecha Vigencia]]-AJ885</f>
        <v>-12.375</v>
      </c>
      <c r="AL885" s="68" t="s">
        <v>115</v>
      </c>
      <c r="AM885" s="91">
        <v>546795</v>
      </c>
      <c r="AN885" s="68"/>
      <c r="AO885" s="218"/>
      <c r="AP885" s="97" t="s">
        <v>292</v>
      </c>
      <c r="AQ885" s="69" t="s">
        <v>2577</v>
      </c>
      <c r="AR885" s="68" t="s">
        <v>10</v>
      </c>
      <c r="AS885" s="68"/>
      <c r="AT885" s="68"/>
      <c r="AU885" s="97" t="s">
        <v>4310</v>
      </c>
      <c r="AV885" s="97" t="s">
        <v>4311</v>
      </c>
      <c r="AW885" s="97" t="s">
        <v>4312</v>
      </c>
      <c r="AX885" s="97" t="s">
        <v>4313</v>
      </c>
      <c r="AY885" s="30"/>
      <c r="AZ885" s="30"/>
      <c r="BA885" s="30"/>
      <c r="BB885" s="75"/>
    </row>
    <row r="886" spans="1:54" x14ac:dyDescent="0.25">
      <c r="A886" s="153" t="s">
        <v>4314</v>
      </c>
      <c r="B886" s="30" t="s">
        <v>4315</v>
      </c>
      <c r="C886" s="30" t="s">
        <v>4316</v>
      </c>
      <c r="D886" s="84" t="s">
        <v>4317</v>
      </c>
      <c r="E886" s="24" t="s">
        <v>4318</v>
      </c>
      <c r="F886" s="25">
        <v>10</v>
      </c>
      <c r="G886" s="30" t="s">
        <v>21</v>
      </c>
      <c r="H886" s="30" t="s">
        <v>106</v>
      </c>
      <c r="I886" s="203">
        <v>45104.644881365697</v>
      </c>
      <c r="J886" s="121">
        <v>45110.720833333296</v>
      </c>
      <c r="K886" s="121">
        <v>45104.644881365697</v>
      </c>
      <c r="L886" s="203">
        <v>45110.720833333296</v>
      </c>
      <c r="M886" s="204">
        <v>45105</v>
      </c>
      <c r="N886" s="205" t="s">
        <v>10</v>
      </c>
      <c r="O886" s="203" t="s">
        <v>27</v>
      </c>
      <c r="P886" s="24"/>
      <c r="Q886" s="60"/>
      <c r="R886" s="60"/>
      <c r="S886" s="18"/>
      <c r="T886" s="24"/>
      <c r="U886" s="68">
        <f>Tabla1[[#This Row],[PPTO]]/(1+'Lista Datos'!$B$1)</f>
        <v>0</v>
      </c>
      <c r="V886" s="67"/>
      <c r="W886" s="193"/>
      <c r="X886" s="127"/>
      <c r="Y886" s="127"/>
      <c r="Z886" s="154"/>
      <c r="AA886" s="30"/>
      <c r="AB886" s="30"/>
      <c r="AC886" s="30"/>
      <c r="AD886" s="30"/>
      <c r="AE886" s="145">
        <f>Tabla1[[#This Row],[Cierre]]+Tabla1[[#This Row],[Vigencia Oferta (días)]]</f>
        <v>45110.720833333296</v>
      </c>
      <c r="AF886" s="68"/>
      <c r="AG886" s="157"/>
      <c r="AH886" s="194">
        <f>Tabla1[[#This Row],[Unidades2]]*Tabla1[[#This Row],[Precio Unitario]]</f>
        <v>0</v>
      </c>
      <c r="AI886" s="97" t="s">
        <v>270</v>
      </c>
      <c r="AJ886" s="149"/>
      <c r="AK886" s="149">
        <f>Tabla1[[#This Row],[Fecha Vigencia]]-AJ886</f>
        <v>45110.720833333296</v>
      </c>
      <c r="AL886" s="68"/>
      <c r="AM886" s="91"/>
      <c r="AN886" s="68"/>
      <c r="AO886" s="218"/>
      <c r="AP886" s="68"/>
      <c r="AQ886" s="69"/>
      <c r="AR886" s="68"/>
      <c r="AS886" s="68"/>
      <c r="AT886" s="68"/>
      <c r="AU886" s="68"/>
      <c r="AV886" s="68"/>
      <c r="AW886" s="68"/>
      <c r="AX886" s="68"/>
      <c r="AY886" s="30"/>
      <c r="AZ886" s="30"/>
      <c r="BA886" s="30"/>
      <c r="BB886" s="75"/>
    </row>
    <row r="887" spans="1:54" x14ac:dyDescent="0.25">
      <c r="A887" s="153" t="s">
        <v>4319</v>
      </c>
      <c r="B887" s="30" t="s">
        <v>4320</v>
      </c>
      <c r="C887" s="30" t="s">
        <v>4321</v>
      </c>
      <c r="D887" s="84" t="s">
        <v>4317</v>
      </c>
      <c r="E887" s="24" t="s">
        <v>4322</v>
      </c>
      <c r="F887" s="25">
        <v>6</v>
      </c>
      <c r="G887" s="30" t="s">
        <v>21</v>
      </c>
      <c r="H887" s="30" t="s">
        <v>106</v>
      </c>
      <c r="I887" s="203">
        <v>45104.5561528588</v>
      </c>
      <c r="J887" s="121">
        <v>45110.632638888899</v>
      </c>
      <c r="K887" s="121">
        <v>45104.5561528588</v>
      </c>
      <c r="L887" s="203">
        <v>45110.632638888899</v>
      </c>
      <c r="M887" s="204">
        <v>45105</v>
      </c>
      <c r="N887" s="205" t="s">
        <v>10</v>
      </c>
      <c r="O887" s="203" t="s">
        <v>27</v>
      </c>
      <c r="P887" s="24"/>
      <c r="Q887" s="60"/>
      <c r="R887" s="60"/>
      <c r="S887" s="18"/>
      <c r="T887" s="24"/>
      <c r="U887" s="68">
        <f>Tabla1[[#This Row],[PPTO]]/(1+'Lista Datos'!$B$1)</f>
        <v>0</v>
      </c>
      <c r="V887" s="67"/>
      <c r="W887" s="193"/>
      <c r="X887" s="127"/>
      <c r="Y887" s="127"/>
      <c r="Z887" s="154"/>
      <c r="AA887" s="30"/>
      <c r="AB887" s="30"/>
      <c r="AC887" s="30"/>
      <c r="AD887" s="30"/>
      <c r="AE887" s="145">
        <f>Tabla1[[#This Row],[Cierre]]+Tabla1[[#This Row],[Vigencia Oferta (días)]]</f>
        <v>45110.632638888899</v>
      </c>
      <c r="AF887" s="68"/>
      <c r="AG887" s="157"/>
      <c r="AH887" s="194">
        <f>Tabla1[[#This Row],[Unidades2]]*Tabla1[[#This Row],[Precio Unitario]]</f>
        <v>0</v>
      </c>
      <c r="AI887" s="97" t="s">
        <v>270</v>
      </c>
      <c r="AJ887" s="149"/>
      <c r="AK887" s="149">
        <f>Tabla1[[#This Row],[Fecha Vigencia]]-AJ887</f>
        <v>45110.632638888899</v>
      </c>
      <c r="AL887" s="68"/>
      <c r="AM887" s="91"/>
      <c r="AN887" s="68"/>
      <c r="AO887" s="218"/>
      <c r="AP887" s="68"/>
      <c r="AQ887" s="69"/>
      <c r="AR887" s="68"/>
      <c r="AS887" s="68"/>
      <c r="AT887" s="68"/>
      <c r="AU887" s="68"/>
      <c r="AV887" s="68"/>
      <c r="AW887" s="68"/>
      <c r="AX887" s="68"/>
      <c r="AY887" s="30"/>
      <c r="AZ887" s="30"/>
      <c r="BA887" s="30"/>
      <c r="BB887" s="75"/>
    </row>
    <row r="888" spans="1:54" x14ac:dyDescent="0.25">
      <c r="A888" s="117" t="s">
        <v>4323</v>
      </c>
      <c r="B888" s="118" t="s">
        <v>4324</v>
      </c>
      <c r="C888" s="118" t="s">
        <v>4325</v>
      </c>
      <c r="D888" s="119" t="s">
        <v>4326</v>
      </c>
      <c r="E888" s="38" t="s">
        <v>4327</v>
      </c>
      <c r="F888" s="39">
        <v>1</v>
      </c>
      <c r="G888" s="118" t="s">
        <v>21</v>
      </c>
      <c r="H888" s="118" t="s">
        <v>106</v>
      </c>
      <c r="I888" s="206">
        <v>45104.532842974499</v>
      </c>
      <c r="J888" s="121">
        <v>45117.632638888899</v>
      </c>
      <c r="K888" s="121">
        <v>45104.532842974499</v>
      </c>
      <c r="L888" s="206">
        <v>45117.632638888899</v>
      </c>
      <c r="M888" s="211">
        <v>45105</v>
      </c>
      <c r="N888" s="207" t="s">
        <v>10</v>
      </c>
      <c r="O888" s="206" t="s">
        <v>27</v>
      </c>
      <c r="P888" s="38"/>
      <c r="Q888" s="121"/>
      <c r="R888" s="121"/>
      <c r="S888" s="19"/>
      <c r="T888" s="38"/>
      <c r="U888" s="65">
        <f>Tabla1[[#This Row],[PPTO]]/(1+'Lista Datos'!$B$1)</f>
        <v>0</v>
      </c>
      <c r="V888" s="64"/>
      <c r="W888" s="191"/>
      <c r="X888" s="122"/>
      <c r="Y888" s="122"/>
      <c r="Z888" s="123"/>
      <c r="AA888" s="118"/>
      <c r="AB888" s="118"/>
      <c r="AC888" s="118"/>
      <c r="AD888" s="118"/>
      <c r="AE888" s="145">
        <f>Tabla1[[#This Row],[Cierre]]+Tabla1[[#This Row],[Vigencia Oferta (días)]]</f>
        <v>45117.632638888899</v>
      </c>
      <c r="AF888" s="65"/>
      <c r="AG888" s="181"/>
      <c r="AH888" s="192">
        <f>Tabla1[[#This Row],[Unidades2]]*Tabla1[[#This Row],[Precio Unitario]]</f>
        <v>0</v>
      </c>
      <c r="AI888" s="126" t="s">
        <v>270</v>
      </c>
      <c r="AJ888" s="149"/>
      <c r="AK888" s="149">
        <f>Tabla1[[#This Row],[Fecha Vigencia]]-AJ888</f>
        <v>45117.632638888899</v>
      </c>
      <c r="AL888" s="65"/>
      <c r="AM888" s="90"/>
      <c r="AN888" s="65"/>
      <c r="AO888" s="217"/>
      <c r="AP888" s="65"/>
      <c r="AQ888" s="66"/>
      <c r="AR888" s="65"/>
      <c r="AS888" s="65"/>
      <c r="AT888" s="65"/>
      <c r="AU888" s="65"/>
      <c r="AV888" s="65"/>
      <c r="AW888" s="65"/>
      <c r="AX888" s="65"/>
      <c r="AY888" s="118"/>
      <c r="AZ888" s="118"/>
      <c r="BA888" s="118"/>
      <c r="BB888" s="124"/>
    </row>
    <row r="889" spans="1:54" x14ac:dyDescent="0.25">
      <c r="A889" s="153" t="s">
        <v>4328</v>
      </c>
      <c r="B889" s="30" t="s">
        <v>4329</v>
      </c>
      <c r="C889" s="30" t="s">
        <v>4330</v>
      </c>
      <c r="D889" s="84" t="s">
        <v>245</v>
      </c>
      <c r="E889" s="24" t="s">
        <v>4331</v>
      </c>
      <c r="F889" s="25">
        <v>1</v>
      </c>
      <c r="G889" s="30" t="s">
        <v>16</v>
      </c>
      <c r="H889" s="30" t="s">
        <v>123</v>
      </c>
      <c r="I889" s="203">
        <v>45104.4913985764</v>
      </c>
      <c r="J889" s="38">
        <v>45117.625</v>
      </c>
      <c r="K889" s="38">
        <v>45104.4913985764</v>
      </c>
      <c r="L889" s="203">
        <v>45117.625</v>
      </c>
      <c r="M889" s="204">
        <v>45105</v>
      </c>
      <c r="N889" s="205" t="s">
        <v>11</v>
      </c>
      <c r="O889" s="203"/>
      <c r="P889" s="24"/>
      <c r="Q889" s="160">
        <v>45111.75</v>
      </c>
      <c r="R889" s="160">
        <v>45113.75</v>
      </c>
      <c r="S889" s="161">
        <v>45138.625</v>
      </c>
      <c r="T889" s="24"/>
      <c r="U889" s="68">
        <f>Tabla1[[#This Row],[PPTO]]/(1+'Lista Datos'!$B$1)</f>
        <v>0</v>
      </c>
      <c r="V889" s="67"/>
      <c r="W889" s="193" t="s">
        <v>11</v>
      </c>
      <c r="X889" s="224">
        <v>500000</v>
      </c>
      <c r="Y889" s="104">
        <v>45237</v>
      </c>
      <c r="Z889" s="154" t="s">
        <v>2783</v>
      </c>
      <c r="AA889" s="30" t="s">
        <v>177</v>
      </c>
      <c r="AB889" s="30">
        <v>24</v>
      </c>
      <c r="AC889" s="30"/>
      <c r="AD889" s="30"/>
      <c r="AE889" s="145">
        <f>Tabla1[[#This Row],[Cierre]]+Tabla1[[#This Row],[Vigencia Oferta (días)]]</f>
        <v>45117.625</v>
      </c>
      <c r="AF889" s="68"/>
      <c r="AG889" s="157"/>
      <c r="AH889" s="194">
        <f>Tabla1[[#This Row],[Unidades2]]*Tabla1[[#This Row],[Precio Unitario]]</f>
        <v>0</v>
      </c>
      <c r="AI889" s="97" t="s">
        <v>385</v>
      </c>
      <c r="AJ889" s="149"/>
      <c r="AK889" s="149">
        <f>Tabla1[[#This Row],[Fecha Vigencia]]-AJ889</f>
        <v>45117.625</v>
      </c>
      <c r="AL889" s="68"/>
      <c r="AM889" s="91"/>
      <c r="AN889" s="68"/>
      <c r="AO889" s="218"/>
      <c r="AP889" s="68"/>
      <c r="AQ889" s="69"/>
      <c r="AR889" s="68"/>
      <c r="AS889" s="68"/>
      <c r="AT889" s="68"/>
      <c r="AU889" s="68"/>
      <c r="AV889" s="68"/>
      <c r="AW889" s="68"/>
      <c r="AX889" s="68"/>
      <c r="AY889" s="30"/>
      <c r="AZ889" s="30"/>
      <c r="BA889" s="30"/>
      <c r="BB889" s="75"/>
    </row>
    <row r="890" spans="1:54" x14ac:dyDescent="0.25">
      <c r="A890" s="153" t="s">
        <v>4332</v>
      </c>
      <c r="B890" s="30" t="s">
        <v>4333</v>
      </c>
      <c r="C890" s="30" t="s">
        <v>4334</v>
      </c>
      <c r="D890" s="84" t="s">
        <v>4335</v>
      </c>
      <c r="E890" s="24" t="s">
        <v>4336</v>
      </c>
      <c r="F890" s="25">
        <v>1</v>
      </c>
      <c r="G890" s="30" t="s">
        <v>16</v>
      </c>
      <c r="H890" s="30" t="s">
        <v>345</v>
      </c>
      <c r="I890" s="203">
        <v>45104.451180705997</v>
      </c>
      <c r="J890" s="121">
        <v>45110.625</v>
      </c>
      <c r="K890" s="121">
        <v>45104.451180705997</v>
      </c>
      <c r="L890" s="203">
        <v>45110.625</v>
      </c>
      <c r="M890" s="204">
        <v>45105</v>
      </c>
      <c r="N890" s="205" t="s">
        <v>10</v>
      </c>
      <c r="O890" s="203" t="s">
        <v>27</v>
      </c>
      <c r="P890" s="24"/>
      <c r="Q890" s="160">
        <v>45105.458333333336</v>
      </c>
      <c r="R890" s="160">
        <v>45106.461805555555</v>
      </c>
      <c r="S890" s="161">
        <v>45112.458333333336</v>
      </c>
      <c r="T890" s="210">
        <v>2150000</v>
      </c>
      <c r="U890" s="209">
        <f>Tabla1[[#This Row],[PPTO]]/(1+'Lista Datos'!$B$1)</f>
        <v>1806722.6890756304</v>
      </c>
      <c r="V890" s="67"/>
      <c r="W890" s="193" t="s">
        <v>10</v>
      </c>
      <c r="X890" s="127"/>
      <c r="Y890" s="127"/>
      <c r="Z890" s="154" t="s">
        <v>10</v>
      </c>
      <c r="AA890" s="30" t="s">
        <v>512</v>
      </c>
      <c r="AB890" s="30"/>
      <c r="AC890" s="30"/>
      <c r="AD890" s="30"/>
      <c r="AE890" s="145">
        <f>Tabla1[[#This Row],[Cierre]]+Tabla1[[#This Row],[Vigencia Oferta (días)]]</f>
        <v>45110.625</v>
      </c>
      <c r="AF890" s="68"/>
      <c r="AG890" s="157"/>
      <c r="AH890" s="194">
        <f>Tabla1[[#This Row],[Unidades2]]*Tabla1[[#This Row],[Precio Unitario]]</f>
        <v>0</v>
      </c>
      <c r="AI890" s="97" t="s">
        <v>270</v>
      </c>
      <c r="AJ890" s="149"/>
      <c r="AK890" s="149">
        <f>Tabla1[[#This Row],[Fecha Vigencia]]-AJ890</f>
        <v>45110.625</v>
      </c>
      <c r="AL890" s="68"/>
      <c r="AM890" s="91"/>
      <c r="AN890" s="68"/>
      <c r="AO890" s="218"/>
      <c r="AP890" s="68"/>
      <c r="AQ890" s="69"/>
      <c r="AR890" s="68"/>
      <c r="AS890" s="68"/>
      <c r="AT890" s="68"/>
      <c r="AU890" s="68"/>
      <c r="AV890" s="68"/>
      <c r="AW890" s="68"/>
      <c r="AX890" s="68"/>
      <c r="AY890" s="30"/>
      <c r="AZ890" s="30"/>
      <c r="BA890" s="30"/>
      <c r="BB890" s="75"/>
    </row>
    <row r="891" spans="1:54" x14ac:dyDescent="0.25">
      <c r="A891" s="117" t="s">
        <v>4337</v>
      </c>
      <c r="B891" s="118" t="s">
        <v>4338</v>
      </c>
      <c r="C891" s="118" t="s">
        <v>4339</v>
      </c>
      <c r="D891" s="119" t="s">
        <v>4340</v>
      </c>
      <c r="E891" s="38" t="s">
        <v>4341</v>
      </c>
      <c r="F891" s="39">
        <v>1</v>
      </c>
      <c r="G891" s="118" t="s">
        <v>14</v>
      </c>
      <c r="H891" s="118" t="s">
        <v>345</v>
      </c>
      <c r="I891" s="206">
        <v>45104.405466400502</v>
      </c>
      <c r="J891" s="121">
        <v>45110.781944444403</v>
      </c>
      <c r="K891" s="121">
        <v>45104.405466400502</v>
      </c>
      <c r="L891" s="206">
        <v>45110.781944444403</v>
      </c>
      <c r="M891" s="211">
        <v>45105</v>
      </c>
      <c r="N891" s="207" t="s">
        <v>10</v>
      </c>
      <c r="O891" s="206" t="s">
        <v>34</v>
      </c>
      <c r="P891" s="38"/>
      <c r="Q891" s="121"/>
      <c r="R891" s="121"/>
      <c r="S891" s="19"/>
      <c r="T891" s="38"/>
      <c r="U891" s="65">
        <f>Tabla1[[#This Row],[PPTO]]/(1+'Lista Datos'!$B$1)</f>
        <v>0</v>
      </c>
      <c r="V891" s="64"/>
      <c r="W891" s="191"/>
      <c r="X891" s="122"/>
      <c r="Y891" s="122"/>
      <c r="Z891" s="123"/>
      <c r="AA891" s="118"/>
      <c r="AB891" s="118"/>
      <c r="AC891" s="118"/>
      <c r="AD891" s="118"/>
      <c r="AE891" s="145">
        <f>Tabla1[[#This Row],[Cierre]]+Tabla1[[#This Row],[Vigencia Oferta (días)]]</f>
        <v>45110.781944444403</v>
      </c>
      <c r="AF891" s="65"/>
      <c r="AG891" s="181"/>
      <c r="AH891" s="192">
        <f>Tabla1[[#This Row],[Unidades2]]*Tabla1[[#This Row],[Precio Unitario]]</f>
        <v>0</v>
      </c>
      <c r="AI891" s="126" t="s">
        <v>270</v>
      </c>
      <c r="AJ891" s="149"/>
      <c r="AK891" s="149">
        <f>Tabla1[[#This Row],[Fecha Vigencia]]-AJ891</f>
        <v>45110.781944444403</v>
      </c>
      <c r="AL891" s="65"/>
      <c r="AM891" s="90"/>
      <c r="AN891" s="65"/>
      <c r="AO891" s="217"/>
      <c r="AP891" s="65"/>
      <c r="AQ891" s="66"/>
      <c r="AR891" s="65"/>
      <c r="AS891" s="65"/>
      <c r="AT891" s="65"/>
      <c r="AU891" s="65"/>
      <c r="AV891" s="65"/>
      <c r="AW891" s="65"/>
      <c r="AX891" s="65"/>
      <c r="AY891" s="118"/>
      <c r="AZ891" s="118"/>
      <c r="BA891" s="118"/>
      <c r="BB891" s="124"/>
    </row>
    <row r="892" spans="1:54" x14ac:dyDescent="0.25">
      <c r="A892" s="117" t="s">
        <v>4342</v>
      </c>
      <c r="B892" s="118" t="s">
        <v>4343</v>
      </c>
      <c r="C892" s="118" t="s">
        <v>4344</v>
      </c>
      <c r="D892" s="119" t="s">
        <v>965</v>
      </c>
      <c r="E892" s="38" t="s">
        <v>4345</v>
      </c>
      <c r="F892" s="39">
        <v>900</v>
      </c>
      <c r="G892" s="118" t="s">
        <v>21</v>
      </c>
      <c r="H892" s="118" t="s">
        <v>106</v>
      </c>
      <c r="I892" s="206">
        <v>45105.707949768497</v>
      </c>
      <c r="J892" s="38">
        <v>45118.520833333299</v>
      </c>
      <c r="K892" s="38">
        <v>45105.707949768497</v>
      </c>
      <c r="L892" s="206">
        <v>45118.520833333299</v>
      </c>
      <c r="M892" s="211">
        <v>45106</v>
      </c>
      <c r="N892" s="207" t="s">
        <v>10</v>
      </c>
      <c r="O892" s="206" t="s">
        <v>27</v>
      </c>
      <c r="P892" s="38" t="s">
        <v>10</v>
      </c>
      <c r="Q892" s="147">
        <v>45107.520833333336</v>
      </c>
      <c r="R892" s="147">
        <v>45111.666666666664</v>
      </c>
      <c r="S892" s="148">
        <v>45211.666666666664</v>
      </c>
      <c r="T892" s="38"/>
      <c r="U892" s="65">
        <f>Tabla1[[#This Row],[PPTO]]/(1+'Lista Datos'!$B$1)</f>
        <v>0</v>
      </c>
      <c r="V892" s="64"/>
      <c r="W892" s="191" t="s">
        <v>10</v>
      </c>
      <c r="X892" s="122"/>
      <c r="Y892" s="122"/>
      <c r="Z892" s="123" t="s">
        <v>10</v>
      </c>
      <c r="AA892" s="118" t="s">
        <v>177</v>
      </c>
      <c r="AB892" s="118">
        <v>36</v>
      </c>
      <c r="AC892" s="118"/>
      <c r="AD892" s="118"/>
      <c r="AE892" s="145">
        <f>Tabla1[[#This Row],[Cierre]]+Tabla1[[#This Row],[Vigencia Oferta (días)]]</f>
        <v>45118.520833333299</v>
      </c>
      <c r="AF892" s="65"/>
      <c r="AG892" s="181"/>
      <c r="AH892" s="192">
        <f>Tabla1[[#This Row],[Unidades2]]*Tabla1[[#This Row],[Precio Unitario]]</f>
        <v>0</v>
      </c>
      <c r="AI892" s="126" t="s">
        <v>270</v>
      </c>
      <c r="AJ892" s="149"/>
      <c r="AK892" s="149">
        <f>Tabla1[[#This Row],[Fecha Vigencia]]-AJ892</f>
        <v>45118.520833333299</v>
      </c>
      <c r="AL892" s="65"/>
      <c r="AM892" s="90"/>
      <c r="AN892" s="65"/>
      <c r="AO892" s="217"/>
      <c r="AP892" s="65"/>
      <c r="AQ892" s="66"/>
      <c r="AR892" s="65"/>
      <c r="AS892" s="65"/>
      <c r="AT892" s="65"/>
      <c r="AU892" s="65"/>
      <c r="AV892" s="65"/>
      <c r="AW892" s="65"/>
      <c r="AX892" s="65"/>
      <c r="AY892" s="118"/>
      <c r="AZ892" s="118"/>
      <c r="BA892" s="118"/>
      <c r="BB892" s="124"/>
    </row>
    <row r="893" spans="1:54" x14ac:dyDescent="0.25">
      <c r="A893" s="153" t="s">
        <v>4346</v>
      </c>
      <c r="B893" s="30" t="s">
        <v>4347</v>
      </c>
      <c r="C893" s="30" t="s">
        <v>4348</v>
      </c>
      <c r="D893" s="84" t="s">
        <v>344</v>
      </c>
      <c r="E893" s="24" t="s">
        <v>4349</v>
      </c>
      <c r="F893" s="25">
        <v>1</v>
      </c>
      <c r="G893" s="30" t="s">
        <v>17</v>
      </c>
      <c r="H893" s="30" t="s">
        <v>213</v>
      </c>
      <c r="I893" s="203">
        <v>45105.5291293634</v>
      </c>
      <c r="J893" s="38">
        <v>45135.666666666701</v>
      </c>
      <c r="K893" s="38">
        <v>45105.5291293634</v>
      </c>
      <c r="L893" s="203">
        <v>45135.666666666701</v>
      </c>
      <c r="M893" s="204">
        <v>45106</v>
      </c>
      <c r="N893" s="205" t="s">
        <v>10</v>
      </c>
      <c r="O893" s="203" t="s">
        <v>25</v>
      </c>
      <c r="P893" s="24"/>
      <c r="Q893" s="60"/>
      <c r="R893" s="60"/>
      <c r="S893" s="18"/>
      <c r="T893" s="24"/>
      <c r="U893" s="68">
        <f>Tabla1[[#This Row],[PPTO]]/(1+'Lista Datos'!$B$1)</f>
        <v>0</v>
      </c>
      <c r="V893" s="67"/>
      <c r="W893" s="193"/>
      <c r="X893" s="127"/>
      <c r="Y893" s="127"/>
      <c r="Z893" s="154"/>
      <c r="AA893" s="30"/>
      <c r="AB893" s="30"/>
      <c r="AC893" s="30"/>
      <c r="AD893" s="30"/>
      <c r="AE893" s="145">
        <f>Tabla1[[#This Row],[Cierre]]+Tabla1[[#This Row],[Vigencia Oferta (días)]]</f>
        <v>45135.666666666701</v>
      </c>
      <c r="AF893" s="68"/>
      <c r="AG893" s="157"/>
      <c r="AH893" s="194">
        <f>Tabla1[[#This Row],[Unidades2]]*Tabla1[[#This Row],[Precio Unitario]]</f>
        <v>0</v>
      </c>
      <c r="AI893" s="97" t="s">
        <v>270</v>
      </c>
      <c r="AJ893" s="149"/>
      <c r="AK893" s="149">
        <f>Tabla1[[#This Row],[Fecha Vigencia]]-AJ893</f>
        <v>45135.666666666701</v>
      </c>
      <c r="AL893" s="68"/>
      <c r="AM893" s="91"/>
      <c r="AN893" s="68"/>
      <c r="AO893" s="218"/>
      <c r="AP893" s="68"/>
      <c r="AQ893" s="69"/>
      <c r="AR893" s="68"/>
      <c r="AS893" s="68"/>
      <c r="AT893" s="68"/>
      <c r="AU893" s="68"/>
      <c r="AV893" s="68"/>
      <c r="AW893" s="68"/>
      <c r="AX893" s="68"/>
      <c r="AY893" s="30"/>
      <c r="AZ893" s="30"/>
      <c r="BA893" s="30"/>
      <c r="BB893" s="75"/>
    </row>
    <row r="894" spans="1:54" x14ac:dyDescent="0.25">
      <c r="A894" s="117" t="s">
        <v>4350</v>
      </c>
      <c r="B894" s="118" t="s">
        <v>4351</v>
      </c>
      <c r="C894" s="118" t="s">
        <v>4352</v>
      </c>
      <c r="D894" s="119" t="s">
        <v>546</v>
      </c>
      <c r="E894" s="38" t="s">
        <v>4353</v>
      </c>
      <c r="F894" s="39">
        <v>8</v>
      </c>
      <c r="G894" s="118" t="s">
        <v>14</v>
      </c>
      <c r="H894" s="118" t="s">
        <v>123</v>
      </c>
      <c r="I894" s="206">
        <v>45105.449711377303</v>
      </c>
      <c r="J894" s="38">
        <v>45112.625</v>
      </c>
      <c r="K894" s="38">
        <v>45105.449711377303</v>
      </c>
      <c r="L894" s="206">
        <v>45112.625</v>
      </c>
      <c r="M894" s="211">
        <v>45106</v>
      </c>
      <c r="N894" s="207" t="s">
        <v>10</v>
      </c>
      <c r="O894" s="206" t="s">
        <v>25</v>
      </c>
      <c r="P894" s="38"/>
      <c r="Q894" s="147">
        <v>45107.465277777781</v>
      </c>
      <c r="R894" s="147">
        <v>45110.583333333336</v>
      </c>
      <c r="S894" s="148">
        <v>45205.625</v>
      </c>
      <c r="T894" s="215">
        <v>2173900</v>
      </c>
      <c r="U894" s="214">
        <f>Tabla1[[#This Row],[PPTO]]/(1+'Lista Datos'!$B$1)</f>
        <v>1826806.7226890756</v>
      </c>
      <c r="V894" s="64"/>
      <c r="W894" s="191" t="s">
        <v>10</v>
      </c>
      <c r="X894" s="122"/>
      <c r="Y894" s="122"/>
      <c r="Z894" s="123" t="s">
        <v>10</v>
      </c>
      <c r="AA894" s="118" t="s">
        <v>512</v>
      </c>
      <c r="AB894" s="118"/>
      <c r="AC894" s="118"/>
      <c r="AD894" s="118"/>
      <c r="AE894" s="145">
        <f>Tabla1[[#This Row],[Cierre]]+Tabla1[[#This Row],[Vigencia Oferta (días)]]</f>
        <v>45112.625</v>
      </c>
      <c r="AF894" s="65"/>
      <c r="AG894" s="181"/>
      <c r="AH894" s="192">
        <f>Tabla1[[#This Row],[Unidades2]]*Tabla1[[#This Row],[Precio Unitario]]</f>
        <v>0</v>
      </c>
      <c r="AI894" s="126" t="s">
        <v>44</v>
      </c>
      <c r="AJ894" s="149">
        <v>45145</v>
      </c>
      <c r="AK894" s="149">
        <f>Tabla1[[#This Row],[Fecha Vigencia]]-AJ894</f>
        <v>-32.375</v>
      </c>
      <c r="AL894" s="65" t="s">
        <v>46</v>
      </c>
      <c r="AM894" s="90">
        <v>1041726</v>
      </c>
      <c r="AN894" s="65"/>
      <c r="AO894" s="217"/>
      <c r="AP894" s="84" t="s">
        <v>292</v>
      </c>
      <c r="AQ894" s="66"/>
      <c r="AR894" s="65"/>
      <c r="AS894" s="65"/>
      <c r="AT894" s="65"/>
      <c r="AU894" s="65"/>
      <c r="AV894" s="65"/>
      <c r="AW894" s="65"/>
      <c r="AX894" s="65"/>
      <c r="AY894" s="118"/>
      <c r="AZ894" s="118"/>
      <c r="BA894" s="118"/>
      <c r="BB894" s="124"/>
    </row>
    <row r="895" spans="1:54" x14ac:dyDescent="0.25">
      <c r="A895" s="117" t="s">
        <v>4354</v>
      </c>
      <c r="B895" s="118" t="s">
        <v>4355</v>
      </c>
      <c r="C895" s="118" t="s">
        <v>4356</v>
      </c>
      <c r="D895" s="119" t="s">
        <v>4357</v>
      </c>
      <c r="E895" s="38" t="s">
        <v>4358</v>
      </c>
      <c r="F895" s="39">
        <v>1</v>
      </c>
      <c r="G895" s="118" t="s">
        <v>14</v>
      </c>
      <c r="H895" s="118" t="s">
        <v>123</v>
      </c>
      <c r="I895" s="206">
        <v>45105.447835034698</v>
      </c>
      <c r="J895" s="38">
        <v>45117.666666666701</v>
      </c>
      <c r="K895" s="38">
        <v>45105.447835034698</v>
      </c>
      <c r="L895" s="206">
        <v>45117.666666666701</v>
      </c>
      <c r="M895" s="211">
        <v>45106</v>
      </c>
      <c r="N895" s="207" t="s">
        <v>10</v>
      </c>
      <c r="O895" s="206" t="s">
        <v>25</v>
      </c>
      <c r="P895" s="38"/>
      <c r="Q895" s="121"/>
      <c r="R895" s="121"/>
      <c r="S895" s="19"/>
      <c r="T895" s="38"/>
      <c r="U895" s="65">
        <f>Tabla1[[#This Row],[PPTO]]/(1+'Lista Datos'!$B$1)</f>
        <v>0</v>
      </c>
      <c r="V895" s="64"/>
      <c r="W895" s="191"/>
      <c r="X895" s="122"/>
      <c r="Y895" s="122"/>
      <c r="Z895" s="123"/>
      <c r="AA895" s="118"/>
      <c r="AB895" s="118"/>
      <c r="AC895" s="118"/>
      <c r="AD895" s="118"/>
      <c r="AE895" s="145">
        <f>Tabla1[[#This Row],[Cierre]]+Tabla1[[#This Row],[Vigencia Oferta (días)]]</f>
        <v>45117.666666666701</v>
      </c>
      <c r="AF895" s="65"/>
      <c r="AG895" s="181"/>
      <c r="AH895" s="192">
        <f>Tabla1[[#This Row],[Unidades2]]*Tabla1[[#This Row],[Precio Unitario]]</f>
        <v>0</v>
      </c>
      <c r="AI895" s="126" t="s">
        <v>270</v>
      </c>
      <c r="AJ895" s="149"/>
      <c r="AK895" s="149">
        <f>Tabla1[[#This Row],[Fecha Vigencia]]-AJ895</f>
        <v>45117.666666666701</v>
      </c>
      <c r="AL895" s="65"/>
      <c r="AM895" s="90"/>
      <c r="AN895" s="65"/>
      <c r="AO895" s="217"/>
      <c r="AP895" s="84"/>
      <c r="AQ895" s="66"/>
      <c r="AR895" s="65"/>
      <c r="AS895" s="65"/>
      <c r="AT895" s="65"/>
      <c r="AU895" s="65"/>
      <c r="AV895" s="65"/>
      <c r="AW895" s="65"/>
      <c r="AX895" s="65"/>
      <c r="AY895" s="118"/>
      <c r="AZ895" s="118"/>
      <c r="BA895" s="118"/>
      <c r="BB895" s="124"/>
    </row>
    <row r="896" spans="1:54" x14ac:dyDescent="0.25">
      <c r="A896" s="117" t="s">
        <v>4359</v>
      </c>
      <c r="B896" s="118" t="s">
        <v>4360</v>
      </c>
      <c r="C896" s="118" t="s">
        <v>3136</v>
      </c>
      <c r="D896" s="119" t="s">
        <v>3137</v>
      </c>
      <c r="E896" s="38" t="s">
        <v>4361</v>
      </c>
      <c r="F896" s="39">
        <v>1</v>
      </c>
      <c r="G896" s="118" t="s">
        <v>16</v>
      </c>
      <c r="H896" s="118" t="s">
        <v>123</v>
      </c>
      <c r="I896" s="206">
        <v>45105.397960682902</v>
      </c>
      <c r="J896" s="38">
        <v>45110.632638888899</v>
      </c>
      <c r="K896" s="38">
        <v>45105.397960682902</v>
      </c>
      <c r="L896" s="206">
        <v>45110.632638888899</v>
      </c>
      <c r="M896" s="211">
        <v>45106</v>
      </c>
      <c r="N896" s="207" t="s">
        <v>10</v>
      </c>
      <c r="O896" s="206" t="s">
        <v>25</v>
      </c>
      <c r="P896" s="38"/>
      <c r="Q896" s="121"/>
      <c r="R896" s="121"/>
      <c r="S896" s="19"/>
      <c r="T896" s="38"/>
      <c r="U896" s="65">
        <f>Tabla1[[#This Row],[PPTO]]/(1+'Lista Datos'!$B$1)</f>
        <v>0</v>
      </c>
      <c r="V896" s="64"/>
      <c r="W896" s="191"/>
      <c r="X896" s="122"/>
      <c r="Y896" s="122"/>
      <c r="Z896" s="123" t="s">
        <v>10</v>
      </c>
      <c r="AA896" s="118" t="s">
        <v>512</v>
      </c>
      <c r="AB896" s="118">
        <v>24</v>
      </c>
      <c r="AC896" s="118"/>
      <c r="AD896" s="118"/>
      <c r="AE896" s="145">
        <f>Tabla1[[#This Row],[Cierre]]+Tabla1[[#This Row],[Vigencia Oferta (días)]]</f>
        <v>45110.632638888899</v>
      </c>
      <c r="AF896" s="65"/>
      <c r="AG896" s="181"/>
      <c r="AH896" s="192">
        <f>Tabla1[[#This Row],[Unidades2]]*Tabla1[[#This Row],[Precio Unitario]]</f>
        <v>0</v>
      </c>
      <c r="AI896" s="126" t="s">
        <v>44</v>
      </c>
      <c r="AJ896" s="149">
        <v>45131</v>
      </c>
      <c r="AK896" s="149">
        <f>Tabla1[[#This Row],[Fecha Vigencia]]-AJ896</f>
        <v>-20.367361111100763</v>
      </c>
      <c r="AL896" s="65" t="s">
        <v>472</v>
      </c>
      <c r="AM896" s="90">
        <v>12000000</v>
      </c>
      <c r="AN896" s="181">
        <v>45131</v>
      </c>
      <c r="AO896" s="217">
        <v>45862</v>
      </c>
      <c r="AP896" s="84" t="s">
        <v>292</v>
      </c>
      <c r="AQ896" s="66"/>
      <c r="AR896" s="65"/>
      <c r="AS896" s="65"/>
      <c r="AT896" s="65"/>
      <c r="AU896" s="65"/>
      <c r="AV896" s="65"/>
      <c r="AW896" s="65"/>
      <c r="AX896" s="65"/>
      <c r="AY896" s="118"/>
      <c r="AZ896" s="118"/>
      <c r="BA896" s="118"/>
      <c r="BB896" s="124"/>
    </row>
    <row r="897" spans="1:54" x14ac:dyDescent="0.25">
      <c r="A897" s="23" t="s">
        <v>4362</v>
      </c>
      <c r="B897" s="23" t="s">
        <v>4363</v>
      </c>
      <c r="C897" s="118" t="s">
        <v>4364</v>
      </c>
      <c r="D897" s="119" t="s">
        <v>929</v>
      </c>
      <c r="E897" s="38" t="s">
        <v>4365</v>
      </c>
      <c r="F897" s="39">
        <v>1</v>
      </c>
      <c r="G897" s="118" t="s">
        <v>16</v>
      </c>
      <c r="H897" s="118" t="s">
        <v>123</v>
      </c>
      <c r="I897" s="206">
        <v>45106.934965891203</v>
      </c>
      <c r="J897" s="38">
        <v>45114.666666666701</v>
      </c>
      <c r="K897" s="38">
        <v>45106.934965891203</v>
      </c>
      <c r="L897" s="206">
        <v>45114.666666666701</v>
      </c>
      <c r="M897" s="211">
        <v>45107</v>
      </c>
      <c r="N897" s="207" t="s">
        <v>11</v>
      </c>
      <c r="O897" s="206"/>
      <c r="P897" s="38"/>
      <c r="Q897" s="121"/>
      <c r="R897" s="121"/>
      <c r="S897" s="19"/>
      <c r="T897" s="38"/>
      <c r="U897" s="65">
        <f>Tabla1[[#This Row],[PPTO]]/(1+'Lista Datos'!$B$1)</f>
        <v>0</v>
      </c>
      <c r="V897" s="64"/>
      <c r="W897" s="191"/>
      <c r="X897" s="122"/>
      <c r="Y897" s="122"/>
      <c r="Z897" s="123"/>
      <c r="AA897" s="118"/>
      <c r="AB897" s="118">
        <v>6</v>
      </c>
      <c r="AC897" s="118"/>
      <c r="AD897" s="118"/>
      <c r="AE897" s="145">
        <f>Tabla1[[#This Row],[Cierre]]+Tabla1[[#This Row],[Vigencia Oferta (días)]]</f>
        <v>45114.666666666701</v>
      </c>
      <c r="AF897" s="65"/>
      <c r="AG897" s="181"/>
      <c r="AH897" s="192">
        <f>Tabla1[[#This Row],[Unidades2]]*Tabla1[[#This Row],[Precio Unitario]]</f>
        <v>0</v>
      </c>
      <c r="AI897" s="126" t="s">
        <v>44</v>
      </c>
      <c r="AJ897" s="149">
        <v>45124</v>
      </c>
      <c r="AK897" s="149">
        <f>Tabla1[[#This Row],[Fecha Vigencia]]-AJ897</f>
        <v>-9.3333333332993789</v>
      </c>
      <c r="AL897" s="65" t="s">
        <v>115</v>
      </c>
      <c r="AM897" s="90">
        <v>6300000</v>
      </c>
      <c r="AN897" s="181">
        <v>45124</v>
      </c>
      <c r="AO897" s="217">
        <v>45308</v>
      </c>
      <c r="AP897" s="84" t="s">
        <v>292</v>
      </c>
      <c r="AQ897" s="66" t="s">
        <v>930</v>
      </c>
      <c r="AR897" s="65" t="s">
        <v>10</v>
      </c>
      <c r="AS897" s="65"/>
      <c r="AT897" s="65"/>
      <c r="AU897" s="84" t="s">
        <v>4366</v>
      </c>
      <c r="AV897" s="84" t="s">
        <v>1386</v>
      </c>
      <c r="AW897" s="84" t="s">
        <v>931</v>
      </c>
      <c r="AX897" s="84" t="s">
        <v>1388</v>
      </c>
      <c r="AY897" s="118"/>
      <c r="AZ897" s="118"/>
      <c r="BA897" s="118"/>
      <c r="BB897" s="124"/>
    </row>
    <row r="898" spans="1:54" x14ac:dyDescent="0.25">
      <c r="A898" s="23" t="s">
        <v>4367</v>
      </c>
      <c r="B898" s="23" t="s">
        <v>4368</v>
      </c>
      <c r="C898" s="30" t="s">
        <v>4369</v>
      </c>
      <c r="D898" s="84" t="s">
        <v>3876</v>
      </c>
      <c r="E898" s="24" t="s">
        <v>4370</v>
      </c>
      <c r="F898" s="25">
        <v>1</v>
      </c>
      <c r="G898" s="30" t="s">
        <v>18</v>
      </c>
      <c r="H898" s="30" t="s">
        <v>213</v>
      </c>
      <c r="I898" s="203">
        <v>45106.728663113397</v>
      </c>
      <c r="J898" s="38">
        <v>45117.780555555597</v>
      </c>
      <c r="K898" s="38">
        <v>45106.728663113397</v>
      </c>
      <c r="L898" s="203">
        <v>45117.780555555597</v>
      </c>
      <c r="M898" s="204">
        <v>45107</v>
      </c>
      <c r="N898" s="205" t="s">
        <v>10</v>
      </c>
      <c r="O898" s="203" t="s">
        <v>28</v>
      </c>
      <c r="P898" s="24"/>
      <c r="Q898" s="60"/>
      <c r="R898" s="60"/>
      <c r="S898" s="18"/>
      <c r="T898" s="24"/>
      <c r="U898" s="68">
        <f>Tabla1[[#This Row],[PPTO]]/(1+'Lista Datos'!$B$1)</f>
        <v>0</v>
      </c>
      <c r="V898" s="67"/>
      <c r="W898" s="193"/>
      <c r="X898" s="127"/>
      <c r="Y898" s="127"/>
      <c r="Z898" s="154"/>
      <c r="AA898" s="30"/>
      <c r="AB898" s="30"/>
      <c r="AC898" s="30"/>
      <c r="AD898" s="30"/>
      <c r="AE898" s="145">
        <f>Tabla1[[#This Row],[Cierre]]+Tabla1[[#This Row],[Vigencia Oferta (días)]]</f>
        <v>45117.780555555597</v>
      </c>
      <c r="AF898" s="68"/>
      <c r="AG898" s="157"/>
      <c r="AH898" s="194">
        <f>Tabla1[[#This Row],[Unidades2]]*Tabla1[[#This Row],[Precio Unitario]]</f>
        <v>0</v>
      </c>
      <c r="AI898" s="97" t="s">
        <v>270</v>
      </c>
      <c r="AJ898" s="149"/>
      <c r="AK898" s="149">
        <f>Tabla1[[#This Row],[Fecha Vigencia]]-AJ898</f>
        <v>45117.780555555597</v>
      </c>
      <c r="AL898" s="68"/>
      <c r="AM898" s="91"/>
      <c r="AN898" s="68"/>
      <c r="AO898" s="218"/>
      <c r="AP898" s="68"/>
      <c r="AQ898" s="69"/>
      <c r="AR898" s="68"/>
      <c r="AS898" s="68"/>
      <c r="AT898" s="68"/>
      <c r="AU898" s="68"/>
      <c r="AV898" s="68"/>
      <c r="AW898" s="68"/>
      <c r="AX898" s="68"/>
      <c r="AY898" s="30"/>
      <c r="AZ898" s="30"/>
      <c r="BA898" s="30"/>
      <c r="BB898" s="75"/>
    </row>
    <row r="899" spans="1:54" x14ac:dyDescent="0.25">
      <c r="A899" s="23" t="s">
        <v>4371</v>
      </c>
      <c r="B899" s="23" t="s">
        <v>4372</v>
      </c>
      <c r="C899" s="118" t="s">
        <v>3880</v>
      </c>
      <c r="D899" s="119" t="s">
        <v>371</v>
      </c>
      <c r="E899" s="38" t="s">
        <v>3881</v>
      </c>
      <c r="F899" s="39">
        <v>1</v>
      </c>
      <c r="G899" s="118" t="s">
        <v>18</v>
      </c>
      <c r="H899" s="118" t="s">
        <v>213</v>
      </c>
      <c r="I899" s="206">
        <v>45106.705204745398</v>
      </c>
      <c r="J899" s="121">
        <v>45126.625</v>
      </c>
      <c r="K899" s="121">
        <v>45106.705204745398</v>
      </c>
      <c r="L899" s="206">
        <v>45126.625</v>
      </c>
      <c r="M899" s="211">
        <v>45107</v>
      </c>
      <c r="N899" s="207" t="s">
        <v>10</v>
      </c>
      <c r="O899" s="206" t="s">
        <v>28</v>
      </c>
      <c r="P899" s="38"/>
      <c r="Q899" s="121"/>
      <c r="R899" s="121"/>
      <c r="S899" s="19"/>
      <c r="T899" s="38"/>
      <c r="U899" s="65">
        <f>Tabla1[[#This Row],[PPTO]]/(1+'Lista Datos'!$B$1)</f>
        <v>0</v>
      </c>
      <c r="V899" s="64"/>
      <c r="W899" s="191"/>
      <c r="X899" s="122"/>
      <c r="Y899" s="122"/>
      <c r="Z899" s="123"/>
      <c r="AA899" s="118"/>
      <c r="AB899" s="118"/>
      <c r="AC899" s="118"/>
      <c r="AD899" s="118"/>
      <c r="AE899" s="145">
        <f>Tabla1[[#This Row],[Cierre]]+Tabla1[[#This Row],[Vigencia Oferta (días)]]</f>
        <v>45126.625</v>
      </c>
      <c r="AF899" s="65"/>
      <c r="AG899" s="181"/>
      <c r="AH899" s="192">
        <f>Tabla1[[#This Row],[Unidades2]]*Tabla1[[#This Row],[Precio Unitario]]</f>
        <v>0</v>
      </c>
      <c r="AI899" s="126" t="s">
        <v>270</v>
      </c>
      <c r="AJ899" s="149"/>
      <c r="AK899" s="149">
        <f>Tabla1[[#This Row],[Fecha Vigencia]]-AJ899</f>
        <v>45126.625</v>
      </c>
      <c r="AL899" s="65"/>
      <c r="AM899" s="90"/>
      <c r="AN899" s="65"/>
      <c r="AO899" s="217"/>
      <c r="AP899" s="65"/>
      <c r="AQ899" s="66"/>
      <c r="AR899" s="65"/>
      <c r="AS899" s="65"/>
      <c r="AT899" s="65"/>
      <c r="AU899" s="65"/>
      <c r="AV899" s="65"/>
      <c r="AW899" s="65"/>
      <c r="AX899" s="65"/>
      <c r="AY899" s="118"/>
      <c r="AZ899" s="118"/>
      <c r="BA899" s="118"/>
      <c r="BB899" s="124"/>
    </row>
    <row r="900" spans="1:54" x14ac:dyDescent="0.25">
      <c r="A900" s="23" t="s">
        <v>4373</v>
      </c>
      <c r="B900" s="23" t="s">
        <v>4374</v>
      </c>
      <c r="C900" s="30" t="s">
        <v>4375</v>
      </c>
      <c r="D900" s="84" t="s">
        <v>3292</v>
      </c>
      <c r="E900" s="24" t="s">
        <v>4376</v>
      </c>
      <c r="F900" s="25">
        <v>2</v>
      </c>
      <c r="G900" s="30" t="s">
        <v>21</v>
      </c>
      <c r="H900" s="30" t="s">
        <v>106</v>
      </c>
      <c r="I900" s="203">
        <v>45106.485749039399</v>
      </c>
      <c r="J900" s="38">
        <v>45114.625</v>
      </c>
      <c r="K900" s="38">
        <v>45106.485749039399</v>
      </c>
      <c r="L900" s="203">
        <v>45114.625</v>
      </c>
      <c r="M900" s="204">
        <v>45107</v>
      </c>
      <c r="N900" s="205" t="s">
        <v>10</v>
      </c>
      <c r="O900" s="203" t="s">
        <v>27</v>
      </c>
      <c r="P900" s="24"/>
      <c r="Q900" s="60"/>
      <c r="R900" s="60"/>
      <c r="S900" s="18"/>
      <c r="T900" s="24"/>
      <c r="U900" s="68">
        <f>Tabla1[[#This Row],[PPTO]]/(1+'Lista Datos'!$B$1)</f>
        <v>0</v>
      </c>
      <c r="V900" s="67"/>
      <c r="W900" s="193"/>
      <c r="X900" s="127"/>
      <c r="Y900" s="127"/>
      <c r="Z900" s="154"/>
      <c r="AA900" s="30"/>
      <c r="AB900" s="30"/>
      <c r="AC900" s="30"/>
      <c r="AD900" s="30"/>
      <c r="AE900" s="145">
        <f>Tabla1[[#This Row],[Cierre]]+Tabla1[[#This Row],[Vigencia Oferta (días)]]</f>
        <v>45114.625</v>
      </c>
      <c r="AF900" s="68"/>
      <c r="AG900" s="157"/>
      <c r="AH900" s="194">
        <f>Tabla1[[#This Row],[Unidades2]]*Tabla1[[#This Row],[Precio Unitario]]</f>
        <v>0</v>
      </c>
      <c r="AI900" s="97" t="s">
        <v>270</v>
      </c>
      <c r="AJ900" s="149"/>
      <c r="AK900" s="149">
        <f>Tabla1[[#This Row],[Fecha Vigencia]]-AJ900</f>
        <v>45114.625</v>
      </c>
      <c r="AL900" s="68"/>
      <c r="AM900" s="91"/>
      <c r="AN900" s="68"/>
      <c r="AO900" s="218"/>
      <c r="AP900" s="68"/>
      <c r="AQ900" s="69"/>
      <c r="AR900" s="68"/>
      <c r="AS900" s="68"/>
      <c r="AT900" s="68"/>
      <c r="AU900" s="68"/>
      <c r="AV900" s="68"/>
      <c r="AW900" s="68"/>
      <c r="AX900" s="68"/>
      <c r="AY900" s="30"/>
      <c r="AZ900" s="30"/>
      <c r="BA900" s="30"/>
      <c r="BB900" s="75"/>
    </row>
    <row r="901" spans="1:54" x14ac:dyDescent="0.25">
      <c r="A901" s="23" t="s">
        <v>4377</v>
      </c>
      <c r="B901" s="23" t="s">
        <v>4378</v>
      </c>
      <c r="C901" s="30" t="s">
        <v>4379</v>
      </c>
      <c r="D901" s="84" t="s">
        <v>965</v>
      </c>
      <c r="E901" s="24" t="s">
        <v>4380</v>
      </c>
      <c r="F901" s="25">
        <v>300</v>
      </c>
      <c r="G901" s="30" t="s">
        <v>21</v>
      </c>
      <c r="H901" s="30" t="s">
        <v>106</v>
      </c>
      <c r="I901" s="203">
        <v>45106.452888854197</v>
      </c>
      <c r="J901" s="121">
        <v>45118.520833333299</v>
      </c>
      <c r="K901" s="121">
        <v>45106.452888854197</v>
      </c>
      <c r="L901" s="203">
        <v>45118.520833333299</v>
      </c>
      <c r="M901" s="204">
        <v>45107</v>
      </c>
      <c r="N901" s="205" t="s">
        <v>10</v>
      </c>
      <c r="O901" s="203" t="s">
        <v>29</v>
      </c>
      <c r="P901" s="24"/>
      <c r="Q901" s="160">
        <v>45110.666666666664</v>
      </c>
      <c r="R901" s="160">
        <v>45112.666666666664</v>
      </c>
      <c r="S901" s="161">
        <v>45211.666666666664</v>
      </c>
      <c r="T901" s="24"/>
      <c r="U901" s="68">
        <f>Tabla1[[#This Row],[PPTO]]/(1+'Lista Datos'!$B$1)</f>
        <v>0</v>
      </c>
      <c r="V901" s="67"/>
      <c r="W901" s="193" t="s">
        <v>10</v>
      </c>
      <c r="X901" s="127"/>
      <c r="Y901" s="127"/>
      <c r="Z901" s="154" t="s">
        <v>10</v>
      </c>
      <c r="AA901" s="30" t="s">
        <v>177</v>
      </c>
      <c r="AB901" s="30">
        <v>36</v>
      </c>
      <c r="AC901" s="30" t="s">
        <v>11</v>
      </c>
      <c r="AD901" s="30">
        <v>90</v>
      </c>
      <c r="AE901" s="145">
        <f>Tabla1[[#This Row],[Cierre]]+Tabla1[[#This Row],[Vigencia Oferta (días)]]</f>
        <v>45208.520833333299</v>
      </c>
      <c r="AF901" s="68">
        <f>8*36</f>
        <v>288</v>
      </c>
      <c r="AG901" s="157">
        <v>14336</v>
      </c>
      <c r="AH901" s="194">
        <f>Tabla1[[#This Row],[Unidades2]]*Tabla1[[#This Row],[Precio Unitario]]</f>
        <v>4128768</v>
      </c>
      <c r="AI901" s="97" t="s">
        <v>270</v>
      </c>
      <c r="AJ901" s="149"/>
      <c r="AK901" s="149">
        <f>Tabla1[[#This Row],[Fecha Vigencia]]-AJ901</f>
        <v>45208.520833333299</v>
      </c>
      <c r="AL901" s="68"/>
      <c r="AM901" s="91"/>
      <c r="AN901" s="68"/>
      <c r="AO901" s="218"/>
      <c r="AP901" s="68"/>
      <c r="AQ901" s="69"/>
      <c r="AR901" s="68"/>
      <c r="AS901" s="68"/>
      <c r="AT901" s="68"/>
      <c r="AU901" s="68"/>
      <c r="AV901" s="68"/>
      <c r="AW901" s="68"/>
      <c r="AX901" s="68"/>
      <c r="AY901" s="30"/>
      <c r="AZ901" s="30"/>
      <c r="BA901" s="30"/>
      <c r="BB901" s="75"/>
    </row>
    <row r="902" spans="1:54" x14ac:dyDescent="0.25">
      <c r="A902" s="23" t="s">
        <v>4381</v>
      </c>
      <c r="B902" s="23" t="s">
        <v>4382</v>
      </c>
      <c r="C902" s="118" t="s">
        <v>4383</v>
      </c>
      <c r="D902" s="119" t="s">
        <v>378</v>
      </c>
      <c r="E902" s="38" t="s">
        <v>4384</v>
      </c>
      <c r="F902" s="39">
        <v>5</v>
      </c>
      <c r="G902" s="118" t="s">
        <v>21</v>
      </c>
      <c r="H902" s="118" t="s">
        <v>106</v>
      </c>
      <c r="I902" s="206">
        <v>45106.408081481502</v>
      </c>
      <c r="J902" s="121">
        <v>45117.667361111096</v>
      </c>
      <c r="K902" s="121">
        <v>45106.408081481502</v>
      </c>
      <c r="L902" s="206">
        <v>45117.667361111096</v>
      </c>
      <c r="M902" s="211">
        <v>45107</v>
      </c>
      <c r="N902" s="207" t="s">
        <v>10</v>
      </c>
      <c r="O902" s="206" t="s">
        <v>27</v>
      </c>
      <c r="P902" s="38"/>
      <c r="Q902" s="121"/>
      <c r="R902" s="121"/>
      <c r="S902" s="19"/>
      <c r="T902" s="38"/>
      <c r="U902" s="65">
        <f>Tabla1[[#This Row],[PPTO]]/(1+'Lista Datos'!$B$1)</f>
        <v>0</v>
      </c>
      <c r="V902" s="64"/>
      <c r="W902" s="191"/>
      <c r="X902" s="122"/>
      <c r="Y902" s="122"/>
      <c r="Z902" s="123"/>
      <c r="AA902" s="118"/>
      <c r="AB902" s="118"/>
      <c r="AC902" s="118"/>
      <c r="AD902" s="118"/>
      <c r="AE902" s="145">
        <f>Tabla1[[#This Row],[Cierre]]+Tabla1[[#This Row],[Vigencia Oferta (días)]]</f>
        <v>45117.667361111096</v>
      </c>
      <c r="AF902" s="65"/>
      <c r="AG902" s="181"/>
      <c r="AH902" s="192">
        <f>Tabla1[[#This Row],[Unidades2]]*Tabla1[[#This Row],[Precio Unitario]]</f>
        <v>0</v>
      </c>
      <c r="AI902" s="126" t="s">
        <v>270</v>
      </c>
      <c r="AJ902" s="149"/>
      <c r="AK902" s="149">
        <f>Tabla1[[#This Row],[Fecha Vigencia]]-AJ902</f>
        <v>45117.667361111096</v>
      </c>
      <c r="AL902" s="65"/>
      <c r="AM902" s="90"/>
      <c r="AN902" s="65"/>
      <c r="AO902" s="217"/>
      <c r="AP902" s="65"/>
      <c r="AQ902" s="66"/>
      <c r="AR902" s="65"/>
      <c r="AS902" s="65"/>
      <c r="AT902" s="65"/>
      <c r="AU902" s="65"/>
      <c r="AV902" s="65"/>
      <c r="AW902" s="65"/>
      <c r="AX902" s="65"/>
      <c r="AY902" s="118"/>
      <c r="AZ902" s="118"/>
      <c r="BA902" s="118"/>
      <c r="BB902" s="124"/>
    </row>
    <row r="903" spans="1:54" x14ac:dyDescent="0.25">
      <c r="A903" s="23" t="s">
        <v>4385</v>
      </c>
      <c r="B903" s="23" t="s">
        <v>4386</v>
      </c>
      <c r="C903" s="118" t="s">
        <v>4387</v>
      </c>
      <c r="D903" s="119" t="s">
        <v>344</v>
      </c>
      <c r="E903" s="38" t="s">
        <v>4388</v>
      </c>
      <c r="F903" s="39">
        <v>1</v>
      </c>
      <c r="G903" s="118" t="s">
        <v>21</v>
      </c>
      <c r="H903" s="118" t="s">
        <v>106</v>
      </c>
      <c r="I903" s="206">
        <v>45106.37222222222</v>
      </c>
      <c r="J903" s="38">
        <v>45126.75</v>
      </c>
      <c r="K903" s="38">
        <v>45106.372225729203</v>
      </c>
      <c r="L903" s="206">
        <v>45126.75</v>
      </c>
      <c r="M903" s="211">
        <v>45107</v>
      </c>
      <c r="N903" s="207" t="s">
        <v>10</v>
      </c>
      <c r="O903" s="206" t="s">
        <v>29</v>
      </c>
      <c r="P903" s="38" t="s">
        <v>11</v>
      </c>
      <c r="Q903" s="147">
        <v>45116.75</v>
      </c>
      <c r="R903" s="147">
        <v>45121.833333333336</v>
      </c>
      <c r="S903" s="19" t="s">
        <v>4389</v>
      </c>
      <c r="T903" s="215">
        <v>70250000</v>
      </c>
      <c r="U903" s="214">
        <f>Tabla1[[#This Row],[PPTO]]/(1+'Lista Datos'!$B$1)</f>
        <v>59033613.445378155</v>
      </c>
      <c r="V903" s="64"/>
      <c r="W903" s="191" t="s">
        <v>11</v>
      </c>
      <c r="X903" s="122">
        <v>500000</v>
      </c>
      <c r="Y903" s="149">
        <v>45276</v>
      </c>
      <c r="Z903" s="123" t="s">
        <v>10</v>
      </c>
      <c r="AA903" s="118" t="s">
        <v>177</v>
      </c>
      <c r="AB903" s="118">
        <v>24</v>
      </c>
      <c r="AC903" s="118"/>
      <c r="AD903" s="118">
        <v>120</v>
      </c>
      <c r="AE903" s="145">
        <f>Tabla1[[#This Row],[Cierre]]+Tabla1[[#This Row],[Vigencia Oferta (días)]]</f>
        <v>45246.75</v>
      </c>
      <c r="AF903" s="65"/>
      <c r="AG903" s="181"/>
      <c r="AH903" s="192">
        <f>Tabla1[[#This Row],[Unidades2]]*Tabla1[[#This Row],[Precio Unitario]]</f>
        <v>0</v>
      </c>
      <c r="AI903" s="126" t="s">
        <v>44</v>
      </c>
      <c r="AJ903" s="149">
        <v>45166.656585648147</v>
      </c>
      <c r="AK903" s="149">
        <f>Tabla1[[#This Row],[Fecha Vigencia]]-AJ903</f>
        <v>80.093414351853426</v>
      </c>
      <c r="AL903" s="65" t="s">
        <v>46</v>
      </c>
      <c r="AM903" s="90">
        <v>41910604</v>
      </c>
      <c r="AN903" s="65"/>
      <c r="AO903" s="217"/>
      <c r="AP903" s="84" t="s">
        <v>292</v>
      </c>
      <c r="AQ903" s="66"/>
      <c r="AR903" s="65"/>
      <c r="AS903" s="65"/>
      <c r="AT903" s="65"/>
      <c r="AU903" s="65"/>
      <c r="AV903" s="65"/>
      <c r="AW903" s="65"/>
      <c r="AX903" s="65"/>
      <c r="AY903" s="118"/>
      <c r="AZ903" s="118"/>
      <c r="BA903" s="118"/>
      <c r="BB903" s="124"/>
    </row>
    <row r="904" spans="1:54" ht="17.25" customHeight="1" x14ac:dyDescent="0.25">
      <c r="A904" s="23" t="s">
        <v>4390</v>
      </c>
      <c r="B904" s="23" t="s">
        <v>4391</v>
      </c>
      <c r="C904" s="30" t="s">
        <v>4392</v>
      </c>
      <c r="D904" s="84" t="s">
        <v>2416</v>
      </c>
      <c r="E904" s="24" t="s">
        <v>4393</v>
      </c>
      <c r="F904" s="25">
        <v>1</v>
      </c>
      <c r="G904" s="30" t="s">
        <v>16</v>
      </c>
      <c r="H904" s="30" t="s">
        <v>123</v>
      </c>
      <c r="I904" s="206">
        <v>45107.625844907408</v>
      </c>
      <c r="J904" s="38">
        <f>MONTH(Tabla1[[#This Row],[Publicación]])</f>
        <v>6</v>
      </c>
      <c r="K904" s="38">
        <f>YEAR(Tabla1[[#This Row],[Publicación]])</f>
        <v>2023</v>
      </c>
      <c r="L904" s="2">
        <v>45146.666666666664</v>
      </c>
      <c r="M904" s="204">
        <v>45110</v>
      </c>
      <c r="N904" s="205" t="s">
        <v>11</v>
      </c>
      <c r="O904" s="203"/>
      <c r="P904" s="24"/>
      <c r="Q904" s="160">
        <v>45117.666666666664</v>
      </c>
      <c r="R904" s="160">
        <v>45126.666666666664</v>
      </c>
      <c r="S904" s="161">
        <v>45244.666666666664</v>
      </c>
      <c r="T904" s="24"/>
      <c r="U904" s="68">
        <f>Tabla1[[#This Row],[PPTO]]/(1+'Lista Datos'!$B$1)</f>
        <v>0</v>
      </c>
      <c r="V904" s="67"/>
      <c r="W904" s="193" t="s">
        <v>11</v>
      </c>
      <c r="X904" s="127">
        <v>2000000</v>
      </c>
      <c r="Y904" s="104">
        <v>45320</v>
      </c>
      <c r="Z904" s="154" t="s">
        <v>11</v>
      </c>
      <c r="AA904" s="30" t="s">
        <v>177</v>
      </c>
      <c r="AB904" s="30">
        <v>48</v>
      </c>
      <c r="AC904" s="30"/>
      <c r="AD904" s="30"/>
      <c r="AE904" s="145">
        <f>Tabla1[[#This Row],[Cierre]]+Tabla1[[#This Row],[Vigencia Oferta (días)]]</f>
        <v>45146.666666666664</v>
      </c>
      <c r="AF904" s="68"/>
      <c r="AG904" s="157"/>
      <c r="AH904" s="194">
        <f>Tabla1[[#This Row],[Unidades2]]*Tabla1[[#This Row],[Precio Unitario]]</f>
        <v>0</v>
      </c>
      <c r="AI904" s="97" t="s">
        <v>44</v>
      </c>
      <c r="AJ904" s="149">
        <v>45211</v>
      </c>
      <c r="AK904" s="149">
        <f>Tabla1[[#This Row],[Fecha Vigencia]]-AJ904</f>
        <v>-64.333333333335759</v>
      </c>
      <c r="AL904" s="68" t="s">
        <v>45</v>
      </c>
      <c r="AM904" s="209">
        <v>420168067</v>
      </c>
      <c r="AN904" s="157">
        <v>45211</v>
      </c>
      <c r="AO904" s="218">
        <v>46672</v>
      </c>
      <c r="AP904" s="68" t="s">
        <v>177</v>
      </c>
      <c r="AQ904" s="69"/>
      <c r="AR904" s="68"/>
      <c r="AS904" s="68"/>
      <c r="AT904" s="68"/>
      <c r="AU904" s="68"/>
      <c r="AV904" s="68"/>
      <c r="AW904" s="68"/>
      <c r="AX904" s="68"/>
      <c r="AY904" s="30"/>
      <c r="AZ904" s="30"/>
      <c r="BA904" s="30"/>
      <c r="BB904" s="75"/>
    </row>
    <row r="905" spans="1:54" ht="17.25" customHeight="1" x14ac:dyDescent="0.25">
      <c r="A905" s="23" t="s">
        <v>4394</v>
      </c>
      <c r="B905" s="23" t="s">
        <v>4395</v>
      </c>
      <c r="C905" s="118" t="s">
        <v>4396</v>
      </c>
      <c r="D905" s="119" t="s">
        <v>190</v>
      </c>
      <c r="E905" s="38" t="s">
        <v>4397</v>
      </c>
      <c r="F905" s="39">
        <v>4</v>
      </c>
      <c r="G905" s="118" t="s">
        <v>14</v>
      </c>
      <c r="H905" s="118" t="s">
        <v>778</v>
      </c>
      <c r="I905" s="40">
        <v>45107.407488425924</v>
      </c>
      <c r="J905" s="121">
        <f>MONTH(Tabla1[[#This Row],[Publicación]])</f>
        <v>6</v>
      </c>
      <c r="K905" s="121">
        <f>YEAR(Tabla1[[#This Row],[Publicación]])</f>
        <v>2023</v>
      </c>
      <c r="L905" s="40">
        <v>45117.625</v>
      </c>
      <c r="M905" s="204">
        <v>45110</v>
      </c>
      <c r="N905" s="207" t="s">
        <v>10</v>
      </c>
      <c r="O905" s="206" t="s">
        <v>29</v>
      </c>
      <c r="P905" s="38" t="s">
        <v>10</v>
      </c>
      <c r="Q905" s="225">
        <v>44992.604166666664</v>
      </c>
      <c r="R905" s="121"/>
      <c r="S905" s="19"/>
      <c r="T905" s="38"/>
      <c r="U905" s="65">
        <f>Tabla1[[#This Row],[PPTO]]/(1+'Lista Datos'!$B$1)</f>
        <v>0</v>
      </c>
      <c r="V905" s="64"/>
      <c r="W905" s="191"/>
      <c r="X905" s="122"/>
      <c r="Y905" s="122"/>
      <c r="Z905" s="123" t="s">
        <v>10</v>
      </c>
      <c r="AA905" s="118" t="s">
        <v>512</v>
      </c>
      <c r="AB905" s="118"/>
      <c r="AC905" s="118"/>
      <c r="AD905" s="118"/>
      <c r="AE905" s="145">
        <f>Tabla1[[#This Row],[Cierre]]+Tabla1[[#This Row],[Vigencia Oferta (días)]]</f>
        <v>45117.625</v>
      </c>
      <c r="AF905" s="65"/>
      <c r="AG905" s="181"/>
      <c r="AH905" s="192">
        <f>Tabla1[[#This Row],[Unidades2]]*Tabla1[[#This Row],[Precio Unitario]]</f>
        <v>0</v>
      </c>
      <c r="AI905" s="126" t="s">
        <v>270</v>
      </c>
      <c r="AJ905" s="149"/>
      <c r="AK905" s="149">
        <f>Tabla1[[#This Row],[Fecha Vigencia]]-AJ905</f>
        <v>45117.625</v>
      </c>
      <c r="AL905" s="65"/>
      <c r="AM905" s="90"/>
      <c r="AN905" s="65"/>
      <c r="AO905" s="217"/>
      <c r="AP905" s="65"/>
      <c r="AQ905" s="66"/>
      <c r="AR905" s="65"/>
      <c r="AS905" s="65"/>
      <c r="AT905" s="65"/>
      <c r="AU905" s="65"/>
      <c r="AV905" s="65"/>
      <c r="AW905" s="65"/>
      <c r="AX905" s="65"/>
      <c r="AY905" s="118"/>
      <c r="AZ905" s="118"/>
      <c r="BA905" s="118"/>
      <c r="BB905" s="124"/>
    </row>
    <row r="906" spans="1:54" x14ac:dyDescent="0.25">
      <c r="A906" s="23" t="s">
        <v>4398</v>
      </c>
      <c r="B906" s="23" t="s">
        <v>4399</v>
      </c>
      <c r="C906" s="118" t="s">
        <v>4400</v>
      </c>
      <c r="D906" s="119" t="s">
        <v>3047</v>
      </c>
      <c r="E906" s="38" t="s">
        <v>4401</v>
      </c>
      <c r="F906" s="39">
        <v>1</v>
      </c>
      <c r="G906" s="118" t="s">
        <v>18</v>
      </c>
      <c r="H906" s="118" t="s">
        <v>213</v>
      </c>
      <c r="I906" s="206">
        <v>45110.380462962959</v>
      </c>
      <c r="J906" s="38" t="s">
        <v>4402</v>
      </c>
      <c r="K906" s="38">
        <f>YEAR(Tabla1[[#This Row],[Publicación]])</f>
        <v>2023</v>
      </c>
      <c r="L906" s="40">
        <v>45120.666666666664</v>
      </c>
      <c r="M906" s="204">
        <v>45111</v>
      </c>
      <c r="N906" s="207" t="s">
        <v>10</v>
      </c>
      <c r="O906" s="206" t="s">
        <v>35</v>
      </c>
      <c r="P906" s="38"/>
      <c r="Q906" s="121"/>
      <c r="R906" s="121"/>
      <c r="S906" s="19"/>
      <c r="T906" s="38"/>
      <c r="U906" s="65">
        <f>Tabla1[[#This Row],[PPTO]]/(1+'Lista Datos'!$B$1)</f>
        <v>0</v>
      </c>
      <c r="V906" s="64"/>
      <c r="W906" s="191"/>
      <c r="X906" s="122"/>
      <c r="Y906" s="122"/>
      <c r="Z906" s="123"/>
      <c r="AA906" s="118"/>
      <c r="AB906" s="118"/>
      <c r="AC906" s="118"/>
      <c r="AD906" s="118"/>
      <c r="AE906" s="145">
        <f>Tabla1[[#This Row],[Cierre]]+Tabla1[[#This Row],[Vigencia Oferta (días)]]</f>
        <v>45120.666666666664</v>
      </c>
      <c r="AF906" s="65"/>
      <c r="AG906" s="181"/>
      <c r="AH906" s="192">
        <f>Tabla1[[#This Row],[Unidades2]]*Tabla1[[#This Row],[Precio Unitario]]</f>
        <v>0</v>
      </c>
      <c r="AI906" s="126" t="s">
        <v>270</v>
      </c>
      <c r="AJ906" s="149"/>
      <c r="AK906" s="149">
        <f>Tabla1[[#This Row],[Fecha Vigencia]]-AJ906</f>
        <v>45120.666666666664</v>
      </c>
      <c r="AL906" s="65"/>
      <c r="AM906" s="90"/>
      <c r="AN906" s="65"/>
      <c r="AO906" s="217"/>
      <c r="AP906" s="65"/>
      <c r="AQ906" s="66"/>
      <c r="AR906" s="65"/>
      <c r="AS906" s="65"/>
      <c r="AT906" s="65"/>
      <c r="AU906" s="65"/>
      <c r="AV906" s="65"/>
      <c r="AW906" s="65"/>
      <c r="AX906" s="65"/>
      <c r="AY906" s="118"/>
      <c r="AZ906" s="118"/>
      <c r="BA906" s="118"/>
      <c r="BB906" s="124"/>
    </row>
    <row r="907" spans="1:54" x14ac:dyDescent="0.25">
      <c r="A907" s="23" t="s">
        <v>4403</v>
      </c>
      <c r="B907" s="23" t="s">
        <v>4404</v>
      </c>
      <c r="C907" s="30" t="s">
        <v>4405</v>
      </c>
      <c r="D907" s="84" t="s">
        <v>2422</v>
      </c>
      <c r="E907" s="24" t="s">
        <v>4406</v>
      </c>
      <c r="F907" s="25">
        <v>4</v>
      </c>
      <c r="G907" s="30" t="s">
        <v>14</v>
      </c>
      <c r="H907" s="30" t="s">
        <v>145</v>
      </c>
      <c r="I907" s="206">
        <v>45111.608761574076</v>
      </c>
      <c r="J907" s="40">
        <v>45131.645833333299</v>
      </c>
      <c r="K907" s="38">
        <f>YEAR(Tabla1[[#This Row],[Publicación]])</f>
        <v>2023</v>
      </c>
      <c r="L907" s="2">
        <v>45131.645833333299</v>
      </c>
      <c r="M907" s="204">
        <v>45112</v>
      </c>
      <c r="N907" s="205" t="s">
        <v>10</v>
      </c>
      <c r="O907" s="203" t="s">
        <v>27</v>
      </c>
      <c r="P907" s="24"/>
      <c r="Q907" s="60"/>
      <c r="R907" s="60"/>
      <c r="S907" s="18"/>
      <c r="T907" s="24"/>
      <c r="U907" s="68">
        <f>Tabla1[[#This Row],[PPTO]]/(1+'Lista Datos'!$B$1)</f>
        <v>0</v>
      </c>
      <c r="V907" s="67"/>
      <c r="W907" s="193"/>
      <c r="X907" s="127"/>
      <c r="Y907" s="127"/>
      <c r="Z907" s="154"/>
      <c r="AA907" s="30"/>
      <c r="AB907" s="30"/>
      <c r="AC907" s="30"/>
      <c r="AD907" s="30"/>
      <c r="AE907" s="145">
        <f>Tabla1[[#This Row],[Cierre]]+Tabla1[[#This Row],[Vigencia Oferta (días)]]</f>
        <v>45131.645833333299</v>
      </c>
      <c r="AF907" s="68"/>
      <c r="AG907" s="157"/>
      <c r="AH907" s="194">
        <f>Tabla1[[#This Row],[Unidades2]]*Tabla1[[#This Row],[Precio Unitario]]</f>
        <v>0</v>
      </c>
      <c r="AI907" s="97" t="s">
        <v>270</v>
      </c>
      <c r="AJ907" s="149"/>
      <c r="AK907" s="149">
        <f>Tabla1[[#This Row],[Fecha Vigencia]]-AJ907</f>
        <v>45131.645833333299</v>
      </c>
      <c r="AL907" s="68"/>
      <c r="AM907" s="91"/>
      <c r="AN907" s="68"/>
      <c r="AO907" s="218"/>
      <c r="AP907" s="68"/>
      <c r="AQ907" s="69"/>
      <c r="AR907" s="68"/>
      <c r="AS907" s="68"/>
      <c r="AT907" s="68"/>
      <c r="AU907" s="68"/>
      <c r="AV907" s="68"/>
      <c r="AW907" s="68"/>
      <c r="AX907" s="68"/>
      <c r="AY907" s="30"/>
      <c r="AZ907" s="30"/>
      <c r="BA907" s="30"/>
      <c r="BB907" s="75"/>
    </row>
    <row r="908" spans="1:54" x14ac:dyDescent="0.25">
      <c r="A908" s="23" t="s">
        <v>4407</v>
      </c>
      <c r="B908" s="23" t="s">
        <v>4408</v>
      </c>
      <c r="C908" s="118" t="s">
        <v>4409</v>
      </c>
      <c r="D908" s="119" t="s">
        <v>3215</v>
      </c>
      <c r="E908" s="38" t="s">
        <v>4410</v>
      </c>
      <c r="F908" s="39">
        <v>24</v>
      </c>
      <c r="G908" s="118" t="s">
        <v>21</v>
      </c>
      <c r="H908" s="118" t="s">
        <v>106</v>
      </c>
      <c r="I908" s="206">
        <v>45111.563957905099</v>
      </c>
      <c r="J908" s="225">
        <v>45131.625</v>
      </c>
      <c r="K908" s="121">
        <f>YEAR(Tabla1[[#This Row],[Publicación]])</f>
        <v>2023</v>
      </c>
      <c r="L908" s="40">
        <v>45131.625</v>
      </c>
      <c r="M908" s="211">
        <v>45112</v>
      </c>
      <c r="N908" s="207" t="s">
        <v>10</v>
      </c>
      <c r="O908" s="206" t="s">
        <v>29</v>
      </c>
      <c r="P908" s="38"/>
      <c r="Q908" s="121"/>
      <c r="R908" s="121"/>
      <c r="S908" s="19"/>
      <c r="T908" s="38"/>
      <c r="U908" s="65">
        <f>Tabla1[[#This Row],[PPTO]]/(1+'Lista Datos'!$B$1)</f>
        <v>0</v>
      </c>
      <c r="V908" s="64"/>
      <c r="W908" s="191"/>
      <c r="X908" s="122"/>
      <c r="Y908" s="122"/>
      <c r="Z908" s="123"/>
      <c r="AA908" s="118"/>
      <c r="AB908" s="118"/>
      <c r="AC908" s="118"/>
      <c r="AD908" s="118"/>
      <c r="AE908" s="145">
        <f>Tabla1[[#This Row],[Cierre]]+Tabla1[[#This Row],[Vigencia Oferta (días)]]</f>
        <v>45131.625</v>
      </c>
      <c r="AF908" s="65"/>
      <c r="AG908" s="181"/>
      <c r="AH908" s="192">
        <f>Tabla1[[#This Row],[Unidades2]]*Tabla1[[#This Row],[Precio Unitario]]</f>
        <v>0</v>
      </c>
      <c r="AI908" s="126" t="s">
        <v>270</v>
      </c>
      <c r="AJ908" s="149"/>
      <c r="AK908" s="149">
        <f>Tabla1[[#This Row],[Fecha Vigencia]]-AJ908</f>
        <v>45131.625</v>
      </c>
      <c r="AL908" s="65"/>
      <c r="AM908" s="90"/>
      <c r="AN908" s="65"/>
      <c r="AO908" s="217"/>
      <c r="AP908" s="65"/>
      <c r="AQ908" s="66"/>
      <c r="AR908" s="65"/>
      <c r="AS908" s="65"/>
      <c r="AT908" s="65"/>
      <c r="AU908" s="65"/>
      <c r="AV908" s="65"/>
      <c r="AW908" s="65"/>
      <c r="AX908" s="65"/>
      <c r="AY908" s="118"/>
      <c r="AZ908" s="118"/>
      <c r="BA908" s="118"/>
      <c r="BB908" s="124"/>
    </row>
    <row r="909" spans="1:54" x14ac:dyDescent="0.25">
      <c r="A909" s="23" t="s">
        <v>4411</v>
      </c>
      <c r="B909" s="23" t="s">
        <v>4412</v>
      </c>
      <c r="C909" s="30" t="s">
        <v>4413</v>
      </c>
      <c r="D909" s="84" t="s">
        <v>1909</v>
      </c>
      <c r="E909" s="24" t="s">
        <v>4414</v>
      </c>
      <c r="F909" s="25">
        <v>251</v>
      </c>
      <c r="G909" s="30" t="s">
        <v>14</v>
      </c>
      <c r="H909" s="30" t="s">
        <v>533</v>
      </c>
      <c r="I909" s="2">
        <v>45112.6228674421</v>
      </c>
      <c r="J909" s="38">
        <f>MONTH(Tabla1[[#This Row],[Publicación]])</f>
        <v>7</v>
      </c>
      <c r="K909" s="38">
        <f>YEAR(Tabla1[[#This Row],[Publicación]])</f>
        <v>2023</v>
      </c>
      <c r="L909" s="2">
        <v>45124.75</v>
      </c>
      <c r="M909" s="211">
        <v>45113</v>
      </c>
      <c r="N909" s="205" t="s">
        <v>10</v>
      </c>
      <c r="O909" s="203" t="s">
        <v>25</v>
      </c>
      <c r="P909" s="24"/>
      <c r="Q909" s="60"/>
      <c r="R909" s="60"/>
      <c r="S909" s="18"/>
      <c r="T909" s="24"/>
      <c r="U909" s="68">
        <f>Tabla1[[#This Row],[PPTO]]/(1+'Lista Datos'!$B$1)</f>
        <v>0</v>
      </c>
      <c r="V909" s="67"/>
      <c r="W909" s="193"/>
      <c r="X909" s="127"/>
      <c r="Y909" s="127"/>
      <c r="Z909" s="154"/>
      <c r="AA909" s="30"/>
      <c r="AB909" s="30"/>
      <c r="AC909" s="30"/>
      <c r="AD909" s="30"/>
      <c r="AE909" s="145">
        <f>Tabla1[[#This Row],[Cierre]]+Tabla1[[#This Row],[Vigencia Oferta (días)]]</f>
        <v>45124.75</v>
      </c>
      <c r="AF909" s="68"/>
      <c r="AG909" s="157"/>
      <c r="AH909" s="194">
        <f>Tabla1[[#This Row],[Unidades2]]*Tabla1[[#This Row],[Precio Unitario]]</f>
        <v>0</v>
      </c>
      <c r="AI909" s="97" t="s">
        <v>270</v>
      </c>
      <c r="AJ909" s="149"/>
      <c r="AK909" s="149">
        <f>Tabla1[[#This Row],[Fecha Vigencia]]-AJ909</f>
        <v>45124.75</v>
      </c>
      <c r="AL909" s="68"/>
      <c r="AM909" s="91"/>
      <c r="AN909" s="68"/>
      <c r="AO909" s="218"/>
      <c r="AP909" s="68"/>
      <c r="AQ909" s="69"/>
      <c r="AR909" s="68"/>
      <c r="AS909" s="68"/>
      <c r="AT909" s="68"/>
      <c r="AU909" s="68"/>
      <c r="AV909" s="68"/>
      <c r="AW909" s="68"/>
      <c r="AX909" s="68"/>
      <c r="AY909" s="30"/>
      <c r="AZ909" s="30"/>
      <c r="BA909" s="30"/>
      <c r="BB909" s="75"/>
    </row>
    <row r="910" spans="1:54" x14ac:dyDescent="0.25">
      <c r="A910" s="23" t="s">
        <v>4415</v>
      </c>
      <c r="B910" s="23" t="s">
        <v>4416</v>
      </c>
      <c r="C910" s="30" t="s">
        <v>4417</v>
      </c>
      <c r="D910" s="84" t="s">
        <v>3733</v>
      </c>
      <c r="E910" s="24" t="s">
        <v>4418</v>
      </c>
      <c r="F910" s="25">
        <v>8</v>
      </c>
      <c r="G910" s="30" t="s">
        <v>21</v>
      </c>
      <c r="H910" s="30" t="s">
        <v>106</v>
      </c>
      <c r="I910" s="2">
        <v>45112.620966863396</v>
      </c>
      <c r="J910" s="121">
        <f>MONTH(Tabla1[[#This Row],[Publicación]])</f>
        <v>7</v>
      </c>
      <c r="K910" s="121">
        <f>YEAR(Tabla1[[#This Row],[Publicación]])</f>
        <v>2023</v>
      </c>
      <c r="L910" s="2">
        <v>45124.666666666701</v>
      </c>
      <c r="M910" s="211">
        <v>45113</v>
      </c>
      <c r="N910" s="205" t="s">
        <v>10</v>
      </c>
      <c r="O910" s="203" t="s">
        <v>30</v>
      </c>
      <c r="P910" s="24"/>
      <c r="Q910" s="160">
        <v>45117.4375</v>
      </c>
      <c r="R910" s="160">
        <v>45119.666666666664</v>
      </c>
      <c r="S910" s="161">
        <v>45145.774305555555</v>
      </c>
      <c r="T910" s="24"/>
      <c r="U910" s="68">
        <f>Tabla1[[#This Row],[PPTO]]/(1+'Lista Datos'!$B$1)</f>
        <v>0</v>
      </c>
      <c r="V910" s="67"/>
      <c r="W910" s="193" t="s">
        <v>11</v>
      </c>
      <c r="X910" s="127">
        <v>1000000</v>
      </c>
      <c r="Y910" s="127"/>
      <c r="Z910" s="154"/>
      <c r="AA910" s="30"/>
      <c r="AB910" s="30"/>
      <c r="AC910" s="30"/>
      <c r="AD910" s="30"/>
      <c r="AE910" s="145">
        <f>Tabla1[[#This Row],[Cierre]]+Tabla1[[#This Row],[Vigencia Oferta (días)]]</f>
        <v>45124.666666666701</v>
      </c>
      <c r="AF910" s="68"/>
      <c r="AG910" s="157"/>
      <c r="AH910" s="194">
        <f>Tabla1[[#This Row],[Unidades2]]*Tabla1[[#This Row],[Precio Unitario]]</f>
        <v>0</v>
      </c>
      <c r="AI910" s="97" t="s">
        <v>270</v>
      </c>
      <c r="AJ910" s="149"/>
      <c r="AK910" s="149">
        <f>Tabla1[[#This Row],[Fecha Vigencia]]-AJ910</f>
        <v>45124.666666666701</v>
      </c>
      <c r="AL910" s="68"/>
      <c r="AM910" s="91"/>
      <c r="AN910" s="68"/>
      <c r="AO910" s="218"/>
      <c r="AP910" s="68"/>
      <c r="AQ910" s="69"/>
      <c r="AR910" s="68"/>
      <c r="AS910" s="68"/>
      <c r="AT910" s="68"/>
      <c r="AU910" s="68"/>
      <c r="AV910" s="68"/>
      <c r="AW910" s="68"/>
      <c r="AX910" s="68"/>
      <c r="AY910" s="30"/>
      <c r="AZ910" s="30"/>
      <c r="BA910" s="30"/>
      <c r="BB910" s="75"/>
    </row>
    <row r="911" spans="1:54" x14ac:dyDescent="0.25">
      <c r="A911" s="23" t="s">
        <v>4419</v>
      </c>
      <c r="B911" s="23" t="s">
        <v>4420</v>
      </c>
      <c r="C911" s="118" t="s">
        <v>4421</v>
      </c>
      <c r="D911" s="119" t="s">
        <v>4422</v>
      </c>
      <c r="E911" s="38" t="s">
        <v>4423</v>
      </c>
      <c r="F911" s="39">
        <v>1</v>
      </c>
      <c r="G911" s="118" t="s">
        <v>18</v>
      </c>
      <c r="H911" s="118" t="s">
        <v>213</v>
      </c>
      <c r="I911" s="40">
        <v>45112.732827048603</v>
      </c>
      <c r="J911" s="121">
        <f>MONTH(Tabla1[[#This Row],[Publicación]])</f>
        <v>7</v>
      </c>
      <c r="K911" s="121">
        <f>YEAR(Tabla1[[#This Row],[Publicación]])</f>
        <v>2023</v>
      </c>
      <c r="L911" s="40">
        <v>45132.775694444397</v>
      </c>
      <c r="M911" s="211">
        <v>45113</v>
      </c>
      <c r="N911" s="207" t="s">
        <v>10</v>
      </c>
      <c r="O911" s="206" t="s">
        <v>35</v>
      </c>
      <c r="P911" s="38"/>
      <c r="Q911" s="121"/>
      <c r="R911" s="121"/>
      <c r="S911" s="19"/>
      <c r="T911" s="38"/>
      <c r="U911" s="65">
        <f>Tabla1[[#This Row],[PPTO]]/(1+'Lista Datos'!$B$1)</f>
        <v>0</v>
      </c>
      <c r="V911" s="64"/>
      <c r="W911" s="191"/>
      <c r="X911" s="122"/>
      <c r="Y911" s="122"/>
      <c r="Z911" s="123"/>
      <c r="AA911" s="118"/>
      <c r="AB911" s="118"/>
      <c r="AC911" s="118"/>
      <c r="AD911" s="118"/>
      <c r="AE911" s="145">
        <f>Tabla1[[#This Row],[Cierre]]+Tabla1[[#This Row],[Vigencia Oferta (días)]]</f>
        <v>45132.775694444397</v>
      </c>
      <c r="AF911" s="65"/>
      <c r="AG911" s="181"/>
      <c r="AH911" s="192">
        <f>Tabla1[[#This Row],[Unidades2]]*Tabla1[[#This Row],[Precio Unitario]]</f>
        <v>0</v>
      </c>
      <c r="AI911" s="126" t="s">
        <v>270</v>
      </c>
      <c r="AJ911" s="149"/>
      <c r="AK911" s="149">
        <f>Tabla1[[#This Row],[Fecha Vigencia]]-AJ911</f>
        <v>45132.775694444397</v>
      </c>
      <c r="AL911" s="65"/>
      <c r="AM911" s="90"/>
      <c r="AN911" s="65"/>
      <c r="AO911" s="217"/>
      <c r="AP911" s="65"/>
      <c r="AQ911" s="66"/>
      <c r="AR911" s="65"/>
      <c r="AS911" s="65"/>
      <c r="AT911" s="65"/>
      <c r="AU911" s="65"/>
      <c r="AV911" s="65"/>
      <c r="AW911" s="65"/>
      <c r="AX911" s="65"/>
      <c r="AY911" s="118"/>
      <c r="AZ911" s="118"/>
      <c r="BA911" s="118"/>
      <c r="BB911" s="124"/>
    </row>
    <row r="912" spans="1:54" x14ac:dyDescent="0.25">
      <c r="A912" s="23" t="s">
        <v>4424</v>
      </c>
      <c r="B912" s="23" t="s">
        <v>4425</v>
      </c>
      <c r="C912" s="30" t="s">
        <v>4426</v>
      </c>
      <c r="D912" s="84" t="s">
        <v>2373</v>
      </c>
      <c r="E912" s="24" t="s">
        <v>4427</v>
      </c>
      <c r="F912" s="25">
        <v>1</v>
      </c>
      <c r="G912" s="30" t="s">
        <v>18</v>
      </c>
      <c r="H912" s="30" t="s">
        <v>213</v>
      </c>
      <c r="I912" s="203">
        <v>45115.411769791703</v>
      </c>
      <c r="J912" s="38">
        <v>45131.625</v>
      </c>
      <c r="K912" s="38">
        <v>45115.411769791703</v>
      </c>
      <c r="L912" s="203">
        <v>45131.625</v>
      </c>
      <c r="M912" s="204">
        <v>45117</v>
      </c>
      <c r="N912" s="205" t="s">
        <v>10</v>
      </c>
      <c r="O912" s="203" t="s">
        <v>29</v>
      </c>
      <c r="P912" s="24"/>
      <c r="Q912" s="60"/>
      <c r="R912" s="60"/>
      <c r="S912" s="18"/>
      <c r="T912" s="24"/>
      <c r="U912" s="68">
        <f>Tabla1[[#This Row],[PPTO]]/(1+'Lista Datos'!$B$1)</f>
        <v>0</v>
      </c>
      <c r="V912" s="67"/>
      <c r="W912" s="193"/>
      <c r="X912" s="127"/>
      <c r="Y912" s="127"/>
      <c r="Z912" s="154"/>
      <c r="AA912" s="30"/>
      <c r="AB912" s="30"/>
      <c r="AC912" s="30"/>
      <c r="AD912" s="30"/>
      <c r="AE912" s="145">
        <f>Tabla1[[#This Row],[Cierre]]+Tabla1[[#This Row],[Vigencia Oferta (días)]]</f>
        <v>45131.625</v>
      </c>
      <c r="AF912" s="68"/>
      <c r="AG912" s="157"/>
      <c r="AH912" s="194">
        <f>Tabla1[[#This Row],[Unidades2]]*Tabla1[[#This Row],[Precio Unitario]]</f>
        <v>0</v>
      </c>
      <c r="AI912" s="97" t="s">
        <v>270</v>
      </c>
      <c r="AJ912" s="149"/>
      <c r="AK912" s="149">
        <f>Tabla1[[#This Row],[Fecha Vigencia]]-AJ912</f>
        <v>45131.625</v>
      </c>
      <c r="AL912" s="68"/>
      <c r="AM912" s="91"/>
      <c r="AN912" s="68"/>
      <c r="AO912" s="218"/>
      <c r="AP912" s="68"/>
      <c r="AQ912" s="69"/>
      <c r="AR912" s="68"/>
      <c r="AS912" s="68"/>
      <c r="AT912" s="68"/>
      <c r="AU912" s="68"/>
      <c r="AV912" s="68"/>
      <c r="AW912" s="68"/>
      <c r="AX912" s="68"/>
      <c r="AY912" s="30"/>
      <c r="AZ912" s="30"/>
      <c r="BA912" s="30"/>
      <c r="BB912" s="75"/>
    </row>
    <row r="913" spans="1:54" x14ac:dyDescent="0.25">
      <c r="A913" s="23" t="s">
        <v>4428</v>
      </c>
      <c r="B913" s="23" t="s">
        <v>4429</v>
      </c>
      <c r="C913" s="30" t="s">
        <v>4430</v>
      </c>
      <c r="D913" s="84" t="s">
        <v>291</v>
      </c>
      <c r="E913" s="24" t="s">
        <v>4431</v>
      </c>
      <c r="F913" s="25">
        <v>1</v>
      </c>
      <c r="G913" s="30" t="s">
        <v>16</v>
      </c>
      <c r="H913" s="30" t="s">
        <v>145</v>
      </c>
      <c r="I913" s="203">
        <v>45114.636973958302</v>
      </c>
      <c r="J913" s="121">
        <v>45135.625</v>
      </c>
      <c r="K913" s="121">
        <v>45114.636973958302</v>
      </c>
      <c r="L913" s="203">
        <v>45135.625</v>
      </c>
      <c r="M913" s="204">
        <v>45117</v>
      </c>
      <c r="N913" s="205" t="s">
        <v>10</v>
      </c>
      <c r="O913" s="203" t="s">
        <v>34</v>
      </c>
      <c r="P913" s="24"/>
      <c r="Q913" s="160">
        <v>45127.333333333336</v>
      </c>
      <c r="R913" s="160">
        <v>45131.708333333336</v>
      </c>
      <c r="S913" s="161">
        <v>45198.708333333336</v>
      </c>
      <c r="T913" s="24"/>
      <c r="U913" s="68">
        <f>Tabla1[[#This Row],[PPTO]]/(1+'Lista Datos'!$B$1)</f>
        <v>0</v>
      </c>
      <c r="V913" s="67"/>
      <c r="W913" s="193" t="s">
        <v>11</v>
      </c>
      <c r="X913" s="127" t="s">
        <v>4432</v>
      </c>
      <c r="Y913" s="104">
        <v>45229</v>
      </c>
      <c r="Z913" s="154" t="s">
        <v>11</v>
      </c>
      <c r="AA913" s="30" t="s">
        <v>177</v>
      </c>
      <c r="AB913" s="30">
        <v>24</v>
      </c>
      <c r="AC913" s="30"/>
      <c r="AD913" s="30"/>
      <c r="AE913" s="145">
        <f>Tabla1[[#This Row],[Cierre]]+Tabla1[[#This Row],[Vigencia Oferta (días)]]</f>
        <v>45135.625</v>
      </c>
      <c r="AF913" s="68"/>
      <c r="AG913" s="157"/>
      <c r="AH913" s="194">
        <f>Tabla1[[#This Row],[Unidades2]]*Tabla1[[#This Row],[Precio Unitario]]</f>
        <v>0</v>
      </c>
      <c r="AI913" s="97" t="s">
        <v>270</v>
      </c>
      <c r="AJ913" s="149"/>
      <c r="AK913" s="149">
        <f>Tabla1[[#This Row],[Fecha Vigencia]]-AJ913</f>
        <v>45135.625</v>
      </c>
      <c r="AL913" s="68"/>
      <c r="AM913" s="91"/>
      <c r="AN913" s="68"/>
      <c r="AO913" s="218"/>
      <c r="AP913" s="68"/>
      <c r="AQ913" s="69"/>
      <c r="AR913" s="68"/>
      <c r="AS913" s="68"/>
      <c r="AT913" s="68"/>
      <c r="AU913" s="68"/>
      <c r="AV913" s="68"/>
      <c r="AW913" s="68"/>
      <c r="AX913" s="68"/>
      <c r="AY913" s="30"/>
      <c r="AZ913" s="30"/>
      <c r="BA913" s="30"/>
      <c r="BB913" s="75"/>
    </row>
    <row r="914" spans="1:54" x14ac:dyDescent="0.25">
      <c r="A914" s="23" t="s">
        <v>4433</v>
      </c>
      <c r="B914" s="23" t="s">
        <v>4434</v>
      </c>
      <c r="C914" s="118" t="s">
        <v>4435</v>
      </c>
      <c r="D914" s="119" t="s">
        <v>4436</v>
      </c>
      <c r="E914" s="38" t="s">
        <v>4437</v>
      </c>
      <c r="F914" s="39">
        <v>12</v>
      </c>
      <c r="G914" s="118" t="s">
        <v>14</v>
      </c>
      <c r="H914" s="118" t="s">
        <v>145</v>
      </c>
      <c r="I914" s="206">
        <v>45114.544163310202</v>
      </c>
      <c r="J914" s="121">
        <v>45126.708333333299</v>
      </c>
      <c r="K914" s="121">
        <v>45114.544163310202</v>
      </c>
      <c r="L914" s="206">
        <v>45126.708333333299</v>
      </c>
      <c r="M914" s="211">
        <v>45117</v>
      </c>
      <c r="N914" s="207" t="s">
        <v>10</v>
      </c>
      <c r="O914" s="206" t="s">
        <v>27</v>
      </c>
      <c r="P914" s="38"/>
      <c r="Q914" s="121"/>
      <c r="R914" s="121"/>
      <c r="S914" s="19"/>
      <c r="T914" s="38"/>
      <c r="U914" s="65">
        <f>Tabla1[[#This Row],[PPTO]]/(1+'Lista Datos'!$B$1)</f>
        <v>0</v>
      </c>
      <c r="V914" s="64"/>
      <c r="W914" s="191"/>
      <c r="X914" s="122"/>
      <c r="Y914" s="122"/>
      <c r="Z914" s="123"/>
      <c r="AA914" s="118"/>
      <c r="AB914" s="118"/>
      <c r="AC914" s="118"/>
      <c r="AD914" s="118"/>
      <c r="AE914" s="145">
        <f>Tabla1[[#This Row],[Cierre]]+Tabla1[[#This Row],[Vigencia Oferta (días)]]</f>
        <v>45126.708333333299</v>
      </c>
      <c r="AF914" s="65"/>
      <c r="AG914" s="181"/>
      <c r="AH914" s="192">
        <f>Tabla1[[#This Row],[Unidades2]]*Tabla1[[#This Row],[Precio Unitario]]</f>
        <v>0</v>
      </c>
      <c r="AI914" s="126" t="s">
        <v>270</v>
      </c>
      <c r="AJ914" s="149"/>
      <c r="AK914" s="149">
        <f>Tabla1[[#This Row],[Fecha Vigencia]]-AJ914</f>
        <v>45126.708333333299</v>
      </c>
      <c r="AL914" s="65"/>
      <c r="AM914" s="90"/>
      <c r="AN914" s="65"/>
      <c r="AO914" s="217"/>
      <c r="AP914" s="65"/>
      <c r="AQ914" s="66"/>
      <c r="AR914" s="65"/>
      <c r="AS914" s="65"/>
      <c r="AT914" s="65"/>
      <c r="AU914" s="65"/>
      <c r="AV914" s="65"/>
      <c r="AW914" s="65"/>
      <c r="AX914" s="65"/>
      <c r="AY914" s="118"/>
      <c r="AZ914" s="118"/>
      <c r="BA914" s="118"/>
      <c r="BB914" s="124"/>
    </row>
    <row r="915" spans="1:54" x14ac:dyDescent="0.25">
      <c r="A915" s="23" t="s">
        <v>4438</v>
      </c>
      <c r="B915" s="23" t="s">
        <v>4439</v>
      </c>
      <c r="C915" s="118" t="s">
        <v>4440</v>
      </c>
      <c r="D915" s="119" t="s">
        <v>4441</v>
      </c>
      <c r="E915" s="38" t="s">
        <v>4442</v>
      </c>
      <c r="F915" s="39">
        <v>20</v>
      </c>
      <c r="G915" s="118" t="s">
        <v>21</v>
      </c>
      <c r="H915" s="118" t="s">
        <v>106</v>
      </c>
      <c r="I915" s="206">
        <v>45114.511800428198</v>
      </c>
      <c r="J915" s="38">
        <v>45124.625</v>
      </c>
      <c r="K915" s="38">
        <v>45114.511800428198</v>
      </c>
      <c r="L915" s="206">
        <v>45124.625</v>
      </c>
      <c r="M915" s="211">
        <v>45117</v>
      </c>
      <c r="N915" s="207" t="s">
        <v>10</v>
      </c>
      <c r="O915" s="206" t="s">
        <v>29</v>
      </c>
      <c r="P915" s="38" t="s">
        <v>10</v>
      </c>
      <c r="Q915" s="147">
        <v>45117.708333333336</v>
      </c>
      <c r="R915" s="147">
        <v>45119.708333333336</v>
      </c>
      <c r="S915" s="148">
        <v>45169.652777777781</v>
      </c>
      <c r="T915" s="215">
        <v>3600000</v>
      </c>
      <c r="U915" s="214">
        <f>Tabla1[[#This Row],[PPTO]]/(1+'Lista Datos'!$B$1)</f>
        <v>3025210.0840336136</v>
      </c>
      <c r="V915" s="64"/>
      <c r="W915" s="191" t="s">
        <v>10</v>
      </c>
      <c r="X915" s="122"/>
      <c r="Y915" s="122"/>
      <c r="Z915" s="123" t="s">
        <v>10</v>
      </c>
      <c r="AA915" s="118" t="s">
        <v>512</v>
      </c>
      <c r="AB915" s="118"/>
      <c r="AC915" s="118"/>
      <c r="AD915" s="118"/>
      <c r="AE915" s="145">
        <f>Tabla1[[#This Row],[Cierre]]+Tabla1[[#This Row],[Vigencia Oferta (días)]]</f>
        <v>45124.625</v>
      </c>
      <c r="AF915" s="65"/>
      <c r="AG915" s="181"/>
      <c r="AH915" s="192">
        <f>Tabla1[[#This Row],[Unidades2]]*Tabla1[[#This Row],[Precio Unitario]]</f>
        <v>0</v>
      </c>
      <c r="AI915" s="126" t="s">
        <v>270</v>
      </c>
      <c r="AJ915" s="149"/>
      <c r="AK915" s="149">
        <f>Tabla1[[#This Row],[Fecha Vigencia]]-AJ915</f>
        <v>45124.625</v>
      </c>
      <c r="AL915" s="65"/>
      <c r="AM915" s="90"/>
      <c r="AN915" s="65"/>
      <c r="AO915" s="217"/>
      <c r="AP915" s="65"/>
      <c r="AQ915" s="66"/>
      <c r="AR915" s="65"/>
      <c r="AS915" s="65"/>
      <c r="AT915" s="65"/>
      <c r="AU915" s="65"/>
      <c r="AV915" s="65"/>
      <c r="AW915" s="65"/>
      <c r="AX915" s="65"/>
      <c r="AY915" s="118"/>
      <c r="AZ915" s="118"/>
      <c r="BA915" s="118"/>
      <c r="BB915" s="124"/>
    </row>
    <row r="916" spans="1:54" x14ac:dyDescent="0.25">
      <c r="A916" s="23" t="s">
        <v>4443</v>
      </c>
      <c r="B916" s="23" t="s">
        <v>4444</v>
      </c>
      <c r="C916" s="118" t="s">
        <v>4445</v>
      </c>
      <c r="D916" s="119" t="s">
        <v>702</v>
      </c>
      <c r="E916" s="38" t="s">
        <v>4446</v>
      </c>
      <c r="F916" s="39">
        <v>5</v>
      </c>
      <c r="G916" s="118" t="s">
        <v>14</v>
      </c>
      <c r="H916" s="118" t="s">
        <v>123</v>
      </c>
      <c r="I916" s="206">
        <v>45113.704828819398</v>
      </c>
      <c r="J916" s="38">
        <v>45124.625694444403</v>
      </c>
      <c r="K916" s="38">
        <v>45113.704828819398</v>
      </c>
      <c r="L916" s="206">
        <v>45124.625694444403</v>
      </c>
      <c r="M916" s="211">
        <v>45117</v>
      </c>
      <c r="N916" s="207" t="s">
        <v>10</v>
      </c>
      <c r="O916" s="206" t="s">
        <v>27</v>
      </c>
      <c r="P916" s="38"/>
      <c r="Q916" s="121"/>
      <c r="R916" s="121"/>
      <c r="S916" s="19"/>
      <c r="T916" s="38"/>
      <c r="U916" s="65">
        <f>Tabla1[[#This Row],[PPTO]]/(1+'Lista Datos'!$B$1)</f>
        <v>0</v>
      </c>
      <c r="V916" s="64"/>
      <c r="W916" s="191"/>
      <c r="X916" s="122"/>
      <c r="Y916" s="122"/>
      <c r="Z916" s="123"/>
      <c r="AA916" s="118"/>
      <c r="AB916" s="118"/>
      <c r="AC916" s="118"/>
      <c r="AD916" s="118"/>
      <c r="AE916" s="145">
        <f>Tabla1[[#This Row],[Cierre]]+Tabla1[[#This Row],[Vigencia Oferta (días)]]</f>
        <v>45124.625694444403</v>
      </c>
      <c r="AF916" s="65"/>
      <c r="AG916" s="181"/>
      <c r="AH916" s="192">
        <f>Tabla1[[#This Row],[Unidades2]]*Tabla1[[#This Row],[Precio Unitario]]</f>
        <v>0</v>
      </c>
      <c r="AI916" s="126" t="s">
        <v>44</v>
      </c>
      <c r="AJ916" s="149">
        <v>45131</v>
      </c>
      <c r="AK916" s="149">
        <f>Tabla1[[#This Row],[Fecha Vigencia]]-AJ916</f>
        <v>-6.3743055555969477</v>
      </c>
      <c r="AL916" s="65" t="s">
        <v>46</v>
      </c>
      <c r="AM916" s="90">
        <v>278500</v>
      </c>
      <c r="AN916" s="65"/>
      <c r="AO916" s="217"/>
      <c r="AP916" s="84" t="s">
        <v>292</v>
      </c>
      <c r="AQ916" s="66"/>
      <c r="AR916" s="65"/>
      <c r="AS916" s="65"/>
      <c r="AT916" s="65"/>
      <c r="AU916" s="65"/>
      <c r="AV916" s="65"/>
      <c r="AW916" s="65"/>
      <c r="AX916" s="65"/>
      <c r="AY916" s="118"/>
      <c r="AZ916" s="118"/>
      <c r="BA916" s="118"/>
      <c r="BB916" s="124"/>
    </row>
    <row r="917" spans="1:54" x14ac:dyDescent="0.25">
      <c r="A917" s="23" t="s">
        <v>4447</v>
      </c>
      <c r="B917" s="23" t="s">
        <v>4448</v>
      </c>
      <c r="C917" s="30" t="s">
        <v>4449</v>
      </c>
      <c r="D917" s="84" t="s">
        <v>3951</v>
      </c>
      <c r="E917" s="24" t="s">
        <v>4450</v>
      </c>
      <c r="F917" s="25">
        <v>60000</v>
      </c>
      <c r="G917" s="30" t="s">
        <v>16</v>
      </c>
      <c r="H917" s="30" t="s">
        <v>145</v>
      </c>
      <c r="I917" s="203">
        <v>45113.670007523098</v>
      </c>
      <c r="J917" s="38">
        <v>45135.583333333299</v>
      </c>
      <c r="K917" s="38">
        <v>45113.670007523098</v>
      </c>
      <c r="L917" s="203">
        <v>45135.583333333299</v>
      </c>
      <c r="M917" s="204">
        <v>45117</v>
      </c>
      <c r="N917" s="205" t="s">
        <v>10</v>
      </c>
      <c r="O917" s="203" t="s">
        <v>31</v>
      </c>
      <c r="P917" s="24"/>
      <c r="Q917" s="160">
        <v>45126.5</v>
      </c>
      <c r="R917" s="160">
        <v>45132.708333333336</v>
      </c>
      <c r="S917" s="161">
        <v>45225.583333333336</v>
      </c>
      <c r="T917" s="24"/>
      <c r="U917" s="68">
        <f>Tabla1[[#This Row],[PPTO]]/(1+'Lista Datos'!$B$1)</f>
        <v>0</v>
      </c>
      <c r="V917" s="67"/>
      <c r="W917" s="193" t="s">
        <v>11</v>
      </c>
      <c r="X917" s="127">
        <v>500000</v>
      </c>
      <c r="Y917" s="104">
        <v>45303</v>
      </c>
      <c r="Z917" s="154" t="s">
        <v>11</v>
      </c>
      <c r="AA917" s="30" t="s">
        <v>177</v>
      </c>
      <c r="AB917" s="30">
        <v>24</v>
      </c>
      <c r="AC917" s="30"/>
      <c r="AD917" s="30"/>
      <c r="AE917" s="145">
        <f>Tabla1[[#This Row],[Cierre]]+Tabla1[[#This Row],[Vigencia Oferta (días)]]</f>
        <v>45135.583333333299</v>
      </c>
      <c r="AF917" s="68"/>
      <c r="AG917" s="157"/>
      <c r="AH917" s="194">
        <f>Tabla1[[#This Row],[Unidades2]]*Tabla1[[#This Row],[Precio Unitario]]</f>
        <v>0</v>
      </c>
      <c r="AI917" s="97" t="s">
        <v>270</v>
      </c>
      <c r="AJ917" s="149"/>
      <c r="AK917" s="149">
        <f>Tabla1[[#This Row],[Fecha Vigencia]]-AJ917</f>
        <v>45135.583333333299</v>
      </c>
      <c r="AL917" s="68"/>
      <c r="AM917" s="91"/>
      <c r="AN917" s="68"/>
      <c r="AO917" s="218"/>
      <c r="AP917" s="68"/>
      <c r="AQ917" s="69"/>
      <c r="AR917" s="68"/>
      <c r="AS917" s="68"/>
      <c r="AT917" s="68"/>
      <c r="AU917" s="68"/>
      <c r="AV917" s="68"/>
      <c r="AW917" s="68"/>
      <c r="AX917" s="68"/>
      <c r="AY917" s="30"/>
      <c r="AZ917" s="30"/>
      <c r="BA917" s="30"/>
      <c r="BB917" s="75"/>
    </row>
    <row r="918" spans="1:54" x14ac:dyDescent="0.25">
      <c r="A918" s="23" t="s">
        <v>4451</v>
      </c>
      <c r="B918" s="23" t="s">
        <v>4452</v>
      </c>
      <c r="C918" s="118" t="s">
        <v>4453</v>
      </c>
      <c r="D918" s="119" t="s">
        <v>1448</v>
      </c>
      <c r="E918" s="38" t="s">
        <v>4454</v>
      </c>
      <c r="F918" s="39">
        <v>480</v>
      </c>
      <c r="G918" s="118" t="s">
        <v>14</v>
      </c>
      <c r="H918" s="118" t="s">
        <v>145</v>
      </c>
      <c r="I918" s="206">
        <v>45113.628448726799</v>
      </c>
      <c r="J918" s="121">
        <v>45124.708333333299</v>
      </c>
      <c r="K918" s="121">
        <v>45113.628448726799</v>
      </c>
      <c r="L918" s="206">
        <v>45124.708333333299</v>
      </c>
      <c r="M918" s="211">
        <v>45117</v>
      </c>
      <c r="N918" s="207" t="s">
        <v>10</v>
      </c>
      <c r="O918" s="206" t="s">
        <v>25</v>
      </c>
      <c r="P918" s="38"/>
      <c r="Q918" s="147">
        <v>45118.708333333336</v>
      </c>
      <c r="R918" s="147">
        <v>45119.709027777775</v>
      </c>
      <c r="S918" s="148">
        <v>45189.739583333336</v>
      </c>
      <c r="T918" s="38"/>
      <c r="U918" s="65">
        <f>Tabla1[[#This Row],[PPTO]]/(1+'Lista Datos'!$B$1)</f>
        <v>0</v>
      </c>
      <c r="V918" s="64"/>
      <c r="W918" s="191" t="s">
        <v>11</v>
      </c>
      <c r="X918" s="122">
        <v>500000</v>
      </c>
      <c r="Y918" s="149">
        <v>45250</v>
      </c>
      <c r="Z918" s="123" t="s">
        <v>10</v>
      </c>
      <c r="AA918" s="118" t="s">
        <v>177</v>
      </c>
      <c r="AB918" s="118">
        <v>24</v>
      </c>
      <c r="AC918" s="118"/>
      <c r="AD918" s="118"/>
      <c r="AE918" s="145">
        <f>Tabla1[[#This Row],[Cierre]]+Tabla1[[#This Row],[Vigencia Oferta (días)]]</f>
        <v>45124.708333333299</v>
      </c>
      <c r="AF918" s="65"/>
      <c r="AG918" s="181"/>
      <c r="AH918" s="192">
        <f>Tabla1[[#This Row],[Unidades2]]*Tabla1[[#This Row],[Precio Unitario]]</f>
        <v>0</v>
      </c>
      <c r="AI918" s="126" t="s">
        <v>270</v>
      </c>
      <c r="AJ918" s="149"/>
      <c r="AK918" s="149">
        <f>Tabla1[[#This Row],[Fecha Vigencia]]-AJ918</f>
        <v>45124.708333333299</v>
      </c>
      <c r="AL918" s="65"/>
      <c r="AM918" s="90"/>
      <c r="AN918" s="65"/>
      <c r="AO918" s="217"/>
      <c r="AP918" s="65"/>
      <c r="AQ918" s="66"/>
      <c r="AR918" s="65"/>
      <c r="AS918" s="65"/>
      <c r="AT918" s="65"/>
      <c r="AU918" s="65"/>
      <c r="AV918" s="65"/>
      <c r="AW918" s="65"/>
      <c r="AX918" s="65"/>
      <c r="AY918" s="118"/>
      <c r="AZ918" s="118"/>
      <c r="BA918" s="118"/>
      <c r="BB918" s="124"/>
    </row>
    <row r="919" spans="1:54" ht="23.25" x14ac:dyDescent="0.25">
      <c r="A919" s="23" t="s">
        <v>4455</v>
      </c>
      <c r="B919" s="23" t="s">
        <v>4456</v>
      </c>
      <c r="C919" s="118" t="s">
        <v>4457</v>
      </c>
      <c r="D919" s="119" t="s">
        <v>3170</v>
      </c>
      <c r="E919" s="38" t="s">
        <v>4458</v>
      </c>
      <c r="F919" s="39">
        <v>2</v>
      </c>
      <c r="G919" s="118" t="s">
        <v>21</v>
      </c>
      <c r="H919" s="118" t="s">
        <v>106</v>
      </c>
      <c r="I919" s="206">
        <v>45117.624727118098</v>
      </c>
      <c r="J919" s="38">
        <v>45124.645833333299</v>
      </c>
      <c r="K919" s="38">
        <v>45117.624727118098</v>
      </c>
      <c r="L919" s="206">
        <v>45124.645833333299</v>
      </c>
      <c r="M919" s="211">
        <v>45118</v>
      </c>
      <c r="N919" s="207" t="s">
        <v>11</v>
      </c>
      <c r="O919" s="206"/>
      <c r="P919" s="38" t="s">
        <v>11</v>
      </c>
      <c r="Q919" s="147">
        <v>45118.729166666664</v>
      </c>
      <c r="R919" s="147">
        <v>45119.729861111111</v>
      </c>
      <c r="S919" s="148">
        <v>45134.6875</v>
      </c>
      <c r="T919" s="38"/>
      <c r="U919" s="65">
        <f>Tabla1[[#This Row],[PPTO]]/(1+'Lista Datos'!$B$1)</f>
        <v>0</v>
      </c>
      <c r="V919" s="64"/>
      <c r="W919" s="191" t="s">
        <v>10</v>
      </c>
      <c r="X919" s="122"/>
      <c r="Y919" s="122"/>
      <c r="Z919" s="123" t="s">
        <v>10</v>
      </c>
      <c r="AA919" s="118" t="s">
        <v>512</v>
      </c>
      <c r="AB919" s="118"/>
      <c r="AC919" s="118"/>
      <c r="AD919" s="118"/>
      <c r="AE919" s="145">
        <f>Tabla1[[#This Row],[Cierre]]+Tabla1[[#This Row],[Vigencia Oferta (días)]]</f>
        <v>45124.645833333299</v>
      </c>
      <c r="AF919" s="65"/>
      <c r="AG919" s="181"/>
      <c r="AH919" s="192">
        <f>Tabla1[[#This Row],[Unidades2]]*Tabla1[[#This Row],[Precio Unitario]]</f>
        <v>0</v>
      </c>
      <c r="AI919" s="126" t="s">
        <v>44</v>
      </c>
      <c r="AJ919" s="149">
        <v>45159</v>
      </c>
      <c r="AK919" s="149">
        <f>Tabla1[[#This Row],[Fecha Vigencia]]-AJ919</f>
        <v>-34.354166666700621</v>
      </c>
      <c r="AL919" s="65" t="s">
        <v>45</v>
      </c>
      <c r="AM919" s="90">
        <v>555082</v>
      </c>
      <c r="AN919" s="65"/>
      <c r="AO919" s="217"/>
      <c r="AP919" s="65" t="s">
        <v>292</v>
      </c>
      <c r="AQ919" s="66"/>
      <c r="AR919" s="65"/>
      <c r="AS919" s="65"/>
      <c r="AT919" s="65"/>
      <c r="AU919" s="65"/>
      <c r="AV919" s="65"/>
      <c r="AW919" s="65"/>
      <c r="AX919" s="65"/>
      <c r="AY919" s="118"/>
      <c r="AZ919" s="118"/>
      <c r="BA919" s="118"/>
      <c r="BB919" s="124"/>
    </row>
    <row r="920" spans="1:54" x14ac:dyDescent="0.25">
      <c r="A920" s="23" t="s">
        <v>4459</v>
      </c>
      <c r="B920" s="23" t="s">
        <v>4460</v>
      </c>
      <c r="C920" s="118" t="s">
        <v>4461</v>
      </c>
      <c r="D920" s="119" t="s">
        <v>3757</v>
      </c>
      <c r="E920" s="38" t="s">
        <v>4462</v>
      </c>
      <c r="F920" s="39">
        <v>1</v>
      </c>
      <c r="G920" s="118" t="s">
        <v>16</v>
      </c>
      <c r="H920" s="118" t="s">
        <v>123</v>
      </c>
      <c r="I920" s="206">
        <v>45117.5200819444</v>
      </c>
      <c r="J920" s="38">
        <v>45124.765277777798</v>
      </c>
      <c r="K920" s="38">
        <v>45117.5200819444</v>
      </c>
      <c r="L920" s="206">
        <v>45124.765277777798</v>
      </c>
      <c r="M920" s="211">
        <v>45118</v>
      </c>
      <c r="N920" s="207" t="s">
        <v>10</v>
      </c>
      <c r="O920" s="206" t="s">
        <v>33</v>
      </c>
      <c r="P920" s="38"/>
      <c r="Q920" s="121"/>
      <c r="R920" s="121"/>
      <c r="S920" s="19"/>
      <c r="T920" s="38"/>
      <c r="U920" s="65">
        <f>Tabla1[[#This Row],[PPTO]]/(1+'Lista Datos'!$B$1)</f>
        <v>0</v>
      </c>
      <c r="V920" s="64"/>
      <c r="W920" s="191"/>
      <c r="X920" s="122"/>
      <c r="Y920" s="122"/>
      <c r="Z920" s="123"/>
      <c r="AA920" s="118"/>
      <c r="AB920" s="118"/>
      <c r="AC920" s="118"/>
      <c r="AD920" s="118"/>
      <c r="AE920" s="145">
        <f>Tabla1[[#This Row],[Cierre]]+Tabla1[[#This Row],[Vigencia Oferta (días)]]</f>
        <v>45124.765277777798</v>
      </c>
      <c r="AF920" s="65"/>
      <c r="AG920" s="181"/>
      <c r="AH920" s="192">
        <f>Tabla1[[#This Row],[Unidades2]]*Tabla1[[#This Row],[Precio Unitario]]</f>
        <v>0</v>
      </c>
      <c r="AI920" s="126" t="s">
        <v>44</v>
      </c>
      <c r="AJ920" s="149">
        <v>45127</v>
      </c>
      <c r="AK920" s="149">
        <f>Tabla1[[#This Row],[Fecha Vigencia]]-AJ920</f>
        <v>-2.2347222222015262</v>
      </c>
      <c r="AL920" s="65" t="s">
        <v>45</v>
      </c>
      <c r="AM920" s="90">
        <v>2533040</v>
      </c>
      <c r="AN920" s="65"/>
      <c r="AO920" s="217"/>
      <c r="AP920" s="84" t="s">
        <v>292</v>
      </c>
      <c r="AQ920" s="66"/>
      <c r="AR920" s="65"/>
      <c r="AS920" s="65"/>
      <c r="AT920" s="65"/>
      <c r="AU920" s="65"/>
      <c r="AV920" s="65"/>
      <c r="AW920" s="65"/>
      <c r="AX920" s="65"/>
      <c r="AY920" s="118"/>
      <c r="AZ920" s="118"/>
      <c r="BA920" s="118"/>
      <c r="BB920" s="124"/>
    </row>
    <row r="921" spans="1:54" x14ac:dyDescent="0.25">
      <c r="A921" s="153" t="s">
        <v>4463</v>
      </c>
      <c r="B921" s="30" t="s">
        <v>4464</v>
      </c>
      <c r="C921" s="30" t="s">
        <v>4465</v>
      </c>
      <c r="D921" s="84" t="s">
        <v>4466</v>
      </c>
      <c r="E921" s="24" t="s">
        <v>4467</v>
      </c>
      <c r="F921" s="25">
        <v>1</v>
      </c>
      <c r="G921" s="30" t="s">
        <v>16</v>
      </c>
      <c r="H921" s="30" t="s">
        <v>1983</v>
      </c>
      <c r="I921" s="203">
        <v>45118.581415891204</v>
      </c>
      <c r="J921" s="38">
        <v>45131.828472222202</v>
      </c>
      <c r="K921" s="38">
        <v>45118.581415891204</v>
      </c>
      <c r="L921" s="203">
        <v>45131.828472222202</v>
      </c>
      <c r="M921" s="204">
        <v>45119</v>
      </c>
      <c r="N921" s="205" t="s">
        <v>11</v>
      </c>
      <c r="O921" s="203"/>
      <c r="P921" s="24"/>
      <c r="Q921" s="160">
        <v>45124.615277777775</v>
      </c>
      <c r="R921" s="160">
        <v>45125.740277777775</v>
      </c>
      <c r="S921" s="161">
        <v>45159.82916666667</v>
      </c>
      <c r="T921" s="227">
        <v>100000000</v>
      </c>
      <c r="U921" s="228">
        <f>Tabla1[[#This Row],[PPTO]]/(1+'Lista Datos'!$B$1)</f>
        <v>84033613.445378155</v>
      </c>
      <c r="V921" s="67"/>
      <c r="W921" s="193" t="s">
        <v>10</v>
      </c>
      <c r="X921" s="127"/>
      <c r="Y921" s="127"/>
      <c r="Z921" s="154" t="s">
        <v>11</v>
      </c>
      <c r="AA921" s="30" t="s">
        <v>177</v>
      </c>
      <c r="AB921" s="30">
        <v>36</v>
      </c>
      <c r="AC921" s="30"/>
      <c r="AD921" s="30"/>
      <c r="AE921" s="145">
        <f>Tabla1[[#This Row],[Cierre]]+Tabla1[[#This Row],[Vigencia Oferta (días)]]</f>
        <v>45131.828472222202</v>
      </c>
      <c r="AF921" s="68"/>
      <c r="AG921" s="157"/>
      <c r="AH921" s="194">
        <f>Tabla1[[#This Row],[Unidades2]]*Tabla1[[#This Row],[Precio Unitario]]</f>
        <v>0</v>
      </c>
      <c r="AI921" s="97" t="s">
        <v>44</v>
      </c>
      <c r="AJ921" s="149">
        <v>45148</v>
      </c>
      <c r="AK921" s="149">
        <f>Tabla1[[#This Row],[Fecha Vigencia]]-AJ921</f>
        <v>-16.171527777798474</v>
      </c>
      <c r="AL921" s="68" t="s">
        <v>115</v>
      </c>
      <c r="AM921" s="91">
        <v>100000000</v>
      </c>
      <c r="AN921" s="157">
        <v>45148</v>
      </c>
      <c r="AO921" s="218">
        <v>46244</v>
      </c>
      <c r="AP921" s="68" t="s">
        <v>177</v>
      </c>
      <c r="AQ921" s="69" t="s">
        <v>4468</v>
      </c>
      <c r="AR921" s="68" t="s">
        <v>11</v>
      </c>
      <c r="AS921" s="68">
        <v>5000000</v>
      </c>
      <c r="AT921" s="157">
        <v>46392</v>
      </c>
      <c r="AU921" s="84" t="s">
        <v>4469</v>
      </c>
      <c r="AV921" s="84" t="s">
        <v>4470</v>
      </c>
      <c r="AW921" s="84" t="s">
        <v>4471</v>
      </c>
      <c r="AX921" s="84" t="s">
        <v>4472</v>
      </c>
      <c r="AY921" s="30"/>
      <c r="AZ921" s="30"/>
      <c r="BA921" s="30"/>
      <c r="BB921" s="75"/>
    </row>
    <row r="922" spans="1:54" x14ac:dyDescent="0.25">
      <c r="A922" s="117" t="s">
        <v>4473</v>
      </c>
      <c r="B922" s="118" t="s">
        <v>4474</v>
      </c>
      <c r="C922" s="118" t="s">
        <v>4475</v>
      </c>
      <c r="D922" s="119" t="s">
        <v>3673</v>
      </c>
      <c r="E922" s="38" t="s">
        <v>4476</v>
      </c>
      <c r="F922" s="39">
        <v>20</v>
      </c>
      <c r="G922" s="118" t="s">
        <v>21</v>
      </c>
      <c r="H922" s="118" t="s">
        <v>106</v>
      </c>
      <c r="I922" s="206">
        <v>45118.529721180603</v>
      </c>
      <c r="J922" s="121">
        <v>45124.666666666701</v>
      </c>
      <c r="K922" s="121">
        <v>45118.529721180603</v>
      </c>
      <c r="L922" s="206">
        <v>45124.666666666701</v>
      </c>
      <c r="M922" s="211">
        <v>45119</v>
      </c>
      <c r="N922" s="207" t="s">
        <v>10</v>
      </c>
      <c r="O922" s="206" t="s">
        <v>29</v>
      </c>
      <c r="P922" s="38"/>
      <c r="Q922" s="147">
        <v>45120.625</v>
      </c>
      <c r="R922" s="147">
        <v>45121.6875</v>
      </c>
      <c r="S922" s="148">
        <v>45155.729166666664</v>
      </c>
      <c r="T922" s="215">
        <v>20000000</v>
      </c>
      <c r="U922" s="214">
        <f>Tabla1[[#This Row],[PPTO]]/(1+'Lista Datos'!$B$1)</f>
        <v>16806722.68907563</v>
      </c>
      <c r="V922" s="64"/>
      <c r="W922" s="191" t="s">
        <v>10</v>
      </c>
      <c r="X922" s="122"/>
      <c r="Y922" s="122"/>
      <c r="Z922" s="123" t="s">
        <v>10</v>
      </c>
      <c r="AA922" s="118" t="s">
        <v>512</v>
      </c>
      <c r="AB922" s="118"/>
      <c r="AC922" s="118"/>
      <c r="AD922" s="118"/>
      <c r="AE922" s="145">
        <f>Tabla1[[#This Row],[Cierre]]+Tabla1[[#This Row],[Vigencia Oferta (días)]]</f>
        <v>45124.666666666701</v>
      </c>
      <c r="AF922" s="65"/>
      <c r="AG922" s="181"/>
      <c r="AH922" s="192">
        <f>Tabla1[[#This Row],[Unidades2]]*Tabla1[[#This Row],[Precio Unitario]]</f>
        <v>0</v>
      </c>
      <c r="AI922" s="126" t="s">
        <v>270</v>
      </c>
      <c r="AJ922" s="149"/>
      <c r="AK922" s="149">
        <f>Tabla1[[#This Row],[Fecha Vigencia]]-AJ922</f>
        <v>45124.666666666701</v>
      </c>
      <c r="AL922" s="65"/>
      <c r="AM922" s="90"/>
      <c r="AN922" s="65"/>
      <c r="AO922" s="217"/>
      <c r="AP922" s="65"/>
      <c r="AQ922" s="66"/>
      <c r="AR922" s="65"/>
      <c r="AS922" s="65"/>
      <c r="AT922" s="65"/>
      <c r="AU922" s="65"/>
      <c r="AV922" s="65"/>
      <c r="AW922" s="65"/>
      <c r="AX922" s="65"/>
      <c r="AY922" s="118"/>
      <c r="AZ922" s="118"/>
      <c r="BA922" s="118"/>
      <c r="BB922" s="124"/>
    </row>
    <row r="923" spans="1:54" x14ac:dyDescent="0.25">
      <c r="A923" s="117" t="s">
        <v>4477</v>
      </c>
      <c r="B923" s="118" t="s">
        <v>4478</v>
      </c>
      <c r="C923" s="118" t="s">
        <v>4479</v>
      </c>
      <c r="D923" s="119" t="s">
        <v>829</v>
      </c>
      <c r="E923" s="38" t="s">
        <v>4480</v>
      </c>
      <c r="F923" s="39">
        <v>4</v>
      </c>
      <c r="G923" s="118" t="s">
        <v>21</v>
      </c>
      <c r="H923" s="118" t="s">
        <v>106</v>
      </c>
      <c r="I923" s="206">
        <v>45119.742718865702</v>
      </c>
      <c r="J923" s="38">
        <v>45124.642361111102</v>
      </c>
      <c r="K923" s="38">
        <v>45119.742718865702</v>
      </c>
      <c r="L923" s="206">
        <v>45124.642361111102</v>
      </c>
      <c r="M923" s="211">
        <v>45120</v>
      </c>
      <c r="N923" s="207" t="s">
        <v>10</v>
      </c>
      <c r="O923" s="206" t="s">
        <v>27</v>
      </c>
      <c r="P923" s="38"/>
      <c r="Q923" s="121"/>
      <c r="R923" s="121"/>
      <c r="S923" s="19"/>
      <c r="T923" s="38"/>
      <c r="U923" s="65">
        <f>Tabla1[[#This Row],[PPTO]]/(1+'Lista Datos'!$B$1)</f>
        <v>0</v>
      </c>
      <c r="V923" s="64"/>
      <c r="W923" s="191"/>
      <c r="X923" s="122"/>
      <c r="Y923" s="122"/>
      <c r="Z923" s="123"/>
      <c r="AA923" s="118"/>
      <c r="AB923" s="118"/>
      <c r="AC923" s="118"/>
      <c r="AD923" s="118"/>
      <c r="AE923" s="145">
        <f>Tabla1[[#This Row],[Cierre]]+Tabla1[[#This Row],[Vigencia Oferta (días)]]</f>
        <v>45124.642361111102</v>
      </c>
      <c r="AF923" s="65"/>
      <c r="AG923" s="181"/>
      <c r="AH923" s="192">
        <f>Tabla1[[#This Row],[Unidades2]]*Tabla1[[#This Row],[Precio Unitario]]</f>
        <v>0</v>
      </c>
      <c r="AI923" s="126" t="s">
        <v>270</v>
      </c>
      <c r="AJ923" s="149"/>
      <c r="AK923" s="149">
        <f>Tabla1[[#This Row],[Fecha Vigencia]]-AJ923</f>
        <v>45124.642361111102</v>
      </c>
      <c r="AL923" s="65"/>
      <c r="AM923" s="90"/>
      <c r="AN923" s="65"/>
      <c r="AO923" s="217"/>
      <c r="AP923" s="65"/>
      <c r="AQ923" s="66"/>
      <c r="AR923" s="65"/>
      <c r="AS923" s="65"/>
      <c r="AT923" s="65"/>
      <c r="AU923" s="65"/>
      <c r="AV923" s="65"/>
      <c r="AW923" s="65"/>
      <c r="AX923" s="65"/>
      <c r="AY923" s="118"/>
      <c r="AZ923" s="118"/>
      <c r="BA923" s="118"/>
      <c r="BB923" s="124"/>
    </row>
    <row r="924" spans="1:54" x14ac:dyDescent="0.25">
      <c r="A924" s="117" t="s">
        <v>4481</v>
      </c>
      <c r="B924" s="118" t="s">
        <v>4482</v>
      </c>
      <c r="C924" s="118" t="s">
        <v>4483</v>
      </c>
      <c r="D924" s="119" t="s">
        <v>1375</v>
      </c>
      <c r="E924" s="38" t="s">
        <v>4484</v>
      </c>
      <c r="F924" s="39">
        <v>1</v>
      </c>
      <c r="G924" s="118" t="s">
        <v>16</v>
      </c>
      <c r="H924" s="118" t="s">
        <v>1983</v>
      </c>
      <c r="I924" s="206">
        <v>45120.509416516201</v>
      </c>
      <c r="J924" s="38">
        <v>45131.625</v>
      </c>
      <c r="K924" s="38">
        <v>45120.509416516201</v>
      </c>
      <c r="L924" s="206">
        <v>45131.625</v>
      </c>
      <c r="M924" s="211">
        <v>45121</v>
      </c>
      <c r="N924" s="207" t="s">
        <v>10</v>
      </c>
      <c r="O924" s="206" t="s">
        <v>33</v>
      </c>
      <c r="P924" s="38"/>
      <c r="Q924" s="147">
        <v>45124.666666666664</v>
      </c>
      <c r="R924" s="147">
        <v>45126.666666666664</v>
      </c>
      <c r="S924" s="148">
        <v>45138.625</v>
      </c>
      <c r="T924" s="38"/>
      <c r="U924" s="65">
        <f>Tabla1[[#This Row],[PPTO]]/(1+'Lista Datos'!$B$1)</f>
        <v>0</v>
      </c>
      <c r="V924" s="64"/>
      <c r="W924" s="191" t="s">
        <v>11</v>
      </c>
      <c r="X924" s="122">
        <v>100000</v>
      </c>
      <c r="Y924" s="149">
        <v>45222</v>
      </c>
      <c r="Z924" s="123" t="s">
        <v>10</v>
      </c>
      <c r="AA924" s="118" t="s">
        <v>177</v>
      </c>
      <c r="AB924" s="118">
        <v>24</v>
      </c>
      <c r="AC924" s="118"/>
      <c r="AD924" s="118"/>
      <c r="AE924" s="145">
        <f>Tabla1[[#This Row],[Cierre]]+Tabla1[[#This Row],[Vigencia Oferta (días)]]</f>
        <v>45131.625</v>
      </c>
      <c r="AF924" s="65"/>
      <c r="AG924" s="181"/>
      <c r="AH924" s="192">
        <f>Tabla1[[#This Row],[Unidades2]]*Tabla1[[#This Row],[Precio Unitario]]</f>
        <v>0</v>
      </c>
      <c r="AI924" s="126" t="s">
        <v>270</v>
      </c>
      <c r="AJ924" s="149"/>
      <c r="AK924" s="149">
        <f>Tabla1[[#This Row],[Fecha Vigencia]]-AJ924</f>
        <v>45131.625</v>
      </c>
      <c r="AL924" s="65"/>
      <c r="AM924" s="90"/>
      <c r="AN924" s="65"/>
      <c r="AO924" s="217"/>
      <c r="AP924" s="65"/>
      <c r="AQ924" s="66"/>
      <c r="AR924" s="65"/>
      <c r="AS924" s="65"/>
      <c r="AT924" s="65"/>
      <c r="AU924" s="65"/>
      <c r="AV924" s="65"/>
      <c r="AW924" s="65"/>
      <c r="AX924" s="65"/>
      <c r="AY924" s="118"/>
      <c r="AZ924" s="118"/>
      <c r="BA924" s="118"/>
      <c r="BB924" s="124"/>
    </row>
    <row r="925" spans="1:54" x14ac:dyDescent="0.25">
      <c r="A925" s="117" t="s">
        <v>4485</v>
      </c>
      <c r="B925" s="118" t="s">
        <v>4486</v>
      </c>
      <c r="C925" s="118" t="s">
        <v>4487</v>
      </c>
      <c r="D925" s="119" t="s">
        <v>3189</v>
      </c>
      <c r="E925" s="38" t="s">
        <v>4488</v>
      </c>
      <c r="F925" s="39">
        <v>1</v>
      </c>
      <c r="G925" s="118" t="s">
        <v>16</v>
      </c>
      <c r="H925" s="118" t="s">
        <v>778</v>
      </c>
      <c r="I925" s="206">
        <v>45121.45994212963</v>
      </c>
      <c r="J925" s="38">
        <f>MONTH(Tabla1[[#This Row],[Publicación]])</f>
        <v>7</v>
      </c>
      <c r="K925" s="38">
        <f>YEAR(Tabla1[[#This Row],[Publicación]])</f>
        <v>2023</v>
      </c>
      <c r="L925" s="206">
        <v>45132.520833333336</v>
      </c>
      <c r="M925" s="211">
        <v>45121</v>
      </c>
      <c r="N925" s="207" t="s">
        <v>10</v>
      </c>
      <c r="O925" s="206" t="s">
        <v>4489</v>
      </c>
      <c r="P925" s="38" t="s">
        <v>10</v>
      </c>
      <c r="Q925" s="147">
        <v>45126.5</v>
      </c>
      <c r="R925" s="147">
        <v>45128.708333333336</v>
      </c>
      <c r="S925" s="148">
        <v>45141.708333333336</v>
      </c>
      <c r="T925" s="215">
        <v>8000000</v>
      </c>
      <c r="U925" s="214">
        <f>Tabla1[[#This Row],[PPTO]]/(1+'Lista Datos'!$B$1)</f>
        <v>6722689.0756302522</v>
      </c>
      <c r="V925" s="64"/>
      <c r="W925" s="191" t="s">
        <v>10</v>
      </c>
      <c r="X925" s="122"/>
      <c r="Y925" s="122"/>
      <c r="Z925" s="123" t="s">
        <v>10</v>
      </c>
      <c r="AA925" s="118" t="s">
        <v>177</v>
      </c>
      <c r="AB925" s="118">
        <v>36</v>
      </c>
      <c r="AC925" s="118"/>
      <c r="AD925" s="118"/>
      <c r="AE925" s="145">
        <f>Tabla1[[#This Row],[Cierre]]+Tabla1[[#This Row],[Vigencia Oferta (días)]]</f>
        <v>45132.520833333336</v>
      </c>
      <c r="AF925" s="65"/>
      <c r="AG925" s="181"/>
      <c r="AH925" s="192">
        <f>Tabla1[[#This Row],[Unidades2]]*Tabla1[[#This Row],[Precio Unitario]]</f>
        <v>0</v>
      </c>
      <c r="AI925" s="126" t="s">
        <v>270</v>
      </c>
      <c r="AJ925" s="149"/>
      <c r="AK925" s="149">
        <f>Tabla1[[#This Row],[Fecha Vigencia]]-AJ925</f>
        <v>45132.520833333336</v>
      </c>
      <c r="AL925" s="65"/>
      <c r="AM925" s="90"/>
      <c r="AN925" s="65"/>
      <c r="AO925" s="217"/>
      <c r="AP925" s="65"/>
      <c r="AQ925" s="66"/>
      <c r="AR925" s="65"/>
      <c r="AS925" s="65"/>
      <c r="AT925" s="65"/>
      <c r="AU925" s="65"/>
      <c r="AV925" s="65"/>
      <c r="AW925" s="65"/>
      <c r="AX925" s="65"/>
      <c r="AY925" s="118"/>
      <c r="AZ925" s="118"/>
      <c r="BA925" s="118"/>
      <c r="BB925" s="124"/>
    </row>
    <row r="926" spans="1:54" x14ac:dyDescent="0.25">
      <c r="A926" s="153" t="s">
        <v>4490</v>
      </c>
      <c r="B926" s="30" t="s">
        <v>4491</v>
      </c>
      <c r="C926" s="30" t="s">
        <v>4492</v>
      </c>
      <c r="D926" s="84" t="s">
        <v>4493</v>
      </c>
      <c r="E926" s="24" t="s">
        <v>4494</v>
      </c>
      <c r="F926" s="25">
        <v>1</v>
      </c>
      <c r="G926" s="30" t="s">
        <v>16</v>
      </c>
      <c r="H926" s="30" t="s">
        <v>123</v>
      </c>
      <c r="I926" s="203">
        <v>45121.4963830208</v>
      </c>
      <c r="J926" s="38">
        <v>45131.628472222197</v>
      </c>
      <c r="K926" s="38">
        <v>45121.4963830208</v>
      </c>
      <c r="L926" s="203">
        <v>45131.628472222197</v>
      </c>
      <c r="M926" s="204">
        <v>45124</v>
      </c>
      <c r="N926" s="205" t="s">
        <v>10</v>
      </c>
      <c r="O926" s="203" t="s">
        <v>33</v>
      </c>
      <c r="P926" s="24"/>
      <c r="Q926" s="60"/>
      <c r="R926" s="60"/>
      <c r="S926" s="18"/>
      <c r="T926" s="24"/>
      <c r="U926" s="68">
        <f>Tabla1[[#This Row],[PPTO]]/(1+'Lista Datos'!$B$1)</f>
        <v>0</v>
      </c>
      <c r="V926" s="67"/>
      <c r="W926" s="193"/>
      <c r="X926" s="127"/>
      <c r="Y926" s="127"/>
      <c r="Z926" s="154"/>
      <c r="AA926" s="30" t="s">
        <v>177</v>
      </c>
      <c r="AB926" s="30">
        <v>12</v>
      </c>
      <c r="AC926" s="30"/>
      <c r="AD926" s="30"/>
      <c r="AE926" s="145">
        <f>Tabla1[[#This Row],[Cierre]]+Tabla1[[#This Row],[Vigencia Oferta (días)]]</f>
        <v>45131.628472222197</v>
      </c>
      <c r="AF926" s="68"/>
      <c r="AG926" s="157"/>
      <c r="AH926" s="194">
        <f>Tabla1[[#This Row],[Unidades2]]*Tabla1[[#This Row],[Precio Unitario]]</f>
        <v>0</v>
      </c>
      <c r="AI926" s="97" t="s">
        <v>44</v>
      </c>
      <c r="AJ926" s="149">
        <v>45145</v>
      </c>
      <c r="AK926" s="149">
        <f>Tabla1[[#This Row],[Fecha Vigencia]]-AJ926</f>
        <v>-13.371527777802839</v>
      </c>
      <c r="AL926" s="68" t="s">
        <v>45</v>
      </c>
      <c r="AM926" s="91">
        <v>5000000</v>
      </c>
      <c r="AN926" s="157">
        <v>45145</v>
      </c>
      <c r="AO926" s="218">
        <v>45511</v>
      </c>
      <c r="AP926" s="84" t="s">
        <v>292</v>
      </c>
      <c r="AQ926" s="69"/>
      <c r="AR926" s="68"/>
      <c r="AS926" s="68"/>
      <c r="AT926" s="68"/>
      <c r="AU926" s="68"/>
      <c r="AV926" s="68"/>
      <c r="AW926" s="68"/>
      <c r="AX926" s="68"/>
      <c r="AY926" s="30"/>
      <c r="AZ926" s="30"/>
      <c r="BA926" s="30"/>
      <c r="BB926" s="75"/>
    </row>
    <row r="927" spans="1:54" x14ac:dyDescent="0.25">
      <c r="A927" s="153" t="s">
        <v>4495</v>
      </c>
      <c r="B927" s="30" t="s">
        <v>4496</v>
      </c>
      <c r="C927" s="30" t="s">
        <v>4497</v>
      </c>
      <c r="D927" s="84" t="s">
        <v>3170</v>
      </c>
      <c r="E927" s="24" t="s">
        <v>4498</v>
      </c>
      <c r="F927" s="25">
        <v>40</v>
      </c>
      <c r="G927" s="30" t="s">
        <v>21</v>
      </c>
      <c r="H927" s="30" t="s">
        <v>106</v>
      </c>
      <c r="I927" s="203">
        <v>45121.459107256902</v>
      </c>
      <c r="J927" s="121">
        <v>45128.645833333299</v>
      </c>
      <c r="K927" s="121">
        <v>45121.459107256902</v>
      </c>
      <c r="L927" s="203">
        <v>45128.645833333299</v>
      </c>
      <c r="M927" s="204">
        <v>45124</v>
      </c>
      <c r="N927" s="205" t="s">
        <v>11</v>
      </c>
      <c r="O927" s="203"/>
      <c r="P927" s="23" t="s">
        <v>11</v>
      </c>
      <c r="Q927" s="160">
        <v>45124.5</v>
      </c>
      <c r="R927" s="160">
        <v>45125.5</v>
      </c>
      <c r="S927" s="161">
        <v>45136.666666666664</v>
      </c>
      <c r="T927" s="24"/>
      <c r="U927" s="231">
        <f>Tabla1[[#This Row],[PPTO]]/(1+'Lista Datos'!$B$1)</f>
        <v>0</v>
      </c>
      <c r="V927" s="67"/>
      <c r="W927" s="193" t="s">
        <v>10</v>
      </c>
      <c r="X927" s="127"/>
      <c r="Y927" s="127"/>
      <c r="Z927" s="154" t="s">
        <v>10</v>
      </c>
      <c r="AA927" s="30" t="s">
        <v>512</v>
      </c>
      <c r="AB927" s="30"/>
      <c r="AC927" s="30"/>
      <c r="AD927" s="30"/>
      <c r="AE927" s="145">
        <f>Tabla1[[#This Row],[Cierre]]+Tabla1[[#This Row],[Vigencia Oferta (días)]]</f>
        <v>45128.645833333299</v>
      </c>
      <c r="AF927" s="68">
        <v>40</v>
      </c>
      <c r="AG927" s="228">
        <v>15625</v>
      </c>
      <c r="AH927" s="194">
        <f>Tabla1[[#This Row],[Unidades2]]*Tabla1[[#This Row],[Precio Unitario]]</f>
        <v>625000</v>
      </c>
      <c r="AI927" s="97" t="s">
        <v>44</v>
      </c>
      <c r="AJ927" s="149">
        <v>45173</v>
      </c>
      <c r="AK927" s="149">
        <f>Tabla1[[#This Row],[Fecha Vigencia]]-AJ927</f>
        <v>-44.354166666700621</v>
      </c>
      <c r="AL927" s="68" t="s">
        <v>46</v>
      </c>
      <c r="AM927" s="91">
        <v>8900</v>
      </c>
      <c r="AN927" s="68"/>
      <c r="AO927" s="218"/>
      <c r="AP927" s="23" t="s">
        <v>292</v>
      </c>
      <c r="AQ927" s="69"/>
      <c r="AR927" s="68"/>
      <c r="AS927" s="68"/>
      <c r="AT927" s="68"/>
      <c r="AU927" s="68"/>
      <c r="AV927" s="68"/>
      <c r="AW927" s="68"/>
      <c r="AX927" s="68"/>
      <c r="AY927" s="30"/>
      <c r="AZ927" s="30"/>
      <c r="BA927" s="30"/>
      <c r="BB927" s="75"/>
    </row>
    <row r="928" spans="1:54" x14ac:dyDescent="0.25">
      <c r="A928" s="117" t="s">
        <v>4499</v>
      </c>
      <c r="B928" s="118" t="s">
        <v>4500</v>
      </c>
      <c r="C928" s="118" t="s">
        <v>4501</v>
      </c>
      <c r="D928" s="119" t="s">
        <v>319</v>
      </c>
      <c r="E928" s="38" t="s">
        <v>3750</v>
      </c>
      <c r="F928" s="39">
        <v>800</v>
      </c>
      <c r="G928" s="118" t="s">
        <v>21</v>
      </c>
      <c r="H928" s="118" t="s">
        <v>106</v>
      </c>
      <c r="I928" s="206">
        <v>45121.376047951402</v>
      </c>
      <c r="J928" s="121">
        <v>45126.645833333299</v>
      </c>
      <c r="K928" s="121">
        <v>45121.376047951402</v>
      </c>
      <c r="L928" s="206">
        <v>45126.645833333299</v>
      </c>
      <c r="M928" s="211">
        <v>45124</v>
      </c>
      <c r="N928" s="207" t="s">
        <v>10</v>
      </c>
      <c r="O928" s="206" t="s">
        <v>34</v>
      </c>
      <c r="P928" s="38"/>
      <c r="Q928" s="121"/>
      <c r="R928" s="121"/>
      <c r="S928" s="19"/>
      <c r="T928" s="38"/>
      <c r="U928" s="65">
        <f>Tabla1[[#This Row],[PPTO]]/(1+'Lista Datos'!$B$1)</f>
        <v>0</v>
      </c>
      <c r="V928" s="64"/>
      <c r="W928" s="191"/>
      <c r="X928" s="122"/>
      <c r="Y928" s="122"/>
      <c r="Z928" s="123"/>
      <c r="AA928" s="118"/>
      <c r="AB928" s="118"/>
      <c r="AC928" s="118"/>
      <c r="AD928" s="118"/>
      <c r="AE928" s="145">
        <f>Tabla1[[#This Row],[Cierre]]+Tabla1[[#This Row],[Vigencia Oferta (días)]]</f>
        <v>45126.645833333299</v>
      </c>
      <c r="AF928" s="65"/>
      <c r="AG928" s="181"/>
      <c r="AH928" s="192">
        <f>Tabla1[[#This Row],[Unidades2]]*Tabla1[[#This Row],[Precio Unitario]]</f>
        <v>0</v>
      </c>
      <c r="AI928" s="126" t="s">
        <v>270</v>
      </c>
      <c r="AJ928" s="149"/>
      <c r="AK928" s="149">
        <f>Tabla1[[#This Row],[Fecha Vigencia]]-AJ928</f>
        <v>45126.645833333299</v>
      </c>
      <c r="AL928" s="65"/>
      <c r="AM928" s="90"/>
      <c r="AN928" s="65"/>
      <c r="AO928" s="217"/>
      <c r="AP928" s="65"/>
      <c r="AQ928" s="66"/>
      <c r="AR928" s="65"/>
      <c r="AS928" s="65"/>
      <c r="AT928" s="65"/>
      <c r="AU928" s="65"/>
      <c r="AV928" s="65"/>
      <c r="AW928" s="65"/>
      <c r="AX928" s="65"/>
      <c r="AY928" s="118"/>
      <c r="AZ928" s="118"/>
      <c r="BA928" s="118"/>
      <c r="BB928" s="124"/>
    </row>
    <row r="929" spans="1:54" x14ac:dyDescent="0.25">
      <c r="A929" s="117" t="s">
        <v>4502</v>
      </c>
      <c r="B929" s="118" t="s">
        <v>4503</v>
      </c>
      <c r="C929" s="118" t="s">
        <v>4504</v>
      </c>
      <c r="D929" s="119" t="s">
        <v>3778</v>
      </c>
      <c r="E929" s="38" t="s">
        <v>4505</v>
      </c>
      <c r="F929" s="39">
        <v>2</v>
      </c>
      <c r="G929" s="118" t="s">
        <v>21</v>
      </c>
      <c r="H929" s="118" t="s">
        <v>106</v>
      </c>
      <c r="I929" s="206">
        <v>45124.531864317098</v>
      </c>
      <c r="J929" s="38">
        <v>45147.666666666701</v>
      </c>
      <c r="K929" s="38">
        <v>45124.531864317098</v>
      </c>
      <c r="L929" s="206">
        <v>45147.666666666701</v>
      </c>
      <c r="M929" s="211">
        <v>45125</v>
      </c>
      <c r="N929" s="207" t="s">
        <v>10</v>
      </c>
      <c r="O929" s="206" t="s">
        <v>28</v>
      </c>
      <c r="P929" s="38"/>
      <c r="Q929" s="121"/>
      <c r="R929" s="121"/>
      <c r="S929" s="19"/>
      <c r="T929" s="38"/>
      <c r="U929" s="65">
        <f>Tabla1[[#This Row],[PPTO]]/(1+'Lista Datos'!$B$1)</f>
        <v>0</v>
      </c>
      <c r="V929" s="64"/>
      <c r="W929" s="191"/>
      <c r="X929" s="122"/>
      <c r="Y929" s="122"/>
      <c r="Z929" s="123"/>
      <c r="AA929" s="118"/>
      <c r="AB929" s="118"/>
      <c r="AC929" s="118"/>
      <c r="AD929" s="118"/>
      <c r="AE929" s="145">
        <f>Tabla1[[#This Row],[Cierre]]+Tabla1[[#This Row],[Vigencia Oferta (días)]]</f>
        <v>45147.666666666701</v>
      </c>
      <c r="AF929" s="65"/>
      <c r="AG929" s="181"/>
      <c r="AH929" s="192">
        <f>Tabla1[[#This Row],[Unidades2]]*Tabla1[[#This Row],[Precio Unitario]]</f>
        <v>0</v>
      </c>
      <c r="AI929" s="126" t="s">
        <v>270</v>
      </c>
      <c r="AJ929" s="149"/>
      <c r="AK929" s="149">
        <f>Tabla1[[#This Row],[Fecha Vigencia]]-AJ929</f>
        <v>45147.666666666701</v>
      </c>
      <c r="AL929" s="65"/>
      <c r="AM929" s="90"/>
      <c r="AN929" s="65"/>
      <c r="AO929" s="217"/>
      <c r="AP929" s="65"/>
      <c r="AQ929" s="66"/>
      <c r="AR929" s="65"/>
      <c r="AS929" s="65"/>
      <c r="AT929" s="65"/>
      <c r="AU929" s="65"/>
      <c r="AV929" s="65"/>
      <c r="AW929" s="65"/>
      <c r="AX929" s="65"/>
      <c r="AY929" s="118"/>
      <c r="AZ929" s="118"/>
      <c r="BA929" s="118"/>
      <c r="BB929" s="124"/>
    </row>
    <row r="930" spans="1:54" x14ac:dyDescent="0.25">
      <c r="A930" s="117" t="s">
        <v>4506</v>
      </c>
      <c r="B930" s="118" t="s">
        <v>4507</v>
      </c>
      <c r="C930" s="118" t="s">
        <v>4508</v>
      </c>
      <c r="D930" s="119" t="s">
        <v>227</v>
      </c>
      <c r="E930" s="38" t="s">
        <v>4509</v>
      </c>
      <c r="F930" s="39">
        <v>5</v>
      </c>
      <c r="G930" s="118" t="s">
        <v>14</v>
      </c>
      <c r="H930" s="118" t="s">
        <v>1983</v>
      </c>
      <c r="I930" s="206">
        <v>45124.498828124997</v>
      </c>
      <c r="J930" s="38">
        <v>45131.625</v>
      </c>
      <c r="K930" s="38">
        <v>45124.498828124997</v>
      </c>
      <c r="L930" s="206">
        <v>45131.625</v>
      </c>
      <c r="M930" s="211">
        <v>45125</v>
      </c>
      <c r="N930" s="207" t="s">
        <v>10</v>
      </c>
      <c r="O930" s="206" t="s">
        <v>27</v>
      </c>
      <c r="P930" s="38"/>
      <c r="Q930" s="121"/>
      <c r="R930" s="121"/>
      <c r="S930" s="19"/>
      <c r="T930" s="38"/>
      <c r="U930" s="65">
        <f>Tabla1[[#This Row],[PPTO]]/(1+'Lista Datos'!$B$1)</f>
        <v>0</v>
      </c>
      <c r="V930" s="64"/>
      <c r="W930" s="191"/>
      <c r="X930" s="122"/>
      <c r="Y930" s="122"/>
      <c r="Z930" s="123"/>
      <c r="AA930" s="118"/>
      <c r="AB930" s="118"/>
      <c r="AC930" s="118"/>
      <c r="AD930" s="118"/>
      <c r="AE930" s="145">
        <f>Tabla1[[#This Row],[Cierre]]+Tabla1[[#This Row],[Vigencia Oferta (días)]]</f>
        <v>45131.625</v>
      </c>
      <c r="AF930" s="65"/>
      <c r="AG930" s="181"/>
      <c r="AH930" s="192">
        <f>Tabla1[[#This Row],[Unidades2]]*Tabla1[[#This Row],[Precio Unitario]]</f>
        <v>0</v>
      </c>
      <c r="AI930" s="126" t="s">
        <v>270</v>
      </c>
      <c r="AJ930" s="149"/>
      <c r="AK930" s="149">
        <f>Tabla1[[#This Row],[Fecha Vigencia]]-AJ930</f>
        <v>45131.625</v>
      </c>
      <c r="AL930" s="65"/>
      <c r="AM930" s="90"/>
      <c r="AN930" s="65"/>
      <c r="AO930" s="217"/>
      <c r="AP930" s="65"/>
      <c r="AQ930" s="66"/>
      <c r="AR930" s="65"/>
      <c r="AS930" s="65"/>
      <c r="AT930" s="65"/>
      <c r="AU930" s="65"/>
      <c r="AV930" s="65"/>
      <c r="AW930" s="65"/>
      <c r="AX930" s="65"/>
      <c r="AY930" s="118"/>
      <c r="AZ930" s="118"/>
      <c r="BA930" s="118"/>
      <c r="BB930" s="124"/>
    </row>
    <row r="931" spans="1:54" x14ac:dyDescent="0.25">
      <c r="A931" s="117" t="s">
        <v>4510</v>
      </c>
      <c r="B931" s="118" t="s">
        <v>4511</v>
      </c>
      <c r="C931" s="118" t="s">
        <v>4512</v>
      </c>
      <c r="D931" s="119" t="s">
        <v>553</v>
      </c>
      <c r="E931" s="38" t="s">
        <v>4513</v>
      </c>
      <c r="F931" s="39">
        <v>10</v>
      </c>
      <c r="G931" s="118" t="s">
        <v>18</v>
      </c>
      <c r="H931" s="118" t="s">
        <v>213</v>
      </c>
      <c r="I931" s="206">
        <v>45124.468119444398</v>
      </c>
      <c r="J931" s="38">
        <v>45134.708333333299</v>
      </c>
      <c r="K931" s="38">
        <v>45124.468119444398</v>
      </c>
      <c r="L931" s="206">
        <v>45134.708333333299</v>
      </c>
      <c r="M931" s="211">
        <v>45125</v>
      </c>
      <c r="N931" s="207" t="s">
        <v>10</v>
      </c>
      <c r="O931" s="206" t="s">
        <v>25</v>
      </c>
      <c r="P931" s="38"/>
      <c r="Q931" s="147">
        <v>45126.666666666664</v>
      </c>
      <c r="R931" s="147">
        <v>45127.708333333336</v>
      </c>
      <c r="S931" s="148">
        <v>45196.666666666664</v>
      </c>
      <c r="T931" s="38"/>
      <c r="U931" s="65">
        <f>Tabla1[[#This Row],[PPTO]]/(1+'Lista Datos'!$B$1)</f>
        <v>0</v>
      </c>
      <c r="V931" s="64"/>
      <c r="W931" s="191" t="s">
        <v>11</v>
      </c>
      <c r="X931" s="122">
        <v>200000</v>
      </c>
      <c r="Y931" s="149">
        <v>45198</v>
      </c>
      <c r="Z931" s="123" t="s">
        <v>10</v>
      </c>
      <c r="AA931" s="118" t="s">
        <v>177</v>
      </c>
      <c r="AB931" s="118">
        <v>24</v>
      </c>
      <c r="AC931" s="118"/>
      <c r="AD931" s="118"/>
      <c r="AE931" s="145">
        <f>Tabla1[[#This Row],[Cierre]]+Tabla1[[#This Row],[Vigencia Oferta (días)]]</f>
        <v>45134.708333333299</v>
      </c>
      <c r="AF931" s="65"/>
      <c r="AG931" s="181"/>
      <c r="AH931" s="192">
        <f>Tabla1[[#This Row],[Unidades2]]*Tabla1[[#This Row],[Precio Unitario]]</f>
        <v>0</v>
      </c>
      <c r="AI931" s="126" t="s">
        <v>270</v>
      </c>
      <c r="AJ931" s="149"/>
      <c r="AK931" s="149">
        <f>Tabla1[[#This Row],[Fecha Vigencia]]-AJ931</f>
        <v>45134.708333333299</v>
      </c>
      <c r="AL931" s="65"/>
      <c r="AM931" s="90"/>
      <c r="AN931" s="65"/>
      <c r="AO931" s="217"/>
      <c r="AP931" s="65"/>
      <c r="AQ931" s="66"/>
      <c r="AR931" s="65"/>
      <c r="AS931" s="65"/>
      <c r="AT931" s="65"/>
      <c r="AU931" s="65"/>
      <c r="AV931" s="65"/>
      <c r="AW931" s="65"/>
      <c r="AX931" s="65"/>
      <c r="AY931" s="118"/>
      <c r="AZ931" s="118"/>
      <c r="BA931" s="118"/>
      <c r="BB931" s="124"/>
    </row>
    <row r="932" spans="1:54" x14ac:dyDescent="0.25">
      <c r="A932" s="117" t="s">
        <v>4514</v>
      </c>
      <c r="B932" s="118" t="s">
        <v>4515</v>
      </c>
      <c r="C932" s="118" t="s">
        <v>4516</v>
      </c>
      <c r="D932" s="119" t="s">
        <v>4517</v>
      </c>
      <c r="E932" s="38" t="s">
        <v>4518</v>
      </c>
      <c r="F932" s="39">
        <v>4</v>
      </c>
      <c r="G932" s="118" t="s">
        <v>14</v>
      </c>
      <c r="H932" s="118" t="s">
        <v>1983</v>
      </c>
      <c r="I932" s="206">
        <v>45125.597438194403</v>
      </c>
      <c r="J932" s="38">
        <v>45135.625</v>
      </c>
      <c r="K932" s="38">
        <v>45125.597438194403</v>
      </c>
      <c r="L932" s="206">
        <v>45135.625</v>
      </c>
      <c r="M932" s="211">
        <v>45126</v>
      </c>
      <c r="N932" s="207" t="s">
        <v>10</v>
      </c>
      <c r="O932" s="206" t="s">
        <v>27</v>
      </c>
      <c r="P932" s="38"/>
      <c r="Q932" s="121"/>
      <c r="R932" s="121"/>
      <c r="S932" s="19"/>
      <c r="T932" s="38"/>
      <c r="U932" s="65">
        <f>Tabla1[[#This Row],[PPTO]]/(1+'Lista Datos'!$B$1)</f>
        <v>0</v>
      </c>
      <c r="V932" s="64"/>
      <c r="W932" s="191"/>
      <c r="X932" s="122"/>
      <c r="Y932" s="122"/>
      <c r="Z932" s="123"/>
      <c r="AA932" s="118"/>
      <c r="AB932" s="118"/>
      <c r="AC932" s="118"/>
      <c r="AD932" s="118"/>
      <c r="AE932" s="145">
        <f>Tabla1[[#This Row],[Cierre]]+Tabla1[[#This Row],[Vigencia Oferta (días)]]</f>
        <v>45135.625</v>
      </c>
      <c r="AF932" s="65"/>
      <c r="AG932" s="181"/>
      <c r="AH932" s="192">
        <f>Tabla1[[#This Row],[Unidades2]]*Tabla1[[#This Row],[Precio Unitario]]</f>
        <v>0</v>
      </c>
      <c r="AI932" s="126" t="s">
        <v>270</v>
      </c>
      <c r="AJ932" s="149"/>
      <c r="AK932" s="149">
        <f>Tabla1[[#This Row],[Fecha Vigencia]]-AJ932</f>
        <v>45135.625</v>
      </c>
      <c r="AL932" s="65"/>
      <c r="AM932" s="90"/>
      <c r="AN932" s="65"/>
      <c r="AO932" s="217"/>
      <c r="AP932" s="65"/>
      <c r="AQ932" s="66"/>
      <c r="AR932" s="65"/>
      <c r="AS932" s="65"/>
      <c r="AT932" s="65"/>
      <c r="AU932" s="65"/>
      <c r="AV932" s="65"/>
      <c r="AW932" s="65"/>
      <c r="AX932" s="65"/>
      <c r="AY932" s="118"/>
      <c r="AZ932" s="118"/>
      <c r="BA932" s="118"/>
      <c r="BB932" s="124"/>
    </row>
    <row r="933" spans="1:54" x14ac:dyDescent="0.25">
      <c r="A933" s="153" t="s">
        <v>4519</v>
      </c>
      <c r="B933" s="30" t="s">
        <v>4520</v>
      </c>
      <c r="C933" s="30" t="s">
        <v>4521</v>
      </c>
      <c r="D933" s="84" t="s">
        <v>4127</v>
      </c>
      <c r="E933" s="24" t="s">
        <v>4522</v>
      </c>
      <c r="F933" s="25">
        <v>1</v>
      </c>
      <c r="G933" s="30" t="s">
        <v>14</v>
      </c>
      <c r="H933" s="30" t="s">
        <v>145</v>
      </c>
      <c r="I933" s="203">
        <v>45127.702998807901</v>
      </c>
      <c r="J933" s="38">
        <v>45133.7680555556</v>
      </c>
      <c r="K933" s="38">
        <v>45127.702998807901</v>
      </c>
      <c r="L933" s="203">
        <v>45133.7680555556</v>
      </c>
      <c r="M933" s="204">
        <v>45128</v>
      </c>
      <c r="N933" s="205" t="s">
        <v>10</v>
      </c>
      <c r="O933" s="203" t="s">
        <v>27</v>
      </c>
      <c r="P933" s="24"/>
      <c r="Q933" s="60"/>
      <c r="R933" s="160"/>
      <c r="S933" s="161"/>
      <c r="T933" s="210"/>
      <c r="U933" s="209"/>
      <c r="V933" s="67"/>
      <c r="W933" s="193"/>
      <c r="X933" s="127"/>
      <c r="Y933" s="104"/>
      <c r="Z933" s="154"/>
      <c r="AA933" s="30"/>
      <c r="AB933" s="30"/>
      <c r="AC933" s="30"/>
      <c r="AD933" s="30"/>
      <c r="AE933" s="145">
        <f>Tabla1[[#This Row],[Cierre]]+Tabla1[[#This Row],[Vigencia Oferta (días)]]</f>
        <v>45133.7680555556</v>
      </c>
      <c r="AF933" s="68"/>
      <c r="AG933" s="157"/>
      <c r="AH933" s="194">
        <f>Tabla1[[#This Row],[Unidades2]]*Tabla1[[#This Row],[Precio Unitario]]</f>
        <v>0</v>
      </c>
      <c r="AI933" s="97" t="s">
        <v>270</v>
      </c>
      <c r="AJ933" s="149"/>
      <c r="AK933" s="149">
        <f>Tabla1[[#This Row],[Fecha Vigencia]]-AJ933</f>
        <v>45133.7680555556</v>
      </c>
      <c r="AL933" s="68"/>
      <c r="AM933" s="91"/>
      <c r="AN933" s="68"/>
      <c r="AO933" s="218"/>
      <c r="AP933" s="68"/>
      <c r="AQ933" s="69"/>
      <c r="AR933" s="68"/>
      <c r="AS933" s="68"/>
      <c r="AT933" s="68"/>
      <c r="AU933" s="68"/>
      <c r="AV933" s="68"/>
      <c r="AW933" s="68"/>
      <c r="AX933" s="68"/>
      <c r="AY933" s="30"/>
      <c r="AZ933" s="30"/>
      <c r="BA933" s="30"/>
      <c r="BB933" s="75"/>
    </row>
    <row r="934" spans="1:54" x14ac:dyDescent="0.25">
      <c r="A934" s="153" t="s">
        <v>4523</v>
      </c>
      <c r="B934" s="30" t="s">
        <v>4524</v>
      </c>
      <c r="C934" s="30" t="s">
        <v>4525</v>
      </c>
      <c r="D934" s="84" t="s">
        <v>364</v>
      </c>
      <c r="E934" s="24" t="s">
        <v>4526</v>
      </c>
      <c r="F934" s="25">
        <v>355000</v>
      </c>
      <c r="G934" s="30" t="s">
        <v>16</v>
      </c>
      <c r="H934" s="30" t="s">
        <v>1596</v>
      </c>
      <c r="I934" s="203">
        <v>45127.684407442102</v>
      </c>
      <c r="J934" s="121">
        <v>45147.465972222199</v>
      </c>
      <c r="K934" s="121">
        <v>45127.684407442102</v>
      </c>
      <c r="L934" s="203">
        <v>45147.465972222199</v>
      </c>
      <c r="M934" s="204">
        <v>45128</v>
      </c>
      <c r="N934" s="205" t="s">
        <v>10</v>
      </c>
      <c r="O934" s="203" t="s">
        <v>26</v>
      </c>
      <c r="P934" s="24"/>
      <c r="Q934" s="160">
        <v>45135.731944444444</v>
      </c>
      <c r="R934" s="160">
        <v>45139.731944444444</v>
      </c>
      <c r="S934" s="161">
        <v>45169.466666666667</v>
      </c>
      <c r="T934" s="210">
        <v>308000000</v>
      </c>
      <c r="U934" s="209">
        <f>Tabla1[[#This Row],[PPTO]]/(1+'Lista Datos'!$B$1)</f>
        <v>258823529.41176471</v>
      </c>
      <c r="V934" s="67"/>
      <c r="W934" s="193" t="s">
        <v>11</v>
      </c>
      <c r="X934" s="127">
        <v>100000</v>
      </c>
      <c r="Y934" s="104">
        <v>45260</v>
      </c>
      <c r="Z934" s="154" t="s">
        <v>10</v>
      </c>
      <c r="AA934" s="30" t="s">
        <v>177</v>
      </c>
      <c r="AB934" s="30">
        <v>36</v>
      </c>
      <c r="AC934" s="30"/>
      <c r="AD934" s="30"/>
      <c r="AE934" s="145">
        <f>Tabla1[[#This Row],[Cierre]]+Tabla1[[#This Row],[Vigencia Oferta (días)]]</f>
        <v>45147.465972222199</v>
      </c>
      <c r="AF934" s="68"/>
      <c r="AG934" s="157"/>
      <c r="AH934" s="194">
        <f>Tabla1[[#This Row],[Unidades2]]*Tabla1[[#This Row],[Precio Unitario]]</f>
        <v>0</v>
      </c>
      <c r="AI934" s="97" t="s">
        <v>270</v>
      </c>
      <c r="AJ934" s="149"/>
      <c r="AK934" s="149">
        <f>Tabla1[[#This Row],[Fecha Vigencia]]-AJ934</f>
        <v>45147.465972222199</v>
      </c>
      <c r="AL934" s="68"/>
      <c r="AM934" s="91"/>
      <c r="AN934" s="68"/>
      <c r="AO934" s="218"/>
      <c r="AP934" s="68"/>
      <c r="AQ934" s="69"/>
      <c r="AR934" s="68"/>
      <c r="AS934" s="68"/>
      <c r="AT934" s="68"/>
      <c r="AU934" s="68"/>
      <c r="AV934" s="68"/>
      <c r="AW934" s="68"/>
      <c r="AX934" s="68"/>
      <c r="AY934" s="30"/>
      <c r="AZ934" s="30"/>
      <c r="BA934" s="30"/>
      <c r="BB934" s="75"/>
    </row>
    <row r="935" spans="1:54" x14ac:dyDescent="0.25">
      <c r="A935" s="117" t="s">
        <v>4527</v>
      </c>
      <c r="B935" s="118" t="s">
        <v>1365</v>
      </c>
      <c r="C935" s="118" t="s">
        <v>4528</v>
      </c>
      <c r="D935" s="119" t="s">
        <v>4529</v>
      </c>
      <c r="E935" s="38" t="s">
        <v>4530</v>
      </c>
      <c r="F935" s="39">
        <v>1</v>
      </c>
      <c r="G935" s="118" t="s">
        <v>20</v>
      </c>
      <c r="H935" s="118" t="s">
        <v>106</v>
      </c>
      <c r="I935" s="206">
        <v>45127.664114201398</v>
      </c>
      <c r="J935" s="121">
        <v>45146.833333333299</v>
      </c>
      <c r="K935" s="121">
        <v>45127.664114201398</v>
      </c>
      <c r="L935" s="206">
        <v>45146.833333333299</v>
      </c>
      <c r="M935" s="204">
        <v>45128</v>
      </c>
      <c r="N935" s="207" t="s">
        <v>10</v>
      </c>
      <c r="O935" s="206" t="s">
        <v>33</v>
      </c>
      <c r="P935" s="37" t="s">
        <v>11</v>
      </c>
      <c r="Q935" s="147">
        <v>45133.833333333336</v>
      </c>
      <c r="R935" s="147">
        <v>45135.833333333336</v>
      </c>
      <c r="S935" s="148">
        <v>45194.833333333336</v>
      </c>
      <c r="T935" s="38"/>
      <c r="U935" s="65">
        <f>Tabla1[[#This Row],[PPTO]]/(1+'Lista Datos'!$B$1)</f>
        <v>0</v>
      </c>
      <c r="V935" s="64"/>
      <c r="W935" s="191" t="s">
        <v>11</v>
      </c>
      <c r="X935" s="122">
        <v>300000</v>
      </c>
      <c r="Y935" s="149">
        <v>45285</v>
      </c>
      <c r="Z935" s="123" t="s">
        <v>10</v>
      </c>
      <c r="AA935" s="118" t="s">
        <v>177</v>
      </c>
      <c r="AB935" s="118">
        <v>24</v>
      </c>
      <c r="AC935" s="118"/>
      <c r="AD935" s="118"/>
      <c r="AE935" s="145">
        <f>Tabla1[[#This Row],[Cierre]]+Tabla1[[#This Row],[Vigencia Oferta (días)]]</f>
        <v>45146.833333333299</v>
      </c>
      <c r="AF935" s="65"/>
      <c r="AG935" s="181"/>
      <c r="AH935" s="192">
        <f>Tabla1[[#This Row],[Unidades2]]*Tabla1[[#This Row],[Precio Unitario]]</f>
        <v>0</v>
      </c>
      <c r="AI935" s="126" t="s">
        <v>270</v>
      </c>
      <c r="AJ935" s="149"/>
      <c r="AK935" s="149">
        <f>Tabla1[[#This Row],[Fecha Vigencia]]-AJ935</f>
        <v>45146.833333333299</v>
      </c>
      <c r="AL935" s="65"/>
      <c r="AM935" s="90"/>
      <c r="AN935" s="65"/>
      <c r="AO935" s="217"/>
      <c r="AP935" s="65"/>
      <c r="AQ935" s="66"/>
      <c r="AR935" s="65"/>
      <c r="AS935" s="65"/>
      <c r="AT935" s="65"/>
      <c r="AU935" s="65"/>
      <c r="AV935" s="65"/>
      <c r="AW935" s="65"/>
      <c r="AX935" s="65"/>
      <c r="AY935" s="118"/>
      <c r="AZ935" s="118"/>
      <c r="BA935" s="118"/>
      <c r="BB935" s="124"/>
    </row>
    <row r="936" spans="1:54" x14ac:dyDescent="0.25">
      <c r="A936" t="s">
        <v>4531</v>
      </c>
      <c r="B936" s="226" t="s">
        <v>4532</v>
      </c>
      <c r="C936" s="226" t="s">
        <v>4533</v>
      </c>
      <c r="D936" s="119" t="s">
        <v>4534</v>
      </c>
      <c r="E936" s="38" t="s">
        <v>4535</v>
      </c>
      <c r="F936" s="39">
        <v>1</v>
      </c>
      <c r="G936" s="118" t="s">
        <v>18</v>
      </c>
      <c r="H936" s="118" t="s">
        <v>213</v>
      </c>
      <c r="I936" s="206">
        <v>45127.703680555554</v>
      </c>
      <c r="J936" s="38">
        <f>MONTH(Tabla1[[#This Row],[Publicación]])</f>
        <v>7</v>
      </c>
      <c r="K936" s="38">
        <f>YEAR(Tabla1[[#This Row],[Publicación]])</f>
        <v>2023</v>
      </c>
      <c r="L936" s="206">
        <v>45133.773611111108</v>
      </c>
      <c r="M936" s="211">
        <v>45128</v>
      </c>
      <c r="N936" s="207" t="s">
        <v>10</v>
      </c>
      <c r="O936" s="206" t="s">
        <v>25</v>
      </c>
      <c r="P936" s="38"/>
      <c r="Q936" s="147">
        <v>45130.856944444444</v>
      </c>
      <c r="R936" s="147">
        <v>45131.856944444444</v>
      </c>
      <c r="S936" s="148">
        <v>45147.6875</v>
      </c>
      <c r="T936" s="38"/>
      <c r="U936" s="65">
        <f>Tabla1[[#This Row],[PPTO]]/(1+'Lista Datos'!$B$1)</f>
        <v>0</v>
      </c>
      <c r="V936" s="64"/>
      <c r="W936" s="191" t="s">
        <v>10</v>
      </c>
      <c r="X936" s="122"/>
      <c r="Y936" s="122"/>
      <c r="Z936" s="123" t="s">
        <v>10</v>
      </c>
      <c r="AA936" s="118" t="s">
        <v>512</v>
      </c>
      <c r="AB936" s="118"/>
      <c r="AC936" s="118"/>
      <c r="AD936" s="118"/>
      <c r="AE936" s="145">
        <f>Tabla1[[#This Row],[Cierre]]+Tabla1[[#This Row],[Vigencia Oferta (días)]]</f>
        <v>45133.773611111108</v>
      </c>
      <c r="AF936" s="65"/>
      <c r="AG936" s="181"/>
      <c r="AH936" s="192">
        <f>Tabla1[[#This Row],[Unidades2]]*Tabla1[[#This Row],[Precio Unitario]]</f>
        <v>0</v>
      </c>
      <c r="AI936" s="126" t="s">
        <v>270</v>
      </c>
      <c r="AJ936" s="149"/>
      <c r="AK936" s="149">
        <f>Tabla1[[#This Row],[Fecha Vigencia]]-AJ936</f>
        <v>45133.773611111108</v>
      </c>
      <c r="AL936" s="65"/>
      <c r="AM936" s="90"/>
      <c r="AN936" s="65"/>
      <c r="AO936" s="217"/>
      <c r="AP936" s="65"/>
      <c r="AQ936" s="66"/>
      <c r="AR936" s="65"/>
      <c r="AS936" s="65"/>
      <c r="AT936" s="65"/>
      <c r="AU936" s="65"/>
      <c r="AV936" s="65"/>
      <c r="AW936" s="65"/>
      <c r="AX936" s="65"/>
      <c r="AY936" s="118"/>
      <c r="AZ936" s="118"/>
      <c r="BA936" s="118"/>
      <c r="BB936" s="124"/>
    </row>
    <row r="937" spans="1:54" x14ac:dyDescent="0.25">
      <c r="A937" t="s">
        <v>4536</v>
      </c>
      <c r="B937" s="118" t="s">
        <v>4537</v>
      </c>
      <c r="C937" s="118" t="s">
        <v>4538</v>
      </c>
      <c r="D937" s="119" t="s">
        <v>136</v>
      </c>
      <c r="E937" s="38" t="s">
        <v>3501</v>
      </c>
      <c r="F937" s="39">
        <v>1</v>
      </c>
      <c r="G937" s="118" t="s">
        <v>20</v>
      </c>
      <c r="H937" s="118" t="s">
        <v>106</v>
      </c>
      <c r="I937" s="206">
        <v>45128.609525462962</v>
      </c>
      <c r="J937" s="38">
        <f>MONTH(Tabla1[[#This Row],[Publicación]])</f>
        <v>7</v>
      </c>
      <c r="K937" s="38">
        <f>YEAR(Tabla1[[#This Row],[Publicación]])</f>
        <v>2023</v>
      </c>
      <c r="L937" s="206">
        <v>45138.625694444447</v>
      </c>
      <c r="M937" s="211">
        <v>45128</v>
      </c>
      <c r="N937" s="207" t="s">
        <v>10</v>
      </c>
      <c r="O937" s="206" t="s">
        <v>28</v>
      </c>
      <c r="P937" s="38"/>
      <c r="Q937" s="147">
        <v>45132.583333333336</v>
      </c>
      <c r="R937" s="147">
        <v>45134.770138888889</v>
      </c>
      <c r="S937" s="148">
        <v>45154.728472222225</v>
      </c>
      <c r="T937" s="215">
        <v>26011400</v>
      </c>
      <c r="U937" s="214">
        <f>Tabla1[[#This Row],[PPTO]]/(1+'Lista Datos'!$B$1)</f>
        <v>21858319.327731095</v>
      </c>
      <c r="V937" s="64"/>
      <c r="W937" s="191" t="s">
        <v>10</v>
      </c>
      <c r="X937" s="122"/>
      <c r="Y937" s="122"/>
      <c r="Z937" s="123" t="s">
        <v>10</v>
      </c>
      <c r="AA937" s="118" t="s">
        <v>177</v>
      </c>
      <c r="AB937" s="118">
        <v>18</v>
      </c>
      <c r="AC937" s="118"/>
      <c r="AD937" s="118"/>
      <c r="AE937" s="145">
        <f>Tabla1[[#This Row],[Cierre]]+Tabla1[[#This Row],[Vigencia Oferta (días)]]</f>
        <v>45138.625694444447</v>
      </c>
      <c r="AF937" s="65"/>
      <c r="AG937" s="181"/>
      <c r="AH937" s="192">
        <f>Tabla1[[#This Row],[Unidades2]]*Tabla1[[#This Row],[Precio Unitario]]</f>
        <v>0</v>
      </c>
      <c r="AI937" s="126" t="s">
        <v>270</v>
      </c>
      <c r="AJ937" s="149"/>
      <c r="AK937" s="149">
        <f>Tabla1[[#This Row],[Fecha Vigencia]]-AJ937</f>
        <v>45138.625694444447</v>
      </c>
      <c r="AL937" s="65"/>
      <c r="AM937" s="90"/>
      <c r="AN937" s="65"/>
      <c r="AO937" s="217"/>
      <c r="AP937" s="65"/>
      <c r="AQ937" s="66"/>
      <c r="AR937" s="65"/>
      <c r="AS937" s="65"/>
      <c r="AT937" s="65"/>
      <c r="AU937" s="65"/>
      <c r="AV937" s="65"/>
      <c r="AW937" s="65"/>
      <c r="AX937" s="65"/>
      <c r="AY937" s="118"/>
      <c r="AZ937" s="118"/>
      <c r="BA937" s="118"/>
      <c r="BB937" s="124"/>
    </row>
    <row r="938" spans="1:54" x14ac:dyDescent="0.25">
      <c r="A938" s="117" t="s">
        <v>4539</v>
      </c>
      <c r="B938" s="118" t="s">
        <v>4540</v>
      </c>
      <c r="C938" s="118" t="s">
        <v>4541</v>
      </c>
      <c r="D938" s="119" t="s">
        <v>4542</v>
      </c>
      <c r="E938" s="38" t="s">
        <v>4543</v>
      </c>
      <c r="F938" s="39">
        <v>50</v>
      </c>
      <c r="G938" s="118" t="s">
        <v>14</v>
      </c>
      <c r="H938" s="118" t="s">
        <v>345</v>
      </c>
      <c r="I938" s="206">
        <v>45128.674780092595</v>
      </c>
      <c r="J938" s="38">
        <f>MONTH(Tabla1[[#This Row],[Publicación]])</f>
        <v>7</v>
      </c>
      <c r="K938" s="38">
        <f>YEAR(Tabla1[[#This Row],[Publicación]])</f>
        <v>2023</v>
      </c>
      <c r="L938" s="206">
        <v>45139.666666666664</v>
      </c>
      <c r="M938" s="211">
        <v>45128</v>
      </c>
      <c r="N938" s="207" t="s">
        <v>10</v>
      </c>
      <c r="O938" s="206" t="s">
        <v>25</v>
      </c>
      <c r="P938" s="38"/>
      <c r="Q938" s="147">
        <v>45133.708333333336</v>
      </c>
      <c r="R938" s="147">
        <v>45135.666666666664</v>
      </c>
      <c r="S938" s="148">
        <v>45168.708333333336</v>
      </c>
      <c r="T938" s="38"/>
      <c r="U938" s="65">
        <f>Tabla1[[#This Row],[PPTO]]/(1+'Lista Datos'!$B$1)</f>
        <v>0</v>
      </c>
      <c r="V938" s="64"/>
      <c r="W938" s="191" t="s">
        <v>10</v>
      </c>
      <c r="X938" s="122"/>
      <c r="Y938" s="122"/>
      <c r="Z938" s="123" t="s">
        <v>10</v>
      </c>
      <c r="AA938" s="118" t="s">
        <v>512</v>
      </c>
      <c r="AB938" s="118"/>
      <c r="AC938" s="118"/>
      <c r="AD938" s="118"/>
      <c r="AE938" s="145">
        <f>Tabla1[[#This Row],[Cierre]]+Tabla1[[#This Row],[Vigencia Oferta (días)]]</f>
        <v>45139.666666666664</v>
      </c>
      <c r="AF938" s="65"/>
      <c r="AG938" s="181"/>
      <c r="AH938" s="192">
        <f>Tabla1[[#This Row],[Unidades2]]*Tabla1[[#This Row],[Precio Unitario]]</f>
        <v>0</v>
      </c>
      <c r="AI938" s="126" t="s">
        <v>270</v>
      </c>
      <c r="AJ938" s="149"/>
      <c r="AK938" s="149">
        <f>Tabla1[[#This Row],[Fecha Vigencia]]-AJ938</f>
        <v>45139.666666666664</v>
      </c>
      <c r="AL938" s="65"/>
      <c r="AM938" s="90"/>
      <c r="AN938" s="65"/>
      <c r="AO938" s="217"/>
      <c r="AP938" s="65"/>
      <c r="AQ938" s="66"/>
      <c r="AR938" s="65"/>
      <c r="AS938" s="65"/>
      <c r="AT938" s="65"/>
      <c r="AU938" s="65"/>
      <c r="AV938" s="65"/>
      <c r="AW938" s="65"/>
      <c r="AX938" s="65"/>
      <c r="AY938" s="118"/>
      <c r="AZ938" s="118"/>
      <c r="BA938" s="118"/>
      <c r="BB938" s="124"/>
    </row>
    <row r="939" spans="1:54" x14ac:dyDescent="0.25">
      <c r="A939" s="153" t="s">
        <v>4544</v>
      </c>
      <c r="B939" s="30" t="s">
        <v>4545</v>
      </c>
      <c r="C939" s="30" t="s">
        <v>4546</v>
      </c>
      <c r="D939" s="84" t="s">
        <v>364</v>
      </c>
      <c r="E939" s="24" t="s">
        <v>4547</v>
      </c>
      <c r="F939" s="25">
        <v>5</v>
      </c>
      <c r="G939" s="30" t="s">
        <v>14</v>
      </c>
      <c r="H939" s="30" t="s">
        <v>1596</v>
      </c>
      <c r="I939" s="203">
        <v>45128.661217476903</v>
      </c>
      <c r="J939" s="38">
        <v>45138.625</v>
      </c>
      <c r="K939" s="38">
        <v>45128.661217476903</v>
      </c>
      <c r="L939" s="203">
        <v>45138.625</v>
      </c>
      <c r="M939" s="204">
        <v>45131</v>
      </c>
      <c r="N939" s="205" t="s">
        <v>10</v>
      </c>
      <c r="O939" s="203" t="s">
        <v>27</v>
      </c>
      <c r="P939" s="24"/>
      <c r="Q939" s="60"/>
      <c r="R939" s="60"/>
      <c r="S939" s="18"/>
      <c r="T939" s="24"/>
      <c r="U939" s="68">
        <f>Tabla1[[#This Row],[PPTO]]/(1+'Lista Datos'!$B$1)</f>
        <v>0</v>
      </c>
      <c r="V939" s="67"/>
      <c r="W939" s="193"/>
      <c r="X939" s="127"/>
      <c r="Y939" s="127"/>
      <c r="Z939" s="154"/>
      <c r="AA939" s="30"/>
      <c r="AB939" s="30"/>
      <c r="AC939" s="30"/>
      <c r="AD939" s="30"/>
      <c r="AE939" s="145">
        <f>Tabla1[[#This Row],[Cierre]]+Tabla1[[#This Row],[Vigencia Oferta (días)]]</f>
        <v>45138.625</v>
      </c>
      <c r="AF939" s="68"/>
      <c r="AG939" s="157"/>
      <c r="AH939" s="194">
        <f>Tabla1[[#This Row],[Unidades2]]*Tabla1[[#This Row],[Precio Unitario]]</f>
        <v>0</v>
      </c>
      <c r="AI939" s="97" t="s">
        <v>270</v>
      </c>
      <c r="AJ939" s="149"/>
      <c r="AK939" s="149">
        <f>Tabla1[[#This Row],[Fecha Vigencia]]-AJ939</f>
        <v>45138.625</v>
      </c>
      <c r="AL939" s="68"/>
      <c r="AM939" s="91"/>
      <c r="AN939" s="68"/>
      <c r="AO939" s="218"/>
      <c r="AP939" s="68"/>
      <c r="AQ939" s="69"/>
      <c r="AR939" s="68"/>
      <c r="AS939" s="68"/>
      <c r="AT939" s="68"/>
      <c r="AU939" s="68"/>
      <c r="AV939" s="68"/>
      <c r="AW939" s="68"/>
      <c r="AX939" s="68"/>
      <c r="AY939" s="30"/>
      <c r="AZ939" s="30"/>
      <c r="BA939" s="30"/>
      <c r="BB939" s="75"/>
    </row>
    <row r="940" spans="1:54" x14ac:dyDescent="0.25">
      <c r="A940" s="117" t="s">
        <v>4548</v>
      </c>
      <c r="B940" s="118" t="s">
        <v>4549</v>
      </c>
      <c r="C940" s="118" t="s">
        <v>4550</v>
      </c>
      <c r="D940" s="119" t="s">
        <v>486</v>
      </c>
      <c r="E940" s="38" t="s">
        <v>4551</v>
      </c>
      <c r="F940" s="39" t="s">
        <v>3684</v>
      </c>
      <c r="G940" s="118" t="s">
        <v>21</v>
      </c>
      <c r="H940" s="118" t="s">
        <v>106</v>
      </c>
      <c r="I940" s="206">
        <v>45131.464878854204</v>
      </c>
      <c r="J940" s="38">
        <v>45169.625</v>
      </c>
      <c r="K940" s="38">
        <v>45131.464878854204</v>
      </c>
      <c r="L940" s="206">
        <v>45169.625</v>
      </c>
      <c r="M940" s="211">
        <v>45132</v>
      </c>
      <c r="N940" s="207" t="s">
        <v>11</v>
      </c>
      <c r="O940" s="206"/>
      <c r="P940" s="37" t="s">
        <v>11</v>
      </c>
      <c r="Q940" s="147">
        <v>45133.625</v>
      </c>
      <c r="R940" s="147">
        <v>45134.625694444447</v>
      </c>
      <c r="S940" s="148">
        <v>45230.692361111112</v>
      </c>
      <c r="T940" s="230">
        <v>17000000</v>
      </c>
      <c r="U940" s="231">
        <f>Tabla1[[#This Row],[PPTO]]/(1+'Lista Datos'!$B$1)</f>
        <v>14285714.285714285</v>
      </c>
      <c r="V940" s="64">
        <v>30</v>
      </c>
      <c r="W940" s="191" t="s">
        <v>10</v>
      </c>
      <c r="X940" s="122"/>
      <c r="Y940" s="122"/>
      <c r="Z940" s="123" t="s">
        <v>10</v>
      </c>
      <c r="AA940" s="118" t="s">
        <v>512</v>
      </c>
      <c r="AB940" s="118"/>
      <c r="AC940" s="118"/>
      <c r="AD940" s="118"/>
      <c r="AE940" s="145">
        <f>Tabla1[[#This Row],[Cierre]]+Tabla1[[#This Row],[Vigencia Oferta (días)]]</f>
        <v>45169.625</v>
      </c>
      <c r="AF940" s="65">
        <v>1</v>
      </c>
      <c r="AG940" s="229">
        <v>18222717</v>
      </c>
      <c r="AH940" s="192">
        <f>Tabla1[[#This Row],[Unidades2]]*Tabla1[[#This Row],[Precio Unitario]]</f>
        <v>18222717</v>
      </c>
      <c r="AI940" s="126" t="s">
        <v>270</v>
      </c>
      <c r="AJ940" s="149"/>
      <c r="AK940" s="149">
        <f>Tabla1[[#This Row],[Fecha Vigencia]]-AJ940</f>
        <v>45169.625</v>
      </c>
      <c r="AL940" s="65"/>
      <c r="AM940" s="90"/>
      <c r="AN940" s="65"/>
      <c r="AO940" s="217"/>
      <c r="AP940" s="65"/>
      <c r="AQ940" s="66"/>
      <c r="AR940" s="65"/>
      <c r="AS940" s="65"/>
      <c r="AT940" s="65"/>
      <c r="AU940" s="65"/>
      <c r="AV940" s="65"/>
      <c r="AW940" s="65"/>
      <c r="AX940" s="65"/>
      <c r="AY940" s="118"/>
      <c r="AZ940" s="118"/>
      <c r="BA940" s="118"/>
      <c r="BB940" s="124"/>
    </row>
    <row r="941" spans="1:54" x14ac:dyDescent="0.25">
      <c r="A941" s="117" t="s">
        <v>4552</v>
      </c>
      <c r="B941" s="118" t="s">
        <v>4553</v>
      </c>
      <c r="C941" s="118" t="s">
        <v>4554</v>
      </c>
      <c r="D941" s="119" t="s">
        <v>3921</v>
      </c>
      <c r="E941" s="38" t="s">
        <v>4555</v>
      </c>
      <c r="F941" s="39">
        <v>2</v>
      </c>
      <c r="G941" s="118" t="s">
        <v>21</v>
      </c>
      <c r="H941" s="118" t="s">
        <v>106</v>
      </c>
      <c r="I941" s="206">
        <v>45133.521387696797</v>
      </c>
      <c r="J941" s="38">
        <v>45138.633333333302</v>
      </c>
      <c r="K941" s="38">
        <v>45133.521387696797</v>
      </c>
      <c r="L941" s="206">
        <v>45138.633333333302</v>
      </c>
      <c r="M941" s="211">
        <v>45134</v>
      </c>
      <c r="N941" s="207" t="s">
        <v>10</v>
      </c>
      <c r="O941" s="206" t="s">
        <v>27</v>
      </c>
      <c r="P941" s="38"/>
      <c r="Q941" s="121"/>
      <c r="R941" s="121"/>
      <c r="S941" s="19"/>
      <c r="T941" s="38"/>
      <c r="U941" s="65">
        <f>Tabla1[[#This Row],[PPTO]]/(1+'Lista Datos'!$B$1)</f>
        <v>0</v>
      </c>
      <c r="V941" s="64"/>
      <c r="W941" s="191"/>
      <c r="X941" s="122"/>
      <c r="Y941" s="122"/>
      <c r="Z941" s="123"/>
      <c r="AA941" s="118"/>
      <c r="AB941" s="118"/>
      <c r="AC941" s="118"/>
      <c r="AD941" s="118"/>
      <c r="AE941" s="145">
        <f>Tabla1[[#This Row],[Cierre]]+Tabla1[[#This Row],[Vigencia Oferta (días)]]</f>
        <v>45138.633333333302</v>
      </c>
      <c r="AF941" s="65"/>
      <c r="AG941" s="181"/>
      <c r="AH941" s="192">
        <f>Tabla1[[#This Row],[Unidades2]]*Tabla1[[#This Row],[Precio Unitario]]</f>
        <v>0</v>
      </c>
      <c r="AI941" s="126" t="s">
        <v>270</v>
      </c>
      <c r="AJ941" s="149"/>
      <c r="AK941" s="149">
        <f>Tabla1[[#This Row],[Fecha Vigencia]]-AJ941</f>
        <v>45138.633333333302</v>
      </c>
      <c r="AL941" s="65"/>
      <c r="AM941" s="90"/>
      <c r="AN941" s="65"/>
      <c r="AO941" s="217"/>
      <c r="AP941" s="65"/>
      <c r="AQ941" s="66"/>
      <c r="AR941" s="65"/>
      <c r="AS941" s="65"/>
      <c r="AT941" s="65"/>
      <c r="AU941" s="65"/>
      <c r="AV941" s="65"/>
      <c r="AW941" s="65"/>
      <c r="AX941" s="65"/>
      <c r="AY941" s="118"/>
      <c r="AZ941" s="118"/>
      <c r="BA941" s="118"/>
      <c r="BB941" s="124"/>
    </row>
    <row r="942" spans="1:54" x14ac:dyDescent="0.25">
      <c r="A942" s="153" t="s">
        <v>4556</v>
      </c>
      <c r="B942" s="30" t="s">
        <v>4557</v>
      </c>
      <c r="C942" s="30" t="s">
        <v>4558</v>
      </c>
      <c r="D942" s="84" t="s">
        <v>2985</v>
      </c>
      <c r="E942" s="24" t="s">
        <v>4559</v>
      </c>
      <c r="F942" s="25">
        <v>10</v>
      </c>
      <c r="G942" s="30" t="s">
        <v>21</v>
      </c>
      <c r="H942" s="30" t="s">
        <v>106</v>
      </c>
      <c r="I942" s="203">
        <v>45134.750971261601</v>
      </c>
      <c r="J942" s="38">
        <v>45140.625694444403</v>
      </c>
      <c r="K942" s="38">
        <v>45134.750971261601</v>
      </c>
      <c r="L942" s="203">
        <v>45140.625694444403</v>
      </c>
      <c r="M942" s="204">
        <v>45135</v>
      </c>
      <c r="N942" s="205" t="s">
        <v>10</v>
      </c>
      <c r="O942" s="203" t="s">
        <v>27</v>
      </c>
      <c r="P942" s="24"/>
      <c r="Q942" s="60"/>
      <c r="R942" s="60"/>
      <c r="S942" s="18"/>
      <c r="T942" s="24"/>
      <c r="U942" s="68">
        <f>Tabla1[[#This Row],[PPTO]]/(1+'Lista Datos'!$B$1)</f>
        <v>0</v>
      </c>
      <c r="V942" s="67"/>
      <c r="W942" s="193"/>
      <c r="X942" s="127"/>
      <c r="Y942" s="127"/>
      <c r="Z942" s="154"/>
      <c r="AA942" s="30"/>
      <c r="AB942" s="30"/>
      <c r="AC942" s="30"/>
      <c r="AD942" s="30"/>
      <c r="AE942" s="145">
        <f>Tabla1[[#This Row],[Cierre]]+Tabla1[[#This Row],[Vigencia Oferta (días)]]</f>
        <v>45140.625694444403</v>
      </c>
      <c r="AF942" s="68"/>
      <c r="AG942" s="157"/>
      <c r="AH942" s="194">
        <f>Tabla1[[#This Row],[Unidades2]]*Tabla1[[#This Row],[Precio Unitario]]</f>
        <v>0</v>
      </c>
      <c r="AI942" s="97" t="s">
        <v>270</v>
      </c>
      <c r="AJ942" s="149"/>
      <c r="AK942" s="149">
        <f>Tabla1[[#This Row],[Fecha Vigencia]]-AJ942</f>
        <v>45140.625694444403</v>
      </c>
      <c r="AL942" s="68"/>
      <c r="AM942" s="91"/>
      <c r="AN942" s="68"/>
      <c r="AO942" s="218"/>
      <c r="AP942" s="68"/>
      <c r="AQ942" s="69"/>
      <c r="AR942" s="68"/>
      <c r="AS942" s="68"/>
      <c r="AT942" s="68"/>
      <c r="AU942" s="68"/>
      <c r="AV942" s="68"/>
      <c r="AW942" s="68"/>
      <c r="AX942" s="68"/>
      <c r="AY942" s="30"/>
      <c r="AZ942" s="30"/>
      <c r="BA942" s="30"/>
      <c r="BB942" s="75"/>
    </row>
    <row r="943" spans="1:54" x14ac:dyDescent="0.25">
      <c r="A943" s="117" t="s">
        <v>4560</v>
      </c>
      <c r="B943" s="118" t="s">
        <v>4561</v>
      </c>
      <c r="C943" s="118" t="s">
        <v>4562</v>
      </c>
      <c r="D943" s="119" t="s">
        <v>2521</v>
      </c>
      <c r="E943" s="38" t="s">
        <v>4563</v>
      </c>
      <c r="F943" s="39">
        <v>1</v>
      </c>
      <c r="G943" s="118" t="s">
        <v>14</v>
      </c>
      <c r="H943" s="118" t="s">
        <v>1596</v>
      </c>
      <c r="I943" s="206">
        <v>45135.617037037038</v>
      </c>
      <c r="J943" s="121">
        <v>45148.625</v>
      </c>
      <c r="K943" s="121">
        <v>45135.617037037038</v>
      </c>
      <c r="L943" s="206">
        <v>45148.625</v>
      </c>
      <c r="M943" s="211">
        <v>45135</v>
      </c>
      <c r="N943" s="207" t="s">
        <v>10</v>
      </c>
      <c r="O943" s="206" t="s">
        <v>25</v>
      </c>
      <c r="P943" s="38"/>
      <c r="Q943" s="147">
        <v>45140.625694444447</v>
      </c>
      <c r="R943" s="147">
        <v>45142.625694444447</v>
      </c>
      <c r="S943" s="148">
        <v>45162.625694444447</v>
      </c>
      <c r="T943" s="215">
        <v>9000000</v>
      </c>
      <c r="U943" s="214">
        <f>Tabla1[[#This Row],[PPTO]]/(1+'Lista Datos'!$B$1)</f>
        <v>7563025.2100840341</v>
      </c>
      <c r="V943" s="64"/>
      <c r="W943" s="191" t="s">
        <v>10</v>
      </c>
      <c r="X943" s="122"/>
      <c r="Y943" s="122"/>
      <c r="Z943" s="123" t="s">
        <v>10</v>
      </c>
      <c r="AA943" s="118" t="s">
        <v>512</v>
      </c>
      <c r="AB943" s="118"/>
      <c r="AC943" s="118"/>
      <c r="AD943" s="118"/>
      <c r="AE943" s="145">
        <f>Tabla1[[#This Row],[Cierre]]+Tabla1[[#This Row],[Vigencia Oferta (días)]]</f>
        <v>45148.625</v>
      </c>
      <c r="AF943" s="65"/>
      <c r="AG943" s="181"/>
      <c r="AH943" s="192">
        <f>Tabla1[[#This Row],[Unidades2]]*Tabla1[[#This Row],[Precio Unitario]]</f>
        <v>0</v>
      </c>
      <c r="AI943" s="126" t="s">
        <v>270</v>
      </c>
      <c r="AJ943" s="149"/>
      <c r="AK943" s="149">
        <f>Tabla1[[#This Row],[Fecha Vigencia]]-AJ943</f>
        <v>45148.625</v>
      </c>
      <c r="AL943" s="65"/>
      <c r="AM943" s="90"/>
      <c r="AN943" s="65"/>
      <c r="AO943" s="217"/>
      <c r="AP943" s="65"/>
      <c r="AQ943" s="66"/>
      <c r="AR943" s="65"/>
      <c r="AS943" s="65"/>
      <c r="AT943" s="65"/>
      <c r="AU943" s="65"/>
      <c r="AV943" s="65"/>
      <c r="AW943" s="65"/>
      <c r="AX943" s="65"/>
      <c r="AY943" s="118"/>
      <c r="AZ943" s="118"/>
      <c r="BA943" s="118"/>
      <c r="BB943" s="124"/>
    </row>
    <row r="944" spans="1:54" x14ac:dyDescent="0.25">
      <c r="A944" s="117" t="s">
        <v>4564</v>
      </c>
      <c r="B944" s="118" t="s">
        <v>4565</v>
      </c>
      <c r="C944" s="118" t="s">
        <v>4566</v>
      </c>
      <c r="D944" s="119" t="s">
        <v>378</v>
      </c>
      <c r="E944" s="38" t="s">
        <v>4567</v>
      </c>
      <c r="F944" s="39">
        <v>7</v>
      </c>
      <c r="G944" s="118" t="s">
        <v>14</v>
      </c>
      <c r="H944" s="118" t="s">
        <v>345</v>
      </c>
      <c r="I944" s="206">
        <v>45135.389275694397</v>
      </c>
      <c r="J944" s="121">
        <v>45146.625694444403</v>
      </c>
      <c r="K944" s="121">
        <v>45135.389275694397</v>
      </c>
      <c r="L944" s="206">
        <v>45146.625694444403</v>
      </c>
      <c r="M944" s="211">
        <v>45138</v>
      </c>
      <c r="N944" s="207" t="s">
        <v>10</v>
      </c>
      <c r="O944" s="206" t="s">
        <v>27</v>
      </c>
      <c r="P944" s="38"/>
      <c r="Q944" s="121"/>
      <c r="R944" s="121"/>
      <c r="S944" s="19"/>
      <c r="T944" s="38"/>
      <c r="U944" s="65">
        <f>Tabla1[[#This Row],[PPTO]]/(1+'Lista Datos'!$B$1)</f>
        <v>0</v>
      </c>
      <c r="V944" s="64"/>
      <c r="W944" s="191"/>
      <c r="X944" s="122"/>
      <c r="Y944" s="122"/>
      <c r="Z944" s="123"/>
      <c r="AA944" s="118"/>
      <c r="AB944" s="118"/>
      <c r="AC944" s="118"/>
      <c r="AD944" s="118"/>
      <c r="AE944" s="145">
        <f>Tabla1[[#This Row],[Cierre]]+Tabla1[[#This Row],[Vigencia Oferta (días)]]</f>
        <v>45146.625694444403</v>
      </c>
      <c r="AF944" s="65"/>
      <c r="AG944" s="181"/>
      <c r="AH944" s="192">
        <f>Tabla1[[#This Row],[Unidades2]]*Tabla1[[#This Row],[Precio Unitario]]</f>
        <v>0</v>
      </c>
      <c r="AI944" s="126" t="s">
        <v>270</v>
      </c>
      <c r="AJ944" s="149"/>
      <c r="AK944" s="149">
        <f>Tabla1[[#This Row],[Fecha Vigencia]]-AJ944</f>
        <v>45146.625694444403</v>
      </c>
      <c r="AL944" s="65"/>
      <c r="AM944" s="90"/>
      <c r="AN944" s="65"/>
      <c r="AO944" s="217"/>
      <c r="AP944" s="65"/>
      <c r="AQ944" s="66"/>
      <c r="AR944" s="65"/>
      <c r="AS944" s="65"/>
      <c r="AT944" s="65"/>
      <c r="AU944" s="65"/>
      <c r="AV944" s="65"/>
      <c r="AW944" s="65"/>
      <c r="AX944" s="65"/>
      <c r="AY944" s="118"/>
      <c r="AZ944" s="118"/>
      <c r="BA944" s="118"/>
      <c r="BB944" s="124"/>
    </row>
    <row r="945" spans="1:54" x14ac:dyDescent="0.25">
      <c r="A945" s="117" t="s">
        <v>4568</v>
      </c>
      <c r="B945" s="118" t="s">
        <v>4569</v>
      </c>
      <c r="C945" s="118" t="s">
        <v>4570</v>
      </c>
      <c r="D945" s="119" t="s">
        <v>3372</v>
      </c>
      <c r="E945" s="38" t="s">
        <v>4571</v>
      </c>
      <c r="F945" s="39">
        <v>8</v>
      </c>
      <c r="G945" s="118" t="s">
        <v>16</v>
      </c>
      <c r="H945" s="118" t="s">
        <v>123</v>
      </c>
      <c r="I945" s="206">
        <v>45135.343871331002</v>
      </c>
      <c r="J945" s="38">
        <v>45145.625</v>
      </c>
      <c r="K945" s="38">
        <v>45135.343871331002</v>
      </c>
      <c r="L945" s="206">
        <v>45145.625</v>
      </c>
      <c r="M945" s="211">
        <v>45138</v>
      </c>
      <c r="N945" s="207" t="s">
        <v>10</v>
      </c>
      <c r="O945" s="206" t="s">
        <v>27</v>
      </c>
      <c r="P945" s="38"/>
      <c r="Q945" s="147">
        <v>45139.999305555553</v>
      </c>
      <c r="R945" s="147">
        <v>45140.625</v>
      </c>
      <c r="S945" s="148">
        <v>45159.625</v>
      </c>
      <c r="T945" s="38"/>
      <c r="U945" s="65">
        <f>Tabla1[[#This Row],[PPTO]]/(1+'Lista Datos'!$B$1)</f>
        <v>0</v>
      </c>
      <c r="V945" s="64"/>
      <c r="W945" s="191" t="s">
        <v>10</v>
      </c>
      <c r="X945" s="122"/>
      <c r="Y945" s="122"/>
      <c r="Z945" s="123" t="s">
        <v>10</v>
      </c>
      <c r="AA945" s="118" t="s">
        <v>512</v>
      </c>
      <c r="AB945" s="118"/>
      <c r="AC945" s="118"/>
      <c r="AD945" s="118"/>
      <c r="AE945" s="145">
        <f>Tabla1[[#This Row],[Cierre]]+Tabla1[[#This Row],[Vigencia Oferta (días)]]</f>
        <v>45145.625</v>
      </c>
      <c r="AF945" s="65"/>
      <c r="AG945" s="181"/>
      <c r="AH945" s="192">
        <f>Tabla1[[#This Row],[Unidades2]]*Tabla1[[#This Row],[Precio Unitario]]</f>
        <v>0</v>
      </c>
      <c r="AI945" s="126" t="s">
        <v>270</v>
      </c>
      <c r="AJ945" s="149"/>
      <c r="AK945" s="149">
        <f>Tabla1[[#This Row],[Fecha Vigencia]]-AJ945</f>
        <v>45145.625</v>
      </c>
      <c r="AL945" s="65"/>
      <c r="AM945" s="90"/>
      <c r="AN945" s="65"/>
      <c r="AO945" s="217"/>
      <c r="AP945" s="65"/>
      <c r="AQ945" s="66"/>
      <c r="AR945" s="65"/>
      <c r="AS945" s="65"/>
      <c r="AT945" s="65"/>
      <c r="AU945" s="65"/>
      <c r="AV945" s="65"/>
      <c r="AW945" s="65"/>
      <c r="AX945" s="65"/>
      <c r="AY945" s="118"/>
      <c r="AZ945" s="118"/>
      <c r="BA945" s="118"/>
      <c r="BB945" s="124"/>
    </row>
    <row r="946" spans="1:54" x14ac:dyDescent="0.25">
      <c r="A946" s="153" t="s">
        <v>4572</v>
      </c>
      <c r="B946" s="30" t="s">
        <v>4573</v>
      </c>
      <c r="C946" s="30" t="s">
        <v>4574</v>
      </c>
      <c r="D946" s="84" t="s">
        <v>291</v>
      </c>
      <c r="E946" s="24" t="s">
        <v>4574</v>
      </c>
      <c r="F946" s="25">
        <v>4</v>
      </c>
      <c r="G946" s="30" t="s">
        <v>21</v>
      </c>
      <c r="H946" s="30" t="s">
        <v>106</v>
      </c>
      <c r="I946" s="203">
        <v>45138.725908298598</v>
      </c>
      <c r="J946" s="38">
        <v>45146.625</v>
      </c>
      <c r="K946" s="38">
        <v>45138.725908298598</v>
      </c>
      <c r="L946" s="203">
        <v>45146.625</v>
      </c>
      <c r="M946" s="204">
        <v>45139</v>
      </c>
      <c r="N946" s="205" t="s">
        <v>10</v>
      </c>
      <c r="O946" s="203" t="s">
        <v>29</v>
      </c>
      <c r="P946" s="24" t="s">
        <v>11</v>
      </c>
      <c r="Q946" s="160">
        <v>45140.666666666664</v>
      </c>
      <c r="R946" s="160">
        <v>45141.833333333336</v>
      </c>
      <c r="S946" s="161">
        <v>45176.833333333336</v>
      </c>
      <c r="T946" s="24"/>
      <c r="U946" s="68">
        <f>Tabla1[[#This Row],[PPTO]]/(1+'Lista Datos'!$B$1)</f>
        <v>0</v>
      </c>
      <c r="V946" s="67"/>
      <c r="W946" s="193" t="s">
        <v>10</v>
      </c>
      <c r="X946" s="127"/>
      <c r="Y946" s="127"/>
      <c r="Z946" s="154" t="s">
        <v>10</v>
      </c>
      <c r="AA946" s="30" t="s">
        <v>512</v>
      </c>
      <c r="AB946" s="30"/>
      <c r="AC946" s="30"/>
      <c r="AD946" s="30"/>
      <c r="AE946" s="145">
        <f>Tabla1[[#This Row],[Cierre]]+Tabla1[[#This Row],[Vigencia Oferta (días)]]</f>
        <v>45146.625</v>
      </c>
      <c r="AF946" s="68"/>
      <c r="AG946" s="157"/>
      <c r="AH946" s="194">
        <f>Tabla1[[#This Row],[Unidades2]]*Tabla1[[#This Row],[Precio Unitario]]</f>
        <v>0</v>
      </c>
      <c r="AI946" s="97" t="s">
        <v>320</v>
      </c>
      <c r="AJ946" s="149"/>
      <c r="AK946" s="149">
        <f>Tabla1[[#This Row],[Fecha Vigencia]]-AJ946</f>
        <v>45146.625</v>
      </c>
      <c r="AL946" s="68"/>
      <c r="AM946" s="91"/>
      <c r="AN946" s="68"/>
      <c r="AO946" s="218"/>
      <c r="AP946" s="68"/>
      <c r="AQ946" s="69"/>
      <c r="AR946" s="68"/>
      <c r="AS946" s="68"/>
      <c r="AT946" s="68"/>
      <c r="AU946" s="68"/>
      <c r="AV946" s="68"/>
      <c r="AW946" s="68"/>
      <c r="AX946" s="68"/>
      <c r="AY946" s="30"/>
      <c r="AZ946" s="30"/>
      <c r="BA946" s="30"/>
      <c r="BB946" s="75"/>
    </row>
    <row r="947" spans="1:54" x14ac:dyDescent="0.25">
      <c r="A947" s="117" t="s">
        <v>4575</v>
      </c>
      <c r="B947" s="118" t="s">
        <v>4576</v>
      </c>
      <c r="C947" s="118" t="s">
        <v>4577</v>
      </c>
      <c r="D947" s="119" t="s">
        <v>1552</v>
      </c>
      <c r="E947" s="38" t="s">
        <v>4578</v>
      </c>
      <c r="F947" s="39">
        <v>1</v>
      </c>
      <c r="G947" s="118" t="s">
        <v>21</v>
      </c>
      <c r="H947" s="118" t="s">
        <v>106</v>
      </c>
      <c r="I947" s="206">
        <v>45138.6883864583</v>
      </c>
      <c r="J947" s="121">
        <v>45145.625</v>
      </c>
      <c r="K947" s="121">
        <v>45138.6883864583</v>
      </c>
      <c r="L947" s="206">
        <v>45145.625</v>
      </c>
      <c r="M947" s="211">
        <v>45139</v>
      </c>
      <c r="N947" s="207" t="s">
        <v>11</v>
      </c>
      <c r="O947" s="206"/>
      <c r="P947" s="38" t="s">
        <v>11</v>
      </c>
      <c r="Q947" s="147">
        <v>45139.585416666669</v>
      </c>
      <c r="R947" s="147">
        <v>45140.585416666669</v>
      </c>
      <c r="S947" s="148">
        <v>45159.752083333333</v>
      </c>
      <c r="T947" s="230">
        <f>4688000</f>
        <v>4688000</v>
      </c>
      <c r="U947" s="231">
        <f>Tabla1[[#This Row],[PPTO]]/(1+'Lista Datos'!$B$1)</f>
        <v>3939495.7983193281</v>
      </c>
      <c r="V947" s="64">
        <v>30</v>
      </c>
      <c r="W947" s="191" t="s">
        <v>10</v>
      </c>
      <c r="X947" s="122"/>
      <c r="Y947" s="122"/>
      <c r="Z947" s="123" t="s">
        <v>10</v>
      </c>
      <c r="AA947" s="118" t="s">
        <v>512</v>
      </c>
      <c r="AB947" s="118"/>
      <c r="AC947" s="118" t="s">
        <v>10</v>
      </c>
      <c r="AD947" s="118">
        <v>60</v>
      </c>
      <c r="AE947" s="145">
        <f>Tabla1[[#This Row],[Cierre]]+Tabla1[[#This Row],[Vigencia Oferta (días)]]</f>
        <v>45205.625</v>
      </c>
      <c r="AF947" s="65">
        <v>1</v>
      </c>
      <c r="AG947" s="229">
        <v>3919859</v>
      </c>
      <c r="AH947" s="192">
        <f>Tabla1[[#This Row],[Unidades2]]*Tabla1[[#This Row],[Precio Unitario]]</f>
        <v>3919859</v>
      </c>
      <c r="AI947" s="126" t="s">
        <v>44</v>
      </c>
      <c r="AJ947" s="149">
        <v>45202</v>
      </c>
      <c r="AK947" s="149">
        <f>Tabla1[[#This Row],[Fecha Vigencia]]-AJ947</f>
        <v>3.625</v>
      </c>
      <c r="AL947" s="65" t="s">
        <v>46</v>
      </c>
      <c r="AM947" s="90" t="s">
        <v>4579</v>
      </c>
      <c r="AN947" s="65"/>
      <c r="AO947" s="217"/>
      <c r="AP947" s="97" t="s">
        <v>292</v>
      </c>
      <c r="AQ947" s="66"/>
      <c r="AR947" s="65"/>
      <c r="AS947" s="65"/>
      <c r="AT947" s="65"/>
      <c r="AU947" s="65"/>
      <c r="AV947" s="65"/>
      <c r="AW947" s="65"/>
      <c r="AX947" s="65"/>
      <c r="AY947" s="118"/>
      <c r="AZ947" s="118"/>
      <c r="BA947" s="118"/>
      <c r="BB947" s="124"/>
    </row>
    <row r="948" spans="1:54" x14ac:dyDescent="0.25">
      <c r="A948" s="117" t="s">
        <v>4580</v>
      </c>
      <c r="B948" s="118" t="s">
        <v>4581</v>
      </c>
      <c r="C948" s="118" t="s">
        <v>2851</v>
      </c>
      <c r="D948" s="119" t="s">
        <v>2852</v>
      </c>
      <c r="E948" s="38" t="s">
        <v>4582</v>
      </c>
      <c r="F948" s="39">
        <v>2</v>
      </c>
      <c r="G948" s="118" t="s">
        <v>21</v>
      </c>
      <c r="H948" s="118" t="s">
        <v>106</v>
      </c>
      <c r="I948" s="206">
        <v>45139.514254664398</v>
      </c>
      <c r="J948" s="38">
        <v>45146.645833333299</v>
      </c>
      <c r="K948" s="38">
        <v>45139.514254664398</v>
      </c>
      <c r="L948" s="206">
        <v>45146.645833333299</v>
      </c>
      <c r="M948" s="211">
        <v>45140</v>
      </c>
      <c r="N948" s="207" t="s">
        <v>10</v>
      </c>
      <c r="O948" s="206" t="s">
        <v>28</v>
      </c>
      <c r="P948" s="38" t="s">
        <v>10</v>
      </c>
      <c r="Q948" s="147">
        <v>45140.584722222222</v>
      </c>
      <c r="R948" s="147">
        <v>45140.586111111108</v>
      </c>
      <c r="S948" s="148">
        <v>45162.6875</v>
      </c>
      <c r="T948" s="38"/>
      <c r="U948" s="65">
        <f>Tabla1[[#This Row],[PPTO]]/(1+'Lista Datos'!$B$1)</f>
        <v>0</v>
      </c>
      <c r="V948" s="64"/>
      <c r="W948" s="191" t="s">
        <v>10</v>
      </c>
      <c r="X948" s="122"/>
      <c r="Y948" s="122"/>
      <c r="Z948" s="123" t="s">
        <v>10</v>
      </c>
      <c r="AA948" s="118" t="s">
        <v>512</v>
      </c>
      <c r="AB948" s="118"/>
      <c r="AC948" s="118"/>
      <c r="AD948" s="118"/>
      <c r="AE948" s="145">
        <f>Tabla1[[#This Row],[Cierre]]+Tabla1[[#This Row],[Vigencia Oferta (días)]]</f>
        <v>45146.645833333299</v>
      </c>
      <c r="AF948" s="65"/>
      <c r="AG948" s="181"/>
      <c r="AH948" s="192">
        <f>Tabla1[[#This Row],[Unidades2]]*Tabla1[[#This Row],[Precio Unitario]]</f>
        <v>0</v>
      </c>
      <c r="AI948" s="126" t="s">
        <v>270</v>
      </c>
      <c r="AJ948" s="149"/>
      <c r="AK948" s="149">
        <f>Tabla1[[#This Row],[Fecha Vigencia]]-AJ948</f>
        <v>45146.645833333299</v>
      </c>
      <c r="AL948" s="65"/>
      <c r="AM948" s="90"/>
      <c r="AN948" s="65"/>
      <c r="AO948" s="217"/>
      <c r="AP948" s="65"/>
      <c r="AQ948" s="66"/>
      <c r="AR948" s="65"/>
      <c r="AS948" s="65"/>
      <c r="AT948" s="65"/>
      <c r="AU948" s="65"/>
      <c r="AV948" s="65"/>
      <c r="AW948" s="65"/>
      <c r="AX948" s="65"/>
      <c r="AY948" s="118"/>
      <c r="AZ948" s="118"/>
      <c r="BA948" s="118"/>
      <c r="BB948" s="124"/>
    </row>
    <row r="949" spans="1:54" x14ac:dyDescent="0.25">
      <c r="A949" s="153" t="s">
        <v>4583</v>
      </c>
      <c r="B949" s="30" t="s">
        <v>4584</v>
      </c>
      <c r="C949" s="30" t="s">
        <v>4585</v>
      </c>
      <c r="D949" s="84" t="s">
        <v>364</v>
      </c>
      <c r="E949" s="24" t="s">
        <v>4586</v>
      </c>
      <c r="F949" s="25">
        <v>600</v>
      </c>
      <c r="G949" s="30" t="s">
        <v>14</v>
      </c>
      <c r="H949" s="30" t="s">
        <v>1596</v>
      </c>
      <c r="I949" s="203">
        <v>45139.454530868097</v>
      </c>
      <c r="J949" s="38">
        <v>45149.75</v>
      </c>
      <c r="K949" s="38">
        <v>45139.454530868097</v>
      </c>
      <c r="L949" s="203">
        <v>45149.75</v>
      </c>
      <c r="M949" s="204">
        <v>45140</v>
      </c>
      <c r="N949" s="205" t="s">
        <v>10</v>
      </c>
      <c r="O949" s="203" t="s">
        <v>25</v>
      </c>
      <c r="P949" s="24"/>
      <c r="Q949" s="160">
        <v>45141.708333333336</v>
      </c>
      <c r="R949" s="160">
        <v>45142.666666666664</v>
      </c>
      <c r="S949" s="161">
        <v>45183.649305555555</v>
      </c>
      <c r="T949" s="24"/>
      <c r="U949" s="68">
        <f>Tabla1[[#This Row],[PPTO]]/(1+'Lista Datos'!$B$1)</f>
        <v>0</v>
      </c>
      <c r="V949" s="67"/>
      <c r="W949" s="193" t="s">
        <v>10</v>
      </c>
      <c r="X949" s="127"/>
      <c r="Y949" s="127"/>
      <c r="Z949" s="154" t="s">
        <v>10</v>
      </c>
      <c r="AA949" s="30" t="s">
        <v>177</v>
      </c>
      <c r="AB949" s="30">
        <v>12</v>
      </c>
      <c r="AC949" s="30"/>
      <c r="AD949" s="30"/>
      <c r="AE949" s="145">
        <f>Tabla1[[#This Row],[Cierre]]+Tabla1[[#This Row],[Vigencia Oferta (días)]]</f>
        <v>45149.75</v>
      </c>
      <c r="AF949" s="68"/>
      <c r="AG949" s="157"/>
      <c r="AH949" s="194">
        <f>Tabla1[[#This Row],[Unidades2]]*Tabla1[[#This Row],[Precio Unitario]]</f>
        <v>0</v>
      </c>
      <c r="AI949" s="97" t="s">
        <v>270</v>
      </c>
      <c r="AJ949" s="149"/>
      <c r="AK949" s="149">
        <f>Tabla1[[#This Row],[Fecha Vigencia]]-AJ949</f>
        <v>45149.75</v>
      </c>
      <c r="AL949" s="68"/>
      <c r="AM949" s="91"/>
      <c r="AN949" s="68"/>
      <c r="AO949" s="218"/>
      <c r="AP949" s="68"/>
      <c r="AQ949" s="69"/>
      <c r="AR949" s="68"/>
      <c r="AS949" s="68"/>
      <c r="AT949" s="68"/>
      <c r="AU949" s="68"/>
      <c r="AV949" s="68"/>
      <c r="AW949" s="68"/>
      <c r="AX949" s="68"/>
      <c r="AY949" s="30"/>
      <c r="AZ949" s="30"/>
      <c r="BA949" s="30"/>
      <c r="BB949" s="75"/>
    </row>
    <row r="950" spans="1:54" x14ac:dyDescent="0.25">
      <c r="A950" s="153" t="s">
        <v>4587</v>
      </c>
      <c r="B950" s="30" t="s">
        <v>4588</v>
      </c>
      <c r="C950" s="30" t="s">
        <v>4589</v>
      </c>
      <c r="D950" s="84" t="s">
        <v>4590</v>
      </c>
      <c r="E950" s="24" t="s">
        <v>4591</v>
      </c>
      <c r="F950" s="25">
        <v>2</v>
      </c>
      <c r="G950" s="30" t="s">
        <v>21</v>
      </c>
      <c r="H950" s="30" t="s">
        <v>106</v>
      </c>
      <c r="I950" s="203">
        <v>45139.430158645802</v>
      </c>
      <c r="J950" s="121">
        <v>45147.636805555601</v>
      </c>
      <c r="K950" s="121">
        <v>45139.430158645802</v>
      </c>
      <c r="L950" s="203">
        <v>45147.636805555601</v>
      </c>
      <c r="M950" s="204">
        <v>45140</v>
      </c>
      <c r="N950" s="205" t="s">
        <v>10</v>
      </c>
      <c r="O950" s="203" t="s">
        <v>27</v>
      </c>
      <c r="P950" s="24"/>
      <c r="Q950" s="60"/>
      <c r="R950" s="60"/>
      <c r="S950" s="18"/>
      <c r="T950" s="24"/>
      <c r="U950" s="68">
        <f>Tabla1[[#This Row],[PPTO]]/(1+'Lista Datos'!$B$1)</f>
        <v>0</v>
      </c>
      <c r="V950" s="67"/>
      <c r="W950" s="193"/>
      <c r="X950" s="127"/>
      <c r="Y950" s="127"/>
      <c r="Z950" s="154"/>
      <c r="AA950" s="30"/>
      <c r="AB950" s="30"/>
      <c r="AC950" s="30"/>
      <c r="AD950" s="30"/>
      <c r="AE950" s="145">
        <f>Tabla1[[#This Row],[Cierre]]+Tabla1[[#This Row],[Vigencia Oferta (días)]]</f>
        <v>45147.636805555601</v>
      </c>
      <c r="AF950" s="68"/>
      <c r="AG950" s="157"/>
      <c r="AH950" s="194">
        <f>Tabla1[[#This Row],[Unidades2]]*Tabla1[[#This Row],[Precio Unitario]]</f>
        <v>0</v>
      </c>
      <c r="AI950" s="97" t="s">
        <v>270</v>
      </c>
      <c r="AJ950" s="149"/>
      <c r="AK950" s="149">
        <f>Tabla1[[#This Row],[Fecha Vigencia]]-AJ950</f>
        <v>45147.636805555601</v>
      </c>
      <c r="AL950" s="68"/>
      <c r="AM950" s="91"/>
      <c r="AN950" s="68"/>
      <c r="AO950" s="218"/>
      <c r="AP950" s="68"/>
      <c r="AQ950" s="69"/>
      <c r="AR950" s="68"/>
      <c r="AS950" s="68"/>
      <c r="AT950" s="68"/>
      <c r="AU950" s="68"/>
      <c r="AV950" s="68"/>
      <c r="AW950" s="68"/>
      <c r="AX950" s="68"/>
      <c r="AY950" s="30"/>
      <c r="AZ950" s="30"/>
      <c r="BA950" s="30"/>
      <c r="BB950" s="75"/>
    </row>
    <row r="951" spans="1:54" x14ac:dyDescent="0.25">
      <c r="A951" s="153" t="s">
        <v>4592</v>
      </c>
      <c r="B951" s="30" t="s">
        <v>4593</v>
      </c>
      <c r="C951" s="30" t="s">
        <v>4042</v>
      </c>
      <c r="D951" s="84" t="s">
        <v>1178</v>
      </c>
      <c r="E951" s="24" t="s">
        <v>4594</v>
      </c>
      <c r="F951" s="25">
        <v>1</v>
      </c>
      <c r="G951" s="30" t="s">
        <v>16</v>
      </c>
      <c r="H951" s="30" t="s">
        <v>123</v>
      </c>
      <c r="I951" s="203">
        <v>45140.511469907404</v>
      </c>
      <c r="J951" s="121">
        <v>45148.666666666664</v>
      </c>
      <c r="K951" s="121">
        <v>45140.511469907404</v>
      </c>
      <c r="L951" s="203">
        <v>45148.666666666664</v>
      </c>
      <c r="M951" s="204">
        <v>45140</v>
      </c>
      <c r="N951" s="205" t="s">
        <v>10</v>
      </c>
      <c r="O951" s="203" t="s">
        <v>27</v>
      </c>
      <c r="P951" s="24"/>
      <c r="Q951" s="160">
        <v>45145.708333333336</v>
      </c>
      <c r="R951" s="160">
        <v>45146.708333333336</v>
      </c>
      <c r="S951" s="161">
        <v>45210.75</v>
      </c>
      <c r="T951" s="210">
        <v>12000000</v>
      </c>
      <c r="U951" s="209">
        <f>Tabla1[[#This Row],[PPTO]]/(1+'Lista Datos'!$B$1)</f>
        <v>10084033.613445379</v>
      </c>
      <c r="V951" s="67"/>
      <c r="W951" s="193" t="s">
        <v>10</v>
      </c>
      <c r="X951" s="127"/>
      <c r="Y951" s="127"/>
      <c r="Z951" s="154" t="s">
        <v>11</v>
      </c>
      <c r="AA951" s="30" t="s">
        <v>177</v>
      </c>
      <c r="AB951" s="30">
        <v>24</v>
      </c>
      <c r="AC951" s="30"/>
      <c r="AD951" s="30"/>
      <c r="AE951" s="145">
        <f>Tabla1[[#This Row],[Cierre]]+Tabla1[[#This Row],[Vigencia Oferta (días)]]</f>
        <v>45148.666666666664</v>
      </c>
      <c r="AF951" s="68"/>
      <c r="AG951" s="157"/>
      <c r="AH951" s="194">
        <f>Tabla1[[#This Row],[Unidades2]]*Tabla1[[#This Row],[Precio Unitario]]</f>
        <v>0</v>
      </c>
      <c r="AI951" s="97" t="s">
        <v>270</v>
      </c>
      <c r="AJ951" s="149"/>
      <c r="AK951" s="149">
        <f>Tabla1[[#This Row],[Fecha Vigencia]]-AJ951</f>
        <v>45148.666666666664</v>
      </c>
      <c r="AL951" s="68"/>
      <c r="AM951" s="91"/>
      <c r="AN951" s="68"/>
      <c r="AO951" s="218"/>
      <c r="AP951" s="68"/>
      <c r="AQ951" s="69"/>
      <c r="AR951" s="68"/>
      <c r="AS951" s="68"/>
      <c r="AT951" s="68"/>
      <c r="AU951" s="68"/>
      <c r="AV951" s="68"/>
      <c r="AW951" s="68"/>
      <c r="AX951" s="68"/>
      <c r="AY951" s="30"/>
      <c r="AZ951" s="30"/>
      <c r="BA951" s="30"/>
      <c r="BB951" s="75"/>
    </row>
    <row r="952" spans="1:54" x14ac:dyDescent="0.25">
      <c r="A952" s="117" t="s">
        <v>4595</v>
      </c>
      <c r="B952" s="118" t="s">
        <v>4596</v>
      </c>
      <c r="C952" s="118" t="s">
        <v>4597</v>
      </c>
      <c r="D952" s="119" t="s">
        <v>664</v>
      </c>
      <c r="E952" s="38" t="s">
        <v>4598</v>
      </c>
      <c r="F952" s="39">
        <v>1</v>
      </c>
      <c r="G952" s="118" t="s">
        <v>16</v>
      </c>
      <c r="H952" s="118" t="s">
        <v>145</v>
      </c>
      <c r="I952" s="206">
        <v>45140.568206018521</v>
      </c>
      <c r="J952" s="121">
        <v>45146.613888888889</v>
      </c>
      <c r="K952" s="121">
        <v>45140.568206018521</v>
      </c>
      <c r="L952" s="206">
        <v>45146.613888888889</v>
      </c>
      <c r="M952" s="211">
        <v>45140</v>
      </c>
      <c r="N952" s="207" t="s">
        <v>10</v>
      </c>
      <c r="O952" s="206" t="s">
        <v>25</v>
      </c>
      <c r="P952" s="38"/>
      <c r="Q952" s="147">
        <v>45143.697222222225</v>
      </c>
      <c r="R952" s="147">
        <v>45144.697222222225</v>
      </c>
      <c r="S952" s="148">
        <v>45147.614583333336</v>
      </c>
      <c r="T952" s="38"/>
      <c r="U952" s="65">
        <f>Tabla1[[#This Row],[PPTO]]/(1+'Lista Datos'!$B$1)</f>
        <v>0</v>
      </c>
      <c r="V952" s="64"/>
      <c r="W952" s="191" t="s">
        <v>10</v>
      </c>
      <c r="X952" s="122"/>
      <c r="Y952" s="122"/>
      <c r="Z952" s="123" t="s">
        <v>10</v>
      </c>
      <c r="AA952" s="118" t="s">
        <v>177</v>
      </c>
      <c r="AB952" s="118">
        <v>4</v>
      </c>
      <c r="AC952" s="118"/>
      <c r="AD952" s="118"/>
      <c r="AE952" s="145">
        <f>Tabla1[[#This Row],[Cierre]]+Tabla1[[#This Row],[Vigencia Oferta (días)]]</f>
        <v>45146.613888888889</v>
      </c>
      <c r="AF952" s="65"/>
      <c r="AG952" s="181"/>
      <c r="AH952" s="192">
        <f>Tabla1[[#This Row],[Unidades2]]*Tabla1[[#This Row],[Precio Unitario]]</f>
        <v>0</v>
      </c>
      <c r="AI952" s="126" t="s">
        <v>270</v>
      </c>
      <c r="AJ952" s="149"/>
      <c r="AK952" s="149">
        <f>Tabla1[[#This Row],[Fecha Vigencia]]-AJ952</f>
        <v>45146.613888888889</v>
      </c>
      <c r="AL952" s="65"/>
      <c r="AM952" s="90"/>
      <c r="AN952" s="65"/>
      <c r="AO952" s="217"/>
      <c r="AP952" s="97" t="s">
        <v>292</v>
      </c>
      <c r="AQ952" s="66"/>
      <c r="AR952" s="65"/>
      <c r="AS952" s="65"/>
      <c r="AT952" s="65"/>
      <c r="AU952" s="65"/>
      <c r="AV952" s="65"/>
      <c r="AW952" s="65"/>
      <c r="AX952" s="65"/>
      <c r="AY952" s="118"/>
      <c r="AZ952" s="118"/>
      <c r="BA952" s="118"/>
      <c r="BB952" s="124"/>
    </row>
    <row r="953" spans="1:54" x14ac:dyDescent="0.25">
      <c r="A953" s="117" t="s">
        <v>4599</v>
      </c>
      <c r="B953" s="118" t="s">
        <v>4600</v>
      </c>
      <c r="C953" s="118" t="s">
        <v>4601</v>
      </c>
      <c r="D953" s="119" t="s">
        <v>4602</v>
      </c>
      <c r="E953" s="38" t="s">
        <v>4603</v>
      </c>
      <c r="F953" s="39">
        <v>1</v>
      </c>
      <c r="G953" s="118" t="s">
        <v>18</v>
      </c>
      <c r="H953" s="118" t="s">
        <v>213</v>
      </c>
      <c r="I953" s="206">
        <v>45141.380648148152</v>
      </c>
      <c r="J953" s="38">
        <v>45152.62777777778</v>
      </c>
      <c r="K953" s="38">
        <v>45141.380648148152</v>
      </c>
      <c r="L953" s="206">
        <v>45152.62777777778</v>
      </c>
      <c r="M953" s="211">
        <v>45141</v>
      </c>
      <c r="N953" s="207" t="s">
        <v>10</v>
      </c>
      <c r="O953" s="206" t="s">
        <v>29</v>
      </c>
      <c r="P953" s="38"/>
      <c r="Q953" s="147">
        <v>45146.626388888886</v>
      </c>
      <c r="R953" s="147">
        <v>45148.627083333333</v>
      </c>
      <c r="S953" s="148">
        <v>45244.629166666666</v>
      </c>
      <c r="T953" s="215">
        <v>61885950</v>
      </c>
      <c r="U953" s="214">
        <f>Tabla1[[#This Row],[PPTO]]/(1+'Lista Datos'!$B$1)</f>
        <v>52005000</v>
      </c>
      <c r="V953" s="64"/>
      <c r="W953" s="191" t="s">
        <v>10</v>
      </c>
      <c r="X953" s="122"/>
      <c r="Y953" s="122"/>
      <c r="Z953" s="123" t="s">
        <v>11</v>
      </c>
      <c r="AA953" s="118" t="s">
        <v>177</v>
      </c>
      <c r="AB953" s="118">
        <v>24</v>
      </c>
      <c r="AC953" s="118"/>
      <c r="AD953" s="118"/>
      <c r="AE953" s="145">
        <f>Tabla1[[#This Row],[Cierre]]+Tabla1[[#This Row],[Vigencia Oferta (días)]]</f>
        <v>45152.62777777778</v>
      </c>
      <c r="AF953" s="65"/>
      <c r="AG953" s="181"/>
      <c r="AH953" s="192">
        <f>Tabla1[[#This Row],[Unidades2]]*Tabla1[[#This Row],[Precio Unitario]]</f>
        <v>0</v>
      </c>
      <c r="AI953" s="126" t="s">
        <v>270</v>
      </c>
      <c r="AJ953" s="149"/>
      <c r="AK953" s="149">
        <f>Tabla1[[#This Row],[Fecha Vigencia]]-AJ953</f>
        <v>45152.62777777778</v>
      </c>
      <c r="AL953" s="65"/>
      <c r="AM953" s="90"/>
      <c r="AN953" s="65"/>
      <c r="AO953" s="217"/>
      <c r="AP953" s="65"/>
      <c r="AQ953" s="66"/>
      <c r="AR953" s="65"/>
      <c r="AS953" s="65"/>
      <c r="AT953" s="65"/>
      <c r="AU953" s="65"/>
      <c r="AV953" s="65"/>
      <c r="AW953" s="65"/>
      <c r="AX953" s="65"/>
      <c r="AY953" s="118"/>
      <c r="AZ953" s="118"/>
      <c r="BA953" s="118"/>
      <c r="BB953" s="124"/>
    </row>
    <row r="954" spans="1:54" x14ac:dyDescent="0.25">
      <c r="A954" s="117" t="s">
        <v>4604</v>
      </c>
      <c r="B954" s="118" t="s">
        <v>4605</v>
      </c>
      <c r="C954" s="118" t="s">
        <v>4606</v>
      </c>
      <c r="D954" s="119" t="s">
        <v>1690</v>
      </c>
      <c r="E954" s="38" t="s">
        <v>4607</v>
      </c>
      <c r="F954" s="39">
        <v>45</v>
      </c>
      <c r="G954" s="118" t="s">
        <v>21</v>
      </c>
      <c r="H954" s="118" t="s">
        <v>106</v>
      </c>
      <c r="I954" s="206">
        <v>45141.598453356499</v>
      </c>
      <c r="J954" s="38">
        <v>45152.625</v>
      </c>
      <c r="K954" s="38">
        <v>45141.598453356499</v>
      </c>
      <c r="L954" s="206">
        <v>45152.625</v>
      </c>
      <c r="M954" s="211">
        <v>45142</v>
      </c>
      <c r="N954" s="207" t="s">
        <v>10</v>
      </c>
      <c r="O954" s="206" t="s">
        <v>34</v>
      </c>
      <c r="P954" s="38"/>
      <c r="Q954" s="121"/>
      <c r="R954" s="121"/>
      <c r="S954" s="19"/>
      <c r="T954" s="38"/>
      <c r="U954" s="65">
        <f>Tabla1[[#This Row],[PPTO]]/(1+'Lista Datos'!$B$1)</f>
        <v>0</v>
      </c>
      <c r="V954" s="64"/>
      <c r="W954" s="191"/>
      <c r="X954" s="122"/>
      <c r="Y954" s="122"/>
      <c r="Z954" s="123"/>
      <c r="AA954" s="118"/>
      <c r="AB954" s="118"/>
      <c r="AC954" s="118"/>
      <c r="AD954" s="118"/>
      <c r="AE954" s="145">
        <f>Tabla1[[#This Row],[Cierre]]+Tabla1[[#This Row],[Vigencia Oferta (días)]]</f>
        <v>45152.625</v>
      </c>
      <c r="AF954" s="65"/>
      <c r="AG954" s="181"/>
      <c r="AH954" s="192">
        <f>Tabla1[[#This Row],[Unidades2]]*Tabla1[[#This Row],[Precio Unitario]]</f>
        <v>0</v>
      </c>
      <c r="AI954" s="126" t="s">
        <v>270</v>
      </c>
      <c r="AJ954" s="149"/>
      <c r="AK954" s="149">
        <f>Tabla1[[#This Row],[Fecha Vigencia]]-AJ954</f>
        <v>45152.625</v>
      </c>
      <c r="AL954" s="65"/>
      <c r="AM954" s="90"/>
      <c r="AN954" s="65"/>
      <c r="AO954" s="217"/>
      <c r="AP954" s="65"/>
      <c r="AQ954" s="66"/>
      <c r="AR954" s="65"/>
      <c r="AS954" s="65"/>
      <c r="AT954" s="65"/>
      <c r="AU954" s="65"/>
      <c r="AV954" s="65"/>
      <c r="AW954" s="65"/>
      <c r="AX954" s="65"/>
      <c r="AY954" s="118"/>
      <c r="AZ954" s="118"/>
      <c r="BA954" s="118"/>
      <c r="BB954" s="124"/>
    </row>
    <row r="955" spans="1:54" x14ac:dyDescent="0.25">
      <c r="A955" s="117" t="s">
        <v>4608</v>
      </c>
      <c r="B955" s="118" t="s">
        <v>4609</v>
      </c>
      <c r="C955" s="118" t="s">
        <v>4610</v>
      </c>
      <c r="D955" s="119" t="s">
        <v>122</v>
      </c>
      <c r="E955" s="38" t="s">
        <v>4611</v>
      </c>
      <c r="F955" s="39">
        <v>1</v>
      </c>
      <c r="G955" s="118" t="s">
        <v>17</v>
      </c>
      <c r="H955" s="118" t="s">
        <v>213</v>
      </c>
      <c r="I955" s="206">
        <v>45142.597569444442</v>
      </c>
      <c r="J955" s="38">
        <v>45156.708333333336</v>
      </c>
      <c r="K955" s="38">
        <v>45142.597569444442</v>
      </c>
      <c r="L955" s="206">
        <v>45156.708333333336</v>
      </c>
      <c r="M955" s="211">
        <v>45142</v>
      </c>
      <c r="N955" s="207" t="s">
        <v>10</v>
      </c>
      <c r="O955" s="206" t="s">
        <v>25</v>
      </c>
      <c r="P955" s="38"/>
      <c r="Q955" s="147">
        <v>45149.666666666664</v>
      </c>
      <c r="R955" s="147">
        <v>45154.708333333336</v>
      </c>
      <c r="S955" s="148">
        <v>45229.708333333336</v>
      </c>
      <c r="T955" s="38"/>
      <c r="U955" s="65">
        <f>Tabla1[[#This Row],[PPTO]]/(1+'Lista Datos'!$B$1)</f>
        <v>0</v>
      </c>
      <c r="V955" s="64"/>
      <c r="W955" s="191" t="s">
        <v>11</v>
      </c>
      <c r="X955" s="122">
        <v>200000</v>
      </c>
      <c r="Y955" s="149">
        <v>45256</v>
      </c>
      <c r="Z955" s="123" t="s">
        <v>10</v>
      </c>
      <c r="AA955" s="118" t="s">
        <v>177</v>
      </c>
      <c r="AB955" s="118">
        <v>12</v>
      </c>
      <c r="AC955" s="118"/>
      <c r="AD955" s="118"/>
      <c r="AE955" s="145">
        <f>Tabla1[[#This Row],[Cierre]]+Tabla1[[#This Row],[Vigencia Oferta (días)]]</f>
        <v>45156.708333333336</v>
      </c>
      <c r="AF955" s="65"/>
      <c r="AG955" s="181"/>
      <c r="AH955" s="192">
        <f>Tabla1[[#This Row],[Unidades2]]*Tabla1[[#This Row],[Precio Unitario]]</f>
        <v>0</v>
      </c>
      <c r="AI955" s="126" t="s">
        <v>270</v>
      </c>
      <c r="AJ955" s="149"/>
      <c r="AK955" s="149">
        <f>Tabla1[[#This Row],[Fecha Vigencia]]-AJ955</f>
        <v>45156.708333333336</v>
      </c>
      <c r="AL955" s="65"/>
      <c r="AM955" s="90"/>
      <c r="AN955" s="65"/>
      <c r="AO955" s="217"/>
      <c r="AP955" s="65"/>
      <c r="AQ955" s="66"/>
      <c r="AR955" s="65"/>
      <c r="AS955" s="65"/>
      <c r="AT955" s="65"/>
      <c r="AU955" s="65"/>
      <c r="AV955" s="65"/>
      <c r="AW955" s="65"/>
      <c r="AX955" s="65"/>
      <c r="AY955" s="118"/>
      <c r="AZ955" s="118"/>
      <c r="BA955" s="118"/>
      <c r="BB955" s="124"/>
    </row>
    <row r="956" spans="1:54" x14ac:dyDescent="0.25">
      <c r="A956" s="117" t="s">
        <v>4612</v>
      </c>
      <c r="B956" s="118" t="s">
        <v>4613</v>
      </c>
      <c r="C956" s="118" t="s">
        <v>4614</v>
      </c>
      <c r="D956" s="119" t="s">
        <v>1354</v>
      </c>
      <c r="E956" s="38" t="s">
        <v>4615</v>
      </c>
      <c r="F956" s="39" t="s">
        <v>3684</v>
      </c>
      <c r="G956" s="118" t="s">
        <v>14</v>
      </c>
      <c r="H956" s="118" t="s">
        <v>1983</v>
      </c>
      <c r="I956" s="206">
        <v>45142.612583020797</v>
      </c>
      <c r="J956" s="38">
        <v>45167.628472222197</v>
      </c>
      <c r="K956" s="38">
        <v>45142.612583020797</v>
      </c>
      <c r="L956" s="206">
        <v>45167.628472222197</v>
      </c>
      <c r="M956" s="211">
        <v>45145</v>
      </c>
      <c r="N956" s="207" t="s">
        <v>10</v>
      </c>
      <c r="O956" s="206" t="s">
        <v>25</v>
      </c>
      <c r="P956" s="38"/>
      <c r="Q956" s="147">
        <v>45154.666666666664</v>
      </c>
      <c r="R956" s="147">
        <v>45161.625</v>
      </c>
      <c r="S956" s="148">
        <v>45184.625</v>
      </c>
      <c r="T956" s="215">
        <v>120000000</v>
      </c>
      <c r="U956" s="214">
        <f>Tabla1[[#This Row],[PPTO]]/(1+'Lista Datos'!$B$1)</f>
        <v>100840336.13445379</v>
      </c>
      <c r="V956" s="64"/>
      <c r="W956" s="191" t="s">
        <v>11</v>
      </c>
      <c r="X956" s="122">
        <v>300000</v>
      </c>
      <c r="Y956" s="149">
        <v>45227</v>
      </c>
      <c r="Z956" s="123" t="s">
        <v>10</v>
      </c>
      <c r="AA956" s="118" t="s">
        <v>177</v>
      </c>
      <c r="AB956" s="118">
        <v>12</v>
      </c>
      <c r="AC956" s="118"/>
      <c r="AD956" s="118"/>
      <c r="AE956" s="145">
        <f>Tabla1[[#This Row],[Cierre]]+Tabla1[[#This Row],[Vigencia Oferta (días)]]</f>
        <v>45167.628472222197</v>
      </c>
      <c r="AF956" s="65"/>
      <c r="AG956" s="181"/>
      <c r="AH956" s="192">
        <f>Tabla1[[#This Row],[Unidades2]]*Tabla1[[#This Row],[Precio Unitario]]</f>
        <v>0</v>
      </c>
      <c r="AI956" s="126" t="s">
        <v>270</v>
      </c>
      <c r="AJ956" s="149"/>
      <c r="AK956" s="149">
        <f>Tabla1[[#This Row],[Fecha Vigencia]]-AJ956</f>
        <v>45167.628472222197</v>
      </c>
      <c r="AL956" s="65"/>
      <c r="AM956" s="90"/>
      <c r="AN956" s="65"/>
      <c r="AO956" s="217"/>
      <c r="AP956" s="65"/>
      <c r="AQ956" s="66"/>
      <c r="AR956" s="65"/>
      <c r="AS956" s="65"/>
      <c r="AT956" s="65"/>
      <c r="AU956" s="65"/>
      <c r="AV956" s="65"/>
      <c r="AW956" s="65"/>
      <c r="AX956" s="65"/>
      <c r="AY956" s="118"/>
      <c r="AZ956" s="118"/>
      <c r="BA956" s="118"/>
      <c r="BB956" s="124"/>
    </row>
    <row r="957" spans="1:54" x14ac:dyDescent="0.25">
      <c r="A957" s="153" t="s">
        <v>4616</v>
      </c>
      <c r="B957" s="30" t="s">
        <v>4617</v>
      </c>
      <c r="C957" s="30" t="s">
        <v>4618</v>
      </c>
      <c r="D957" s="84" t="s">
        <v>2695</v>
      </c>
      <c r="E957" s="24" t="s">
        <v>4619</v>
      </c>
      <c r="F957" s="25">
        <v>4</v>
      </c>
      <c r="G957" s="30" t="s">
        <v>21</v>
      </c>
      <c r="H957" s="30" t="s">
        <v>106</v>
      </c>
      <c r="I957" s="203">
        <v>45145.5152492708</v>
      </c>
      <c r="J957" s="38">
        <v>45155.738194444399</v>
      </c>
      <c r="K957" s="38">
        <v>45145.5152492708</v>
      </c>
      <c r="L957" s="203">
        <v>45155.738194444399</v>
      </c>
      <c r="M957" s="204">
        <v>45146</v>
      </c>
      <c r="N957" s="205" t="s">
        <v>10</v>
      </c>
      <c r="O957" s="203" t="s">
        <v>27</v>
      </c>
      <c r="P957" s="24"/>
      <c r="Q957" s="60"/>
      <c r="R957" s="60"/>
      <c r="S957" s="18"/>
      <c r="T957" s="24"/>
      <c r="U957" s="68">
        <f>Tabla1[[#This Row],[PPTO]]/(1+'Lista Datos'!$B$1)</f>
        <v>0</v>
      </c>
      <c r="V957" s="67"/>
      <c r="W957" s="193"/>
      <c r="X957" s="127"/>
      <c r="Y957" s="127"/>
      <c r="Z957" s="154"/>
      <c r="AA957" s="30"/>
      <c r="AB957" s="30"/>
      <c r="AC957" s="30"/>
      <c r="AD957" s="30"/>
      <c r="AE957" s="145">
        <f>Tabla1[[#This Row],[Cierre]]+Tabla1[[#This Row],[Vigencia Oferta (días)]]</f>
        <v>45155.738194444399</v>
      </c>
      <c r="AF957" s="68"/>
      <c r="AG957" s="157"/>
      <c r="AH957" s="194">
        <f>Tabla1[[#This Row],[Unidades2]]*Tabla1[[#This Row],[Precio Unitario]]</f>
        <v>0</v>
      </c>
      <c r="AI957" s="97" t="s">
        <v>270</v>
      </c>
      <c r="AJ957" s="149"/>
      <c r="AK957" s="149">
        <f>Tabla1[[#This Row],[Fecha Vigencia]]-AJ957</f>
        <v>45155.738194444399</v>
      </c>
      <c r="AL957" s="68"/>
      <c r="AM957" s="91"/>
      <c r="AN957" s="68"/>
      <c r="AO957" s="218"/>
      <c r="AP957" s="68"/>
      <c r="AQ957" s="69"/>
      <c r="AR957" s="68"/>
      <c r="AS957" s="68"/>
      <c r="AT957" s="68"/>
      <c r="AU957" s="68"/>
      <c r="AV957" s="68"/>
      <c r="AW957" s="68"/>
      <c r="AX957" s="68"/>
      <c r="AY957" s="30"/>
      <c r="AZ957" s="30"/>
      <c r="BA957" s="30"/>
      <c r="BB957" s="75"/>
    </row>
    <row r="958" spans="1:54" x14ac:dyDescent="0.25">
      <c r="A958" s="117" t="s">
        <v>4620</v>
      </c>
      <c r="B958" s="118" t="s">
        <v>4621</v>
      </c>
      <c r="C958" s="118" t="s">
        <v>4622</v>
      </c>
      <c r="D958" s="119" t="s">
        <v>212</v>
      </c>
      <c r="E958" s="38" t="s">
        <v>4623</v>
      </c>
      <c r="F958" s="39">
        <v>5</v>
      </c>
      <c r="G958" s="118" t="s">
        <v>21</v>
      </c>
      <c r="H958" s="118" t="s">
        <v>106</v>
      </c>
      <c r="I958" s="206">
        <v>45145.446018715302</v>
      </c>
      <c r="J958" s="121">
        <v>45152.625</v>
      </c>
      <c r="K958" s="121">
        <v>45145.446018715302</v>
      </c>
      <c r="L958" s="206">
        <v>45152.625</v>
      </c>
      <c r="M958" s="211">
        <v>45146</v>
      </c>
      <c r="N958" s="207" t="s">
        <v>10</v>
      </c>
      <c r="O958" s="206" t="s">
        <v>27</v>
      </c>
      <c r="P958" s="38"/>
      <c r="Q958" s="121"/>
      <c r="R958" s="121"/>
      <c r="S958" s="19"/>
      <c r="T958" s="38"/>
      <c r="U958" s="65">
        <f>Tabla1[[#This Row],[PPTO]]/(1+'Lista Datos'!$B$1)</f>
        <v>0</v>
      </c>
      <c r="V958" s="64"/>
      <c r="W958" s="191"/>
      <c r="X958" s="122"/>
      <c r="Y958" s="122"/>
      <c r="Z958" s="123"/>
      <c r="AA958" s="118"/>
      <c r="AB958" s="118"/>
      <c r="AC958" s="118"/>
      <c r="AD958" s="118"/>
      <c r="AE958" s="145">
        <f>Tabla1[[#This Row],[Cierre]]+Tabla1[[#This Row],[Vigencia Oferta (días)]]</f>
        <v>45152.625</v>
      </c>
      <c r="AF958" s="65"/>
      <c r="AG958" s="181"/>
      <c r="AH958" s="192">
        <f>Tabla1[[#This Row],[Unidades2]]*Tabla1[[#This Row],[Precio Unitario]]</f>
        <v>0</v>
      </c>
      <c r="AI958" s="126" t="s">
        <v>270</v>
      </c>
      <c r="AJ958" s="149"/>
      <c r="AK958" s="149">
        <f>Tabla1[[#This Row],[Fecha Vigencia]]-AJ958</f>
        <v>45152.625</v>
      </c>
      <c r="AL958" s="65"/>
      <c r="AM958" s="90"/>
      <c r="AN958" s="65"/>
      <c r="AO958" s="217"/>
      <c r="AP958" s="65"/>
      <c r="AQ958" s="66"/>
      <c r="AR958" s="65"/>
      <c r="AS958" s="65"/>
      <c r="AT958" s="65"/>
      <c r="AU958" s="65"/>
      <c r="AV958" s="65"/>
      <c r="AW958" s="65"/>
      <c r="AX958" s="65"/>
      <c r="AY958" s="118"/>
      <c r="AZ958" s="118"/>
      <c r="BA958" s="118"/>
      <c r="BB958" s="124"/>
    </row>
    <row r="959" spans="1:54" x14ac:dyDescent="0.25">
      <c r="A959" s="117" t="s">
        <v>4624</v>
      </c>
      <c r="B959" s="118" t="s">
        <v>4625</v>
      </c>
      <c r="C959" s="118" t="s">
        <v>4626</v>
      </c>
      <c r="D959" s="119" t="s">
        <v>1346</v>
      </c>
      <c r="E959" s="38" t="s">
        <v>4627</v>
      </c>
      <c r="F959" s="39">
        <v>1</v>
      </c>
      <c r="G959" s="118" t="s">
        <v>16</v>
      </c>
      <c r="H959" s="118" t="s">
        <v>345</v>
      </c>
      <c r="I959" s="206">
        <v>45142.782569444447</v>
      </c>
      <c r="J959" s="38">
        <v>45152.625</v>
      </c>
      <c r="K959" s="38">
        <v>45142.782569444447</v>
      </c>
      <c r="L959" s="206">
        <v>45152.625</v>
      </c>
      <c r="M959" s="211">
        <v>45146</v>
      </c>
      <c r="N959" s="207" t="s">
        <v>10</v>
      </c>
      <c r="O959" s="206" t="s">
        <v>25</v>
      </c>
      <c r="P959" s="38"/>
      <c r="Q959" s="147">
        <v>45148.392361111109</v>
      </c>
      <c r="R959" s="147">
        <v>45150.809027777781</v>
      </c>
      <c r="S959" s="148">
        <v>45173.848611111112</v>
      </c>
      <c r="T959" s="38"/>
      <c r="U959" s="65">
        <f>Tabla1[[#This Row],[PPTO]]/(1+'Lista Datos'!$B$1)</f>
        <v>0</v>
      </c>
      <c r="V959" s="64"/>
      <c r="W959" s="191" t="s">
        <v>10</v>
      </c>
      <c r="X959" s="122"/>
      <c r="Y959" s="122"/>
      <c r="Z959" s="123" t="s">
        <v>10</v>
      </c>
      <c r="AA959" s="118" t="s">
        <v>177</v>
      </c>
      <c r="AB959" s="118">
        <v>6</v>
      </c>
      <c r="AC959" s="118"/>
      <c r="AD959" s="118"/>
      <c r="AE959" s="145">
        <f>Tabla1[[#This Row],[Cierre]]+Tabla1[[#This Row],[Vigencia Oferta (días)]]</f>
        <v>45152.625</v>
      </c>
      <c r="AF959" s="65"/>
      <c r="AG959" s="181"/>
      <c r="AH959" s="192">
        <f>Tabla1[[#This Row],[Unidades2]]*Tabla1[[#This Row],[Precio Unitario]]</f>
        <v>0</v>
      </c>
      <c r="AI959" s="126" t="s">
        <v>270</v>
      </c>
      <c r="AJ959" s="149"/>
      <c r="AK959" s="149">
        <f>Tabla1[[#This Row],[Fecha Vigencia]]-AJ959</f>
        <v>45152.625</v>
      </c>
      <c r="AL959" s="65"/>
      <c r="AM959" s="90"/>
      <c r="AN959" s="65"/>
      <c r="AO959" s="217"/>
      <c r="AP959" s="65"/>
      <c r="AQ959" s="66"/>
      <c r="AR959" s="65"/>
      <c r="AS959" s="65"/>
      <c r="AT959" s="65"/>
      <c r="AU959" s="65"/>
      <c r="AV959" s="65"/>
      <c r="AW959" s="65"/>
      <c r="AX959" s="65"/>
      <c r="AY959" s="118"/>
      <c r="AZ959" s="118"/>
      <c r="BA959" s="118"/>
      <c r="BB959" s="124"/>
    </row>
    <row r="960" spans="1:54" x14ac:dyDescent="0.25">
      <c r="A960" s="153" t="s">
        <v>4628</v>
      </c>
      <c r="B960" s="30" t="s">
        <v>4629</v>
      </c>
      <c r="C960" s="30" t="s">
        <v>4629</v>
      </c>
      <c r="D960" s="84" t="s">
        <v>4422</v>
      </c>
      <c r="E960" s="24" t="s">
        <v>4630</v>
      </c>
      <c r="F960" s="25">
        <v>1</v>
      </c>
      <c r="G960" s="30" t="s">
        <v>16</v>
      </c>
      <c r="H960" s="30" t="s">
        <v>533</v>
      </c>
      <c r="I960" s="203">
        <v>45146.719919062503</v>
      </c>
      <c r="J960" s="38">
        <v>45167.829861111102</v>
      </c>
      <c r="K960" s="38">
        <v>45146.719919062503</v>
      </c>
      <c r="L960" s="203">
        <v>45167.829861111102</v>
      </c>
      <c r="M960" s="204">
        <v>45147</v>
      </c>
      <c r="N960" s="205" t="s">
        <v>11</v>
      </c>
      <c r="O960" s="203"/>
      <c r="P960" s="24"/>
      <c r="Q960" s="160">
        <v>45154.799305555556</v>
      </c>
      <c r="R960" s="160">
        <v>45155.799305555556</v>
      </c>
      <c r="S960" s="161">
        <v>45195.830555555556</v>
      </c>
      <c r="T960" s="210">
        <v>180000000</v>
      </c>
      <c r="U960" s="209">
        <f>Tabla1[[#This Row],[PPTO]]/(1+'Lista Datos'!$B$1)</f>
        <v>151260504.20168069</v>
      </c>
      <c r="V960" s="67"/>
      <c r="W960" s="193" t="s">
        <v>11</v>
      </c>
      <c r="X960" s="127" t="s">
        <v>3938</v>
      </c>
      <c r="Y960" s="104">
        <v>45191</v>
      </c>
      <c r="Z960" s="154" t="s">
        <v>11</v>
      </c>
      <c r="AA960" s="30" t="s">
        <v>177</v>
      </c>
      <c r="AB960" s="30">
        <v>24</v>
      </c>
      <c r="AC960" s="30"/>
      <c r="AD960" s="30"/>
      <c r="AE960" s="145">
        <f>Tabla1[[#This Row],[Cierre]]+Tabla1[[#This Row],[Vigencia Oferta (días)]]</f>
        <v>45167.829861111102</v>
      </c>
      <c r="AF960" s="68"/>
      <c r="AG960" s="157"/>
      <c r="AH960" s="194">
        <f>Tabla1[[#This Row],[Unidades2]]*Tabla1[[#This Row],[Precio Unitario]]</f>
        <v>0</v>
      </c>
      <c r="AI960" s="97" t="s">
        <v>44</v>
      </c>
      <c r="AJ960" s="149">
        <v>45232</v>
      </c>
      <c r="AK960" s="149">
        <f>Tabla1[[#This Row],[Fecha Vigencia]]-AJ960</f>
        <v>-64.170138888897782</v>
      </c>
      <c r="AL960" s="68" t="s">
        <v>472</v>
      </c>
      <c r="AM960" s="91">
        <v>180000000</v>
      </c>
      <c r="AN960" s="157">
        <v>45232</v>
      </c>
      <c r="AO960" s="218">
        <v>45963</v>
      </c>
      <c r="AP960" s="68" t="s">
        <v>177</v>
      </c>
      <c r="AQ960" s="69"/>
      <c r="AR960" s="68"/>
      <c r="AS960" s="68"/>
      <c r="AT960" s="68"/>
      <c r="AU960" s="68"/>
      <c r="AV960" s="68"/>
      <c r="AW960" s="68"/>
      <c r="AX960" s="68"/>
      <c r="AY960" s="30"/>
      <c r="AZ960" s="30"/>
      <c r="BA960" s="30"/>
      <c r="BB960" s="75"/>
    </row>
    <row r="961" spans="1:54" x14ac:dyDescent="0.25">
      <c r="A961" s="153" t="s">
        <v>4631</v>
      </c>
      <c r="B961" s="30" t="s">
        <v>4632</v>
      </c>
      <c r="C961" s="30" t="s">
        <v>4633</v>
      </c>
      <c r="D961" s="84" t="s">
        <v>391</v>
      </c>
      <c r="E961" s="24" t="s">
        <v>4634</v>
      </c>
      <c r="F961" s="25">
        <v>20</v>
      </c>
      <c r="G961" s="30" t="s">
        <v>14</v>
      </c>
      <c r="H961" s="30" t="s">
        <v>778</v>
      </c>
      <c r="I961" s="203">
        <v>45146.6878042014</v>
      </c>
      <c r="J961" s="121">
        <v>45159.832638888904</v>
      </c>
      <c r="K961" s="121">
        <v>45146.6878042014</v>
      </c>
      <c r="L961" s="203">
        <v>45159.832638888904</v>
      </c>
      <c r="M961" s="204">
        <v>45147</v>
      </c>
      <c r="N961" s="205" t="s">
        <v>10</v>
      </c>
      <c r="O961" s="203" t="s">
        <v>25</v>
      </c>
      <c r="P961" s="24"/>
      <c r="Q961" s="160">
        <v>45149.832638888889</v>
      </c>
      <c r="R961" s="160">
        <v>45152.71875</v>
      </c>
      <c r="S961" s="161">
        <v>45181.71875</v>
      </c>
      <c r="T961" s="24"/>
      <c r="U961" s="68">
        <f>Tabla1[[#This Row],[PPTO]]/(1+'Lista Datos'!$B$1)</f>
        <v>0</v>
      </c>
      <c r="V961" s="67"/>
      <c r="W961" s="193" t="s">
        <v>10</v>
      </c>
      <c r="X961" s="127"/>
      <c r="Y961" s="127"/>
      <c r="Z961" s="154" t="s">
        <v>10</v>
      </c>
      <c r="AA961" s="30" t="s">
        <v>512</v>
      </c>
      <c r="AB961" s="30"/>
      <c r="AC961" s="30"/>
      <c r="AD961" s="30"/>
      <c r="AE961" s="145">
        <f>Tabla1[[#This Row],[Cierre]]+Tabla1[[#This Row],[Vigencia Oferta (días)]]</f>
        <v>45159.832638888904</v>
      </c>
      <c r="AF961" s="68"/>
      <c r="AG961" s="157"/>
      <c r="AH961" s="194">
        <f>Tabla1[[#This Row],[Unidades2]]*Tabla1[[#This Row],[Precio Unitario]]</f>
        <v>0</v>
      </c>
      <c r="AI961" s="97" t="s">
        <v>44</v>
      </c>
      <c r="AJ961" s="149">
        <v>45173</v>
      </c>
      <c r="AK961" s="149">
        <f>Tabla1[[#This Row],[Fecha Vigencia]]-AJ961</f>
        <v>-13.167361111096398</v>
      </c>
      <c r="AL961" s="68" t="s">
        <v>46</v>
      </c>
      <c r="AM961" s="91">
        <v>540000</v>
      </c>
      <c r="AN961" s="68"/>
      <c r="AO961" s="218"/>
      <c r="AP961" s="97" t="s">
        <v>292</v>
      </c>
      <c r="AQ961" s="69"/>
      <c r="AR961" s="68"/>
      <c r="AS961" s="68"/>
      <c r="AT961" s="68"/>
      <c r="AU961" s="68"/>
      <c r="AV961" s="68"/>
      <c r="AW961" s="68"/>
      <c r="AX961" s="68"/>
      <c r="AY961" s="30"/>
      <c r="AZ961" s="30"/>
      <c r="BA961" s="30"/>
      <c r="BB961" s="75"/>
    </row>
    <row r="962" spans="1:54" x14ac:dyDescent="0.25">
      <c r="A962" s="117" t="s">
        <v>4635</v>
      </c>
      <c r="B962" s="118" t="s">
        <v>4636</v>
      </c>
      <c r="C962" s="118" t="s">
        <v>4637</v>
      </c>
      <c r="D962" s="119" t="s">
        <v>4638</v>
      </c>
      <c r="E962" s="38" t="s">
        <v>4639</v>
      </c>
      <c r="F962" s="39">
        <v>1</v>
      </c>
      <c r="G962" s="118" t="s">
        <v>21</v>
      </c>
      <c r="H962" s="118" t="s">
        <v>106</v>
      </c>
      <c r="I962" s="206">
        <v>45146.549395833303</v>
      </c>
      <c r="J962" s="121">
        <v>45152.653472222199</v>
      </c>
      <c r="K962" s="121">
        <v>45146.549395833303</v>
      </c>
      <c r="L962" s="206">
        <v>45152.653472222199</v>
      </c>
      <c r="M962" s="211">
        <v>45147</v>
      </c>
      <c r="N962" s="207" t="s">
        <v>10</v>
      </c>
      <c r="O962" s="206" t="s">
        <v>27</v>
      </c>
      <c r="P962" s="38"/>
      <c r="Q962" s="121"/>
      <c r="R962" s="121"/>
      <c r="S962" s="19"/>
      <c r="T962" s="38"/>
      <c r="U962" s="65">
        <f>Tabla1[[#This Row],[PPTO]]/(1+'Lista Datos'!$B$1)</f>
        <v>0</v>
      </c>
      <c r="V962" s="64"/>
      <c r="W962" s="191"/>
      <c r="X962" s="122"/>
      <c r="Y962" s="122"/>
      <c r="Z962" s="123"/>
      <c r="AA962" s="118"/>
      <c r="AB962" s="118"/>
      <c r="AC962" s="118"/>
      <c r="AD962" s="118"/>
      <c r="AE962" s="145">
        <f>Tabla1[[#This Row],[Cierre]]+Tabla1[[#This Row],[Vigencia Oferta (días)]]</f>
        <v>45152.653472222199</v>
      </c>
      <c r="AF962" s="65"/>
      <c r="AG962" s="181"/>
      <c r="AH962" s="192">
        <f>Tabla1[[#This Row],[Unidades2]]*Tabla1[[#This Row],[Precio Unitario]]</f>
        <v>0</v>
      </c>
      <c r="AI962" s="126" t="s">
        <v>270</v>
      </c>
      <c r="AJ962" s="149"/>
      <c r="AK962" s="149">
        <f>Tabla1[[#This Row],[Fecha Vigencia]]-AJ962</f>
        <v>45152.653472222199</v>
      </c>
      <c r="AL962" s="65"/>
      <c r="AM962" s="90"/>
      <c r="AN962" s="65"/>
      <c r="AO962" s="217"/>
      <c r="AP962" s="65"/>
      <c r="AQ962" s="66"/>
      <c r="AR962" s="65"/>
      <c r="AS962" s="65"/>
      <c r="AT962" s="65"/>
      <c r="AU962" s="65"/>
      <c r="AV962" s="65"/>
      <c r="AW962" s="65"/>
      <c r="AX962" s="65"/>
      <c r="AY962" s="118"/>
      <c r="AZ962" s="118"/>
      <c r="BA962" s="118"/>
      <c r="BB962" s="124"/>
    </row>
    <row r="963" spans="1:54" x14ac:dyDescent="0.25">
      <c r="A963" s="117" t="s">
        <v>4640</v>
      </c>
      <c r="B963" s="118" t="s">
        <v>4641</v>
      </c>
      <c r="C963" s="118" t="s">
        <v>4642</v>
      </c>
      <c r="D963" s="119" t="s">
        <v>245</v>
      </c>
      <c r="E963" s="38" t="s">
        <v>4643</v>
      </c>
      <c r="F963" s="39">
        <v>500000</v>
      </c>
      <c r="G963" s="118" t="s">
        <v>16</v>
      </c>
      <c r="H963" s="118" t="s">
        <v>123</v>
      </c>
      <c r="I963" s="206">
        <v>45146.522758217601</v>
      </c>
      <c r="J963" s="38">
        <v>45159.625</v>
      </c>
      <c r="K963" s="38">
        <v>45146.522758217601</v>
      </c>
      <c r="L963" s="206">
        <v>45159.625</v>
      </c>
      <c r="M963" s="211">
        <v>45147</v>
      </c>
      <c r="N963" s="207" t="s">
        <v>11</v>
      </c>
      <c r="O963" s="206"/>
      <c r="P963" s="38"/>
      <c r="Q963" s="147">
        <v>45154.75</v>
      </c>
      <c r="R963" s="147">
        <v>45156.75</v>
      </c>
      <c r="S963" s="148">
        <v>45180.625</v>
      </c>
      <c r="T963" s="38"/>
      <c r="U963" s="65">
        <f>Tabla1[[#This Row],[PPTO]]/(1+'Lista Datos'!$B$1)</f>
        <v>0</v>
      </c>
      <c r="V963" s="64"/>
      <c r="W963" s="191" t="s">
        <v>11</v>
      </c>
      <c r="X963" s="122">
        <v>500000</v>
      </c>
      <c r="Y963" s="149">
        <v>45279</v>
      </c>
      <c r="Z963" s="123" t="s">
        <v>11</v>
      </c>
      <c r="AA963" s="118" t="s">
        <v>177</v>
      </c>
      <c r="AB963" s="118">
        <v>24</v>
      </c>
      <c r="AC963" s="118"/>
      <c r="AD963" s="118"/>
      <c r="AE963" s="145">
        <f>Tabla1[[#This Row],[Cierre]]+Tabla1[[#This Row],[Vigencia Oferta (días)]]</f>
        <v>45159.625</v>
      </c>
      <c r="AF963" s="65"/>
      <c r="AG963" s="181"/>
      <c r="AH963" s="192">
        <f>Tabla1[[#This Row],[Unidades2]]*Tabla1[[#This Row],[Precio Unitario]]</f>
        <v>0</v>
      </c>
      <c r="AI963" s="126" t="s">
        <v>44</v>
      </c>
      <c r="AJ963" s="149">
        <v>45169</v>
      </c>
      <c r="AK963" s="149">
        <f>Tabla1[[#This Row],[Fecha Vigencia]]-AJ963</f>
        <v>-9.375</v>
      </c>
      <c r="AL963" s="65" t="s">
        <v>115</v>
      </c>
      <c r="AM963" s="90">
        <v>231565563</v>
      </c>
      <c r="AN963" s="181">
        <v>45169</v>
      </c>
      <c r="AO963" s="217">
        <v>45900</v>
      </c>
      <c r="AP963" s="65" t="s">
        <v>177</v>
      </c>
      <c r="AQ963" s="66" t="s">
        <v>246</v>
      </c>
      <c r="AR963" s="65" t="s">
        <v>11</v>
      </c>
      <c r="AS963" s="195">
        <v>0.1</v>
      </c>
      <c r="AT963" s="181">
        <v>46077</v>
      </c>
      <c r="AU963" s="97" t="s">
        <v>4644</v>
      </c>
      <c r="AV963" s="97" t="s">
        <v>4645</v>
      </c>
      <c r="AW963" s="97" t="s">
        <v>4646</v>
      </c>
      <c r="AX963" s="97" t="s">
        <v>4647</v>
      </c>
      <c r="AY963" s="118"/>
      <c r="AZ963" s="118"/>
      <c r="BA963" s="118"/>
      <c r="BB963" s="124"/>
    </row>
    <row r="964" spans="1:54" x14ac:dyDescent="0.25">
      <c r="A964" s="117" t="s">
        <v>4648</v>
      </c>
      <c r="B964" s="118" t="s">
        <v>4649</v>
      </c>
      <c r="C964" s="118" t="s">
        <v>4649</v>
      </c>
      <c r="D964" s="119" t="s">
        <v>4650</v>
      </c>
      <c r="E964" s="38" t="s">
        <v>4651</v>
      </c>
      <c r="F964" s="39">
        <v>1</v>
      </c>
      <c r="G964" s="118" t="s">
        <v>16</v>
      </c>
      <c r="H964" s="118" t="s">
        <v>345</v>
      </c>
      <c r="I964" s="206">
        <v>45146.454401238399</v>
      </c>
      <c r="J964" s="38">
        <v>45161.583333333299</v>
      </c>
      <c r="K964" s="38">
        <v>45146.454401238399</v>
      </c>
      <c r="L964" s="206">
        <v>45161.583333333299</v>
      </c>
      <c r="M964" s="211">
        <v>45147</v>
      </c>
      <c r="N964" s="207" t="s">
        <v>10</v>
      </c>
      <c r="O964" s="206" t="s">
        <v>25</v>
      </c>
      <c r="P964" s="38"/>
      <c r="Q964" s="147">
        <v>45156.583333333336</v>
      </c>
      <c r="R964" s="147">
        <v>45159.833333333336</v>
      </c>
      <c r="S964" s="148">
        <v>45169.833333333336</v>
      </c>
      <c r="T964" s="38"/>
      <c r="U964" s="65">
        <f>Tabla1[[#This Row],[PPTO]]/(1+'Lista Datos'!$B$1)</f>
        <v>0</v>
      </c>
      <c r="V964" s="64"/>
      <c r="W964" s="191" t="s">
        <v>10</v>
      </c>
      <c r="X964" s="122"/>
      <c r="Y964" s="122"/>
      <c r="Z964" s="123" t="s">
        <v>11</v>
      </c>
      <c r="AA964" s="118" t="s">
        <v>177</v>
      </c>
      <c r="AB964" s="118">
        <v>12</v>
      </c>
      <c r="AC964" s="118"/>
      <c r="AD964" s="118"/>
      <c r="AE964" s="145">
        <f>Tabla1[[#This Row],[Cierre]]+Tabla1[[#This Row],[Vigencia Oferta (días)]]</f>
        <v>45161.583333333299</v>
      </c>
      <c r="AF964" s="65"/>
      <c r="AG964" s="181"/>
      <c r="AH964" s="192">
        <f>Tabla1[[#This Row],[Unidades2]]*Tabla1[[#This Row],[Precio Unitario]]</f>
        <v>0</v>
      </c>
      <c r="AI964" s="126" t="s">
        <v>270</v>
      </c>
      <c r="AJ964" s="149"/>
      <c r="AK964" s="149">
        <f>Tabla1[[#This Row],[Fecha Vigencia]]-AJ964</f>
        <v>45161.583333333299</v>
      </c>
      <c r="AL964" s="65"/>
      <c r="AM964" s="90"/>
      <c r="AN964" s="65"/>
      <c r="AO964" s="217"/>
      <c r="AP964" s="65"/>
      <c r="AQ964" s="66"/>
      <c r="AR964" s="65"/>
      <c r="AS964" s="65"/>
      <c r="AT964" s="65"/>
      <c r="AU964" s="65"/>
      <c r="AV964" s="65"/>
      <c r="AW964" s="65"/>
      <c r="AX964" s="65"/>
      <c r="AY964" s="118"/>
      <c r="AZ964" s="118"/>
      <c r="BA964" s="118"/>
      <c r="BB964" s="124"/>
    </row>
    <row r="965" spans="1:54" x14ac:dyDescent="0.25">
      <c r="A965" s="117" t="s">
        <v>4652</v>
      </c>
      <c r="B965" s="118" t="s">
        <v>4653</v>
      </c>
      <c r="C965" s="118" t="s">
        <v>4654</v>
      </c>
      <c r="D965" s="119" t="s">
        <v>4655</v>
      </c>
      <c r="E965" s="38" t="s">
        <v>4656</v>
      </c>
      <c r="F965" s="39">
        <v>1</v>
      </c>
      <c r="G965" s="118" t="s">
        <v>16</v>
      </c>
      <c r="H965" s="118" t="s">
        <v>345</v>
      </c>
      <c r="I965" s="206">
        <v>45147.407476851855</v>
      </c>
      <c r="J965" s="38">
        <v>45154.631944444445</v>
      </c>
      <c r="K965" s="38">
        <v>45147.407476851855</v>
      </c>
      <c r="L965" s="206">
        <v>45154.631944444445</v>
      </c>
      <c r="M965" s="211">
        <v>45147</v>
      </c>
      <c r="N965" s="207" t="s">
        <v>10</v>
      </c>
      <c r="O965" s="206" t="s">
        <v>25</v>
      </c>
      <c r="P965" s="38"/>
      <c r="Q965" s="147">
        <v>45150.560416666667</v>
      </c>
      <c r="R965" s="147">
        <v>45152.560416666667</v>
      </c>
      <c r="S965" s="148">
        <v>45198.632638888892</v>
      </c>
      <c r="T965" s="38"/>
      <c r="U965" s="65">
        <f>Tabla1[[#This Row],[PPTO]]/(1+'Lista Datos'!$B$1)</f>
        <v>0</v>
      </c>
      <c r="V965" s="64"/>
      <c r="W965" s="191" t="s">
        <v>10</v>
      </c>
      <c r="X965" s="122"/>
      <c r="Y965" s="122"/>
      <c r="Z965" s="123" t="s">
        <v>10</v>
      </c>
      <c r="AA965" s="118" t="s">
        <v>177</v>
      </c>
      <c r="AB965" s="118">
        <v>15</v>
      </c>
      <c r="AC965" s="118"/>
      <c r="AD965" s="118"/>
      <c r="AE965" s="145">
        <f>Tabla1[[#This Row],[Cierre]]+Tabla1[[#This Row],[Vigencia Oferta (días)]]</f>
        <v>45154.631944444445</v>
      </c>
      <c r="AF965" s="65"/>
      <c r="AG965" s="181"/>
      <c r="AH965" s="192">
        <f>Tabla1[[#This Row],[Unidades2]]*Tabla1[[#This Row],[Precio Unitario]]</f>
        <v>0</v>
      </c>
      <c r="AI965" s="126" t="s">
        <v>270</v>
      </c>
      <c r="AJ965" s="149"/>
      <c r="AK965" s="149">
        <f>Tabla1[[#This Row],[Fecha Vigencia]]-AJ965</f>
        <v>45154.631944444445</v>
      </c>
      <c r="AL965" s="65"/>
      <c r="AM965" s="90"/>
      <c r="AN965" s="65"/>
      <c r="AO965" s="217"/>
      <c r="AP965" s="65"/>
      <c r="AQ965" s="66"/>
      <c r="AR965" s="65"/>
      <c r="AS965" s="65"/>
      <c r="AT965" s="65"/>
      <c r="AU965" s="65"/>
      <c r="AV965" s="65"/>
      <c r="AW965" s="65"/>
      <c r="AX965" s="65"/>
      <c r="AY965" s="118"/>
      <c r="AZ965" s="118"/>
      <c r="BA965" s="118"/>
      <c r="BB965" s="124"/>
    </row>
    <row r="966" spans="1:54" x14ac:dyDescent="0.25">
      <c r="A966" s="153" t="s">
        <v>4657</v>
      </c>
      <c r="B966" s="30" t="s">
        <v>4658</v>
      </c>
      <c r="C966" s="30" t="s">
        <v>4659</v>
      </c>
      <c r="D966" s="84" t="s">
        <v>1788</v>
      </c>
      <c r="E966" s="24" t="s">
        <v>4660</v>
      </c>
      <c r="F966" s="25">
        <v>1</v>
      </c>
      <c r="G966" s="30" t="s">
        <v>16</v>
      </c>
      <c r="H966" s="30" t="s">
        <v>123</v>
      </c>
      <c r="I966" s="203">
        <v>45147.498020833336</v>
      </c>
      <c r="J966" s="38">
        <v>45168.666666666664</v>
      </c>
      <c r="K966" s="38">
        <v>45147.498020833336</v>
      </c>
      <c r="L966" s="203">
        <v>45168.666666666664</v>
      </c>
      <c r="M966" s="204">
        <v>45147</v>
      </c>
      <c r="N966" s="205" t="s">
        <v>11</v>
      </c>
      <c r="O966" s="203"/>
      <c r="P966" s="24"/>
      <c r="Q966" s="160">
        <v>45155.708333333336</v>
      </c>
      <c r="R966" s="160">
        <v>45162.708333333336</v>
      </c>
      <c r="S966" s="161">
        <v>45258.708333333336</v>
      </c>
      <c r="T966" s="227">
        <v>208114504</v>
      </c>
      <c r="U966" s="228">
        <f>Tabla1[[#This Row],[PPTO]]/(1+'Lista Datos'!$B$1)</f>
        <v>174886137.81512606</v>
      </c>
      <c r="V966" s="67"/>
      <c r="W966" s="193" t="s">
        <v>11</v>
      </c>
      <c r="X966" s="127">
        <v>500000</v>
      </c>
      <c r="Y966" s="104">
        <v>45258</v>
      </c>
      <c r="Z966" s="154" t="s">
        <v>11</v>
      </c>
      <c r="AA966" s="30" t="s">
        <v>177</v>
      </c>
      <c r="AB966" s="30">
        <v>24</v>
      </c>
      <c r="AC966" s="30"/>
      <c r="AD966" s="30"/>
      <c r="AE966" s="155">
        <f>Tabla1[[#This Row],[Cierre]]+Tabla1[[#This Row],[Vigencia Oferta (días)]]</f>
        <v>45168.666666666664</v>
      </c>
      <c r="AF966" s="68"/>
      <c r="AG966" s="157"/>
      <c r="AH966" s="194">
        <f>Tabla1[[#This Row],[Unidades2]]*Tabla1[[#This Row],[Precio Unitario]]</f>
        <v>0</v>
      </c>
      <c r="AI966" s="97" t="s">
        <v>385</v>
      </c>
      <c r="AJ966" s="104"/>
      <c r="AK966" s="104">
        <f>Tabla1[[#This Row],[Fecha Vigencia]]-AJ966</f>
        <v>45168.666666666664</v>
      </c>
      <c r="AL966" s="68"/>
      <c r="AM966" s="91"/>
      <c r="AN966" s="68"/>
      <c r="AO966" s="218"/>
      <c r="AP966" s="68"/>
      <c r="AQ966" s="69"/>
      <c r="AR966" s="68"/>
      <c r="AS966" s="68"/>
      <c r="AT966" s="68"/>
      <c r="AU966" s="68"/>
      <c r="AV966" s="68"/>
      <c r="AW966" s="68"/>
      <c r="AX966" s="68"/>
      <c r="AY966" s="30"/>
      <c r="AZ966" s="30"/>
      <c r="BA966" s="30"/>
      <c r="BB966" s="75"/>
    </row>
    <row r="967" spans="1:54" x14ac:dyDescent="0.25">
      <c r="A967" s="153" t="s">
        <v>4661</v>
      </c>
      <c r="B967" s="30" t="s">
        <v>4662</v>
      </c>
      <c r="C967" s="30" t="s">
        <v>4663</v>
      </c>
      <c r="D967" s="84" t="s">
        <v>4436</v>
      </c>
      <c r="E967" s="24" t="s">
        <v>4664</v>
      </c>
      <c r="F967" s="25">
        <v>1</v>
      </c>
      <c r="G967" s="30" t="s">
        <v>21</v>
      </c>
      <c r="H967" s="30" t="s">
        <v>106</v>
      </c>
      <c r="I967" s="203">
        <v>45147.718208877297</v>
      </c>
      <c r="J967" s="38">
        <v>45154.75</v>
      </c>
      <c r="K967" s="38">
        <v>45147.718208877297</v>
      </c>
      <c r="L967" s="203">
        <v>45154.75</v>
      </c>
      <c r="M967" s="204">
        <v>45148</v>
      </c>
      <c r="N967" s="205" t="s">
        <v>10</v>
      </c>
      <c r="O967" s="203" t="s">
        <v>25</v>
      </c>
      <c r="P967" s="24"/>
      <c r="Q967" s="160">
        <v>45149.999305555553</v>
      </c>
      <c r="R967" s="160">
        <v>45152.5</v>
      </c>
      <c r="S967" s="161">
        <v>45166.774305555555</v>
      </c>
      <c r="T967" s="24"/>
      <c r="U967" s="68">
        <f>Tabla1[[#This Row],[PPTO]]/(1+'Lista Datos'!$B$1)</f>
        <v>0</v>
      </c>
      <c r="V967" s="67"/>
      <c r="W967" s="193" t="s">
        <v>10</v>
      </c>
      <c r="X967" s="127"/>
      <c r="Y967" s="127"/>
      <c r="Z967" s="154" t="s">
        <v>10</v>
      </c>
      <c r="AA967" s="30" t="s">
        <v>512</v>
      </c>
      <c r="AB967" s="30"/>
      <c r="AC967" s="30"/>
      <c r="AD967" s="30"/>
      <c r="AE967" s="145">
        <f>Tabla1[[#This Row],[Cierre]]+Tabla1[[#This Row],[Vigencia Oferta (días)]]</f>
        <v>45154.75</v>
      </c>
      <c r="AF967" s="68"/>
      <c r="AG967" s="157"/>
      <c r="AH967" s="194">
        <f>Tabla1[[#This Row],[Unidades2]]*Tabla1[[#This Row],[Precio Unitario]]</f>
        <v>0</v>
      </c>
      <c r="AI967" s="97" t="s">
        <v>270</v>
      </c>
      <c r="AJ967" s="149"/>
      <c r="AK967" s="149">
        <f>Tabla1[[#This Row],[Fecha Vigencia]]-AJ967</f>
        <v>45154.75</v>
      </c>
      <c r="AL967" s="68"/>
      <c r="AM967" s="91"/>
      <c r="AN967" s="68"/>
      <c r="AO967" s="218"/>
      <c r="AP967" s="68"/>
      <c r="AQ967" s="69"/>
      <c r="AR967" s="68"/>
      <c r="AS967" s="68"/>
      <c r="AT967" s="68"/>
      <c r="AU967" s="68"/>
      <c r="AV967" s="68"/>
      <c r="AW967" s="68"/>
      <c r="AX967" s="68"/>
      <c r="AY967" s="30"/>
      <c r="AZ967" s="30"/>
      <c r="BA967" s="30"/>
      <c r="BB967" s="75"/>
    </row>
    <row r="968" spans="1:54" x14ac:dyDescent="0.25">
      <c r="A968" s="153" t="s">
        <v>4665</v>
      </c>
      <c r="B968" s="30" t="s">
        <v>4666</v>
      </c>
      <c r="C968" s="30" t="s">
        <v>4667</v>
      </c>
      <c r="D968" s="84" t="s">
        <v>2985</v>
      </c>
      <c r="E968" s="24" t="s">
        <v>4668</v>
      </c>
      <c r="F968" s="25">
        <v>20</v>
      </c>
      <c r="G968" s="30" t="s">
        <v>14</v>
      </c>
      <c r="H968" s="30" t="s">
        <v>1983</v>
      </c>
      <c r="I968" s="203">
        <v>45147.430111689799</v>
      </c>
      <c r="J968" s="121">
        <v>45154.625</v>
      </c>
      <c r="K968" s="121">
        <v>45147.430111689799</v>
      </c>
      <c r="L968" s="203">
        <v>45154.625</v>
      </c>
      <c r="M968" s="204">
        <v>45148</v>
      </c>
      <c r="N968" s="205" t="s">
        <v>10</v>
      </c>
      <c r="O968" s="203" t="s">
        <v>27</v>
      </c>
      <c r="P968" s="24"/>
      <c r="Q968" s="160">
        <v>45149.822222222225</v>
      </c>
      <c r="R968" s="160">
        <v>45152.666666666664</v>
      </c>
      <c r="S968" s="161">
        <v>45214.822222222225</v>
      </c>
      <c r="T968" s="24"/>
      <c r="U968" s="68">
        <f>Tabla1[[#This Row],[PPTO]]/(1+'Lista Datos'!$B$1)</f>
        <v>0</v>
      </c>
      <c r="V968" s="67"/>
      <c r="W968" s="193" t="s">
        <v>10</v>
      </c>
      <c r="X968" s="127"/>
      <c r="Y968" s="127"/>
      <c r="Z968" s="154" t="s">
        <v>10</v>
      </c>
      <c r="AA968" s="30" t="s">
        <v>512</v>
      </c>
      <c r="AB968" s="30"/>
      <c r="AC968" s="30"/>
      <c r="AD968" s="30"/>
      <c r="AE968" s="145">
        <f>Tabla1[[#This Row],[Cierre]]+Tabla1[[#This Row],[Vigencia Oferta (días)]]</f>
        <v>45154.625</v>
      </c>
      <c r="AF968" s="68"/>
      <c r="AG968" s="157"/>
      <c r="AH968" s="194">
        <f>Tabla1[[#This Row],[Unidades2]]*Tabla1[[#This Row],[Precio Unitario]]</f>
        <v>0</v>
      </c>
      <c r="AI968" s="97" t="s">
        <v>270</v>
      </c>
      <c r="AJ968" s="149"/>
      <c r="AK968" s="149">
        <f>Tabla1[[#This Row],[Fecha Vigencia]]-AJ968</f>
        <v>45154.625</v>
      </c>
      <c r="AL968" s="68"/>
      <c r="AM968" s="91"/>
      <c r="AN968" s="68"/>
      <c r="AO968" s="218"/>
      <c r="AP968" s="68"/>
      <c r="AQ968" s="69"/>
      <c r="AR968" s="68"/>
      <c r="AS968" s="68"/>
      <c r="AT968" s="68"/>
      <c r="AU968" s="68"/>
      <c r="AV968" s="68"/>
      <c r="AW968" s="68"/>
      <c r="AX968" s="68"/>
      <c r="AY968" s="30"/>
      <c r="AZ968" s="30"/>
      <c r="BA968" s="30"/>
      <c r="BB968" s="75"/>
    </row>
    <row r="969" spans="1:54" x14ac:dyDescent="0.25">
      <c r="A969" s="117" t="s">
        <v>4669</v>
      </c>
      <c r="B969" s="118" t="s">
        <v>4670</v>
      </c>
      <c r="C969" s="118" t="s">
        <v>4671</v>
      </c>
      <c r="D969" s="119" t="s">
        <v>486</v>
      </c>
      <c r="E969" s="38" t="s">
        <v>4672</v>
      </c>
      <c r="F969" s="39">
        <v>1</v>
      </c>
      <c r="G969" s="118" t="s">
        <v>21</v>
      </c>
      <c r="H969" s="118" t="s">
        <v>106</v>
      </c>
      <c r="I969" s="206">
        <v>45147.427070833299</v>
      </c>
      <c r="J969" s="121">
        <v>45155.7006944444</v>
      </c>
      <c r="K969" s="121">
        <v>45147.427070833299</v>
      </c>
      <c r="L969" s="206">
        <v>45155.7006944444</v>
      </c>
      <c r="M969" s="211">
        <v>45148</v>
      </c>
      <c r="N969" s="207" t="s">
        <v>10</v>
      </c>
      <c r="O969" s="206" t="s">
        <v>25</v>
      </c>
      <c r="P969" s="38"/>
      <c r="Q969" s="147">
        <v>45148.700694444444</v>
      </c>
      <c r="R969" s="147">
        <v>45149.700694444444</v>
      </c>
      <c r="S969" s="148">
        <v>45224.700694444444</v>
      </c>
      <c r="T969" s="38"/>
      <c r="U969" s="65">
        <f>Tabla1[[#This Row],[PPTO]]/(1+'Lista Datos'!$B$1)</f>
        <v>0</v>
      </c>
      <c r="V969" s="64"/>
      <c r="W969" s="191" t="s">
        <v>10</v>
      </c>
      <c r="X969" s="122"/>
      <c r="Y969" s="122"/>
      <c r="Z969" s="123" t="s">
        <v>10</v>
      </c>
      <c r="AA969" s="118" t="s">
        <v>512</v>
      </c>
      <c r="AB969" s="118"/>
      <c r="AC969" s="118"/>
      <c r="AD969" s="118"/>
      <c r="AE969" s="145">
        <f>Tabla1[[#This Row],[Cierre]]+Tabla1[[#This Row],[Vigencia Oferta (días)]]</f>
        <v>45155.7006944444</v>
      </c>
      <c r="AF969" s="65"/>
      <c r="AG969" s="181"/>
      <c r="AH969" s="192">
        <f>Tabla1[[#This Row],[Unidades2]]*Tabla1[[#This Row],[Precio Unitario]]</f>
        <v>0</v>
      </c>
      <c r="AI969" s="126" t="s">
        <v>270</v>
      </c>
      <c r="AJ969" s="149"/>
      <c r="AK969" s="149">
        <f>Tabla1[[#This Row],[Fecha Vigencia]]-AJ969</f>
        <v>45155.7006944444</v>
      </c>
      <c r="AL969" s="65"/>
      <c r="AM969" s="90"/>
      <c r="AN969" s="65"/>
      <c r="AO969" s="217"/>
      <c r="AP969" s="65"/>
      <c r="AQ969" s="66"/>
      <c r="AR969" s="65"/>
      <c r="AS969" s="65"/>
      <c r="AT969" s="65"/>
      <c r="AU969" s="65"/>
      <c r="AV969" s="65"/>
      <c r="AW969" s="65"/>
      <c r="AX969" s="65"/>
      <c r="AY969" s="118"/>
      <c r="AZ969" s="118"/>
      <c r="BA969" s="118"/>
      <c r="BB969" s="124"/>
    </row>
    <row r="970" spans="1:54" x14ac:dyDescent="0.25">
      <c r="A970" s="117" t="s">
        <v>4673</v>
      </c>
      <c r="B970" s="118" t="s">
        <v>4674</v>
      </c>
      <c r="C970" s="118" t="s">
        <v>4675</v>
      </c>
      <c r="D970" s="119" t="s">
        <v>3184</v>
      </c>
      <c r="E970" s="38" t="s">
        <v>4676</v>
      </c>
      <c r="F970" s="39">
        <v>2</v>
      </c>
      <c r="G970" s="118" t="s">
        <v>21</v>
      </c>
      <c r="H970" s="118" t="s">
        <v>106</v>
      </c>
      <c r="I970" s="206">
        <v>45147.410349768499</v>
      </c>
      <c r="J970" s="38">
        <v>45152.625</v>
      </c>
      <c r="K970" s="38">
        <v>45147.410349768499</v>
      </c>
      <c r="L970" s="206">
        <v>45152.625</v>
      </c>
      <c r="M970" s="211">
        <v>45148</v>
      </c>
      <c r="N970" s="207" t="s">
        <v>10</v>
      </c>
      <c r="O970" s="206" t="s">
        <v>27</v>
      </c>
      <c r="P970" s="38"/>
      <c r="Q970" s="121"/>
      <c r="R970" s="121"/>
      <c r="S970" s="19"/>
      <c r="T970" s="38"/>
      <c r="U970" s="65">
        <f>Tabla1[[#This Row],[PPTO]]/(1+'Lista Datos'!$B$1)</f>
        <v>0</v>
      </c>
      <c r="V970" s="64"/>
      <c r="W970" s="191"/>
      <c r="X970" s="122"/>
      <c r="Y970" s="122"/>
      <c r="Z970" s="123"/>
      <c r="AA970" s="118"/>
      <c r="AB970" s="118"/>
      <c r="AC970" s="118"/>
      <c r="AD970" s="118"/>
      <c r="AE970" s="145">
        <f>Tabla1[[#This Row],[Cierre]]+Tabla1[[#This Row],[Vigencia Oferta (días)]]</f>
        <v>45152.625</v>
      </c>
      <c r="AF970" s="65"/>
      <c r="AG970" s="181"/>
      <c r="AH970" s="192">
        <f>Tabla1[[#This Row],[Unidades2]]*Tabla1[[#This Row],[Precio Unitario]]</f>
        <v>0</v>
      </c>
      <c r="AI970" s="126" t="s">
        <v>270</v>
      </c>
      <c r="AJ970" s="149"/>
      <c r="AK970" s="149">
        <f>Tabla1[[#This Row],[Fecha Vigencia]]-AJ970</f>
        <v>45152.625</v>
      </c>
      <c r="AL970" s="65"/>
      <c r="AM970" s="90"/>
      <c r="AN970" s="65"/>
      <c r="AO970" s="217"/>
      <c r="AP970" s="65"/>
      <c r="AQ970" s="66"/>
      <c r="AR970" s="65"/>
      <c r="AS970" s="65"/>
      <c r="AT970" s="65"/>
      <c r="AU970" s="65"/>
      <c r="AV970" s="65"/>
      <c r="AW970" s="65"/>
      <c r="AX970" s="65"/>
      <c r="AY970" s="118"/>
      <c r="AZ970" s="118"/>
      <c r="BA970" s="118"/>
      <c r="BB970" s="124"/>
    </row>
    <row r="971" spans="1:54" x14ac:dyDescent="0.25">
      <c r="A971" s="117" t="s">
        <v>4677</v>
      </c>
      <c r="B971" s="118" t="s">
        <v>4678</v>
      </c>
      <c r="C971" s="118" t="s">
        <v>4679</v>
      </c>
      <c r="D971" s="119" t="s">
        <v>4158</v>
      </c>
      <c r="E971" s="38" t="s">
        <v>4680</v>
      </c>
      <c r="F971" s="39">
        <v>3</v>
      </c>
      <c r="G971" s="118" t="s">
        <v>16</v>
      </c>
      <c r="H971" s="118" t="s">
        <v>533</v>
      </c>
      <c r="I971" s="206">
        <v>45148.771456365699</v>
      </c>
      <c r="J971" s="38">
        <v>45154.751388888901</v>
      </c>
      <c r="K971" s="38">
        <v>45148.771456365699</v>
      </c>
      <c r="L971" s="206">
        <v>45154.751388888901</v>
      </c>
      <c r="M971" s="211">
        <v>45149</v>
      </c>
      <c r="N971" s="207" t="s">
        <v>10</v>
      </c>
      <c r="O971" s="206" t="s">
        <v>25</v>
      </c>
      <c r="P971" s="38"/>
      <c r="Q971" s="147">
        <v>45149.751388888886</v>
      </c>
      <c r="R971" s="147">
        <v>45150.751388888886</v>
      </c>
      <c r="S971" s="148">
        <v>45162.751388888886</v>
      </c>
      <c r="T971" s="38"/>
      <c r="U971" s="65">
        <f>Tabla1[[#This Row],[PPTO]]/(1+'Lista Datos'!$B$1)</f>
        <v>0</v>
      </c>
      <c r="V971" s="64"/>
      <c r="W971" s="191" t="s">
        <v>10</v>
      </c>
      <c r="X971" s="122"/>
      <c r="Y971" s="122"/>
      <c r="Z971" s="123" t="s">
        <v>10</v>
      </c>
      <c r="AA971" s="118" t="s">
        <v>512</v>
      </c>
      <c r="AB971" s="118"/>
      <c r="AC971" s="118"/>
      <c r="AD971" s="118"/>
      <c r="AE971" s="145">
        <f>Tabla1[[#This Row],[Cierre]]+Tabla1[[#This Row],[Vigencia Oferta (días)]]</f>
        <v>45154.751388888901</v>
      </c>
      <c r="AF971" s="65"/>
      <c r="AG971" s="181"/>
      <c r="AH971" s="192">
        <f>Tabla1[[#This Row],[Unidades2]]*Tabla1[[#This Row],[Precio Unitario]]</f>
        <v>0</v>
      </c>
      <c r="AI971" s="126" t="s">
        <v>270</v>
      </c>
      <c r="AJ971" s="149"/>
      <c r="AK971" s="149">
        <f>Tabla1[[#This Row],[Fecha Vigencia]]-AJ971</f>
        <v>45154.751388888901</v>
      </c>
      <c r="AL971" s="65"/>
      <c r="AM971" s="90"/>
      <c r="AN971" s="65"/>
      <c r="AO971" s="217"/>
      <c r="AP971" s="65"/>
      <c r="AQ971" s="66"/>
      <c r="AR971" s="65"/>
      <c r="AS971" s="65"/>
      <c r="AT971" s="65"/>
      <c r="AU971" s="65"/>
      <c r="AV971" s="65"/>
      <c r="AW971" s="65"/>
      <c r="AX971" s="65"/>
      <c r="AY971" s="118"/>
      <c r="AZ971" s="118"/>
      <c r="BA971" s="118"/>
      <c r="BB971" s="124"/>
    </row>
    <row r="972" spans="1:54" x14ac:dyDescent="0.25">
      <c r="A972" s="153" t="s">
        <v>4681</v>
      </c>
      <c r="B972" s="30" t="s">
        <v>4682</v>
      </c>
      <c r="C972" s="30" t="s">
        <v>4683</v>
      </c>
      <c r="D972" s="84" t="s">
        <v>3072</v>
      </c>
      <c r="E972" s="24" t="s">
        <v>4684</v>
      </c>
      <c r="F972" s="25">
        <v>1</v>
      </c>
      <c r="G972" s="30" t="s">
        <v>16</v>
      </c>
      <c r="H972" s="30" t="s">
        <v>2511</v>
      </c>
      <c r="I972" s="203">
        <v>45148.732409490702</v>
      </c>
      <c r="J972" s="38">
        <v>45156.583333333299</v>
      </c>
      <c r="K972" s="38">
        <v>45148.732409490702</v>
      </c>
      <c r="L972" s="203">
        <v>45167.541666666664</v>
      </c>
      <c r="M972" s="204">
        <v>45149</v>
      </c>
      <c r="N972" s="205" t="s">
        <v>11</v>
      </c>
      <c r="O972" s="203"/>
      <c r="P972" s="24"/>
      <c r="Q972" s="160">
        <v>45154.416666666664</v>
      </c>
      <c r="R972" s="60" t="s">
        <v>4685</v>
      </c>
      <c r="S972" s="161">
        <v>45540.708333333336</v>
      </c>
      <c r="T972" s="24"/>
      <c r="U972" s="68">
        <f>Tabla1[[#This Row],[PPTO]]/(1+'Lista Datos'!$B$1)</f>
        <v>0</v>
      </c>
      <c r="V972" s="67"/>
      <c r="W972" s="193" t="s">
        <v>10</v>
      </c>
      <c r="X972" s="127"/>
      <c r="Y972" s="127"/>
      <c r="Z972" s="154" t="s">
        <v>10</v>
      </c>
      <c r="AA972" s="30" t="s">
        <v>177</v>
      </c>
      <c r="AB972" s="30">
        <v>24</v>
      </c>
      <c r="AC972" s="30"/>
      <c r="AD972" s="30"/>
      <c r="AE972" s="145">
        <f>Tabla1[[#This Row],[Cierre]]+Tabla1[[#This Row],[Vigencia Oferta (días)]]</f>
        <v>45167.541666666664</v>
      </c>
      <c r="AF972" s="68"/>
      <c r="AG972" s="157"/>
      <c r="AH972" s="194">
        <f>Tabla1[[#This Row],[Unidades2]]*Tabla1[[#This Row],[Precio Unitario]]</f>
        <v>0</v>
      </c>
      <c r="AI972" s="97" t="s">
        <v>320</v>
      </c>
      <c r="AJ972" s="149"/>
      <c r="AK972" s="149">
        <f>Tabla1[[#This Row],[Fecha Vigencia]]-AJ972</f>
        <v>45167.541666666664</v>
      </c>
      <c r="AL972" s="68"/>
      <c r="AM972" s="91"/>
      <c r="AN972" s="68"/>
      <c r="AO972" s="218"/>
      <c r="AP972" s="68"/>
      <c r="AQ972" s="69"/>
      <c r="AR972" s="68"/>
      <c r="AS972" s="68"/>
      <c r="AT972" s="68"/>
      <c r="AU972" s="68"/>
      <c r="AV972" s="68"/>
      <c r="AW972" s="68"/>
      <c r="AX972" s="68"/>
      <c r="AY972" s="30"/>
      <c r="AZ972" s="30"/>
      <c r="BA972" s="30"/>
      <c r="BB972" s="75"/>
    </row>
    <row r="973" spans="1:54" x14ac:dyDescent="0.25">
      <c r="A973" s="153" t="s">
        <v>4686</v>
      </c>
      <c r="B973" s="30" t="s">
        <v>4687</v>
      </c>
      <c r="C973" s="30" t="s">
        <v>4687</v>
      </c>
      <c r="D973" s="84" t="s">
        <v>4688</v>
      </c>
      <c r="E973" s="24" t="s">
        <v>4689</v>
      </c>
      <c r="F973" s="25">
        <v>2</v>
      </c>
      <c r="G973" s="30" t="s">
        <v>14</v>
      </c>
      <c r="H973" s="30" t="s">
        <v>145</v>
      </c>
      <c r="I973" s="203">
        <v>45148.703224536999</v>
      </c>
      <c r="J973" s="121">
        <v>45159.676388888904</v>
      </c>
      <c r="K973" s="121">
        <v>45148.703224536999</v>
      </c>
      <c r="L973" s="203">
        <v>45159.676388888904</v>
      </c>
      <c r="M973" s="204">
        <v>45149</v>
      </c>
      <c r="N973" s="205" t="s">
        <v>10</v>
      </c>
      <c r="O973" s="203" t="s">
        <v>27</v>
      </c>
      <c r="P973" s="24"/>
      <c r="Q973" s="60"/>
      <c r="R973" s="60"/>
      <c r="S973" s="18"/>
      <c r="T973" s="24"/>
      <c r="U973" s="68">
        <f>Tabla1[[#This Row],[PPTO]]/(1+'Lista Datos'!$B$1)</f>
        <v>0</v>
      </c>
      <c r="V973" s="67"/>
      <c r="W973" s="193"/>
      <c r="X973" s="127"/>
      <c r="Y973" s="127"/>
      <c r="Z973" s="154"/>
      <c r="AA973" s="30"/>
      <c r="AB973" s="30"/>
      <c r="AC973" s="30"/>
      <c r="AD973" s="30"/>
      <c r="AE973" s="145">
        <f>Tabla1[[#This Row],[Cierre]]+Tabla1[[#This Row],[Vigencia Oferta (días)]]</f>
        <v>45159.676388888904</v>
      </c>
      <c r="AF973" s="68"/>
      <c r="AG973" s="157"/>
      <c r="AH973" s="194">
        <f>Tabla1[[#This Row],[Unidades2]]*Tabla1[[#This Row],[Precio Unitario]]</f>
        <v>0</v>
      </c>
      <c r="AI973" s="97" t="s">
        <v>270</v>
      </c>
      <c r="AJ973" s="149"/>
      <c r="AK973" s="149">
        <f>Tabla1[[#This Row],[Fecha Vigencia]]-AJ973</f>
        <v>45159.676388888904</v>
      </c>
      <c r="AL973" s="68"/>
      <c r="AM973" s="91"/>
      <c r="AN973" s="68"/>
      <c r="AO973" s="218"/>
      <c r="AP973" s="68"/>
      <c r="AQ973" s="69"/>
      <c r="AR973" s="68"/>
      <c r="AS973" s="68"/>
      <c r="AT973" s="68"/>
      <c r="AU973" s="68"/>
      <c r="AV973" s="68"/>
      <c r="AW973" s="68"/>
      <c r="AX973" s="68"/>
      <c r="AY973" s="30"/>
      <c r="AZ973" s="30"/>
      <c r="BA973" s="30"/>
      <c r="BB973" s="75"/>
    </row>
    <row r="974" spans="1:54" x14ac:dyDescent="0.25">
      <c r="A974" s="117" t="s">
        <v>4690</v>
      </c>
      <c r="B974" s="118" t="s">
        <v>4691</v>
      </c>
      <c r="C974" s="118" t="s">
        <v>4692</v>
      </c>
      <c r="D974" s="119" t="s">
        <v>4693</v>
      </c>
      <c r="E974" s="38" t="s">
        <v>4694</v>
      </c>
      <c r="F974" s="39">
        <v>4</v>
      </c>
      <c r="G974" s="118" t="s">
        <v>16</v>
      </c>
      <c r="H974" s="118" t="s">
        <v>345</v>
      </c>
      <c r="I974" s="206">
        <v>45148.497101157402</v>
      </c>
      <c r="J974" s="121">
        <v>45154.645833333299</v>
      </c>
      <c r="K974" s="121">
        <v>45148.497101157402</v>
      </c>
      <c r="L974" s="206">
        <v>45154.645833333299</v>
      </c>
      <c r="M974" s="211">
        <v>45149</v>
      </c>
      <c r="N974" s="207" t="s">
        <v>10</v>
      </c>
      <c r="O974" s="206" t="s">
        <v>27</v>
      </c>
      <c r="P974" s="38"/>
      <c r="Q974" s="121"/>
      <c r="R974" s="121"/>
      <c r="S974" s="19"/>
      <c r="T974" s="38"/>
      <c r="U974" s="65">
        <f>Tabla1[[#This Row],[PPTO]]/(1+'Lista Datos'!$B$1)</f>
        <v>0</v>
      </c>
      <c r="V974" s="64"/>
      <c r="W974" s="191"/>
      <c r="X974" s="122"/>
      <c r="Y974" s="122"/>
      <c r="Z974" s="123"/>
      <c r="AA974" s="118"/>
      <c r="AB974" s="118"/>
      <c r="AC974" s="118"/>
      <c r="AD974" s="118"/>
      <c r="AE974" s="145">
        <f>Tabla1[[#This Row],[Cierre]]+Tabla1[[#This Row],[Vigencia Oferta (días)]]</f>
        <v>45154.645833333299</v>
      </c>
      <c r="AF974" s="65"/>
      <c r="AG974" s="181"/>
      <c r="AH974" s="192">
        <f>Tabla1[[#This Row],[Unidades2]]*Tabla1[[#This Row],[Precio Unitario]]</f>
        <v>0</v>
      </c>
      <c r="AI974" s="126" t="s">
        <v>270</v>
      </c>
      <c r="AJ974" s="149"/>
      <c r="AK974" s="149">
        <f>Tabla1[[#This Row],[Fecha Vigencia]]-AJ974</f>
        <v>45154.645833333299</v>
      </c>
      <c r="AL974" s="65"/>
      <c r="AM974" s="90"/>
      <c r="AN974" s="65"/>
      <c r="AO974" s="217"/>
      <c r="AP974" s="65"/>
      <c r="AQ974" s="66"/>
      <c r="AR974" s="65"/>
      <c r="AS974" s="65"/>
      <c r="AT974" s="65"/>
      <c r="AU974" s="65"/>
      <c r="AV974" s="65"/>
      <c r="AW974" s="65"/>
      <c r="AX974" s="65"/>
      <c r="AY974" s="118"/>
      <c r="AZ974" s="118"/>
      <c r="BA974" s="118"/>
      <c r="BB974" s="124"/>
    </row>
    <row r="975" spans="1:54" x14ac:dyDescent="0.25">
      <c r="A975" s="153" t="s">
        <v>4695</v>
      </c>
      <c r="B975" s="30" t="s">
        <v>4696</v>
      </c>
      <c r="C975" s="30" t="s">
        <v>4697</v>
      </c>
      <c r="D975" s="84" t="s">
        <v>4698</v>
      </c>
      <c r="E975" s="24" t="s">
        <v>4699</v>
      </c>
      <c r="F975" s="25">
        <v>1</v>
      </c>
      <c r="G975" s="30" t="s">
        <v>16</v>
      </c>
      <c r="H975" s="30" t="s">
        <v>345</v>
      </c>
      <c r="I975" s="203">
        <v>45149.689319409699</v>
      </c>
      <c r="J975" s="38">
        <v>45159.625</v>
      </c>
      <c r="K975" s="38">
        <v>45149.689319409699</v>
      </c>
      <c r="L975" s="203">
        <v>45159.625</v>
      </c>
      <c r="M975" s="204">
        <v>45152</v>
      </c>
      <c r="N975" s="205" t="s">
        <v>10</v>
      </c>
      <c r="O975" s="203" t="s">
        <v>25</v>
      </c>
      <c r="P975" s="24"/>
      <c r="Q975" s="160">
        <v>45153.375</v>
      </c>
      <c r="R975" s="160">
        <v>45155.75</v>
      </c>
      <c r="S975" s="161">
        <v>45198.75</v>
      </c>
      <c r="T975" s="210">
        <v>60000000</v>
      </c>
      <c r="U975" s="209">
        <f>Tabla1[[#This Row],[PPTO]]/(1+'Lista Datos'!$B$1)</f>
        <v>50420168.067226894</v>
      </c>
      <c r="V975" s="67"/>
      <c r="W975" s="193" t="s">
        <v>10</v>
      </c>
      <c r="X975" s="127"/>
      <c r="Y975" s="127"/>
      <c r="Z975" s="154" t="s">
        <v>10</v>
      </c>
      <c r="AA975" s="30" t="s">
        <v>177</v>
      </c>
      <c r="AB975" s="30">
        <v>12</v>
      </c>
      <c r="AC975" s="30"/>
      <c r="AD975" s="30"/>
      <c r="AE975" s="145">
        <f>Tabla1[[#This Row],[Cierre]]+Tabla1[[#This Row],[Vigencia Oferta (días)]]</f>
        <v>45159.625</v>
      </c>
      <c r="AF975" s="68"/>
      <c r="AG975" s="157"/>
      <c r="AH975" s="194">
        <f>Tabla1[[#This Row],[Unidades2]]*Tabla1[[#This Row],[Precio Unitario]]</f>
        <v>0</v>
      </c>
      <c r="AI975" s="97" t="s">
        <v>270</v>
      </c>
      <c r="AJ975" s="149"/>
      <c r="AK975" s="149">
        <f>Tabla1[[#This Row],[Fecha Vigencia]]-AJ975</f>
        <v>45159.625</v>
      </c>
      <c r="AL975" s="68"/>
      <c r="AM975" s="91"/>
      <c r="AN975" s="68"/>
      <c r="AO975" s="218"/>
      <c r="AP975" s="68"/>
      <c r="AQ975" s="69"/>
      <c r="AR975" s="68"/>
      <c r="AS975" s="68"/>
      <c r="AT975" s="68"/>
      <c r="AU975" s="68"/>
      <c r="AV975" s="68"/>
      <c r="AW975" s="68"/>
      <c r="AX975" s="68"/>
      <c r="AY975" s="30"/>
      <c r="AZ975" s="30"/>
      <c r="BA975" s="30"/>
      <c r="BB975" s="75"/>
    </row>
    <row r="976" spans="1:54" x14ac:dyDescent="0.25">
      <c r="A976" s="153" t="s">
        <v>4700</v>
      </c>
      <c r="B976" s="30" t="s">
        <v>4701</v>
      </c>
      <c r="C976" s="30" t="s">
        <v>4702</v>
      </c>
      <c r="D976" s="84" t="s">
        <v>364</v>
      </c>
      <c r="E976" s="24" t="s">
        <v>4547</v>
      </c>
      <c r="F976" s="25">
        <v>5</v>
      </c>
      <c r="G976" s="30" t="s">
        <v>14</v>
      </c>
      <c r="H976" s="30" t="s">
        <v>1596</v>
      </c>
      <c r="I976" s="203">
        <v>45149.672610613401</v>
      </c>
      <c r="J976" s="121">
        <v>45159.708333333299</v>
      </c>
      <c r="K976" s="121">
        <v>45149.672610613401</v>
      </c>
      <c r="L976" s="203">
        <v>45159.708333333299</v>
      </c>
      <c r="M976" s="204">
        <v>45152</v>
      </c>
      <c r="N976" s="205" t="s">
        <v>10</v>
      </c>
      <c r="O976" s="203" t="s">
        <v>27</v>
      </c>
      <c r="P976" s="24"/>
      <c r="Q976" s="60"/>
      <c r="R976" s="60"/>
      <c r="S976" s="18"/>
      <c r="T976" s="24"/>
      <c r="U976" s="68">
        <f>Tabla1[[#This Row],[PPTO]]/(1+'Lista Datos'!$B$1)</f>
        <v>0</v>
      </c>
      <c r="V976" s="67"/>
      <c r="W976" s="193"/>
      <c r="X976" s="127"/>
      <c r="Y976" s="127"/>
      <c r="Z976" s="154"/>
      <c r="AA976" s="30"/>
      <c r="AB976" s="30"/>
      <c r="AC976" s="30"/>
      <c r="AD976" s="30"/>
      <c r="AE976" s="145">
        <f>Tabla1[[#This Row],[Cierre]]+Tabla1[[#This Row],[Vigencia Oferta (días)]]</f>
        <v>45159.708333333299</v>
      </c>
      <c r="AF976" s="68"/>
      <c r="AG976" s="157"/>
      <c r="AH976" s="194">
        <f>Tabla1[[#This Row],[Unidades2]]*Tabla1[[#This Row],[Precio Unitario]]</f>
        <v>0</v>
      </c>
      <c r="AI976" s="97" t="s">
        <v>270</v>
      </c>
      <c r="AJ976" s="149"/>
      <c r="AK976" s="149">
        <f>Tabla1[[#This Row],[Fecha Vigencia]]-AJ976</f>
        <v>45159.708333333299</v>
      </c>
      <c r="AL976" s="68"/>
      <c r="AM976" s="91"/>
      <c r="AN976" s="68"/>
      <c r="AO976" s="218"/>
      <c r="AP976" s="68"/>
      <c r="AQ976" s="69"/>
      <c r="AR976" s="68"/>
      <c r="AS976" s="68"/>
      <c r="AT976" s="68"/>
      <c r="AU976" s="68"/>
      <c r="AV976" s="68"/>
      <c r="AW976" s="68"/>
      <c r="AX976" s="68"/>
      <c r="AY976" s="30"/>
      <c r="AZ976" s="30"/>
      <c r="BA976" s="30"/>
      <c r="BB976" s="75"/>
    </row>
    <row r="977" spans="1:54" x14ac:dyDescent="0.25">
      <c r="A977" s="117" t="s">
        <v>4703</v>
      </c>
      <c r="B977" s="118" t="s">
        <v>4704</v>
      </c>
      <c r="C977" s="118" t="s">
        <v>4705</v>
      </c>
      <c r="D977" s="119" t="s">
        <v>4047</v>
      </c>
      <c r="E977" s="38" t="s">
        <v>4706</v>
      </c>
      <c r="F977" s="39">
        <v>4</v>
      </c>
      <c r="G977" s="118" t="s">
        <v>14</v>
      </c>
      <c r="H977" s="118" t="s">
        <v>533</v>
      </c>
      <c r="I977" s="206">
        <v>45149.408498344899</v>
      </c>
      <c r="J977" s="121">
        <v>45162.681944444397</v>
      </c>
      <c r="K977" s="121">
        <v>45149.408498344899</v>
      </c>
      <c r="L977" s="206">
        <v>45162.681944444397</v>
      </c>
      <c r="M977" s="211">
        <v>45152</v>
      </c>
      <c r="N977" s="207" t="s">
        <v>10</v>
      </c>
      <c r="O977" s="206" t="s">
        <v>27</v>
      </c>
      <c r="P977" s="38"/>
      <c r="Q977" s="121"/>
      <c r="R977" s="121"/>
      <c r="S977" s="19"/>
      <c r="T977" s="38"/>
      <c r="U977" s="65">
        <f>Tabla1[[#This Row],[PPTO]]/(1+'Lista Datos'!$B$1)</f>
        <v>0</v>
      </c>
      <c r="V977" s="64"/>
      <c r="W977" s="191"/>
      <c r="X977" s="122"/>
      <c r="Y977" s="122"/>
      <c r="Z977" s="123"/>
      <c r="AA977" s="118"/>
      <c r="AB977" s="118"/>
      <c r="AC977" s="118"/>
      <c r="AD977" s="118"/>
      <c r="AE977" s="145">
        <f>Tabla1[[#This Row],[Cierre]]+Tabla1[[#This Row],[Vigencia Oferta (días)]]</f>
        <v>45162.681944444397</v>
      </c>
      <c r="AF977" s="65"/>
      <c r="AG977" s="181"/>
      <c r="AH977" s="192">
        <f>Tabla1[[#This Row],[Unidades2]]*Tabla1[[#This Row],[Precio Unitario]]</f>
        <v>0</v>
      </c>
      <c r="AI977" s="126" t="s">
        <v>270</v>
      </c>
      <c r="AJ977" s="149"/>
      <c r="AK977" s="149">
        <f>Tabla1[[#This Row],[Fecha Vigencia]]-AJ977</f>
        <v>45162.681944444397</v>
      </c>
      <c r="AL977" s="65"/>
      <c r="AM977" s="90"/>
      <c r="AN977" s="65"/>
      <c r="AO977" s="217"/>
      <c r="AP977" s="65"/>
      <c r="AQ977" s="66"/>
      <c r="AR977" s="65"/>
      <c r="AS977" s="65"/>
      <c r="AT977" s="65"/>
      <c r="AU977" s="65"/>
      <c r="AV977" s="65"/>
      <c r="AW977" s="65"/>
      <c r="AX977" s="65"/>
      <c r="AY977" s="118"/>
      <c r="AZ977" s="118"/>
      <c r="BA977" s="118"/>
      <c r="BB977" s="124"/>
    </row>
    <row r="978" spans="1:54" ht="23.25" x14ac:dyDescent="0.25">
      <c r="A978" s="117" t="s">
        <v>4707</v>
      </c>
      <c r="B978" s="118" t="s">
        <v>4708</v>
      </c>
      <c r="C978" s="118" t="s">
        <v>4709</v>
      </c>
      <c r="D978" s="119" t="s">
        <v>3484</v>
      </c>
      <c r="E978" s="38" t="s">
        <v>4710</v>
      </c>
      <c r="F978" s="39">
        <v>3</v>
      </c>
      <c r="G978" s="118" t="s">
        <v>16</v>
      </c>
      <c r="H978" s="118" t="s">
        <v>1983</v>
      </c>
      <c r="I978" s="206">
        <v>45152.713084687501</v>
      </c>
      <c r="J978" s="38">
        <v>45159.625694444403</v>
      </c>
      <c r="K978" s="38">
        <v>45152.713084687501</v>
      </c>
      <c r="L978" s="206">
        <v>45159.625694444403</v>
      </c>
      <c r="M978" s="211">
        <v>45154</v>
      </c>
      <c r="N978" s="207" t="s">
        <v>10</v>
      </c>
      <c r="O978" s="206"/>
      <c r="P978" s="38"/>
      <c r="Q978" s="147">
        <v>45154.665972222225</v>
      </c>
      <c r="R978" s="147">
        <v>45155.75</v>
      </c>
      <c r="S978" s="148">
        <v>45179.876388888886</v>
      </c>
      <c r="T978" s="215">
        <v>5000000</v>
      </c>
      <c r="U978" s="214">
        <f>Tabla1[[#This Row],[PPTO]]/(1+'Lista Datos'!$B$1)</f>
        <v>4201680.6722689075</v>
      </c>
      <c r="V978" s="64"/>
      <c r="W978" s="191" t="s">
        <v>10</v>
      </c>
      <c r="X978" s="122"/>
      <c r="Y978" s="122"/>
      <c r="Z978" s="123" t="s">
        <v>10</v>
      </c>
      <c r="AA978" s="118" t="s">
        <v>512</v>
      </c>
      <c r="AB978" s="118"/>
      <c r="AC978" s="118"/>
      <c r="AD978" s="118"/>
      <c r="AE978" s="145">
        <f>Tabla1[[#This Row],[Cierre]]+Tabla1[[#This Row],[Vigencia Oferta (días)]]</f>
        <v>45159.625694444403</v>
      </c>
      <c r="AF978" s="65"/>
      <c r="AG978" s="181"/>
      <c r="AH978" s="192">
        <f>Tabla1[[#This Row],[Unidades2]]*Tabla1[[#This Row],[Precio Unitario]]</f>
        <v>0</v>
      </c>
      <c r="AI978" s="126" t="s">
        <v>44</v>
      </c>
      <c r="AJ978" s="149">
        <v>45175</v>
      </c>
      <c r="AK978" s="149">
        <f>Tabla1[[#This Row],[Fecha Vigencia]]-AJ978</f>
        <v>-15.374305555596948</v>
      </c>
      <c r="AL978" s="65" t="s">
        <v>45</v>
      </c>
      <c r="AM978" s="90">
        <v>5000000</v>
      </c>
      <c r="AN978" s="65"/>
      <c r="AO978" s="217"/>
      <c r="AP978" s="65" t="s">
        <v>292</v>
      </c>
      <c r="AQ978" s="66"/>
      <c r="AR978" s="65"/>
      <c r="AS978" s="65"/>
      <c r="AT978" s="65"/>
      <c r="AU978" s="65"/>
      <c r="AV978" s="65"/>
      <c r="AW978" s="65"/>
      <c r="AX978" s="65"/>
      <c r="AY978" s="118"/>
      <c r="AZ978" s="118"/>
      <c r="BA978" s="118"/>
      <c r="BB978" s="124"/>
    </row>
    <row r="979" spans="1:54" x14ac:dyDescent="0.25">
      <c r="A979" s="153" t="s">
        <v>4711</v>
      </c>
      <c r="B979" s="30" t="s">
        <v>4712</v>
      </c>
      <c r="C979" s="30" t="s">
        <v>4712</v>
      </c>
      <c r="D979" s="84" t="s">
        <v>4422</v>
      </c>
      <c r="E979" s="24" t="s">
        <v>4713</v>
      </c>
      <c r="F979" s="25">
        <v>1</v>
      </c>
      <c r="G979" s="30" t="s">
        <v>16</v>
      </c>
      <c r="H979" s="30" t="s">
        <v>533</v>
      </c>
      <c r="I979" s="203">
        <v>45152.440277777801</v>
      </c>
      <c r="J979" s="38">
        <v>45173.628472222197</v>
      </c>
      <c r="K979" s="38">
        <v>45152.440277777801</v>
      </c>
      <c r="L979" s="203">
        <v>45173.628472222197</v>
      </c>
      <c r="M979" s="204">
        <v>45154</v>
      </c>
      <c r="N979" s="205" t="s">
        <v>11</v>
      </c>
      <c r="O979" s="203"/>
      <c r="P979" s="24"/>
      <c r="Q979" s="160">
        <v>45161.695833333331</v>
      </c>
      <c r="R979" s="160">
        <v>45162.695833333331</v>
      </c>
      <c r="S979" s="161">
        <v>45194.629166666666</v>
      </c>
      <c r="T979" s="210">
        <v>180000000</v>
      </c>
      <c r="U979" s="209">
        <f>Tabla1[[#This Row],[PPTO]]/(1+'Lista Datos'!$B$1)</f>
        <v>151260504.20168069</v>
      </c>
      <c r="V979" s="67"/>
      <c r="W979" s="193" t="s">
        <v>11</v>
      </c>
      <c r="X979" s="127">
        <v>100000</v>
      </c>
      <c r="Y979" s="104">
        <v>45190</v>
      </c>
      <c r="Z979" s="154" t="s">
        <v>2783</v>
      </c>
      <c r="AA979" s="30" t="s">
        <v>177</v>
      </c>
      <c r="AB979" s="30">
        <v>24</v>
      </c>
      <c r="AC979" s="30"/>
      <c r="AD979" s="30"/>
      <c r="AE979" s="145">
        <f>Tabla1[[#This Row],[Cierre]]+Tabla1[[#This Row],[Vigencia Oferta (días)]]</f>
        <v>45173.628472222197</v>
      </c>
      <c r="AF979" s="68"/>
      <c r="AG979" s="157"/>
      <c r="AH979" s="194">
        <f>Tabla1[[#This Row],[Unidades2]]*Tabla1[[#This Row],[Precio Unitario]]</f>
        <v>0</v>
      </c>
      <c r="AI979" s="97" t="s">
        <v>44</v>
      </c>
      <c r="AJ979" s="149">
        <v>45209</v>
      </c>
      <c r="AK979" s="149">
        <f>Tabla1[[#This Row],[Fecha Vigencia]]-AJ979</f>
        <v>-35.371527777802839</v>
      </c>
      <c r="AL979" s="68" t="s">
        <v>45</v>
      </c>
      <c r="AM979" s="91">
        <v>151260504</v>
      </c>
      <c r="AN979" s="157">
        <v>45209</v>
      </c>
      <c r="AO979" s="218">
        <v>45940</v>
      </c>
      <c r="AP979" s="68" t="s">
        <v>177</v>
      </c>
      <c r="AQ979" s="69"/>
      <c r="AR979" s="68"/>
      <c r="AS979" s="68"/>
      <c r="AT979" s="68"/>
      <c r="AU979" s="68"/>
      <c r="AV979" s="68"/>
      <c r="AW979" s="68"/>
      <c r="AX979" s="68"/>
      <c r="AY979" s="30"/>
      <c r="AZ979" s="30"/>
      <c r="BA979" s="30"/>
      <c r="BB979" s="75"/>
    </row>
    <row r="980" spans="1:54" x14ac:dyDescent="0.25">
      <c r="A980" s="117" t="s">
        <v>4714</v>
      </c>
      <c r="B980" s="118" t="s">
        <v>4715</v>
      </c>
      <c r="C980" s="118" t="s">
        <v>4716</v>
      </c>
      <c r="D980" s="119" t="s">
        <v>2230</v>
      </c>
      <c r="E980" s="38" t="s">
        <v>4717</v>
      </c>
      <c r="F980" s="39">
        <v>20</v>
      </c>
      <c r="G980" s="118" t="s">
        <v>16</v>
      </c>
      <c r="H980" s="118" t="s">
        <v>123</v>
      </c>
      <c r="I980" s="206">
        <v>45154.399907407409</v>
      </c>
      <c r="J980" s="121">
        <v>45166.666666666664</v>
      </c>
      <c r="K980" s="121">
        <v>45154.399907407409</v>
      </c>
      <c r="L980" s="206">
        <v>45166.666666666664</v>
      </c>
      <c r="M980" s="211">
        <v>45154</v>
      </c>
      <c r="N980" s="207" t="s">
        <v>11</v>
      </c>
      <c r="O980" s="206"/>
      <c r="P980" s="38"/>
      <c r="Q980" s="147">
        <v>45159.666666666664</v>
      </c>
      <c r="R980" s="147">
        <v>45161.666666666664</v>
      </c>
      <c r="S980" s="148">
        <v>45198.666666666664</v>
      </c>
      <c r="T980" s="215">
        <v>10000000</v>
      </c>
      <c r="U980" s="214">
        <f>Tabla1[[#This Row],[PPTO]]/(1+'Lista Datos'!$B$1)</f>
        <v>8403361.3445378151</v>
      </c>
      <c r="V980" s="64"/>
      <c r="W980" s="191" t="s">
        <v>10</v>
      </c>
      <c r="X980" s="122"/>
      <c r="Y980" s="122"/>
      <c r="Z980" s="123" t="s">
        <v>10</v>
      </c>
      <c r="AA980" s="118" t="s">
        <v>177</v>
      </c>
      <c r="AB980" s="118">
        <v>24</v>
      </c>
      <c r="AC980" s="118"/>
      <c r="AD980" s="118"/>
      <c r="AE980" s="145">
        <f>Tabla1[[#This Row],[Cierre]]+Tabla1[[#This Row],[Vigencia Oferta (días)]]</f>
        <v>45166.666666666664</v>
      </c>
      <c r="AF980" s="65"/>
      <c r="AG980" s="181"/>
      <c r="AH980" s="192">
        <f>Tabla1[[#This Row],[Unidades2]]*Tabla1[[#This Row],[Precio Unitario]]</f>
        <v>0</v>
      </c>
      <c r="AI980" s="126" t="s">
        <v>320</v>
      </c>
      <c r="AJ980" s="149"/>
      <c r="AK980" s="149">
        <f>Tabla1[[#This Row],[Fecha Vigencia]]-AJ980</f>
        <v>45166.666666666664</v>
      </c>
      <c r="AL980" s="65"/>
      <c r="AM980" s="90"/>
      <c r="AN980" s="65"/>
      <c r="AO980" s="217"/>
      <c r="AP980" s="65"/>
      <c r="AQ980" s="66"/>
      <c r="AR980" s="65"/>
      <c r="AS980" s="65"/>
      <c r="AT980" s="65"/>
      <c r="AU980" s="65"/>
      <c r="AV980" s="65"/>
      <c r="AW980" s="65"/>
      <c r="AX980" s="65"/>
      <c r="AY980" s="118"/>
      <c r="AZ980" s="118"/>
      <c r="BA980" s="118"/>
      <c r="BB980" s="124"/>
    </row>
    <row r="981" spans="1:54" x14ac:dyDescent="0.25">
      <c r="A981" s="153" t="s">
        <v>4718</v>
      </c>
      <c r="B981" s="30" t="s">
        <v>4719</v>
      </c>
      <c r="C981" s="30" t="s">
        <v>4720</v>
      </c>
      <c r="D981" s="84" t="s">
        <v>4721</v>
      </c>
      <c r="E981" s="24" t="s">
        <v>4722</v>
      </c>
      <c r="F981" s="25">
        <v>1</v>
      </c>
      <c r="G981" s="30" t="s">
        <v>16</v>
      </c>
      <c r="H981" s="30" t="s">
        <v>1983</v>
      </c>
      <c r="I981" s="203">
        <v>45154.741878321802</v>
      </c>
      <c r="J981" s="38">
        <v>45163.416666666701</v>
      </c>
      <c r="K981" s="38">
        <v>45154.741878321802</v>
      </c>
      <c r="L981" s="203">
        <v>45163.416666666701</v>
      </c>
      <c r="M981" s="204">
        <v>45155</v>
      </c>
      <c r="N981" s="205" t="s">
        <v>11</v>
      </c>
      <c r="O981" s="203"/>
      <c r="P981" s="24"/>
      <c r="Q981" s="160">
        <v>45158.898611111108</v>
      </c>
      <c r="R981" s="160">
        <v>45160.875</v>
      </c>
      <c r="S981" s="161">
        <v>45169.677083333336</v>
      </c>
      <c r="T981" s="24"/>
      <c r="U981" s="68">
        <f>Tabla1[[#This Row],[PPTO]]/(1+'Lista Datos'!$B$1)</f>
        <v>0</v>
      </c>
      <c r="V981" s="67"/>
      <c r="W981" s="193" t="s">
        <v>10</v>
      </c>
      <c r="X981" s="127"/>
      <c r="Y981" s="127"/>
      <c r="Z981" s="154" t="s">
        <v>10</v>
      </c>
      <c r="AA981" s="30" t="s">
        <v>177</v>
      </c>
      <c r="AB981" s="30">
        <v>24</v>
      </c>
      <c r="AC981" s="30"/>
      <c r="AD981" s="30"/>
      <c r="AE981" s="145">
        <f>Tabla1[[#This Row],[Cierre]]+Tabla1[[#This Row],[Vigencia Oferta (días)]]</f>
        <v>45163.416666666701</v>
      </c>
      <c r="AF981" s="68"/>
      <c r="AG981" s="157"/>
      <c r="AH981" s="194">
        <f>Tabla1[[#This Row],[Unidades2]]*Tabla1[[#This Row],[Precio Unitario]]</f>
        <v>0</v>
      </c>
      <c r="AI981" s="97" t="s">
        <v>44</v>
      </c>
      <c r="AJ981" s="149">
        <v>45170</v>
      </c>
      <c r="AK981" s="149">
        <f>Tabla1[[#This Row],[Fecha Vigencia]]-AJ981</f>
        <v>-6.5833333332993789</v>
      </c>
      <c r="AL981" s="68" t="s">
        <v>45</v>
      </c>
      <c r="AM981" s="91">
        <v>23000000</v>
      </c>
      <c r="AN981" s="157">
        <v>45170</v>
      </c>
      <c r="AO981" s="218">
        <v>45901</v>
      </c>
      <c r="AP981" s="68" t="s">
        <v>177</v>
      </c>
      <c r="AQ981" s="69"/>
      <c r="AR981" s="68"/>
      <c r="AS981" s="68"/>
      <c r="AT981" s="68"/>
      <c r="AU981" s="68"/>
      <c r="AV981" s="68"/>
      <c r="AW981" s="68"/>
      <c r="AX981" s="68"/>
      <c r="AY981" s="30"/>
      <c r="AZ981" s="30"/>
      <c r="BA981" s="30"/>
      <c r="BB981" s="75"/>
    </row>
    <row r="982" spans="1:54" x14ac:dyDescent="0.25">
      <c r="A982" s="153" t="s">
        <v>4723</v>
      </c>
      <c r="B982" s="30" t="s">
        <v>4724</v>
      </c>
      <c r="C982" s="30" t="s">
        <v>4725</v>
      </c>
      <c r="D982" s="84" t="s">
        <v>371</v>
      </c>
      <c r="E982" s="24" t="s">
        <v>4726</v>
      </c>
      <c r="F982" s="25">
        <v>48</v>
      </c>
      <c r="G982" s="30" t="s">
        <v>21</v>
      </c>
      <c r="H982" s="30" t="s">
        <v>106</v>
      </c>
      <c r="I982" s="203">
        <v>45154.741666666698</v>
      </c>
      <c r="J982" s="121">
        <v>45174.625</v>
      </c>
      <c r="K982" s="121">
        <v>45154.741666666698</v>
      </c>
      <c r="L982" s="203">
        <v>45174.625</v>
      </c>
      <c r="M982" s="204">
        <v>45155</v>
      </c>
      <c r="N982" s="205" t="s">
        <v>10</v>
      </c>
      <c r="O982" s="203" t="s">
        <v>34</v>
      </c>
      <c r="P982" s="24" t="s">
        <v>10</v>
      </c>
      <c r="Q982" s="160">
        <v>45162.5</v>
      </c>
      <c r="R982" s="160">
        <v>45166.75</v>
      </c>
      <c r="S982" s="161">
        <v>45233.833333333336</v>
      </c>
      <c r="T982" s="24"/>
      <c r="U982" s="68">
        <f>Tabla1[[#This Row],[PPTO]]/(1+'Lista Datos'!$B$1)</f>
        <v>0</v>
      </c>
      <c r="V982" s="67"/>
      <c r="W982" s="193" t="s">
        <v>11</v>
      </c>
      <c r="X982" s="127">
        <v>200000</v>
      </c>
      <c r="Y982" s="104">
        <v>45265</v>
      </c>
      <c r="Z982" s="154" t="s">
        <v>10</v>
      </c>
      <c r="AA982" s="30" t="s">
        <v>177</v>
      </c>
      <c r="AB982" s="30">
        <v>18</v>
      </c>
      <c r="AC982" s="30"/>
      <c r="AD982" s="30"/>
      <c r="AE982" s="145">
        <f>Tabla1[[#This Row],[Cierre]]+Tabla1[[#This Row],[Vigencia Oferta (días)]]</f>
        <v>45174.625</v>
      </c>
      <c r="AF982" s="68"/>
      <c r="AG982" s="157"/>
      <c r="AH982" s="194">
        <f>Tabla1[[#This Row],[Unidades2]]*Tabla1[[#This Row],[Precio Unitario]]</f>
        <v>0</v>
      </c>
      <c r="AI982" s="97" t="s">
        <v>270</v>
      </c>
      <c r="AJ982" s="149"/>
      <c r="AK982" s="149">
        <f>Tabla1[[#This Row],[Fecha Vigencia]]-AJ982</f>
        <v>45174.625</v>
      </c>
      <c r="AL982" s="68"/>
      <c r="AM982" s="91"/>
      <c r="AN982" s="68"/>
      <c r="AO982" s="218"/>
      <c r="AP982" s="68"/>
      <c r="AQ982" s="69"/>
      <c r="AR982" s="68"/>
      <c r="AS982" s="68"/>
      <c r="AT982" s="68"/>
      <c r="AU982" s="68"/>
      <c r="AV982" s="68"/>
      <c r="AW982" s="68"/>
      <c r="AX982" s="68"/>
      <c r="AY982" s="30"/>
      <c r="AZ982" s="30"/>
      <c r="BA982" s="30"/>
      <c r="BB982" s="75"/>
    </row>
    <row r="983" spans="1:54" x14ac:dyDescent="0.25">
      <c r="A983" s="153" t="s">
        <v>4727</v>
      </c>
      <c r="B983" s="30" t="s">
        <v>4728</v>
      </c>
      <c r="C983" s="30" t="s">
        <v>4729</v>
      </c>
      <c r="D983" s="84" t="s">
        <v>371</v>
      </c>
      <c r="E983" s="24" t="s">
        <v>4730</v>
      </c>
      <c r="F983" s="25">
        <v>192</v>
      </c>
      <c r="G983" s="30" t="s">
        <v>21</v>
      </c>
      <c r="H983" s="30" t="s">
        <v>106</v>
      </c>
      <c r="I983" s="203">
        <v>45154.719163773101</v>
      </c>
      <c r="J983" s="121">
        <v>45174.625</v>
      </c>
      <c r="K983" s="121">
        <v>45154.719163773101</v>
      </c>
      <c r="L983" s="203">
        <v>45174.625</v>
      </c>
      <c r="M983" s="204">
        <v>45155</v>
      </c>
      <c r="N983" s="205" t="s">
        <v>10</v>
      </c>
      <c r="O983" s="203" t="s">
        <v>27</v>
      </c>
      <c r="P983" s="24" t="s">
        <v>10</v>
      </c>
      <c r="Q983" s="160">
        <v>45162.5</v>
      </c>
      <c r="R983" s="160">
        <v>45166.75</v>
      </c>
      <c r="S983" s="161">
        <v>45233.833333333336</v>
      </c>
      <c r="T983" s="24"/>
      <c r="U983" s="68">
        <f>Tabla1[[#This Row],[PPTO]]/(1+'Lista Datos'!$B$1)</f>
        <v>0</v>
      </c>
      <c r="V983" s="67"/>
      <c r="W983" s="193" t="s">
        <v>11</v>
      </c>
      <c r="X983" s="127" t="s">
        <v>4432</v>
      </c>
      <c r="Y983" s="104">
        <v>45265</v>
      </c>
      <c r="Z983" s="154" t="s">
        <v>10</v>
      </c>
      <c r="AA983" s="30" t="s">
        <v>177</v>
      </c>
      <c r="AB983" s="30">
        <v>18</v>
      </c>
      <c r="AC983" s="30"/>
      <c r="AD983" s="30"/>
      <c r="AE983" s="145">
        <f>Tabla1[[#This Row],[Cierre]]+Tabla1[[#This Row],[Vigencia Oferta (días)]]</f>
        <v>45174.625</v>
      </c>
      <c r="AF983" s="68"/>
      <c r="AG983" s="157"/>
      <c r="AH983" s="194">
        <f>Tabla1[[#This Row],[Unidades2]]*Tabla1[[#This Row],[Precio Unitario]]</f>
        <v>0</v>
      </c>
      <c r="AI983" s="97" t="s">
        <v>270</v>
      </c>
      <c r="AJ983" s="149"/>
      <c r="AK983" s="149">
        <f>Tabla1[[#This Row],[Fecha Vigencia]]-AJ983</f>
        <v>45174.625</v>
      </c>
      <c r="AL983" s="68"/>
      <c r="AM983" s="91"/>
      <c r="AN983" s="68"/>
      <c r="AO983" s="218"/>
      <c r="AP983" s="68"/>
      <c r="AQ983" s="69"/>
      <c r="AR983" s="68"/>
      <c r="AS983" s="68"/>
      <c r="AT983" s="68"/>
      <c r="AU983" s="68"/>
      <c r="AV983" s="68"/>
      <c r="AW983" s="68"/>
      <c r="AX983" s="68"/>
      <c r="AY983" s="30"/>
      <c r="AZ983" s="30"/>
      <c r="BA983" s="30"/>
      <c r="BB983" s="75"/>
    </row>
    <row r="984" spans="1:54" x14ac:dyDescent="0.25">
      <c r="A984" s="117" t="s">
        <v>4731</v>
      </c>
      <c r="B984" s="118" t="s">
        <v>4732</v>
      </c>
      <c r="C984" s="118" t="s">
        <v>4733</v>
      </c>
      <c r="D984" s="119" t="s">
        <v>4734</v>
      </c>
      <c r="E984" s="38" t="s">
        <v>4735</v>
      </c>
      <c r="F984" s="39">
        <v>15</v>
      </c>
      <c r="G984" s="118" t="s">
        <v>21</v>
      </c>
      <c r="H984" s="118" t="s">
        <v>106</v>
      </c>
      <c r="I984" s="206">
        <v>45154.582382210603</v>
      </c>
      <c r="J984" s="121">
        <v>45166.78125</v>
      </c>
      <c r="K984" s="121">
        <v>45154.582382210603</v>
      </c>
      <c r="L984" s="206">
        <v>45166.78125</v>
      </c>
      <c r="M984" s="211">
        <v>45155</v>
      </c>
      <c r="N984" s="207" t="s">
        <v>10</v>
      </c>
      <c r="O984" s="38" t="s">
        <v>27</v>
      </c>
      <c r="P984" s="24" t="s">
        <v>10</v>
      </c>
      <c r="Q984" s="147">
        <v>45157.686111111114</v>
      </c>
      <c r="R984" s="147">
        <v>45158.686111111114</v>
      </c>
      <c r="S984" s="148">
        <v>45197.781944444447</v>
      </c>
      <c r="T984" s="38"/>
      <c r="U984" s="65">
        <f>Tabla1[[#This Row],[PPTO]]/(1+'Lista Datos'!$B$1)</f>
        <v>0</v>
      </c>
      <c r="V984" s="64"/>
      <c r="W984" s="191" t="s">
        <v>10</v>
      </c>
      <c r="X984" s="122"/>
      <c r="Y984" s="122"/>
      <c r="Z984" s="123" t="s">
        <v>10</v>
      </c>
      <c r="AA984" s="118" t="s">
        <v>512</v>
      </c>
      <c r="AB984" s="118"/>
      <c r="AC984" s="118"/>
      <c r="AD984" s="118"/>
      <c r="AE984" s="145">
        <f>Tabla1[[#This Row],[Cierre]]+Tabla1[[#This Row],[Vigencia Oferta (días)]]</f>
        <v>45166.78125</v>
      </c>
      <c r="AF984" s="65"/>
      <c r="AG984" s="181"/>
      <c r="AH984" s="192">
        <f>Tabla1[[#This Row],[Unidades2]]*Tabla1[[#This Row],[Precio Unitario]]</f>
        <v>0</v>
      </c>
      <c r="AI984" s="126" t="s">
        <v>270</v>
      </c>
      <c r="AJ984" s="149"/>
      <c r="AK984" s="149">
        <f>Tabla1[[#This Row],[Fecha Vigencia]]-AJ984</f>
        <v>45166.78125</v>
      </c>
      <c r="AL984" s="65"/>
      <c r="AM984" s="90"/>
      <c r="AN984" s="65"/>
      <c r="AO984" s="217"/>
      <c r="AP984" s="65"/>
      <c r="AQ984" s="66"/>
      <c r="AR984" s="65"/>
      <c r="AS984" s="65"/>
      <c r="AT984" s="65"/>
      <c r="AU984" s="65"/>
      <c r="AV984" s="65"/>
      <c r="AW984" s="65"/>
      <c r="AX984" s="65"/>
      <c r="AY984" s="118"/>
      <c r="AZ984" s="118"/>
      <c r="BA984" s="118"/>
      <c r="BB984" s="124"/>
    </row>
    <row r="985" spans="1:54" x14ac:dyDescent="0.25">
      <c r="A985" s="117" t="s">
        <v>4736</v>
      </c>
      <c r="B985" s="118" t="s">
        <v>4737</v>
      </c>
      <c r="C985" s="118" t="s">
        <v>4738</v>
      </c>
      <c r="D985" s="119" t="s">
        <v>1965</v>
      </c>
      <c r="E985" s="38" t="s">
        <v>4739</v>
      </c>
      <c r="F985" s="39">
        <v>1</v>
      </c>
      <c r="G985" s="118" t="s">
        <v>14</v>
      </c>
      <c r="H985" s="118" t="s">
        <v>2511</v>
      </c>
      <c r="I985" s="206">
        <v>45154.413571064797</v>
      </c>
      <c r="J985" s="38">
        <v>45184.666666666701</v>
      </c>
      <c r="K985" s="38">
        <v>45154.413571064797</v>
      </c>
      <c r="L985" s="206">
        <v>45198.666666666664</v>
      </c>
      <c r="M985" s="211">
        <v>45155</v>
      </c>
      <c r="N985" s="207" t="s">
        <v>10</v>
      </c>
      <c r="O985" s="206" t="s">
        <v>27</v>
      </c>
      <c r="P985" s="38"/>
      <c r="Q985" s="121"/>
      <c r="R985" s="121"/>
      <c r="S985" s="19"/>
      <c r="T985" s="38"/>
      <c r="U985" s="65">
        <f>Tabla1[[#This Row],[PPTO]]/(1+'Lista Datos'!$B$1)</f>
        <v>0</v>
      </c>
      <c r="V985" s="64"/>
      <c r="W985" s="191"/>
      <c r="X985" s="122"/>
      <c r="Y985" s="122"/>
      <c r="Z985" s="123"/>
      <c r="AA985" s="118"/>
      <c r="AB985" s="118"/>
      <c r="AC985" s="118"/>
      <c r="AD985" s="118"/>
      <c r="AE985" s="145">
        <f>Tabla1[[#This Row],[Cierre]]+Tabla1[[#This Row],[Vigencia Oferta (días)]]</f>
        <v>45198.666666666664</v>
      </c>
      <c r="AF985" s="65"/>
      <c r="AG985" s="181"/>
      <c r="AH985" s="192">
        <f>Tabla1[[#This Row],[Unidades2]]*Tabla1[[#This Row],[Precio Unitario]]</f>
        <v>0</v>
      </c>
      <c r="AI985" s="126" t="s">
        <v>270</v>
      </c>
      <c r="AJ985" s="149"/>
      <c r="AK985" s="149">
        <f>Tabla1[[#This Row],[Fecha Vigencia]]-AJ985</f>
        <v>45198.666666666664</v>
      </c>
      <c r="AL985" s="65"/>
      <c r="AM985" s="90"/>
      <c r="AN985" s="65"/>
      <c r="AO985" s="217"/>
      <c r="AP985" s="65"/>
      <c r="AQ985" s="66"/>
      <c r="AR985" s="65"/>
      <c r="AS985" s="65"/>
      <c r="AT985" s="65"/>
      <c r="AU985" s="65"/>
      <c r="AV985" s="65"/>
      <c r="AW985" s="65"/>
      <c r="AX985" s="65"/>
      <c r="AY985" s="118"/>
      <c r="AZ985" s="118"/>
      <c r="BA985" s="118"/>
      <c r="BB985" s="124"/>
    </row>
    <row r="986" spans="1:54" x14ac:dyDescent="0.25">
      <c r="A986" s="153" t="s">
        <v>4740</v>
      </c>
      <c r="B986" s="30" t="s">
        <v>4741</v>
      </c>
      <c r="C986" s="30" t="s">
        <v>4742</v>
      </c>
      <c r="D986" s="84" t="s">
        <v>405</v>
      </c>
      <c r="E986" s="24" t="s">
        <v>4743</v>
      </c>
      <c r="F986" s="25">
        <v>1</v>
      </c>
      <c r="G986" s="30" t="s">
        <v>18</v>
      </c>
      <c r="H986" s="30" t="s">
        <v>213</v>
      </c>
      <c r="I986" s="203">
        <v>45155.688378240702</v>
      </c>
      <c r="J986" s="38">
        <v>45175.625</v>
      </c>
      <c r="K986" s="38">
        <v>45155.688378240702</v>
      </c>
      <c r="L986" s="203">
        <v>45175.625</v>
      </c>
      <c r="M986" s="204">
        <v>45156</v>
      </c>
      <c r="N986" s="205" t="s">
        <v>10</v>
      </c>
      <c r="O986" s="203" t="s">
        <v>25</v>
      </c>
      <c r="P986" s="24"/>
      <c r="Q986" s="160">
        <v>45165.708333333336</v>
      </c>
      <c r="R986" s="160">
        <v>45170.75</v>
      </c>
      <c r="S986" s="161">
        <v>45191.75</v>
      </c>
      <c r="T986" s="24"/>
      <c r="U986" s="68">
        <f>Tabla1[[#This Row],[PPTO]]/(1+'Lista Datos'!$B$1)</f>
        <v>0</v>
      </c>
      <c r="V986" s="67"/>
      <c r="W986" s="193" t="s">
        <v>11</v>
      </c>
      <c r="X986" s="127">
        <v>200000</v>
      </c>
      <c r="Y986" s="104">
        <v>45270</v>
      </c>
      <c r="Z986" s="154" t="s">
        <v>11</v>
      </c>
      <c r="AA986" s="30" t="s">
        <v>177</v>
      </c>
      <c r="AB986" s="30">
        <v>12</v>
      </c>
      <c r="AC986" s="30" t="s">
        <v>10</v>
      </c>
      <c r="AD986" s="30"/>
      <c r="AE986" s="145">
        <f>Tabla1[[#This Row],[Cierre]]+Tabla1[[#This Row],[Vigencia Oferta (días)]]</f>
        <v>45175.625</v>
      </c>
      <c r="AF986" s="68"/>
      <c r="AG986" s="157"/>
      <c r="AH986" s="194">
        <f>Tabla1[[#This Row],[Unidades2]]*Tabla1[[#This Row],[Precio Unitario]]</f>
        <v>0</v>
      </c>
      <c r="AI986" s="97" t="s">
        <v>270</v>
      </c>
      <c r="AJ986" s="149"/>
      <c r="AK986" s="149">
        <f>Tabla1[[#This Row],[Fecha Vigencia]]-AJ986</f>
        <v>45175.625</v>
      </c>
      <c r="AL986" s="68"/>
      <c r="AM986" s="91"/>
      <c r="AN986" s="68"/>
      <c r="AO986" s="218"/>
      <c r="AP986" s="68"/>
      <c r="AQ986" s="69"/>
      <c r="AR986" s="68"/>
      <c r="AS986" s="68"/>
      <c r="AT986" s="68"/>
      <c r="AU986" s="68"/>
      <c r="AV986" s="68"/>
      <c r="AW986" s="68"/>
      <c r="AX986" s="68"/>
      <c r="AY986" s="30"/>
      <c r="AZ986" s="30"/>
      <c r="BA986" s="30"/>
      <c r="BB986" s="75"/>
    </row>
    <row r="987" spans="1:54" x14ac:dyDescent="0.25">
      <c r="A987" s="117" t="s">
        <v>4744</v>
      </c>
      <c r="B987" s="118" t="s">
        <v>4745</v>
      </c>
      <c r="C987" s="118" t="s">
        <v>4746</v>
      </c>
      <c r="D987" s="119" t="s">
        <v>4203</v>
      </c>
      <c r="E987" s="38" t="s">
        <v>4747</v>
      </c>
      <c r="F987" s="39">
        <v>4</v>
      </c>
      <c r="G987" s="118" t="s">
        <v>18</v>
      </c>
      <c r="H987" s="118" t="s">
        <v>213</v>
      </c>
      <c r="I987" s="206">
        <v>45155.681997569402</v>
      </c>
      <c r="J987" s="121">
        <v>45167.625</v>
      </c>
      <c r="K987" s="121">
        <v>45155.681997569402</v>
      </c>
      <c r="L987" s="206">
        <v>45167.625</v>
      </c>
      <c r="M987" s="211">
        <v>45156</v>
      </c>
      <c r="N987" s="207" t="s">
        <v>10</v>
      </c>
      <c r="O987" s="206" t="s">
        <v>25</v>
      </c>
      <c r="P987" s="38"/>
      <c r="Q987" s="147">
        <v>45162.5</v>
      </c>
      <c r="R987" s="147">
        <v>45163.5</v>
      </c>
      <c r="S987" s="148">
        <v>45174.708333333336</v>
      </c>
      <c r="T987" s="215">
        <v>21000000</v>
      </c>
      <c r="U987" s="214">
        <f>Tabla1[[#This Row],[PPTO]]/(1+'Lista Datos'!$B$1)</f>
        <v>17647058.823529411</v>
      </c>
      <c r="V987" s="64"/>
      <c r="W987" s="191" t="s">
        <v>10</v>
      </c>
      <c r="X987" s="122"/>
      <c r="Y987" s="122"/>
      <c r="Z987" s="123" t="s">
        <v>11</v>
      </c>
      <c r="AA987" s="118" t="s">
        <v>177</v>
      </c>
      <c r="AB987" s="118">
        <v>24</v>
      </c>
      <c r="AC987" s="118" t="s">
        <v>10</v>
      </c>
      <c r="AD987" s="118"/>
      <c r="AE987" s="145">
        <f>Tabla1[[#This Row],[Cierre]]+Tabla1[[#This Row],[Vigencia Oferta (días)]]</f>
        <v>45167.625</v>
      </c>
      <c r="AF987" s="65"/>
      <c r="AG987" s="181"/>
      <c r="AH987" s="192">
        <f>Tabla1[[#This Row],[Unidades2]]*Tabla1[[#This Row],[Precio Unitario]]</f>
        <v>0</v>
      </c>
      <c r="AI987" s="126" t="s">
        <v>270</v>
      </c>
      <c r="AJ987" s="149"/>
      <c r="AK987" s="149">
        <f>Tabla1[[#This Row],[Fecha Vigencia]]-AJ987</f>
        <v>45167.625</v>
      </c>
      <c r="AL987" s="65"/>
      <c r="AM987" s="90"/>
      <c r="AN987" s="65"/>
      <c r="AO987" s="217"/>
      <c r="AP987" s="65"/>
      <c r="AQ987" s="66"/>
      <c r="AR987" s="65"/>
      <c r="AS987" s="65"/>
      <c r="AT987" s="65"/>
      <c r="AU987" s="65"/>
      <c r="AV987" s="65"/>
      <c r="AW987" s="65"/>
      <c r="AX987" s="65"/>
      <c r="AY987" s="118"/>
      <c r="AZ987" s="118"/>
      <c r="BA987" s="118"/>
      <c r="BB987" s="124"/>
    </row>
    <row r="988" spans="1:54" x14ac:dyDescent="0.25">
      <c r="A988" s="117" t="s">
        <v>4748</v>
      </c>
      <c r="B988" s="118" t="s">
        <v>4749</v>
      </c>
      <c r="C988" s="118" t="s">
        <v>4750</v>
      </c>
      <c r="D988" s="119" t="s">
        <v>4751</v>
      </c>
      <c r="E988" s="38" t="s">
        <v>4039</v>
      </c>
      <c r="F988" s="39">
        <v>5</v>
      </c>
      <c r="G988" s="118" t="s">
        <v>21</v>
      </c>
      <c r="H988" s="118" t="s">
        <v>106</v>
      </c>
      <c r="I988" s="206">
        <v>45155.484747650502</v>
      </c>
      <c r="J988" s="38">
        <v>45161.531944444403</v>
      </c>
      <c r="K988" s="38">
        <v>45155.484747650502</v>
      </c>
      <c r="L988" s="206">
        <v>45161.531944444403</v>
      </c>
      <c r="M988" s="211">
        <v>45156</v>
      </c>
      <c r="N988" s="207" t="s">
        <v>10</v>
      </c>
      <c r="O988" s="206" t="s">
        <v>27</v>
      </c>
      <c r="P988" s="38"/>
      <c r="Q988" s="121"/>
      <c r="R988" s="121"/>
      <c r="S988" s="19"/>
      <c r="T988" s="38"/>
      <c r="U988" s="65">
        <f>Tabla1[[#This Row],[PPTO]]/(1+'Lista Datos'!$B$1)</f>
        <v>0</v>
      </c>
      <c r="V988" s="64"/>
      <c r="W988" s="191"/>
      <c r="X988" s="122"/>
      <c r="Y988" s="122"/>
      <c r="Z988" s="123"/>
      <c r="AA988" s="118"/>
      <c r="AB988" s="118"/>
      <c r="AC988" s="118"/>
      <c r="AD988" s="118"/>
      <c r="AE988" s="145">
        <f>Tabla1[[#This Row],[Cierre]]+Tabla1[[#This Row],[Vigencia Oferta (días)]]</f>
        <v>45161.531944444403</v>
      </c>
      <c r="AF988" s="65"/>
      <c r="AG988" s="181"/>
      <c r="AH988" s="192">
        <f>Tabla1[[#This Row],[Unidades2]]*Tabla1[[#This Row],[Precio Unitario]]</f>
        <v>0</v>
      </c>
      <c r="AI988" s="126" t="s">
        <v>270</v>
      </c>
      <c r="AJ988" s="149"/>
      <c r="AK988" s="149">
        <f>Tabla1[[#This Row],[Fecha Vigencia]]-AJ988</f>
        <v>45161.531944444403</v>
      </c>
      <c r="AL988" s="65"/>
      <c r="AM988" s="90"/>
      <c r="AN988" s="65"/>
      <c r="AO988" s="217"/>
      <c r="AP988" s="65"/>
      <c r="AQ988" s="66"/>
      <c r="AR988" s="65"/>
      <c r="AS988" s="65"/>
      <c r="AT988" s="65"/>
      <c r="AU988" s="65"/>
      <c r="AV988" s="65"/>
      <c r="AW988" s="65"/>
      <c r="AX988" s="65"/>
      <c r="AY988" s="118"/>
      <c r="AZ988" s="118"/>
      <c r="BA988" s="118"/>
      <c r="BB988" s="124"/>
    </row>
    <row r="989" spans="1:54" x14ac:dyDescent="0.25">
      <c r="A989" s="153" t="s">
        <v>4752</v>
      </c>
      <c r="B989" s="30" t="s">
        <v>4753</v>
      </c>
      <c r="C989" s="30" t="s">
        <v>4754</v>
      </c>
      <c r="D989" s="84" t="s">
        <v>493</v>
      </c>
      <c r="E989" s="24" t="s">
        <v>4755</v>
      </c>
      <c r="F989" s="25">
        <v>1</v>
      </c>
      <c r="G989" s="30" t="s">
        <v>18</v>
      </c>
      <c r="H989" s="30" t="s">
        <v>213</v>
      </c>
      <c r="I989" s="203">
        <v>45156.493321759262</v>
      </c>
      <c r="J989" s="38">
        <v>45166.666666666664</v>
      </c>
      <c r="K989" s="38">
        <v>45156.493321759262</v>
      </c>
      <c r="L989" s="203">
        <v>45166.666666666664</v>
      </c>
      <c r="M989" s="204">
        <v>45156</v>
      </c>
      <c r="N989" s="205" t="s">
        <v>10</v>
      </c>
      <c r="O989" s="203" t="s">
        <v>25</v>
      </c>
      <c r="P989" s="24"/>
      <c r="Q989" s="160">
        <v>45162.638888888891</v>
      </c>
      <c r="R989" s="160">
        <v>45163.6875</v>
      </c>
      <c r="S989" s="161">
        <v>45247.6875</v>
      </c>
      <c r="T989" s="210">
        <v>23000000</v>
      </c>
      <c r="U989" s="209">
        <f>Tabla1[[#This Row],[PPTO]]/(1+'Lista Datos'!$B$1)</f>
        <v>19327731.092436977</v>
      </c>
      <c r="V989" s="67"/>
      <c r="W989" s="193" t="s">
        <v>10</v>
      </c>
      <c r="X989" s="127"/>
      <c r="Y989" s="127"/>
      <c r="Z989" s="154" t="s">
        <v>11</v>
      </c>
      <c r="AA989" s="30" t="s">
        <v>512</v>
      </c>
      <c r="AB989" s="30"/>
      <c r="AC989" s="30" t="s">
        <v>10</v>
      </c>
      <c r="AD989" s="30"/>
      <c r="AE989" s="145">
        <f>Tabla1[[#This Row],[Cierre]]+Tabla1[[#This Row],[Vigencia Oferta (días)]]</f>
        <v>45166.666666666664</v>
      </c>
      <c r="AF989" s="68"/>
      <c r="AG989" s="157"/>
      <c r="AH989" s="194">
        <f>Tabla1[[#This Row],[Unidades2]]*Tabla1[[#This Row],[Precio Unitario]]</f>
        <v>0</v>
      </c>
      <c r="AI989" s="97" t="s">
        <v>270</v>
      </c>
      <c r="AJ989" s="149"/>
      <c r="AK989" s="149">
        <f>Tabla1[[#This Row],[Fecha Vigencia]]-AJ989</f>
        <v>45166.666666666664</v>
      </c>
      <c r="AL989" s="68"/>
      <c r="AM989" s="91"/>
      <c r="AN989" s="68"/>
      <c r="AO989" s="218"/>
      <c r="AP989" s="68"/>
      <c r="AQ989" s="69"/>
      <c r="AR989" s="68"/>
      <c r="AS989" s="68"/>
      <c r="AT989" s="68"/>
      <c r="AU989" s="68"/>
      <c r="AV989" s="68"/>
      <c r="AW989" s="68"/>
      <c r="AX989" s="68"/>
      <c r="AY989" s="30"/>
      <c r="AZ989" s="30"/>
      <c r="BA989" s="30"/>
      <c r="BB989" s="75"/>
    </row>
    <row r="990" spans="1:54" x14ac:dyDescent="0.25">
      <c r="A990" s="117" t="s">
        <v>4756</v>
      </c>
      <c r="B990" s="118" t="s">
        <v>4757</v>
      </c>
      <c r="C990" s="118" t="s">
        <v>4758</v>
      </c>
      <c r="D990" s="119" t="s">
        <v>4759</v>
      </c>
      <c r="E990" s="38" t="s">
        <v>4760</v>
      </c>
      <c r="F990" s="39">
        <v>3190</v>
      </c>
      <c r="G990" s="118" t="s">
        <v>16</v>
      </c>
      <c r="H990" s="118" t="s">
        <v>123</v>
      </c>
      <c r="I990" s="206">
        <v>45152.488749999997</v>
      </c>
      <c r="J990" s="121">
        <v>45162.708333333336</v>
      </c>
      <c r="K990" s="121">
        <v>45152.488749999997</v>
      </c>
      <c r="L990" s="206">
        <v>45162.708333333336</v>
      </c>
      <c r="M990" s="211">
        <v>45156</v>
      </c>
      <c r="N990" s="207" t="s">
        <v>10</v>
      </c>
      <c r="O990" s="206" t="s">
        <v>35</v>
      </c>
      <c r="P990" s="38"/>
      <c r="Q990" s="121"/>
      <c r="R990" s="121"/>
      <c r="S990" s="19"/>
      <c r="T990" s="38"/>
      <c r="U990" s="65">
        <f>Tabla1[[#This Row],[PPTO]]/(1+'Lista Datos'!$B$1)</f>
        <v>0</v>
      </c>
      <c r="V990" s="64"/>
      <c r="W990" s="191"/>
      <c r="X990" s="122"/>
      <c r="Y990" s="122"/>
      <c r="Z990" s="123"/>
      <c r="AA990" s="118"/>
      <c r="AB990" s="118"/>
      <c r="AC990" s="118"/>
      <c r="AD990" s="118"/>
      <c r="AE990" s="145">
        <f>Tabla1[[#This Row],[Cierre]]+Tabla1[[#This Row],[Vigencia Oferta (días)]]</f>
        <v>45162.708333333336</v>
      </c>
      <c r="AF990" s="65"/>
      <c r="AG990" s="181"/>
      <c r="AH990" s="192">
        <f>Tabla1[[#This Row],[Unidades2]]*Tabla1[[#This Row],[Precio Unitario]]</f>
        <v>0</v>
      </c>
      <c r="AI990" s="126" t="s">
        <v>270</v>
      </c>
      <c r="AJ990" s="149"/>
      <c r="AK990" s="149">
        <f>Tabla1[[#This Row],[Fecha Vigencia]]-AJ990</f>
        <v>45162.708333333336</v>
      </c>
      <c r="AL990" s="65"/>
      <c r="AM990" s="90"/>
      <c r="AN990" s="65"/>
      <c r="AO990" s="217"/>
      <c r="AP990" s="65"/>
      <c r="AQ990" s="66"/>
      <c r="AR990" s="65"/>
      <c r="AS990" s="65"/>
      <c r="AT990" s="65"/>
      <c r="AU990" s="65"/>
      <c r="AV990" s="65"/>
      <c r="AW990" s="65"/>
      <c r="AX990" s="65"/>
      <c r="AY990" s="118"/>
      <c r="AZ990" s="118"/>
      <c r="BA990" s="118"/>
      <c r="BB990" s="124"/>
    </row>
    <row r="991" spans="1:54" x14ac:dyDescent="0.25">
      <c r="A991" s="153" t="s">
        <v>4761</v>
      </c>
      <c r="B991" s="30" t="s">
        <v>4762</v>
      </c>
      <c r="C991" s="30" t="s">
        <v>4763</v>
      </c>
      <c r="D991" s="84" t="s">
        <v>3980</v>
      </c>
      <c r="E991" s="24" t="s">
        <v>4764</v>
      </c>
      <c r="F991" s="25">
        <v>8</v>
      </c>
      <c r="G991" s="30" t="s">
        <v>21</v>
      </c>
      <c r="H991" s="30" t="s">
        <v>106</v>
      </c>
      <c r="I991" s="203">
        <v>45156.672840243104</v>
      </c>
      <c r="J991" s="38">
        <v>45162.5</v>
      </c>
      <c r="K991" s="38">
        <v>45156.672840243104</v>
      </c>
      <c r="L991" s="203">
        <v>45162.5</v>
      </c>
      <c r="M991" s="204">
        <v>45159</v>
      </c>
      <c r="N991" s="205" t="s">
        <v>10</v>
      </c>
      <c r="O991" s="203" t="s">
        <v>27</v>
      </c>
      <c r="P991" s="24"/>
      <c r="Q991" s="60"/>
      <c r="R991" s="60"/>
      <c r="S991" s="18"/>
      <c r="T991" s="24"/>
      <c r="U991" s="68">
        <f>Tabla1[[#This Row],[PPTO]]/(1+'Lista Datos'!$B$1)</f>
        <v>0</v>
      </c>
      <c r="V991" s="67"/>
      <c r="W991" s="193"/>
      <c r="X991" s="127"/>
      <c r="Y991" s="127"/>
      <c r="Z991" s="154"/>
      <c r="AA991" s="30"/>
      <c r="AB991" s="30"/>
      <c r="AC991" s="30"/>
      <c r="AD991" s="30"/>
      <c r="AE991" s="145">
        <f>Tabla1[[#This Row],[Cierre]]+Tabla1[[#This Row],[Vigencia Oferta (días)]]</f>
        <v>45162.5</v>
      </c>
      <c r="AF991" s="68"/>
      <c r="AG991" s="157"/>
      <c r="AH991" s="194">
        <f>Tabla1[[#This Row],[Unidades2]]*Tabla1[[#This Row],[Precio Unitario]]</f>
        <v>0</v>
      </c>
      <c r="AI991" s="97" t="s">
        <v>270</v>
      </c>
      <c r="AJ991" s="149"/>
      <c r="AK991" s="149">
        <f>Tabla1[[#This Row],[Fecha Vigencia]]-AJ991</f>
        <v>45162.5</v>
      </c>
      <c r="AL991" s="68"/>
      <c r="AM991" s="91"/>
      <c r="AN991" s="68"/>
      <c r="AO991" s="218"/>
      <c r="AP991" s="68"/>
      <c r="AQ991" s="69"/>
      <c r="AR991" s="68"/>
      <c r="AS991" s="68"/>
      <c r="AT991" s="68"/>
      <c r="AU991" s="68"/>
      <c r="AV991" s="68"/>
      <c r="AW991" s="68"/>
      <c r="AX991" s="68"/>
      <c r="AY991" s="30"/>
      <c r="AZ991" s="30"/>
      <c r="BA991" s="30"/>
      <c r="BB991" s="75"/>
    </row>
    <row r="992" spans="1:54" x14ac:dyDescent="0.25">
      <c r="A992" s="117" t="s">
        <v>4765</v>
      </c>
      <c r="B992" s="118" t="s">
        <v>4766</v>
      </c>
      <c r="C992" s="118" t="s">
        <v>4767</v>
      </c>
      <c r="D992" s="119" t="s">
        <v>4158</v>
      </c>
      <c r="E992" s="38" t="s">
        <v>4768</v>
      </c>
      <c r="F992" s="39">
        <v>17</v>
      </c>
      <c r="G992" s="118" t="s">
        <v>21</v>
      </c>
      <c r="H992" s="118" t="s">
        <v>106</v>
      </c>
      <c r="I992" s="206">
        <v>45159.6821857986</v>
      </c>
      <c r="J992" s="38">
        <v>45166.625</v>
      </c>
      <c r="K992" s="38">
        <v>45159.6821857986</v>
      </c>
      <c r="L992" s="206">
        <v>45166.625</v>
      </c>
      <c r="M992" s="211">
        <v>45160</v>
      </c>
      <c r="N992" s="207" t="s">
        <v>10</v>
      </c>
      <c r="O992" s="206" t="s">
        <v>27</v>
      </c>
      <c r="P992" s="38"/>
      <c r="Q992" s="121"/>
      <c r="R992" s="121"/>
      <c r="S992" s="19"/>
      <c r="T992" s="38"/>
      <c r="U992" s="65">
        <f>Tabla1[[#This Row],[PPTO]]/(1+'Lista Datos'!$B$1)</f>
        <v>0</v>
      </c>
      <c r="V992" s="64"/>
      <c r="W992" s="191"/>
      <c r="X992" s="122"/>
      <c r="Y992" s="122"/>
      <c r="Z992" s="123"/>
      <c r="AA992" s="118"/>
      <c r="AB992" s="118"/>
      <c r="AC992" s="118"/>
      <c r="AD992" s="118"/>
      <c r="AE992" s="145">
        <f>Tabla1[[#This Row],[Cierre]]+Tabla1[[#This Row],[Vigencia Oferta (días)]]</f>
        <v>45166.625</v>
      </c>
      <c r="AF992" s="65"/>
      <c r="AG992" s="181"/>
      <c r="AH992" s="192">
        <f>Tabla1[[#This Row],[Unidades2]]*Tabla1[[#This Row],[Precio Unitario]]</f>
        <v>0</v>
      </c>
      <c r="AI992" s="126" t="s">
        <v>270</v>
      </c>
      <c r="AJ992" s="149"/>
      <c r="AK992" s="149">
        <f>Tabla1[[#This Row],[Fecha Vigencia]]-AJ992</f>
        <v>45166.625</v>
      </c>
      <c r="AL992" s="65"/>
      <c r="AM992" s="90"/>
      <c r="AN992" s="65"/>
      <c r="AO992" s="217"/>
      <c r="AP992" s="65"/>
      <c r="AQ992" s="66"/>
      <c r="AR992" s="65"/>
      <c r="AS992" s="65"/>
      <c r="AT992" s="65"/>
      <c r="AU992" s="65"/>
      <c r="AV992" s="65"/>
      <c r="AW992" s="65"/>
      <c r="AX992" s="65"/>
      <c r="AY992" s="118"/>
      <c r="AZ992" s="118"/>
      <c r="BA992" s="118"/>
      <c r="BB992" s="124"/>
    </row>
    <row r="993" spans="1:54" x14ac:dyDescent="0.25">
      <c r="A993" s="153" t="s">
        <v>4769</v>
      </c>
      <c r="B993" s="30" t="s">
        <v>4770</v>
      </c>
      <c r="C993" s="30" t="s">
        <v>4771</v>
      </c>
      <c r="D993" s="84" t="s">
        <v>3278</v>
      </c>
      <c r="E993" s="38" t="s">
        <v>4772</v>
      </c>
      <c r="F993" s="25">
        <v>1</v>
      </c>
      <c r="G993" s="30" t="s">
        <v>16</v>
      </c>
      <c r="H993" s="30" t="s">
        <v>123</v>
      </c>
      <c r="I993" s="203">
        <v>45159.655003587999</v>
      </c>
      <c r="J993" s="38">
        <v>45166.666666666701</v>
      </c>
      <c r="K993" s="38">
        <v>45159.655003587999</v>
      </c>
      <c r="L993" s="203">
        <v>45166.666666666701</v>
      </c>
      <c r="M993" s="204">
        <v>45160</v>
      </c>
      <c r="N993" s="205" t="s">
        <v>10</v>
      </c>
      <c r="O993" s="203" t="s">
        <v>25</v>
      </c>
      <c r="P993" s="24"/>
      <c r="Q993" s="160">
        <v>45160.708333333336</v>
      </c>
      <c r="R993" s="160">
        <v>45161.75</v>
      </c>
      <c r="S993" s="161">
        <v>45196.75</v>
      </c>
      <c r="T993" s="210">
        <v>6162833</v>
      </c>
      <c r="U993" s="209">
        <f>Tabla1[[#This Row],[PPTO]]/(1+'Lista Datos'!$B$1)</f>
        <v>5178851.260504202</v>
      </c>
      <c r="V993" s="67"/>
      <c r="W993" s="193" t="s">
        <v>10</v>
      </c>
      <c r="X993" s="127"/>
      <c r="Y993" s="127"/>
      <c r="Z993" s="154" t="s">
        <v>10</v>
      </c>
      <c r="AA993" s="30" t="s">
        <v>512</v>
      </c>
      <c r="AB993" s="30"/>
      <c r="AC993" s="30"/>
      <c r="AD993" s="30"/>
      <c r="AE993" s="145">
        <f>Tabla1[[#This Row],[Cierre]]+Tabla1[[#This Row],[Vigencia Oferta (días)]]</f>
        <v>45166.666666666701</v>
      </c>
      <c r="AF993" s="68"/>
      <c r="AG993" s="157"/>
      <c r="AH993" s="194">
        <f>Tabla1[[#This Row],[Unidades2]]*Tabla1[[#This Row],[Precio Unitario]]</f>
        <v>0</v>
      </c>
      <c r="AI993" s="126" t="s">
        <v>270</v>
      </c>
      <c r="AJ993" s="149"/>
      <c r="AK993" s="149">
        <f>Tabla1[[#This Row],[Fecha Vigencia]]-AJ993</f>
        <v>45166.666666666701</v>
      </c>
      <c r="AL993" s="68"/>
      <c r="AM993" s="91"/>
      <c r="AN993" s="68"/>
      <c r="AO993" s="218"/>
      <c r="AP993" s="68"/>
      <c r="AQ993" s="69"/>
      <c r="AR993" s="68"/>
      <c r="AS993" s="68"/>
      <c r="AT993" s="68"/>
      <c r="AU993" s="68"/>
      <c r="AV993" s="68"/>
      <c r="AW993" s="68"/>
      <c r="AX993" s="68"/>
      <c r="AY993" s="30"/>
      <c r="AZ993" s="30"/>
      <c r="BA993" s="30"/>
      <c r="BB993" s="75"/>
    </row>
    <row r="994" spans="1:54" x14ac:dyDescent="0.25">
      <c r="A994" s="153" t="s">
        <v>4773</v>
      </c>
      <c r="B994" s="30" t="s">
        <v>4774</v>
      </c>
      <c r="C994" s="30" t="s">
        <v>4775</v>
      </c>
      <c r="D994" s="84" t="s">
        <v>3778</v>
      </c>
      <c r="E994" s="24" t="s">
        <v>4776</v>
      </c>
      <c r="F994" s="25">
        <v>1</v>
      </c>
      <c r="G994" s="30" t="s">
        <v>21</v>
      </c>
      <c r="H994" s="30" t="s">
        <v>106</v>
      </c>
      <c r="I994" s="203">
        <v>45159.6457534375</v>
      </c>
      <c r="J994" s="121">
        <v>45181.5</v>
      </c>
      <c r="K994" s="121">
        <v>45159.6457534375</v>
      </c>
      <c r="L994" s="203">
        <v>45181.5</v>
      </c>
      <c r="M994" s="204">
        <v>45160</v>
      </c>
      <c r="N994" s="205" t="s">
        <v>10</v>
      </c>
      <c r="O994" s="203" t="s">
        <v>29</v>
      </c>
      <c r="P994" s="24" t="s">
        <v>10</v>
      </c>
      <c r="Q994" s="160">
        <v>45173.666666666664</v>
      </c>
      <c r="R994" s="160">
        <v>45177.708333333336</v>
      </c>
      <c r="S994" s="161">
        <v>45202.6875</v>
      </c>
      <c r="T994" s="24"/>
      <c r="U994" s="68">
        <f>Tabla1[[#This Row],[PPTO]]/(1+'Lista Datos'!$B$1)</f>
        <v>0</v>
      </c>
      <c r="V994" s="67"/>
      <c r="W994" s="193" t="s">
        <v>11</v>
      </c>
      <c r="X994" s="127">
        <v>450000</v>
      </c>
      <c r="Y994" s="104">
        <v>45331</v>
      </c>
      <c r="Z994" s="154"/>
      <c r="AA994" s="30" t="s">
        <v>512</v>
      </c>
      <c r="AB994" s="30"/>
      <c r="AC994" s="30"/>
      <c r="AD994" s="30"/>
      <c r="AE994" s="145">
        <f>Tabla1[[#This Row],[Cierre]]+Tabla1[[#This Row],[Vigencia Oferta (días)]]</f>
        <v>45181.5</v>
      </c>
      <c r="AF994" s="68"/>
      <c r="AG994" s="157"/>
      <c r="AH994" s="194">
        <f>Tabla1[[#This Row],[Unidades2]]*Tabla1[[#This Row],[Precio Unitario]]</f>
        <v>0</v>
      </c>
      <c r="AI994" s="126" t="s">
        <v>270</v>
      </c>
      <c r="AJ994" s="149"/>
      <c r="AK994" s="149">
        <f>Tabla1[[#This Row],[Fecha Vigencia]]-AJ994</f>
        <v>45181.5</v>
      </c>
      <c r="AL994" s="68"/>
      <c r="AM994" s="91"/>
      <c r="AN994" s="68"/>
      <c r="AO994" s="218"/>
      <c r="AP994" s="68"/>
      <c r="AQ994" s="69"/>
      <c r="AR994" s="68"/>
      <c r="AS994" s="68"/>
      <c r="AT994" s="68"/>
      <c r="AU994" s="68"/>
      <c r="AV994" s="68"/>
      <c r="AW994" s="68"/>
      <c r="AX994" s="68"/>
      <c r="AY994" s="30"/>
      <c r="AZ994" s="30"/>
      <c r="BA994" s="30"/>
      <c r="BB994" s="75"/>
    </row>
    <row r="995" spans="1:54" x14ac:dyDescent="0.25">
      <c r="A995" s="153" t="s">
        <v>4777</v>
      </c>
      <c r="B995" s="30" t="s">
        <v>4778</v>
      </c>
      <c r="C995" s="30" t="s">
        <v>4779</v>
      </c>
      <c r="D995" s="84" t="s">
        <v>4335</v>
      </c>
      <c r="E995" s="24" t="s">
        <v>4780</v>
      </c>
      <c r="F995" s="25">
        <v>1</v>
      </c>
      <c r="G995" s="30" t="s">
        <v>18</v>
      </c>
      <c r="H995" s="30" t="s">
        <v>213</v>
      </c>
      <c r="I995" s="203">
        <v>45159.637519479198</v>
      </c>
      <c r="J995" s="121">
        <v>45166.625</v>
      </c>
      <c r="K995" s="121">
        <v>45159.637519479198</v>
      </c>
      <c r="L995" s="203">
        <v>45166.625</v>
      </c>
      <c r="M995" s="204">
        <v>45160</v>
      </c>
      <c r="N995" s="205" t="s">
        <v>10</v>
      </c>
      <c r="O995" s="203" t="s">
        <v>25</v>
      </c>
      <c r="P995" s="24"/>
      <c r="Q995" s="160">
        <v>45161.75</v>
      </c>
      <c r="R995" s="160">
        <v>45163.895833333336</v>
      </c>
      <c r="S995" s="161">
        <v>45196.527083333334</v>
      </c>
      <c r="T995" s="210">
        <v>2150000</v>
      </c>
      <c r="U995" s="209">
        <f>Tabla1[[#This Row],[PPTO]]/(1+'Lista Datos'!$B$1)</f>
        <v>1806722.6890756304</v>
      </c>
      <c r="V995" s="67"/>
      <c r="W995" s="193" t="s">
        <v>10</v>
      </c>
      <c r="X995" s="127"/>
      <c r="Y995" s="127"/>
      <c r="Z995" s="154" t="s">
        <v>10</v>
      </c>
      <c r="AA995" s="30" t="s">
        <v>512</v>
      </c>
      <c r="AB995" s="30"/>
      <c r="AC995" s="30"/>
      <c r="AD995" s="30"/>
      <c r="AE995" s="145">
        <f>Tabla1[[#This Row],[Cierre]]+Tabla1[[#This Row],[Vigencia Oferta (días)]]</f>
        <v>45166.625</v>
      </c>
      <c r="AF995" s="68"/>
      <c r="AG995" s="157"/>
      <c r="AH995" s="194">
        <f>Tabla1[[#This Row],[Unidades2]]*Tabla1[[#This Row],[Precio Unitario]]</f>
        <v>0</v>
      </c>
      <c r="AI995" s="126" t="s">
        <v>270</v>
      </c>
      <c r="AJ995" s="149"/>
      <c r="AK995" s="149">
        <f>Tabla1[[#This Row],[Fecha Vigencia]]-AJ995</f>
        <v>45166.625</v>
      </c>
      <c r="AL995" s="68"/>
      <c r="AM995" s="91"/>
      <c r="AN995" s="68"/>
      <c r="AO995" s="218"/>
      <c r="AP995" s="68"/>
      <c r="AQ995" s="69"/>
      <c r="AR995" s="68"/>
      <c r="AS995" s="68"/>
      <c r="AT995" s="68"/>
      <c r="AU995" s="68"/>
      <c r="AV995" s="68"/>
      <c r="AW995" s="68"/>
      <c r="AX995" s="68"/>
      <c r="AY995" s="30"/>
      <c r="AZ995" s="30"/>
      <c r="BA995" s="30"/>
      <c r="BB995" s="75"/>
    </row>
    <row r="996" spans="1:54" x14ac:dyDescent="0.25">
      <c r="A996" s="153" t="s">
        <v>4781</v>
      </c>
      <c r="B996" s="30" t="s">
        <v>4782</v>
      </c>
      <c r="C996" s="30" t="s">
        <v>4783</v>
      </c>
      <c r="D996" s="84" t="s">
        <v>2990</v>
      </c>
      <c r="E996" s="24" t="s">
        <v>4784</v>
      </c>
      <c r="F996" s="25">
        <v>1</v>
      </c>
      <c r="G996" s="30" t="s">
        <v>16</v>
      </c>
      <c r="H996" s="30" t="s">
        <v>145</v>
      </c>
      <c r="I996" s="203">
        <v>45159.609722604197</v>
      </c>
      <c r="J996" s="121">
        <v>45169.625</v>
      </c>
      <c r="K996" s="121">
        <v>45159.609722604197</v>
      </c>
      <c r="L996" s="203">
        <v>45169.625</v>
      </c>
      <c r="M996" s="204">
        <v>45160</v>
      </c>
      <c r="N996" s="205" t="s">
        <v>11</v>
      </c>
      <c r="O996" s="203"/>
      <c r="P996" s="24"/>
      <c r="Q996" s="160">
        <v>45162.416666666664</v>
      </c>
      <c r="R996" s="160">
        <v>45163.708333333336</v>
      </c>
      <c r="S996" s="161">
        <v>45261.602777777778</v>
      </c>
      <c r="T996" s="210">
        <v>17899647</v>
      </c>
      <c r="U996" s="209">
        <f>Tabla1[[#This Row],[PPTO]]/(1+'Lista Datos'!$B$1)</f>
        <v>15041720.168067228</v>
      </c>
      <c r="V996" s="67"/>
      <c r="W996" s="193" t="s">
        <v>10</v>
      </c>
      <c r="X996" s="127"/>
      <c r="Y996" s="127"/>
      <c r="Z996" s="154" t="s">
        <v>10</v>
      </c>
      <c r="AA996" s="30" t="s">
        <v>177</v>
      </c>
      <c r="AB996" s="30">
        <v>18</v>
      </c>
      <c r="AC996" s="30"/>
      <c r="AD996" s="30"/>
      <c r="AE996" s="145">
        <f>Tabla1[[#This Row],[Cierre]]+Tabla1[[#This Row],[Vigencia Oferta (días)]]</f>
        <v>45169.625</v>
      </c>
      <c r="AF996" s="68"/>
      <c r="AG996" s="157"/>
      <c r="AH996" s="194">
        <f>Tabla1[[#This Row],[Unidades2]]*Tabla1[[#This Row],[Precio Unitario]]</f>
        <v>0</v>
      </c>
      <c r="AI996" s="126" t="s">
        <v>320</v>
      </c>
      <c r="AJ996" s="149"/>
      <c r="AK996" s="149">
        <f>Tabla1[[#This Row],[Fecha Vigencia]]-AJ996</f>
        <v>45169.625</v>
      </c>
      <c r="AL996" s="68"/>
      <c r="AM996" s="91"/>
      <c r="AN996" s="68"/>
      <c r="AO996" s="218"/>
      <c r="AP996" s="68"/>
      <c r="AQ996" s="69"/>
      <c r="AR996" s="68"/>
      <c r="AS996" s="68"/>
      <c r="AT996" s="68"/>
      <c r="AU996" s="68"/>
      <c r="AV996" s="68"/>
      <c r="AW996" s="68"/>
      <c r="AX996" s="68"/>
      <c r="AY996" s="30"/>
      <c r="AZ996" s="30"/>
      <c r="BA996" s="30"/>
      <c r="BB996" s="75"/>
    </row>
    <row r="997" spans="1:54" x14ac:dyDescent="0.25">
      <c r="A997" s="117" t="s">
        <v>4785</v>
      </c>
      <c r="B997" s="118" t="s">
        <v>4786</v>
      </c>
      <c r="C997" s="118" t="s">
        <v>4787</v>
      </c>
      <c r="D997" s="119" t="s">
        <v>2873</v>
      </c>
      <c r="E997" s="38" t="s">
        <v>4788</v>
      </c>
      <c r="F997" s="39">
        <v>2</v>
      </c>
      <c r="G997" s="118" t="s">
        <v>18</v>
      </c>
      <c r="H997" s="118" t="s">
        <v>213</v>
      </c>
      <c r="I997" s="206">
        <v>45159.6090569097</v>
      </c>
      <c r="J997" s="121">
        <v>45180.625694444403</v>
      </c>
      <c r="K997" s="121">
        <v>45159.6090569097</v>
      </c>
      <c r="L997" s="206">
        <v>45180.625694444403</v>
      </c>
      <c r="M997" s="211">
        <v>45160</v>
      </c>
      <c r="N997" s="207" t="s">
        <v>10</v>
      </c>
      <c r="O997" s="206" t="s">
        <v>25</v>
      </c>
      <c r="P997" s="38"/>
      <c r="Q997" s="147">
        <v>45169.666666666664</v>
      </c>
      <c r="R997" s="147">
        <v>45174.791666666664</v>
      </c>
      <c r="S997" s="148">
        <v>45210.646527777775</v>
      </c>
      <c r="T997" s="215">
        <v>152842000</v>
      </c>
      <c r="U997" s="214">
        <f>Tabla1[[#This Row],[PPTO]]/(1+'Lista Datos'!$B$1)</f>
        <v>128438655.46218488</v>
      </c>
      <c r="V997" s="64"/>
      <c r="W997" s="191" t="s">
        <v>11</v>
      </c>
      <c r="X997" s="122">
        <v>500000</v>
      </c>
      <c r="Y997" s="149">
        <v>45300</v>
      </c>
      <c r="Z997" s="123" t="s">
        <v>11</v>
      </c>
      <c r="AA997" s="118" t="s">
        <v>177</v>
      </c>
      <c r="AB997" s="118">
        <v>60</v>
      </c>
      <c r="AC997" s="118"/>
      <c r="AD997" s="118"/>
      <c r="AE997" s="145">
        <f>Tabla1[[#This Row],[Cierre]]+Tabla1[[#This Row],[Vigencia Oferta (días)]]</f>
        <v>45180.625694444403</v>
      </c>
      <c r="AF997" s="65"/>
      <c r="AG997" s="181"/>
      <c r="AH997" s="192">
        <f>Tabla1[[#This Row],[Unidades2]]*Tabla1[[#This Row],[Precio Unitario]]</f>
        <v>0</v>
      </c>
      <c r="AI997" s="126" t="s">
        <v>270</v>
      </c>
      <c r="AJ997" s="149"/>
      <c r="AK997" s="149">
        <f>Tabla1[[#This Row],[Fecha Vigencia]]-AJ997</f>
        <v>45180.625694444403</v>
      </c>
      <c r="AL997" s="65"/>
      <c r="AM997" s="90"/>
      <c r="AN997" s="65"/>
      <c r="AO997" s="217"/>
      <c r="AP997" s="65"/>
      <c r="AQ997" s="66"/>
      <c r="AR997" s="65"/>
      <c r="AS997" s="65"/>
      <c r="AT997" s="65"/>
      <c r="AU997" s="65"/>
      <c r="AV997" s="65"/>
      <c r="AW997" s="65"/>
      <c r="AX997" s="65"/>
      <c r="AY997" s="118"/>
      <c r="AZ997" s="118"/>
      <c r="BA997" s="118"/>
      <c r="BB997" s="124"/>
    </row>
    <row r="998" spans="1:54" x14ac:dyDescent="0.25">
      <c r="A998" s="153" t="s">
        <v>4789</v>
      </c>
      <c r="B998" s="30" t="s">
        <v>4790</v>
      </c>
      <c r="C998" s="30" t="s">
        <v>4791</v>
      </c>
      <c r="D998" s="84" t="s">
        <v>1066</v>
      </c>
      <c r="E998" s="24" t="s">
        <v>4792</v>
      </c>
      <c r="F998" s="25">
        <v>2</v>
      </c>
      <c r="G998" s="30" t="s">
        <v>18</v>
      </c>
      <c r="H998" s="30" t="s">
        <v>213</v>
      </c>
      <c r="I998" s="203">
        <v>45159.5594319097</v>
      </c>
      <c r="J998" s="38">
        <v>45170.704861111102</v>
      </c>
      <c r="K998" s="38">
        <v>45159.5594319097</v>
      </c>
      <c r="L998" s="203">
        <v>45170.704861111102</v>
      </c>
      <c r="M998" s="204">
        <v>45160</v>
      </c>
      <c r="N998" s="205" t="s">
        <v>10</v>
      </c>
      <c r="O998" s="203" t="s">
        <v>25</v>
      </c>
      <c r="P998" s="24"/>
      <c r="Q998" s="160">
        <v>45166.661111111112</v>
      </c>
      <c r="R998" s="160">
        <v>45168.709722222222</v>
      </c>
      <c r="S998" s="161">
        <v>45198.708333333336</v>
      </c>
      <c r="T998" s="210">
        <v>18000000</v>
      </c>
      <c r="U998" s="209">
        <f>Tabla1[[#This Row],[PPTO]]/(1+'Lista Datos'!$B$1)</f>
        <v>15126050.420168068</v>
      </c>
      <c r="V998" s="67"/>
      <c r="W998" s="193" t="s">
        <v>10</v>
      </c>
      <c r="X998" s="127"/>
      <c r="Y998" s="127"/>
      <c r="Z998" s="154" t="s">
        <v>10</v>
      </c>
      <c r="AA998" s="30" t="s">
        <v>177</v>
      </c>
      <c r="AB998" s="30">
        <v>24</v>
      </c>
      <c r="AC998" s="30"/>
      <c r="AD998" s="30"/>
      <c r="AE998" s="145">
        <f>Tabla1[[#This Row],[Cierre]]+Tabla1[[#This Row],[Vigencia Oferta (días)]]</f>
        <v>45170.704861111102</v>
      </c>
      <c r="AF998" s="68"/>
      <c r="AG998" s="157"/>
      <c r="AH998" s="194">
        <f>Tabla1[[#This Row],[Unidades2]]*Tabla1[[#This Row],[Precio Unitario]]</f>
        <v>0</v>
      </c>
      <c r="AI998" s="126" t="s">
        <v>270</v>
      </c>
      <c r="AJ998" s="149"/>
      <c r="AK998" s="149">
        <f>Tabla1[[#This Row],[Fecha Vigencia]]-AJ998</f>
        <v>45170.704861111102</v>
      </c>
      <c r="AL998" s="68"/>
      <c r="AM998" s="91"/>
      <c r="AN998" s="68"/>
      <c r="AO998" s="218"/>
      <c r="AP998" s="68"/>
      <c r="AQ998" s="69"/>
      <c r="AR998" s="68"/>
      <c r="AS998" s="68"/>
      <c r="AT998" s="68"/>
      <c r="AU998" s="68"/>
      <c r="AV998" s="68"/>
      <c r="AW998" s="68"/>
      <c r="AX998" s="68"/>
      <c r="AY998" s="30"/>
      <c r="AZ998" s="30"/>
      <c r="BA998" s="30"/>
      <c r="BB998" s="75"/>
    </row>
    <row r="999" spans="1:54" x14ac:dyDescent="0.25">
      <c r="A999" s="153" t="s">
        <v>4793</v>
      </c>
      <c r="B999" s="30" t="s">
        <v>4794</v>
      </c>
      <c r="C999" s="30" t="s">
        <v>4795</v>
      </c>
      <c r="D999" s="84" t="s">
        <v>4796</v>
      </c>
      <c r="E999" s="24" t="s">
        <v>4797</v>
      </c>
      <c r="F999" s="25">
        <v>1</v>
      </c>
      <c r="G999" s="30" t="s">
        <v>16</v>
      </c>
      <c r="H999" s="30" t="s">
        <v>123</v>
      </c>
      <c r="I999" s="203">
        <v>45159.536460451403</v>
      </c>
      <c r="J999" s="121">
        <v>45169.417361111096</v>
      </c>
      <c r="K999" s="121">
        <v>45159.536460451403</v>
      </c>
      <c r="L999" s="203">
        <v>45169.417361111096</v>
      </c>
      <c r="M999" s="204">
        <v>45160</v>
      </c>
      <c r="N999" s="205" t="s">
        <v>11</v>
      </c>
      <c r="O999" s="203"/>
      <c r="P999" s="24"/>
      <c r="Q999" s="160">
        <v>45161.683333333334</v>
      </c>
      <c r="R999" s="160">
        <v>45163.683333333334</v>
      </c>
      <c r="S999" s="161">
        <v>45170.418055555558</v>
      </c>
      <c r="T999" s="210">
        <v>15000000</v>
      </c>
      <c r="U999" s="209">
        <f>Tabla1[[#This Row],[PPTO]]/(1+'Lista Datos'!$B$1)</f>
        <v>12605042.016806724</v>
      </c>
      <c r="V999" s="67"/>
      <c r="W999" s="193" t="s">
        <v>10</v>
      </c>
      <c r="X999" s="127"/>
      <c r="Y999" s="127"/>
      <c r="Z999" s="154" t="s">
        <v>10</v>
      </c>
      <c r="AA999" s="30" t="s">
        <v>177</v>
      </c>
      <c r="AB999" s="30">
        <v>36</v>
      </c>
      <c r="AC999" s="30"/>
      <c r="AD999" s="30"/>
      <c r="AE999" s="145">
        <f>Tabla1[[#This Row],[Cierre]]+Tabla1[[#This Row],[Vigencia Oferta (días)]]</f>
        <v>45169.417361111096</v>
      </c>
      <c r="AF999" s="68"/>
      <c r="AG999" s="157"/>
      <c r="AH999" s="194">
        <f>Tabla1[[#This Row],[Unidades2]]*Tabla1[[#This Row],[Precio Unitario]]</f>
        <v>0</v>
      </c>
      <c r="AI999" s="126" t="s">
        <v>44</v>
      </c>
      <c r="AJ999" s="149">
        <v>45243</v>
      </c>
      <c r="AK999" s="149">
        <f>Tabla1[[#This Row],[Fecha Vigencia]]-AJ999</f>
        <v>-73.582638888903602</v>
      </c>
      <c r="AL999" s="68" t="s">
        <v>4798</v>
      </c>
      <c r="AM999" s="91">
        <v>15000000</v>
      </c>
      <c r="AN999" s="157">
        <v>45243</v>
      </c>
      <c r="AO999" s="218">
        <v>46339</v>
      </c>
      <c r="AP999" s="68" t="s">
        <v>177</v>
      </c>
      <c r="AQ999" s="69"/>
      <c r="AR999" s="68"/>
      <c r="AS999" s="68"/>
      <c r="AT999" s="68"/>
      <c r="AU999" s="68"/>
      <c r="AV999" s="68"/>
      <c r="AW999" s="68"/>
      <c r="AX999" s="68"/>
      <c r="AY999" s="30"/>
      <c r="AZ999" s="30"/>
      <c r="BA999" s="30"/>
      <c r="BB999" s="75"/>
    </row>
    <row r="1000" spans="1:54" x14ac:dyDescent="0.25">
      <c r="A1000" s="117" t="s">
        <v>4799</v>
      </c>
      <c r="B1000" s="118" t="s">
        <v>4800</v>
      </c>
      <c r="C1000" s="118" t="s">
        <v>4801</v>
      </c>
      <c r="D1000" s="119" t="s">
        <v>1821</v>
      </c>
      <c r="E1000" s="38" t="s">
        <v>4802</v>
      </c>
      <c r="F1000" s="39">
        <v>20</v>
      </c>
      <c r="G1000" s="118" t="s">
        <v>21</v>
      </c>
      <c r="H1000" s="118" t="s">
        <v>106</v>
      </c>
      <c r="I1000" s="206">
        <v>45159.527217048599</v>
      </c>
      <c r="J1000" s="121">
        <v>45166.628472222197</v>
      </c>
      <c r="K1000" s="121">
        <v>45159.527217048599</v>
      </c>
      <c r="L1000" s="206">
        <v>45166.628472222197</v>
      </c>
      <c r="M1000" s="211">
        <v>45160</v>
      </c>
      <c r="N1000" s="207" t="s">
        <v>10</v>
      </c>
      <c r="O1000" s="206" t="s">
        <v>33</v>
      </c>
      <c r="P1000" s="24" t="s">
        <v>10</v>
      </c>
      <c r="Q1000" s="147">
        <v>45162.628472222219</v>
      </c>
      <c r="R1000" s="147">
        <v>45163.628472222219</v>
      </c>
      <c r="S1000" s="148">
        <v>45180.75</v>
      </c>
      <c r="T1000" s="38"/>
      <c r="U1000" s="65">
        <f>Tabla1[[#This Row],[PPTO]]/(1+'Lista Datos'!$B$1)</f>
        <v>0</v>
      </c>
      <c r="V1000" s="64"/>
      <c r="W1000" s="191" t="s">
        <v>10</v>
      </c>
      <c r="X1000" s="122"/>
      <c r="Y1000" s="122"/>
      <c r="Z1000" s="123" t="s">
        <v>10</v>
      </c>
      <c r="AA1000" s="118" t="s">
        <v>512</v>
      </c>
      <c r="AB1000" s="118"/>
      <c r="AC1000" s="118"/>
      <c r="AD1000" s="118"/>
      <c r="AE1000" s="145">
        <f>Tabla1[[#This Row],[Cierre]]+Tabla1[[#This Row],[Vigencia Oferta (días)]]</f>
        <v>45166.628472222197</v>
      </c>
      <c r="AF1000" s="65"/>
      <c r="AG1000" s="181"/>
      <c r="AH1000" s="192">
        <f>Tabla1[[#This Row],[Unidades2]]*Tabla1[[#This Row],[Precio Unitario]]</f>
        <v>0</v>
      </c>
      <c r="AI1000" s="126" t="s">
        <v>270</v>
      </c>
      <c r="AJ1000" s="149"/>
      <c r="AK1000" s="149">
        <f>Tabla1[[#This Row],[Fecha Vigencia]]-AJ1000</f>
        <v>45166.628472222197</v>
      </c>
      <c r="AL1000" s="65"/>
      <c r="AM1000" s="90"/>
      <c r="AN1000" s="65"/>
      <c r="AO1000" s="217"/>
      <c r="AP1000" s="65"/>
      <c r="AQ1000" s="66"/>
      <c r="AR1000" s="65"/>
      <c r="AS1000" s="65"/>
      <c r="AT1000" s="65"/>
      <c r="AU1000" s="65"/>
      <c r="AV1000" s="65"/>
      <c r="AW1000" s="65"/>
      <c r="AX1000" s="65"/>
      <c r="AY1000" s="118"/>
      <c r="AZ1000" s="118"/>
      <c r="BA1000" s="118"/>
      <c r="BB1000" s="124"/>
    </row>
    <row r="1001" spans="1:54" x14ac:dyDescent="0.25">
      <c r="A1001" s="153" t="s">
        <v>4803</v>
      </c>
      <c r="B1001" s="30" t="s">
        <v>4804</v>
      </c>
      <c r="C1001" s="30" t="s">
        <v>4805</v>
      </c>
      <c r="D1001" s="84" t="s">
        <v>4340</v>
      </c>
      <c r="E1001" s="24" t="s">
        <v>4806</v>
      </c>
      <c r="F1001" s="25">
        <v>50</v>
      </c>
      <c r="G1001" s="30" t="s">
        <v>21</v>
      </c>
      <c r="H1001" s="30" t="s">
        <v>106</v>
      </c>
      <c r="I1001" s="203">
        <v>45160.747578738403</v>
      </c>
      <c r="J1001" s="38">
        <v>45170.556250000001</v>
      </c>
      <c r="K1001" s="38">
        <v>45160.747578738403</v>
      </c>
      <c r="L1001" s="203">
        <v>45170.556250000001</v>
      </c>
      <c r="M1001" s="204">
        <v>45161</v>
      </c>
      <c r="N1001" s="205" t="s">
        <v>10</v>
      </c>
      <c r="O1001" s="206" t="s">
        <v>34</v>
      </c>
      <c r="P1001" s="24"/>
      <c r="Q1001" s="60"/>
      <c r="R1001" s="60"/>
      <c r="S1001" s="18"/>
      <c r="T1001" s="24"/>
      <c r="U1001" s="68">
        <f>Tabla1[[#This Row],[PPTO]]/(1+'Lista Datos'!$B$1)</f>
        <v>0</v>
      </c>
      <c r="V1001" s="67"/>
      <c r="W1001" s="193"/>
      <c r="X1001" s="127"/>
      <c r="Y1001" s="127"/>
      <c r="Z1001" s="154"/>
      <c r="AA1001" s="30"/>
      <c r="AB1001" s="30"/>
      <c r="AC1001" s="30"/>
      <c r="AD1001" s="30"/>
      <c r="AE1001" s="145">
        <f>Tabla1[[#This Row],[Cierre]]+Tabla1[[#This Row],[Vigencia Oferta (días)]]</f>
        <v>45170.556250000001</v>
      </c>
      <c r="AF1001" s="68"/>
      <c r="AG1001" s="157"/>
      <c r="AH1001" s="194">
        <f>Tabla1[[#This Row],[Unidades2]]*Tabla1[[#This Row],[Precio Unitario]]</f>
        <v>0</v>
      </c>
      <c r="AI1001" s="97" t="s">
        <v>270</v>
      </c>
      <c r="AJ1001" s="149"/>
      <c r="AK1001" s="149">
        <f>Tabla1[[#This Row],[Fecha Vigencia]]-AJ1001</f>
        <v>45170.556250000001</v>
      </c>
      <c r="AL1001" s="68"/>
      <c r="AM1001" s="91"/>
      <c r="AN1001" s="68"/>
      <c r="AO1001" s="218"/>
      <c r="AP1001" s="68"/>
      <c r="AQ1001" s="69"/>
      <c r="AR1001" s="68"/>
      <c r="AS1001" s="68"/>
      <c r="AT1001" s="68"/>
      <c r="AU1001" s="68"/>
      <c r="AV1001" s="68"/>
      <c r="AW1001" s="68"/>
      <c r="AX1001" s="68"/>
      <c r="AY1001" s="30"/>
      <c r="AZ1001" s="30"/>
      <c r="BA1001" s="30"/>
      <c r="BB1001" s="75"/>
    </row>
    <row r="1002" spans="1:54" x14ac:dyDescent="0.25">
      <c r="A1002" s="117" t="s">
        <v>4807</v>
      </c>
      <c r="B1002" s="118" t="s">
        <v>4808</v>
      </c>
      <c r="C1002" s="118" t="s">
        <v>4809</v>
      </c>
      <c r="D1002" s="119" t="s">
        <v>4810</v>
      </c>
      <c r="E1002" s="38" t="s">
        <v>4811</v>
      </c>
      <c r="F1002" s="39">
        <v>2</v>
      </c>
      <c r="G1002" s="118" t="s">
        <v>21</v>
      </c>
      <c r="H1002" s="118" t="s">
        <v>106</v>
      </c>
      <c r="I1002" s="206">
        <v>45160.738985300901</v>
      </c>
      <c r="J1002" s="121">
        <v>45166.625</v>
      </c>
      <c r="K1002" s="121">
        <v>45160.738985300901</v>
      </c>
      <c r="L1002" s="206">
        <v>45166.625</v>
      </c>
      <c r="M1002" s="211">
        <v>45161</v>
      </c>
      <c r="N1002" s="207" t="s">
        <v>10</v>
      </c>
      <c r="O1002" s="206" t="s">
        <v>35</v>
      </c>
      <c r="P1002" s="24"/>
      <c r="Q1002" s="147">
        <v>45163.739583333336</v>
      </c>
      <c r="R1002" s="147">
        <v>45164.739583333336</v>
      </c>
      <c r="S1002" s="148">
        <v>45197.625694444447</v>
      </c>
      <c r="T1002" s="38"/>
      <c r="U1002" s="65">
        <f>Tabla1[[#This Row],[PPTO]]/(1+'Lista Datos'!$B$1)</f>
        <v>0</v>
      </c>
      <c r="V1002" s="64"/>
      <c r="W1002" s="191" t="s">
        <v>10</v>
      </c>
      <c r="X1002" s="122"/>
      <c r="Y1002" s="122"/>
      <c r="Z1002" s="123" t="s">
        <v>10</v>
      </c>
      <c r="AA1002" s="118" t="s">
        <v>512</v>
      </c>
      <c r="AB1002" s="118"/>
      <c r="AC1002" s="118"/>
      <c r="AD1002" s="118"/>
      <c r="AE1002" s="145">
        <f>Tabla1[[#This Row],[Cierre]]+Tabla1[[#This Row],[Vigencia Oferta (días)]]</f>
        <v>45166.625</v>
      </c>
      <c r="AF1002" s="65"/>
      <c r="AG1002" s="181"/>
      <c r="AH1002" s="192">
        <f>Tabla1[[#This Row],[Unidades2]]*Tabla1[[#This Row],[Precio Unitario]]</f>
        <v>0</v>
      </c>
      <c r="AI1002" s="126" t="s">
        <v>270</v>
      </c>
      <c r="AJ1002" s="149"/>
      <c r="AK1002" s="149">
        <f>Tabla1[[#This Row],[Fecha Vigencia]]-AJ1002</f>
        <v>45166.625</v>
      </c>
      <c r="AL1002" s="65"/>
      <c r="AM1002" s="90"/>
      <c r="AN1002" s="65"/>
      <c r="AO1002" s="217"/>
      <c r="AP1002" s="65"/>
      <c r="AQ1002" s="66"/>
      <c r="AR1002" s="65"/>
      <c r="AS1002" s="65"/>
      <c r="AT1002" s="65"/>
      <c r="AU1002" s="65"/>
      <c r="AV1002" s="65"/>
      <c r="AW1002" s="65"/>
      <c r="AX1002" s="65"/>
      <c r="AY1002" s="118"/>
      <c r="AZ1002" s="118"/>
      <c r="BA1002" s="118"/>
      <c r="BB1002" s="124"/>
    </row>
    <row r="1003" spans="1:54" x14ac:dyDescent="0.25">
      <c r="A1003" s="153" t="s">
        <v>4812</v>
      </c>
      <c r="B1003" s="30" t="s">
        <v>4813</v>
      </c>
      <c r="C1003" s="30" t="s">
        <v>4814</v>
      </c>
      <c r="D1003" s="84" t="s">
        <v>378</v>
      </c>
      <c r="E1003" s="24" t="s">
        <v>4815</v>
      </c>
      <c r="F1003" s="25">
        <v>15</v>
      </c>
      <c r="G1003" s="30" t="s">
        <v>14</v>
      </c>
      <c r="H1003" s="30" t="s">
        <v>345</v>
      </c>
      <c r="I1003" s="203">
        <v>45160.735277280102</v>
      </c>
      <c r="J1003" s="38">
        <v>45170.645138888904</v>
      </c>
      <c r="K1003" s="38">
        <v>45160.735277280102</v>
      </c>
      <c r="L1003" s="203">
        <v>45170.645138888904</v>
      </c>
      <c r="M1003" s="204">
        <v>45161</v>
      </c>
      <c r="N1003" s="205" t="s">
        <v>10</v>
      </c>
      <c r="O1003" s="203" t="s">
        <v>25</v>
      </c>
      <c r="P1003" s="24"/>
      <c r="Q1003" s="160">
        <v>45163.690972222219</v>
      </c>
      <c r="R1003" s="160">
        <v>45166.857638888891</v>
      </c>
      <c r="S1003" s="161">
        <v>45198.645833333336</v>
      </c>
      <c r="T1003" s="210">
        <v>6200000</v>
      </c>
      <c r="U1003" s="209">
        <f>Tabla1[[#This Row],[PPTO]]/(1+'Lista Datos'!$B$1)</f>
        <v>5210084.0336134452</v>
      </c>
      <c r="V1003" s="67"/>
      <c r="W1003" s="193" t="s">
        <v>10</v>
      </c>
      <c r="X1003" s="127"/>
      <c r="Y1003" s="127"/>
      <c r="Z1003" s="154" t="s">
        <v>10</v>
      </c>
      <c r="AA1003" s="30" t="s">
        <v>512</v>
      </c>
      <c r="AB1003" s="30"/>
      <c r="AC1003" s="30"/>
      <c r="AD1003" s="30"/>
      <c r="AE1003" s="145">
        <f>Tabla1[[#This Row],[Cierre]]+Tabla1[[#This Row],[Vigencia Oferta (días)]]</f>
        <v>45170.645138888904</v>
      </c>
      <c r="AF1003" s="68"/>
      <c r="AG1003" s="157"/>
      <c r="AH1003" s="194">
        <f>Tabla1[[#This Row],[Unidades2]]*Tabla1[[#This Row],[Precio Unitario]]</f>
        <v>0</v>
      </c>
      <c r="AI1003" s="97" t="s">
        <v>270</v>
      </c>
      <c r="AJ1003" s="149"/>
      <c r="AK1003" s="149">
        <f>Tabla1[[#This Row],[Fecha Vigencia]]-AJ1003</f>
        <v>45170.645138888904</v>
      </c>
      <c r="AL1003" s="68"/>
      <c r="AM1003" s="91"/>
      <c r="AN1003" s="68"/>
      <c r="AO1003" s="218"/>
      <c r="AP1003" s="68"/>
      <c r="AQ1003" s="69"/>
      <c r="AR1003" s="68"/>
      <c r="AS1003" s="68"/>
      <c r="AT1003" s="68"/>
      <c r="AU1003" s="68"/>
      <c r="AV1003" s="68"/>
      <c r="AW1003" s="68"/>
      <c r="AX1003" s="68"/>
      <c r="AY1003" s="30"/>
      <c r="AZ1003" s="30"/>
      <c r="BA1003" s="30"/>
      <c r="BB1003" s="75"/>
    </row>
    <row r="1004" spans="1:54" x14ac:dyDescent="0.25">
      <c r="A1004" s="117" t="s">
        <v>4816</v>
      </c>
      <c r="B1004" s="118" t="s">
        <v>4817</v>
      </c>
      <c r="C1004" s="118" t="s">
        <v>4818</v>
      </c>
      <c r="D1004" s="119" t="s">
        <v>4158</v>
      </c>
      <c r="E1004" s="38" t="s">
        <v>4819</v>
      </c>
      <c r="F1004" s="39">
        <v>2</v>
      </c>
      <c r="G1004" s="118" t="s">
        <v>21</v>
      </c>
      <c r="H1004" s="118" t="s">
        <v>106</v>
      </c>
      <c r="I1004" s="206">
        <v>45160.594164085604</v>
      </c>
      <c r="J1004" s="121">
        <v>45166.688888888901</v>
      </c>
      <c r="K1004" s="121">
        <v>45160.594164085604</v>
      </c>
      <c r="L1004" s="206">
        <v>45166.688888888901</v>
      </c>
      <c r="M1004" s="211">
        <v>45161</v>
      </c>
      <c r="N1004" s="207" t="s">
        <v>10</v>
      </c>
      <c r="O1004" s="206" t="s">
        <v>35</v>
      </c>
      <c r="P1004" s="24"/>
      <c r="Q1004" s="147">
        <v>45161.688888888886</v>
      </c>
      <c r="R1004" s="147">
        <v>45162.688888888886</v>
      </c>
      <c r="S1004" s="148">
        <v>45167.688888888886</v>
      </c>
      <c r="T1004" s="215">
        <v>4000000</v>
      </c>
      <c r="U1004" s="214">
        <f>Tabla1[[#This Row],[PPTO]]/(1+'Lista Datos'!$B$1)</f>
        <v>3361344.5378151261</v>
      </c>
      <c r="V1004" s="64"/>
      <c r="W1004" s="191" t="s">
        <v>10</v>
      </c>
      <c r="X1004" s="122"/>
      <c r="Y1004" s="122"/>
      <c r="Z1004" s="123" t="s">
        <v>10</v>
      </c>
      <c r="AA1004" s="118" t="s">
        <v>512</v>
      </c>
      <c r="AB1004" s="118"/>
      <c r="AC1004" s="118"/>
      <c r="AD1004" s="118"/>
      <c r="AE1004" s="145">
        <f>Tabla1[[#This Row],[Cierre]]+Tabla1[[#This Row],[Vigencia Oferta (días)]]</f>
        <v>45166.688888888901</v>
      </c>
      <c r="AF1004" s="65"/>
      <c r="AG1004" s="181"/>
      <c r="AH1004" s="192">
        <f>Tabla1[[#This Row],[Unidades2]]*Tabla1[[#This Row],[Precio Unitario]]</f>
        <v>0</v>
      </c>
      <c r="AI1004" s="126" t="s">
        <v>270</v>
      </c>
      <c r="AJ1004" s="149"/>
      <c r="AK1004" s="149">
        <f>Tabla1[[#This Row],[Fecha Vigencia]]-AJ1004</f>
        <v>45166.688888888901</v>
      </c>
      <c r="AL1004" s="65"/>
      <c r="AM1004" s="90"/>
      <c r="AN1004" s="65"/>
      <c r="AO1004" s="217"/>
      <c r="AP1004" s="65"/>
      <c r="AQ1004" s="66"/>
      <c r="AR1004" s="65"/>
      <c r="AS1004" s="65"/>
      <c r="AT1004" s="65"/>
      <c r="AU1004" s="65"/>
      <c r="AV1004" s="65"/>
      <c r="AW1004" s="65"/>
      <c r="AX1004" s="65"/>
      <c r="AY1004" s="118"/>
      <c r="AZ1004" s="118"/>
      <c r="BA1004" s="118"/>
      <c r="BB1004" s="124"/>
    </row>
    <row r="1005" spans="1:54" x14ac:dyDescent="0.25">
      <c r="A1005" s="117" t="s">
        <v>4820</v>
      </c>
      <c r="B1005" s="118" t="s">
        <v>4821</v>
      </c>
      <c r="C1005" s="118" t="s">
        <v>4822</v>
      </c>
      <c r="D1005" s="119" t="s">
        <v>4099</v>
      </c>
      <c r="E1005" s="38" t="s">
        <v>4823</v>
      </c>
      <c r="F1005" s="39">
        <v>1</v>
      </c>
      <c r="G1005" s="118" t="s">
        <v>21</v>
      </c>
      <c r="H1005" s="118" t="s">
        <v>106</v>
      </c>
      <c r="I1005" s="206">
        <v>45160.357362615701</v>
      </c>
      <c r="J1005" s="38">
        <v>45169.625</v>
      </c>
      <c r="K1005" s="38">
        <v>45160.357362615701</v>
      </c>
      <c r="L1005" s="206">
        <v>45169.625</v>
      </c>
      <c r="M1005" s="211">
        <v>45161</v>
      </c>
      <c r="N1005" s="207" t="s">
        <v>10</v>
      </c>
      <c r="O1005" s="206" t="s">
        <v>28</v>
      </c>
      <c r="P1005" s="24"/>
      <c r="Q1005" s="147">
        <v>45163.625</v>
      </c>
      <c r="R1005" s="147">
        <v>45166.666666666664</v>
      </c>
      <c r="S1005" s="148">
        <v>45169.666666666664</v>
      </c>
      <c r="T1005" s="38"/>
      <c r="U1005" s="65">
        <f>Tabla1[[#This Row],[PPTO]]/(1+'Lista Datos'!$B$1)</f>
        <v>0</v>
      </c>
      <c r="V1005" s="64"/>
      <c r="W1005" s="191" t="s">
        <v>10</v>
      </c>
      <c r="X1005" s="122"/>
      <c r="Y1005" s="122"/>
      <c r="Z1005" s="123" t="s">
        <v>10</v>
      </c>
      <c r="AA1005" s="118" t="s">
        <v>177</v>
      </c>
      <c r="AB1005" s="118">
        <v>12</v>
      </c>
      <c r="AC1005" s="118"/>
      <c r="AD1005" s="118"/>
      <c r="AE1005" s="145">
        <f>Tabla1[[#This Row],[Cierre]]+Tabla1[[#This Row],[Vigencia Oferta (días)]]</f>
        <v>45169.625</v>
      </c>
      <c r="AF1005" s="65"/>
      <c r="AG1005" s="181"/>
      <c r="AH1005" s="192">
        <f>Tabla1[[#This Row],[Unidades2]]*Tabla1[[#This Row],[Precio Unitario]]</f>
        <v>0</v>
      </c>
      <c r="AI1005" s="126" t="s">
        <v>270</v>
      </c>
      <c r="AJ1005" s="149"/>
      <c r="AK1005" s="149">
        <f>Tabla1[[#This Row],[Fecha Vigencia]]-AJ1005</f>
        <v>45169.625</v>
      </c>
      <c r="AL1005" s="65"/>
      <c r="AM1005" s="90"/>
      <c r="AN1005" s="65"/>
      <c r="AO1005" s="217"/>
      <c r="AP1005" s="65"/>
      <c r="AQ1005" s="66"/>
      <c r="AR1005" s="65"/>
      <c r="AS1005" s="65"/>
      <c r="AT1005" s="65"/>
      <c r="AU1005" s="65"/>
      <c r="AV1005" s="65"/>
      <c r="AW1005" s="65"/>
      <c r="AX1005" s="65"/>
      <c r="AY1005" s="118"/>
      <c r="AZ1005" s="118"/>
      <c r="BA1005" s="118"/>
      <c r="BB1005" s="124"/>
    </row>
    <row r="1006" spans="1:54" x14ac:dyDescent="0.25">
      <c r="A1006" s="153" t="s">
        <v>4824</v>
      </c>
      <c r="B1006" s="30" t="s">
        <v>4825</v>
      </c>
      <c r="C1006" s="30" t="s">
        <v>4826</v>
      </c>
      <c r="D1006" s="84" t="s">
        <v>234</v>
      </c>
      <c r="E1006" s="24" t="s">
        <v>4827</v>
      </c>
      <c r="F1006" s="25">
        <v>1</v>
      </c>
      <c r="G1006" s="30" t="s">
        <v>18</v>
      </c>
      <c r="H1006" s="30" t="s">
        <v>213</v>
      </c>
      <c r="I1006" s="203">
        <v>45161.362824965297</v>
      </c>
      <c r="J1006" s="38">
        <v>45166.666666666701</v>
      </c>
      <c r="K1006" s="38">
        <v>45161.362824965297</v>
      </c>
      <c r="L1006" s="203">
        <v>45166.666666666701</v>
      </c>
      <c r="M1006" s="204">
        <v>45162</v>
      </c>
      <c r="N1006" s="205" t="s">
        <v>10</v>
      </c>
      <c r="O1006" s="203" t="s">
        <v>25</v>
      </c>
      <c r="P1006" s="24"/>
      <c r="Q1006" s="160">
        <v>45162.5</v>
      </c>
      <c r="R1006" s="160">
        <v>45163.625</v>
      </c>
      <c r="S1006" s="161">
        <v>45176.75</v>
      </c>
      <c r="T1006" s="210">
        <v>6315000</v>
      </c>
      <c r="U1006" s="209">
        <f>Tabla1[[#This Row],[PPTO]]/(1+'Lista Datos'!$B$1)</f>
        <v>5306722.6890756302</v>
      </c>
      <c r="V1006" s="67"/>
      <c r="W1006" s="193" t="s">
        <v>10</v>
      </c>
      <c r="X1006" s="127"/>
      <c r="Y1006" s="127"/>
      <c r="Z1006" s="154" t="s">
        <v>10</v>
      </c>
      <c r="AA1006" s="30" t="s">
        <v>512</v>
      </c>
      <c r="AB1006" s="30"/>
      <c r="AC1006" s="30"/>
      <c r="AD1006" s="30"/>
      <c r="AE1006" s="145">
        <f>Tabla1[[#This Row],[Cierre]]+Tabla1[[#This Row],[Vigencia Oferta (días)]]</f>
        <v>45166.666666666701</v>
      </c>
      <c r="AF1006" s="68"/>
      <c r="AG1006" s="157"/>
      <c r="AH1006" s="194">
        <f>Tabla1[[#This Row],[Unidades2]]*Tabla1[[#This Row],[Precio Unitario]]</f>
        <v>0</v>
      </c>
      <c r="AI1006" s="97" t="s">
        <v>270</v>
      </c>
      <c r="AJ1006" s="149"/>
      <c r="AK1006" s="149">
        <f>Tabla1[[#This Row],[Fecha Vigencia]]-AJ1006</f>
        <v>45166.666666666701</v>
      </c>
      <c r="AL1006" s="68"/>
      <c r="AM1006" s="91"/>
      <c r="AN1006" s="68"/>
      <c r="AO1006" s="218"/>
      <c r="AP1006" s="68"/>
      <c r="AQ1006" s="69"/>
      <c r="AR1006" s="68"/>
      <c r="AS1006" s="68"/>
      <c r="AT1006" s="68"/>
      <c r="AU1006" s="68"/>
      <c r="AV1006" s="68"/>
      <c r="AW1006" s="68"/>
      <c r="AX1006" s="68"/>
      <c r="AY1006" s="30"/>
      <c r="AZ1006" s="30"/>
      <c r="BA1006" s="30"/>
      <c r="BB1006" s="75"/>
    </row>
    <row r="1007" spans="1:54" x14ac:dyDescent="0.25">
      <c r="A1007" s="153" t="s">
        <v>4828</v>
      </c>
      <c r="B1007" s="30" t="s">
        <v>4829</v>
      </c>
      <c r="C1007" s="30" t="s">
        <v>4830</v>
      </c>
      <c r="D1007" s="84" t="s">
        <v>1448</v>
      </c>
      <c r="E1007" s="24" t="s">
        <v>4831</v>
      </c>
      <c r="F1007" s="25">
        <v>1</v>
      </c>
      <c r="G1007" s="30" t="s">
        <v>20</v>
      </c>
      <c r="H1007" s="30" t="s">
        <v>106</v>
      </c>
      <c r="I1007" s="203">
        <v>45162.389745370368</v>
      </c>
      <c r="J1007" s="121">
        <v>45168.710416666669</v>
      </c>
      <c r="K1007" s="121">
        <v>45162.389745370368</v>
      </c>
      <c r="L1007" s="203">
        <v>45168.710416666669</v>
      </c>
      <c r="M1007" s="204">
        <v>45162</v>
      </c>
      <c r="N1007" s="205" t="s">
        <v>10</v>
      </c>
      <c r="O1007" s="206" t="s">
        <v>33</v>
      </c>
      <c r="P1007" s="24" t="s">
        <v>11</v>
      </c>
      <c r="Q1007" s="160">
        <v>45166.708333333336</v>
      </c>
      <c r="R1007" s="160">
        <v>45167.709027777775</v>
      </c>
      <c r="S1007" s="161">
        <v>45229.629166666666</v>
      </c>
      <c r="T1007" s="210">
        <v>30000000</v>
      </c>
      <c r="U1007" s="209">
        <f>Tabla1[[#This Row],[PPTO]]/(1+'Lista Datos'!$B$1)</f>
        <v>25210084.033613447</v>
      </c>
      <c r="V1007" s="67"/>
      <c r="W1007" s="193" t="s">
        <v>11</v>
      </c>
      <c r="X1007" s="127">
        <v>500000</v>
      </c>
      <c r="Y1007" s="104">
        <v>45174</v>
      </c>
      <c r="Z1007" s="154" t="s">
        <v>10</v>
      </c>
      <c r="AA1007" s="30" t="s">
        <v>177</v>
      </c>
      <c r="AB1007" s="30">
        <v>24</v>
      </c>
      <c r="AC1007" s="30"/>
      <c r="AD1007" s="30"/>
      <c r="AE1007" s="145">
        <f>Tabla1[[#This Row],[Cierre]]+Tabla1[[#This Row],[Vigencia Oferta (días)]]</f>
        <v>45168.710416666669</v>
      </c>
      <c r="AF1007" s="68"/>
      <c r="AG1007" s="157"/>
      <c r="AH1007" s="194">
        <f>Tabla1[[#This Row],[Unidades2]]*Tabla1[[#This Row],[Precio Unitario]]</f>
        <v>0</v>
      </c>
      <c r="AI1007" s="97" t="s">
        <v>320</v>
      </c>
      <c r="AJ1007" s="149"/>
      <c r="AK1007" s="149">
        <f>Tabla1[[#This Row],[Fecha Vigencia]]-AJ1007</f>
        <v>45168.710416666669</v>
      </c>
      <c r="AL1007" s="68"/>
      <c r="AM1007" s="91"/>
      <c r="AN1007" s="68"/>
      <c r="AO1007" s="218"/>
      <c r="AP1007" s="68"/>
      <c r="AQ1007" s="69"/>
      <c r="AR1007" s="68"/>
      <c r="AS1007" s="68"/>
      <c r="AT1007" s="68"/>
      <c r="AU1007" s="68"/>
      <c r="AV1007" s="68"/>
      <c r="AW1007" s="68"/>
      <c r="AX1007" s="68"/>
      <c r="AY1007" s="30"/>
      <c r="AZ1007" s="30"/>
      <c r="BA1007" s="30"/>
      <c r="BB1007" s="75"/>
    </row>
    <row r="1008" spans="1:54" x14ac:dyDescent="0.25">
      <c r="A1008" s="117" t="s">
        <v>4832</v>
      </c>
      <c r="B1008" s="118" t="s">
        <v>4833</v>
      </c>
      <c r="C1008" s="118" t="s">
        <v>4834</v>
      </c>
      <c r="D1008" s="119" t="s">
        <v>1448</v>
      </c>
      <c r="E1008" s="38" t="s">
        <v>4835</v>
      </c>
      <c r="F1008" s="39">
        <v>15</v>
      </c>
      <c r="G1008" s="118" t="s">
        <v>21</v>
      </c>
      <c r="H1008" s="118" t="s">
        <v>106</v>
      </c>
      <c r="I1008" s="206">
        <v>45162.733539502296</v>
      </c>
      <c r="J1008" s="38">
        <v>45173.711805555598</v>
      </c>
      <c r="K1008" s="38">
        <v>45162.733539502296</v>
      </c>
      <c r="L1008" s="206">
        <v>45173.711805555598</v>
      </c>
      <c r="M1008" s="211">
        <v>45163</v>
      </c>
      <c r="N1008" s="207" t="s">
        <v>10</v>
      </c>
      <c r="O1008" s="206" t="s">
        <v>27</v>
      </c>
      <c r="P1008" s="24"/>
      <c r="Q1008" s="121"/>
      <c r="R1008" s="121"/>
      <c r="S1008" s="19"/>
      <c r="T1008" s="38"/>
      <c r="U1008" s="65">
        <f>Tabla1[[#This Row],[PPTO]]/(1+'Lista Datos'!$B$1)</f>
        <v>0</v>
      </c>
      <c r="V1008" s="64"/>
      <c r="W1008" s="191"/>
      <c r="X1008" s="122"/>
      <c r="Y1008" s="122"/>
      <c r="Z1008" s="123"/>
      <c r="AA1008" s="118"/>
      <c r="AB1008" s="118"/>
      <c r="AC1008" s="118"/>
      <c r="AD1008" s="118"/>
      <c r="AE1008" s="145">
        <f>Tabla1[[#This Row],[Cierre]]+Tabla1[[#This Row],[Vigencia Oferta (días)]]</f>
        <v>45173.711805555598</v>
      </c>
      <c r="AF1008" s="65"/>
      <c r="AG1008" s="181"/>
      <c r="AH1008" s="192">
        <f>Tabla1[[#This Row],[Unidades2]]*Tabla1[[#This Row],[Precio Unitario]]</f>
        <v>0</v>
      </c>
      <c r="AI1008" s="126" t="s">
        <v>270</v>
      </c>
      <c r="AJ1008" s="149"/>
      <c r="AK1008" s="149">
        <f>Tabla1[[#This Row],[Fecha Vigencia]]-AJ1008</f>
        <v>45173.711805555598</v>
      </c>
      <c r="AL1008" s="65"/>
      <c r="AM1008" s="90"/>
      <c r="AN1008" s="65"/>
      <c r="AO1008" s="217"/>
      <c r="AP1008" s="65"/>
      <c r="AQ1008" s="66"/>
      <c r="AR1008" s="65"/>
      <c r="AS1008" s="65"/>
      <c r="AT1008" s="65"/>
      <c r="AU1008" s="65"/>
      <c r="AV1008" s="65"/>
      <c r="AW1008" s="65"/>
      <c r="AX1008" s="65"/>
      <c r="AY1008" s="118"/>
      <c r="AZ1008" s="118"/>
      <c r="BA1008" s="118"/>
      <c r="BB1008" s="124"/>
    </row>
    <row r="1009" spans="1:54" x14ac:dyDescent="0.25">
      <c r="A1009" s="153" t="s">
        <v>4836</v>
      </c>
      <c r="B1009" s="30" t="s">
        <v>4837</v>
      </c>
      <c r="C1009" s="30" t="s">
        <v>4838</v>
      </c>
      <c r="D1009" s="84" t="s">
        <v>2318</v>
      </c>
      <c r="E1009" s="24" t="s">
        <v>4839</v>
      </c>
      <c r="F1009" s="25">
        <v>1</v>
      </c>
      <c r="G1009" s="30" t="s">
        <v>16</v>
      </c>
      <c r="H1009" s="30" t="s">
        <v>123</v>
      </c>
      <c r="I1009" s="203">
        <v>45162.701915775498</v>
      </c>
      <c r="J1009" s="38">
        <v>45195.666666666701</v>
      </c>
      <c r="K1009" s="38">
        <v>45162.701915775498</v>
      </c>
      <c r="L1009" s="203">
        <v>45223.666666666664</v>
      </c>
      <c r="M1009" s="204">
        <v>45163</v>
      </c>
      <c r="N1009" s="205" t="s">
        <v>10</v>
      </c>
      <c r="O1009" s="203" t="s">
        <v>34</v>
      </c>
      <c r="P1009" s="24" t="s">
        <v>11</v>
      </c>
      <c r="Q1009" s="160">
        <v>45180.5</v>
      </c>
      <c r="R1009" s="160">
        <v>45184.817361111112</v>
      </c>
      <c r="S1009" s="161">
        <v>45224.800000000003</v>
      </c>
      <c r="T1009" s="210">
        <v>900000000</v>
      </c>
      <c r="U1009" s="209">
        <f>Tabla1[[#This Row],[PPTO]]/(1+'Lista Datos'!$B$1)</f>
        <v>756302521.00840342</v>
      </c>
      <c r="V1009" s="67"/>
      <c r="W1009" s="193" t="s">
        <v>11</v>
      </c>
      <c r="X1009" s="127">
        <v>2000000</v>
      </c>
      <c r="Y1009" s="104">
        <v>45345</v>
      </c>
      <c r="Z1009" s="154" t="s">
        <v>11</v>
      </c>
      <c r="AA1009" s="30" t="s">
        <v>177</v>
      </c>
      <c r="AB1009" s="30">
        <v>48</v>
      </c>
      <c r="AC1009" s="30"/>
      <c r="AD1009" s="30"/>
      <c r="AE1009" s="145">
        <f>Tabla1[[#This Row],[Cierre]]+Tabla1[[#This Row],[Vigencia Oferta (días)]]</f>
        <v>45223.666666666664</v>
      </c>
      <c r="AF1009" s="68"/>
      <c r="AG1009" s="157"/>
      <c r="AH1009" s="194">
        <f>Tabla1[[#This Row],[Unidades2]]*Tabla1[[#This Row],[Precio Unitario]]</f>
        <v>0</v>
      </c>
      <c r="AI1009" s="97" t="s">
        <v>44</v>
      </c>
      <c r="AJ1009" s="149">
        <v>45253</v>
      </c>
      <c r="AK1009" s="149">
        <f>Tabla1[[#This Row],[Fecha Vigencia]]-AJ1009</f>
        <v>-29.333333333335759</v>
      </c>
      <c r="AL1009" s="68" t="s">
        <v>45</v>
      </c>
      <c r="AM1009" s="91">
        <v>900000000</v>
      </c>
      <c r="AN1009" s="157">
        <v>45253</v>
      </c>
      <c r="AO1009" s="218">
        <v>46714</v>
      </c>
      <c r="AP1009" s="68" t="s">
        <v>177</v>
      </c>
      <c r="AQ1009" s="69"/>
      <c r="AR1009" s="68"/>
      <c r="AS1009" s="68"/>
      <c r="AT1009" s="68"/>
      <c r="AU1009" s="68"/>
      <c r="AV1009" s="68"/>
      <c r="AW1009" s="68"/>
      <c r="AX1009" s="68"/>
      <c r="AY1009" s="30"/>
      <c r="AZ1009" s="30"/>
      <c r="BA1009" s="30"/>
      <c r="BB1009" s="75"/>
    </row>
    <row r="1010" spans="1:54" x14ac:dyDescent="0.25">
      <c r="A1010" s="117" t="s">
        <v>4840</v>
      </c>
      <c r="B1010" s="118" t="s">
        <v>4841</v>
      </c>
      <c r="C1010" s="118" t="s">
        <v>4842</v>
      </c>
      <c r="D1010" s="119" t="s">
        <v>4843</v>
      </c>
      <c r="E1010" s="38" t="s">
        <v>4844</v>
      </c>
      <c r="F1010" s="39">
        <v>1</v>
      </c>
      <c r="G1010" s="118" t="s">
        <v>16</v>
      </c>
      <c r="H1010" s="118" t="s">
        <v>345</v>
      </c>
      <c r="I1010" s="206">
        <v>45163.427314814813</v>
      </c>
      <c r="J1010" s="38">
        <v>45173.708333333336</v>
      </c>
      <c r="K1010" s="38">
        <v>45163.427314814813</v>
      </c>
      <c r="L1010" s="206">
        <v>45173.708333333336</v>
      </c>
      <c r="M1010" s="211">
        <v>45163</v>
      </c>
      <c r="N1010" s="207" t="s">
        <v>11</v>
      </c>
      <c r="O1010" s="206"/>
      <c r="P1010" s="38"/>
      <c r="Q1010" s="147">
        <v>45166.75</v>
      </c>
      <c r="R1010" s="147">
        <v>45168.75</v>
      </c>
      <c r="S1010" s="148">
        <v>45233.75</v>
      </c>
      <c r="T1010" s="215">
        <v>318123013</v>
      </c>
      <c r="U1010" s="214">
        <f>Tabla1[[#This Row],[PPTO]]/(1+'Lista Datos'!$B$1)</f>
        <v>267330263.02521008</v>
      </c>
      <c r="V1010" s="64"/>
      <c r="W1010" s="191" t="s">
        <v>10</v>
      </c>
      <c r="X1010" s="122"/>
      <c r="Y1010" s="122"/>
      <c r="Z1010" s="232" t="s">
        <v>10</v>
      </c>
      <c r="AA1010" s="118" t="s">
        <v>177</v>
      </c>
      <c r="AB1010" s="118">
        <v>24</v>
      </c>
      <c r="AC1010" s="118"/>
      <c r="AD1010" s="118"/>
      <c r="AE1010" s="145">
        <f>Tabla1[[#This Row],[Cierre]]+Tabla1[[#This Row],[Vigencia Oferta (días)]]</f>
        <v>45173.708333333336</v>
      </c>
      <c r="AF1010" s="65"/>
      <c r="AG1010" s="181"/>
      <c r="AH1010" s="192">
        <f>Tabla1[[#This Row],[Unidades2]]*Tabla1[[#This Row],[Precio Unitario]]</f>
        <v>0</v>
      </c>
      <c r="AI1010" s="126" t="s">
        <v>320</v>
      </c>
      <c r="AJ1010" s="149"/>
      <c r="AK1010" s="149">
        <f>Tabla1[[#This Row],[Fecha Vigencia]]-AJ1010</f>
        <v>45173.708333333336</v>
      </c>
      <c r="AL1010" s="65"/>
      <c r="AM1010" s="90"/>
      <c r="AN1010" s="65"/>
      <c r="AO1010" s="217"/>
      <c r="AP1010" s="65"/>
      <c r="AQ1010" s="66"/>
      <c r="AR1010" s="65"/>
      <c r="AS1010" s="65"/>
      <c r="AT1010" s="65"/>
      <c r="AU1010" s="65"/>
      <c r="AV1010" s="65"/>
      <c r="AW1010" s="65"/>
      <c r="AX1010" s="65"/>
      <c r="AY1010" s="118"/>
      <c r="AZ1010" s="118"/>
      <c r="BA1010" s="118"/>
      <c r="BB1010" s="124"/>
    </row>
    <row r="1011" spans="1:54" x14ac:dyDescent="0.25">
      <c r="A1011" s="117" t="s">
        <v>4845</v>
      </c>
      <c r="B1011" s="118" t="s">
        <v>832</v>
      </c>
      <c r="C1011" s="118" t="s">
        <v>4846</v>
      </c>
      <c r="D1011" s="119" t="s">
        <v>3757</v>
      </c>
      <c r="E1011" s="38" t="s">
        <v>4847</v>
      </c>
      <c r="F1011" s="39">
        <v>1</v>
      </c>
      <c r="G1011" s="118" t="s">
        <v>16</v>
      </c>
      <c r="H1011" s="118" t="s">
        <v>123</v>
      </c>
      <c r="I1011" s="206">
        <v>45163.682829745398</v>
      </c>
      <c r="J1011" s="38">
        <v>45170.686805555597</v>
      </c>
      <c r="K1011" s="38">
        <v>45163.682829745398</v>
      </c>
      <c r="L1011" s="206">
        <v>45170.686805555597</v>
      </c>
      <c r="M1011" s="211">
        <v>45166</v>
      </c>
      <c r="N1011" s="207" t="s">
        <v>10</v>
      </c>
      <c r="O1011" s="206" t="s">
        <v>33</v>
      </c>
      <c r="P1011" s="38"/>
      <c r="Q1011" s="121"/>
      <c r="R1011" s="121"/>
      <c r="S1011" s="19"/>
      <c r="T1011" s="38"/>
      <c r="U1011" s="65">
        <f>Tabla1[[#This Row],[PPTO]]/(1+'Lista Datos'!$B$1)</f>
        <v>0</v>
      </c>
      <c r="V1011" s="64"/>
      <c r="W1011" s="191"/>
      <c r="X1011" s="122"/>
      <c r="Y1011" s="122"/>
      <c r="Z1011" s="123"/>
      <c r="AA1011" s="118"/>
      <c r="AB1011" s="118"/>
      <c r="AC1011" s="118"/>
      <c r="AD1011" s="118"/>
      <c r="AE1011" s="145">
        <f>Tabla1[[#This Row],[Cierre]]+Tabla1[[#This Row],[Vigencia Oferta (días)]]</f>
        <v>45170.686805555597</v>
      </c>
      <c r="AF1011" s="65"/>
      <c r="AG1011" s="181"/>
      <c r="AH1011" s="192">
        <f>Tabla1[[#This Row],[Unidades2]]*Tabla1[[#This Row],[Precio Unitario]]</f>
        <v>0</v>
      </c>
      <c r="AI1011" s="126" t="s">
        <v>270</v>
      </c>
      <c r="AJ1011" s="149"/>
      <c r="AK1011" s="149">
        <f>Tabla1[[#This Row],[Fecha Vigencia]]-AJ1011</f>
        <v>45170.686805555597</v>
      </c>
      <c r="AL1011" s="65"/>
      <c r="AM1011" s="90"/>
      <c r="AN1011" s="65"/>
      <c r="AO1011" s="217"/>
      <c r="AP1011" s="65"/>
      <c r="AQ1011" s="66"/>
      <c r="AR1011" s="65"/>
      <c r="AS1011" s="65"/>
      <c r="AT1011" s="65"/>
      <c r="AU1011" s="65"/>
      <c r="AV1011" s="65"/>
      <c r="AW1011" s="65"/>
      <c r="AX1011" s="65"/>
      <c r="AY1011" s="118"/>
      <c r="AZ1011" s="118"/>
      <c r="BA1011" s="118"/>
      <c r="BB1011" s="124"/>
    </row>
    <row r="1012" spans="1:54" x14ac:dyDescent="0.25">
      <c r="A1012" s="153" t="s">
        <v>4848</v>
      </c>
      <c r="B1012" s="30" t="s">
        <v>4849</v>
      </c>
      <c r="C1012" s="30" t="s">
        <v>4850</v>
      </c>
      <c r="D1012" s="84" t="s">
        <v>1164</v>
      </c>
      <c r="E1012" s="24" t="s">
        <v>4851</v>
      </c>
      <c r="F1012" s="25">
        <v>4</v>
      </c>
      <c r="G1012" s="30" t="s">
        <v>14</v>
      </c>
      <c r="H1012" s="30" t="s">
        <v>1983</v>
      </c>
      <c r="I1012" s="203">
        <v>45163.451587349497</v>
      </c>
      <c r="J1012" s="38">
        <v>45174.5</v>
      </c>
      <c r="K1012" s="38">
        <v>45163.451587349497</v>
      </c>
      <c r="L1012" s="203">
        <v>45174.5</v>
      </c>
      <c r="M1012" s="204">
        <v>45166</v>
      </c>
      <c r="N1012" s="205" t="s">
        <v>10</v>
      </c>
      <c r="O1012" s="203" t="s">
        <v>27</v>
      </c>
      <c r="P1012" s="24"/>
      <c r="Q1012" s="60"/>
      <c r="R1012" s="60"/>
      <c r="S1012" s="18"/>
      <c r="T1012" s="24"/>
      <c r="U1012" s="68">
        <f>Tabla1[[#This Row],[PPTO]]/(1+'Lista Datos'!$B$1)</f>
        <v>0</v>
      </c>
      <c r="V1012" s="67"/>
      <c r="W1012" s="193"/>
      <c r="X1012" s="127"/>
      <c r="Y1012" s="127"/>
      <c r="Z1012" s="154"/>
      <c r="AA1012" s="30"/>
      <c r="AB1012" s="30"/>
      <c r="AC1012" s="30"/>
      <c r="AD1012" s="30"/>
      <c r="AE1012" s="145">
        <f>Tabla1[[#This Row],[Cierre]]+Tabla1[[#This Row],[Vigencia Oferta (días)]]</f>
        <v>45174.5</v>
      </c>
      <c r="AF1012" s="68"/>
      <c r="AG1012" s="157"/>
      <c r="AH1012" s="194">
        <f>Tabla1[[#This Row],[Unidades2]]*Tabla1[[#This Row],[Precio Unitario]]</f>
        <v>0</v>
      </c>
      <c r="AI1012" s="97" t="s">
        <v>270</v>
      </c>
      <c r="AJ1012" s="149"/>
      <c r="AK1012" s="149">
        <f>Tabla1[[#This Row],[Fecha Vigencia]]-AJ1012</f>
        <v>45174.5</v>
      </c>
      <c r="AL1012" s="68"/>
      <c r="AM1012" s="91"/>
      <c r="AN1012" s="68"/>
      <c r="AO1012" s="218"/>
      <c r="AP1012" s="68"/>
      <c r="AQ1012" s="69"/>
      <c r="AR1012" s="68"/>
      <c r="AS1012" s="68"/>
      <c r="AT1012" s="68"/>
      <c r="AU1012" s="68"/>
      <c r="AV1012" s="68"/>
      <c r="AW1012" s="68"/>
      <c r="AX1012" s="68"/>
      <c r="AY1012" s="30"/>
      <c r="AZ1012" s="30"/>
      <c r="BA1012" s="30"/>
      <c r="BB1012" s="75"/>
    </row>
    <row r="1013" spans="1:54" x14ac:dyDescent="0.25">
      <c r="A1013" s="117" t="s">
        <v>4852</v>
      </c>
      <c r="B1013" s="118" t="s">
        <v>4853</v>
      </c>
      <c r="C1013" s="118" t="s">
        <v>4854</v>
      </c>
      <c r="D1013" s="119" t="s">
        <v>4326</v>
      </c>
      <c r="E1013" s="38" t="s">
        <v>4855</v>
      </c>
      <c r="F1013" s="39">
        <v>1</v>
      </c>
      <c r="G1013" s="118" t="s">
        <v>21</v>
      </c>
      <c r="H1013" s="118" t="s">
        <v>106</v>
      </c>
      <c r="I1013" s="206">
        <v>45163.416786539397</v>
      </c>
      <c r="J1013" s="121">
        <v>45175.777777777803</v>
      </c>
      <c r="K1013" s="121">
        <v>45163.416786539397</v>
      </c>
      <c r="L1013" s="206">
        <v>45175.777777777803</v>
      </c>
      <c r="M1013" s="211">
        <v>45166</v>
      </c>
      <c r="N1013" s="207" t="s">
        <v>10</v>
      </c>
      <c r="O1013" s="206" t="s">
        <v>27</v>
      </c>
      <c r="P1013" s="24"/>
      <c r="Q1013" s="121"/>
      <c r="R1013" s="121"/>
      <c r="S1013" s="19"/>
      <c r="T1013" s="38"/>
      <c r="U1013" s="65">
        <f>Tabla1[[#This Row],[PPTO]]/(1+'Lista Datos'!$B$1)</f>
        <v>0</v>
      </c>
      <c r="V1013" s="64"/>
      <c r="W1013" s="191"/>
      <c r="X1013" s="122"/>
      <c r="Y1013" s="122"/>
      <c r="Z1013" s="123"/>
      <c r="AA1013" s="118"/>
      <c r="AB1013" s="118"/>
      <c r="AC1013" s="118"/>
      <c r="AD1013" s="118"/>
      <c r="AE1013" s="145">
        <f>Tabla1[[#This Row],[Cierre]]+Tabla1[[#This Row],[Vigencia Oferta (días)]]</f>
        <v>45175.777777777803</v>
      </c>
      <c r="AF1013" s="65"/>
      <c r="AG1013" s="181"/>
      <c r="AH1013" s="192">
        <f>Tabla1[[#This Row],[Unidades2]]*Tabla1[[#This Row],[Precio Unitario]]</f>
        <v>0</v>
      </c>
      <c r="AI1013" s="126" t="s">
        <v>270</v>
      </c>
      <c r="AJ1013" s="149"/>
      <c r="AK1013" s="149">
        <f>Tabla1[[#This Row],[Fecha Vigencia]]-AJ1013</f>
        <v>45175.777777777803</v>
      </c>
      <c r="AL1013" s="65"/>
      <c r="AM1013" s="90"/>
      <c r="AN1013" s="65"/>
      <c r="AO1013" s="217"/>
      <c r="AP1013" s="65"/>
      <c r="AQ1013" s="66"/>
      <c r="AR1013" s="65"/>
      <c r="AS1013" s="65"/>
      <c r="AT1013" s="65"/>
      <c r="AU1013" s="65"/>
      <c r="AV1013" s="65"/>
      <c r="AW1013" s="65"/>
      <c r="AX1013" s="65"/>
      <c r="AY1013" s="118"/>
      <c r="AZ1013" s="118"/>
      <c r="BA1013" s="118"/>
      <c r="BB1013" s="124"/>
    </row>
    <row r="1014" spans="1:54" x14ac:dyDescent="0.25">
      <c r="A1014" s="153" t="s">
        <v>4856</v>
      </c>
      <c r="B1014" s="30" t="s">
        <v>4857</v>
      </c>
      <c r="C1014" s="30" t="s">
        <v>4858</v>
      </c>
      <c r="D1014" s="84" t="s">
        <v>136</v>
      </c>
      <c r="E1014" s="24" t="s">
        <v>4859</v>
      </c>
      <c r="F1014" s="25">
        <v>1</v>
      </c>
      <c r="G1014" s="30" t="s">
        <v>16</v>
      </c>
      <c r="H1014" s="30" t="s">
        <v>1983</v>
      </c>
      <c r="I1014" s="203">
        <v>45166.712795752297</v>
      </c>
      <c r="J1014" s="38">
        <v>45177.375</v>
      </c>
      <c r="K1014" s="38">
        <v>45166.712795752297</v>
      </c>
      <c r="L1014" s="203">
        <v>45177.375</v>
      </c>
      <c r="M1014" s="204">
        <v>45167</v>
      </c>
      <c r="N1014" s="205" t="s">
        <v>11</v>
      </c>
      <c r="O1014" s="203"/>
      <c r="P1014" s="24"/>
      <c r="Q1014" s="160">
        <v>45170.416666666664</v>
      </c>
      <c r="R1014" s="160">
        <v>45174.729166666664</v>
      </c>
      <c r="S1014" s="161">
        <v>45191.708333333336</v>
      </c>
      <c r="T1014" s="210">
        <v>276377345</v>
      </c>
      <c r="U1014" s="209">
        <f>Tabla1[[#This Row],[PPTO]]/(1+'Lista Datos'!$B$1)</f>
        <v>232249869.74789917</v>
      </c>
      <c r="V1014" s="67"/>
      <c r="W1014" s="193" t="s">
        <v>11</v>
      </c>
      <c r="X1014" s="127" t="s">
        <v>4860</v>
      </c>
      <c r="Y1014" s="104">
        <v>45260</v>
      </c>
      <c r="Z1014" s="154" t="s">
        <v>11</v>
      </c>
      <c r="AA1014" s="30" t="s">
        <v>177</v>
      </c>
      <c r="AB1014" s="30">
        <v>24</v>
      </c>
      <c r="AC1014" s="30"/>
      <c r="AD1014" s="30"/>
      <c r="AE1014" s="145">
        <f>Tabla1[[#This Row],[Cierre]]+Tabla1[[#This Row],[Vigencia Oferta (días)]]</f>
        <v>45177.375</v>
      </c>
      <c r="AF1014" s="68"/>
      <c r="AG1014" s="157"/>
      <c r="AH1014" s="194">
        <f>Tabla1[[#This Row],[Unidades2]]*Tabla1[[#This Row],[Precio Unitario]]</f>
        <v>0</v>
      </c>
      <c r="AI1014" s="97" t="s">
        <v>44</v>
      </c>
      <c r="AJ1014" s="149">
        <v>45198</v>
      </c>
      <c r="AK1014" s="149">
        <f>Tabla1[[#This Row],[Fecha Vigencia]]-AJ1014</f>
        <v>-20.625</v>
      </c>
      <c r="AL1014" s="68" t="s">
        <v>115</v>
      </c>
      <c r="AM1014" s="91">
        <v>290934188</v>
      </c>
      <c r="AN1014" s="157">
        <v>45198</v>
      </c>
      <c r="AO1014" s="218">
        <v>45929</v>
      </c>
      <c r="AP1014" s="68" t="s">
        <v>177</v>
      </c>
      <c r="AQ1014" s="69" t="s">
        <v>138</v>
      </c>
      <c r="AR1014" s="68" t="s">
        <v>11</v>
      </c>
      <c r="AS1014" s="156">
        <v>0.05</v>
      </c>
      <c r="AT1014" s="157">
        <v>46112</v>
      </c>
      <c r="AU1014" s="68"/>
      <c r="AV1014" s="68"/>
      <c r="AW1014" s="97" t="s">
        <v>1591</v>
      </c>
      <c r="AX1014" s="68" t="s">
        <v>140</v>
      </c>
      <c r="AY1014" s="30"/>
      <c r="AZ1014" s="30"/>
      <c r="BA1014" s="30"/>
      <c r="BB1014" s="75"/>
    </row>
    <row r="1015" spans="1:54" x14ac:dyDescent="0.25">
      <c r="A1015" s="117" t="s">
        <v>4861</v>
      </c>
      <c r="B1015" s="118" t="s">
        <v>4862</v>
      </c>
      <c r="C1015" s="118" t="s">
        <v>4863</v>
      </c>
      <c r="D1015" s="119" t="s">
        <v>4158</v>
      </c>
      <c r="E1015" s="38" t="s">
        <v>4864</v>
      </c>
      <c r="F1015" s="39">
        <v>1</v>
      </c>
      <c r="G1015" s="118" t="s">
        <v>14</v>
      </c>
      <c r="H1015" s="118" t="s">
        <v>533</v>
      </c>
      <c r="I1015" s="206">
        <v>45166.629358564802</v>
      </c>
      <c r="J1015" s="121">
        <v>45173.666666666701</v>
      </c>
      <c r="K1015" s="121">
        <v>45166.629358564802</v>
      </c>
      <c r="L1015" s="206">
        <v>45173.666666666701</v>
      </c>
      <c r="M1015" s="211">
        <v>45167</v>
      </c>
      <c r="N1015" s="207" t="s">
        <v>10</v>
      </c>
      <c r="O1015" s="206" t="s">
        <v>25</v>
      </c>
      <c r="P1015" s="38"/>
      <c r="Q1015" s="147">
        <v>45167.663888888892</v>
      </c>
      <c r="R1015" s="147">
        <v>45168.663888888892</v>
      </c>
      <c r="S1015" s="148">
        <v>45176.663888888892</v>
      </c>
      <c r="T1015" s="215">
        <v>6000000</v>
      </c>
      <c r="U1015" s="214">
        <f>Tabla1[[#This Row],[PPTO]]/(1+'Lista Datos'!$B$1)</f>
        <v>5042016.8067226894</v>
      </c>
      <c r="V1015" s="64"/>
      <c r="W1015" s="191" t="s">
        <v>10</v>
      </c>
      <c r="X1015" s="122"/>
      <c r="Y1015" s="122"/>
      <c r="Z1015" s="123" t="s">
        <v>10</v>
      </c>
      <c r="AA1015" s="118" t="s">
        <v>512</v>
      </c>
      <c r="AB1015" s="118"/>
      <c r="AC1015" s="118"/>
      <c r="AD1015" s="118"/>
      <c r="AE1015" s="145">
        <f>Tabla1[[#This Row],[Cierre]]+Tabla1[[#This Row],[Vigencia Oferta (días)]]</f>
        <v>45173.666666666701</v>
      </c>
      <c r="AF1015" s="65"/>
      <c r="AG1015" s="181"/>
      <c r="AH1015" s="192">
        <f>Tabla1[[#This Row],[Unidades2]]*Tabla1[[#This Row],[Precio Unitario]]</f>
        <v>0</v>
      </c>
      <c r="AI1015" s="126" t="s">
        <v>270</v>
      </c>
      <c r="AJ1015" s="149"/>
      <c r="AK1015" s="149">
        <f>Tabla1[[#This Row],[Fecha Vigencia]]-AJ1015</f>
        <v>45173.666666666701</v>
      </c>
      <c r="AL1015" s="65"/>
      <c r="AM1015" s="90"/>
      <c r="AN1015" s="65"/>
      <c r="AO1015" s="217"/>
      <c r="AP1015" s="65"/>
      <c r="AQ1015" s="66"/>
      <c r="AR1015" s="65"/>
      <c r="AS1015" s="65"/>
      <c r="AT1015" s="65"/>
      <c r="AU1015" s="65"/>
      <c r="AV1015" s="65"/>
      <c r="AW1015" s="65"/>
      <c r="AX1015" s="65"/>
      <c r="AY1015" s="118"/>
      <c r="AZ1015" s="118"/>
      <c r="BA1015" s="118"/>
      <c r="BB1015" s="124"/>
    </row>
    <row r="1016" spans="1:54" x14ac:dyDescent="0.25">
      <c r="A1016" s="117" t="s">
        <v>4865</v>
      </c>
      <c r="B1016" s="118" t="s">
        <v>4866</v>
      </c>
      <c r="C1016" s="118" t="s">
        <v>4867</v>
      </c>
      <c r="D1016" s="119" t="s">
        <v>3645</v>
      </c>
      <c r="E1016" s="38" t="s">
        <v>4868</v>
      </c>
      <c r="F1016" s="39">
        <v>2</v>
      </c>
      <c r="G1016" s="118" t="s">
        <v>14</v>
      </c>
      <c r="H1016" s="118" t="s">
        <v>123</v>
      </c>
      <c r="I1016" s="206">
        <v>45166.5247290509</v>
      </c>
      <c r="J1016" s="38">
        <v>45176.730555555601</v>
      </c>
      <c r="K1016" s="38">
        <v>45166.5247290509</v>
      </c>
      <c r="L1016" s="206">
        <v>45176.730555555601</v>
      </c>
      <c r="M1016" s="211">
        <v>45167</v>
      </c>
      <c r="N1016" s="207" t="s">
        <v>10</v>
      </c>
      <c r="O1016" s="206" t="s">
        <v>27</v>
      </c>
      <c r="P1016" s="38"/>
      <c r="Q1016" s="121"/>
      <c r="R1016" s="121"/>
      <c r="S1016" s="19"/>
      <c r="T1016" s="38"/>
      <c r="U1016" s="65">
        <f>Tabla1[[#This Row],[PPTO]]/(1+'Lista Datos'!$B$1)</f>
        <v>0</v>
      </c>
      <c r="V1016" s="64"/>
      <c r="W1016" s="191"/>
      <c r="X1016" s="122"/>
      <c r="Y1016" s="122"/>
      <c r="Z1016" s="123"/>
      <c r="AA1016" s="118"/>
      <c r="AB1016" s="118"/>
      <c r="AC1016" s="118"/>
      <c r="AD1016" s="118"/>
      <c r="AE1016" s="145">
        <f>Tabla1[[#This Row],[Cierre]]+Tabla1[[#This Row],[Vigencia Oferta (días)]]</f>
        <v>45176.730555555601</v>
      </c>
      <c r="AF1016" s="65"/>
      <c r="AG1016" s="181"/>
      <c r="AH1016" s="192">
        <f>Tabla1[[#This Row],[Unidades2]]*Tabla1[[#This Row],[Precio Unitario]]</f>
        <v>0</v>
      </c>
      <c r="AI1016" s="126" t="s">
        <v>270</v>
      </c>
      <c r="AJ1016" s="149"/>
      <c r="AK1016" s="149">
        <f>Tabla1[[#This Row],[Fecha Vigencia]]-AJ1016</f>
        <v>45176.730555555601</v>
      </c>
      <c r="AL1016" s="65"/>
      <c r="AM1016" s="90"/>
      <c r="AN1016" s="65"/>
      <c r="AO1016" s="217"/>
      <c r="AP1016" s="65"/>
      <c r="AQ1016" s="66"/>
      <c r="AR1016" s="65"/>
      <c r="AS1016" s="65"/>
      <c r="AT1016" s="65"/>
      <c r="AU1016" s="65"/>
      <c r="AV1016" s="65"/>
      <c r="AW1016" s="65"/>
      <c r="AX1016" s="65"/>
      <c r="AY1016" s="118"/>
      <c r="AZ1016" s="118"/>
      <c r="BA1016" s="118"/>
      <c r="BB1016" s="124"/>
    </row>
    <row r="1017" spans="1:54" x14ac:dyDescent="0.25">
      <c r="A1017" s="117" t="s">
        <v>4869</v>
      </c>
      <c r="B1017" s="118" t="s">
        <v>4870</v>
      </c>
      <c r="C1017" s="118" t="s">
        <v>4871</v>
      </c>
      <c r="D1017" s="119" t="s">
        <v>4872</v>
      </c>
      <c r="E1017" s="38" t="s">
        <v>4873</v>
      </c>
      <c r="F1017" s="39">
        <v>1</v>
      </c>
      <c r="G1017" s="118" t="s">
        <v>21</v>
      </c>
      <c r="H1017" s="118" t="s">
        <v>106</v>
      </c>
      <c r="I1017" s="206">
        <v>45166.478276504597</v>
      </c>
      <c r="J1017" s="38">
        <v>45173.625</v>
      </c>
      <c r="K1017" s="38">
        <v>45166.478276504597</v>
      </c>
      <c r="L1017" s="206">
        <v>45173.625</v>
      </c>
      <c r="M1017" s="211">
        <v>45167</v>
      </c>
      <c r="N1017" s="207" t="s">
        <v>11</v>
      </c>
      <c r="O1017" s="206"/>
      <c r="P1017" s="38"/>
      <c r="Q1017" s="147">
        <v>45168.708333333336</v>
      </c>
      <c r="R1017" s="147">
        <v>45169.722222222219</v>
      </c>
      <c r="S1017" s="148">
        <v>45230.75</v>
      </c>
      <c r="T1017" s="215">
        <v>20360000</v>
      </c>
      <c r="U1017" s="214">
        <f>Tabla1[[#This Row],[PPTO]]/(1+'Lista Datos'!$B$1)</f>
        <v>17109243.697478991</v>
      </c>
      <c r="V1017" s="64"/>
      <c r="W1017" s="191" t="s">
        <v>10</v>
      </c>
      <c r="X1017" s="122"/>
      <c r="Y1017" s="122"/>
      <c r="Z1017" s="123" t="s">
        <v>10</v>
      </c>
      <c r="AA1017" s="118" t="s">
        <v>512</v>
      </c>
      <c r="AB1017" s="118"/>
      <c r="AC1017" s="118"/>
      <c r="AD1017" s="118"/>
      <c r="AE1017" s="145">
        <f>Tabla1[[#This Row],[Cierre]]+Tabla1[[#This Row],[Vigencia Oferta (días)]]</f>
        <v>45173.625</v>
      </c>
      <c r="AF1017" s="65">
        <v>9</v>
      </c>
      <c r="AG1017" s="231">
        <v>544836</v>
      </c>
      <c r="AH1017" s="192">
        <f>Tabla1[[#This Row],[Unidades2]]*Tabla1[[#This Row],[Precio Unitario]]</f>
        <v>4903524</v>
      </c>
      <c r="AI1017" s="126" t="s">
        <v>44</v>
      </c>
      <c r="AJ1017" s="149">
        <v>45198</v>
      </c>
      <c r="AK1017" s="149">
        <f>Tabla1[[#This Row],[Fecha Vigencia]]-AJ1017</f>
        <v>-24.375</v>
      </c>
      <c r="AL1017" s="65" t="s">
        <v>45</v>
      </c>
      <c r="AM1017" s="90">
        <v>500000</v>
      </c>
      <c r="AN1017" s="65"/>
      <c r="AO1017" s="217"/>
      <c r="AP1017" s="97" t="s">
        <v>292</v>
      </c>
      <c r="AQ1017" s="66"/>
      <c r="AR1017" s="65"/>
      <c r="AS1017" s="65"/>
      <c r="AT1017" s="65"/>
      <c r="AU1017" s="65"/>
      <c r="AV1017" s="65"/>
      <c r="AW1017" s="65"/>
      <c r="AX1017" s="65"/>
      <c r="AY1017" s="118"/>
      <c r="AZ1017" s="118"/>
      <c r="BA1017" s="118"/>
      <c r="BB1017" s="124"/>
    </row>
    <row r="1018" spans="1:54" ht="23.25" x14ac:dyDescent="0.25">
      <c r="A1018" s="117" t="s">
        <v>4874</v>
      </c>
      <c r="B1018" s="118" t="s">
        <v>4875</v>
      </c>
      <c r="C1018" s="118"/>
      <c r="D1018" s="119" t="s">
        <v>291</v>
      </c>
      <c r="E1018" s="38" t="s">
        <v>4876</v>
      </c>
      <c r="F1018" s="39">
        <v>1</v>
      </c>
      <c r="G1018" s="118" t="s">
        <v>21</v>
      </c>
      <c r="H1018" s="118" t="s">
        <v>106</v>
      </c>
      <c r="I1018" s="206">
        <v>45167.689259259256</v>
      </c>
      <c r="J1018" s="38">
        <v>45174.666666666664</v>
      </c>
      <c r="K1018" s="38">
        <v>45167.689259259256</v>
      </c>
      <c r="L1018" s="206">
        <v>45174.666666666664</v>
      </c>
      <c r="M1018" s="211">
        <v>45167</v>
      </c>
      <c r="N1018" s="207" t="s">
        <v>10</v>
      </c>
      <c r="O1018" s="206" t="s">
        <v>29</v>
      </c>
      <c r="P1018" s="24" t="s">
        <v>11</v>
      </c>
      <c r="Q1018" s="147">
        <v>45169.625</v>
      </c>
      <c r="R1018" s="147">
        <v>45170.791666666664</v>
      </c>
      <c r="S1018" s="148">
        <v>45197.834027777775</v>
      </c>
      <c r="T1018" s="215">
        <v>6300000</v>
      </c>
      <c r="U1018" s="214">
        <f>Tabla1[[#This Row],[PPTO]]/(1+'Lista Datos'!$B$1)</f>
        <v>5294117.6470588241</v>
      </c>
      <c r="V1018" s="64"/>
      <c r="W1018" s="191" t="s">
        <v>10</v>
      </c>
      <c r="X1018" s="122"/>
      <c r="Y1018" s="122"/>
      <c r="Z1018" s="123" t="s">
        <v>10</v>
      </c>
      <c r="AA1018" s="118" t="s">
        <v>512</v>
      </c>
      <c r="AB1018" s="118"/>
      <c r="AC1018" s="118"/>
      <c r="AD1018" s="118"/>
      <c r="AE1018" s="145">
        <f>Tabla1[[#This Row],[Cierre]]+Tabla1[[#This Row],[Vigencia Oferta (días)]]</f>
        <v>45174.666666666664</v>
      </c>
      <c r="AF1018" s="65"/>
      <c r="AG1018" s="181"/>
      <c r="AH1018" s="192">
        <f>Tabla1[[#This Row],[Unidades2]]*Tabla1[[#This Row],[Precio Unitario]]</f>
        <v>0</v>
      </c>
      <c r="AI1018" s="126" t="s">
        <v>44</v>
      </c>
      <c r="AJ1018" s="149">
        <v>45203</v>
      </c>
      <c r="AK1018" s="149">
        <f>Tabla1[[#This Row],[Fecha Vigencia]]-AJ1018</f>
        <v>-28.333333333335759</v>
      </c>
      <c r="AL1018" s="65" t="s">
        <v>46</v>
      </c>
      <c r="AM1018" s="90">
        <v>4771200</v>
      </c>
      <c r="AN1018" s="65"/>
      <c r="AO1018" s="217"/>
      <c r="AP1018" s="65" t="s">
        <v>292</v>
      </c>
      <c r="AQ1018" s="66"/>
      <c r="AR1018" s="65"/>
      <c r="AS1018" s="65"/>
      <c r="AT1018" s="65"/>
      <c r="AU1018" s="65"/>
      <c r="AV1018" s="65"/>
      <c r="AW1018" s="65"/>
      <c r="AX1018" s="65"/>
      <c r="AY1018" s="118"/>
      <c r="AZ1018" s="118"/>
      <c r="BA1018" s="118"/>
      <c r="BB1018" s="124"/>
    </row>
    <row r="1019" spans="1:54" x14ac:dyDescent="0.25">
      <c r="A1019" s="117" t="s">
        <v>4877</v>
      </c>
      <c r="B1019" s="118" t="s">
        <v>4878</v>
      </c>
      <c r="C1019" s="118" t="s">
        <v>4879</v>
      </c>
      <c r="D1019" s="119" t="s">
        <v>364</v>
      </c>
      <c r="E1019" s="38" t="s">
        <v>4880</v>
      </c>
      <c r="F1019" s="39">
        <v>5</v>
      </c>
      <c r="G1019" s="118" t="s">
        <v>14</v>
      </c>
      <c r="H1019" s="118" t="s">
        <v>1596</v>
      </c>
      <c r="I1019" s="206">
        <v>45168.717136261599</v>
      </c>
      <c r="J1019" s="38">
        <v>45180.627777777801</v>
      </c>
      <c r="K1019" s="38">
        <v>45168.717136261599</v>
      </c>
      <c r="L1019" s="206">
        <v>45180.627777777801</v>
      </c>
      <c r="M1019" s="211">
        <v>45170</v>
      </c>
      <c r="N1019" s="207" t="s">
        <v>10</v>
      </c>
      <c r="O1019" s="206" t="s">
        <v>27</v>
      </c>
      <c r="P1019" s="38"/>
      <c r="Q1019" s="121"/>
      <c r="R1019" s="121"/>
      <c r="S1019" s="19"/>
      <c r="T1019" s="38"/>
      <c r="U1019" s="65">
        <f>Tabla1[[#This Row],[PPTO]]/(1+'Lista Datos'!$B$1)</f>
        <v>0</v>
      </c>
      <c r="V1019" s="64"/>
      <c r="W1019" s="191"/>
      <c r="X1019" s="122"/>
      <c r="Y1019" s="122"/>
      <c r="Z1019" s="123"/>
      <c r="AA1019" s="118"/>
      <c r="AB1019" s="118"/>
      <c r="AC1019" s="118"/>
      <c r="AD1019" s="118"/>
      <c r="AE1019" s="145">
        <f>Tabla1[[#This Row],[Cierre]]+Tabla1[[#This Row],[Vigencia Oferta (días)]]</f>
        <v>45180.627777777801</v>
      </c>
      <c r="AF1019" s="65"/>
      <c r="AG1019" s="181"/>
      <c r="AH1019" s="192">
        <f>Tabla1[[#This Row],[Unidades2]]*Tabla1[[#This Row],[Precio Unitario]]</f>
        <v>0</v>
      </c>
      <c r="AI1019" s="126" t="s">
        <v>270</v>
      </c>
      <c r="AJ1019" s="149"/>
      <c r="AK1019" s="149">
        <f>Tabla1[[#This Row],[Fecha Vigencia]]-AJ1019</f>
        <v>45180.627777777801</v>
      </c>
      <c r="AL1019" s="65"/>
      <c r="AM1019" s="90"/>
      <c r="AN1019" s="65"/>
      <c r="AO1019" s="217"/>
      <c r="AP1019" s="65"/>
      <c r="AQ1019" s="66"/>
      <c r="AR1019" s="65"/>
      <c r="AS1019" s="65"/>
      <c r="AT1019" s="65"/>
      <c r="AU1019" s="65"/>
      <c r="AV1019" s="65"/>
      <c r="AW1019" s="65"/>
      <c r="AX1019" s="65"/>
      <c r="AY1019" s="118"/>
      <c r="AZ1019" s="118"/>
      <c r="BA1019" s="118"/>
      <c r="BB1019" s="124"/>
    </row>
    <row r="1020" spans="1:54" x14ac:dyDescent="0.25">
      <c r="A1020" s="153" t="s">
        <v>4881</v>
      </c>
      <c r="B1020" s="30" t="s">
        <v>4882</v>
      </c>
      <c r="C1020" s="30" t="s">
        <v>4883</v>
      </c>
      <c r="D1020" s="84" t="s">
        <v>2822</v>
      </c>
      <c r="E1020" s="24" t="s">
        <v>4884</v>
      </c>
      <c r="F1020" s="25">
        <v>1</v>
      </c>
      <c r="G1020" s="30" t="s">
        <v>21</v>
      </c>
      <c r="H1020" s="30" t="s">
        <v>106</v>
      </c>
      <c r="I1020" s="203">
        <v>45168.691083761601</v>
      </c>
      <c r="J1020" s="38">
        <v>45180.708333333299</v>
      </c>
      <c r="K1020" s="38">
        <v>45168.691083761601</v>
      </c>
      <c r="L1020" s="203">
        <v>45180.708333333299</v>
      </c>
      <c r="M1020" s="204">
        <v>45170</v>
      </c>
      <c r="N1020" s="205" t="s">
        <v>10</v>
      </c>
      <c r="O1020" s="24" t="s">
        <v>29</v>
      </c>
      <c r="P1020" s="24" t="s">
        <v>10</v>
      </c>
      <c r="Q1020" s="160">
        <v>45173.375</v>
      </c>
      <c r="R1020" s="160">
        <v>45175.791666666664</v>
      </c>
      <c r="S1020" s="161">
        <v>45258.831250000003</v>
      </c>
      <c r="T1020" s="210">
        <v>34500000</v>
      </c>
      <c r="U1020" s="209">
        <f>Tabla1[[#This Row],[PPTO]]/(1+'Lista Datos'!$B$1)</f>
        <v>28991596.638655465</v>
      </c>
      <c r="V1020" s="67"/>
      <c r="W1020" s="193" t="s">
        <v>10</v>
      </c>
      <c r="X1020" s="127"/>
      <c r="Y1020" s="127"/>
      <c r="Z1020" s="154" t="s">
        <v>10</v>
      </c>
      <c r="AA1020" s="30" t="s">
        <v>512</v>
      </c>
      <c r="AB1020" s="30"/>
      <c r="AC1020" s="30"/>
      <c r="AD1020" s="30"/>
      <c r="AE1020" s="145">
        <f>Tabla1[[#This Row],[Cierre]]+Tabla1[[#This Row],[Vigencia Oferta (días)]]</f>
        <v>45180.708333333299</v>
      </c>
      <c r="AF1020" s="68"/>
      <c r="AG1020" s="157"/>
      <c r="AH1020" s="194">
        <f>Tabla1[[#This Row],[Unidades2]]*Tabla1[[#This Row],[Precio Unitario]]</f>
        <v>0</v>
      </c>
      <c r="AI1020" s="97" t="s">
        <v>270</v>
      </c>
      <c r="AJ1020" s="149"/>
      <c r="AK1020" s="149">
        <f>Tabla1[[#This Row],[Fecha Vigencia]]-AJ1020</f>
        <v>45180.708333333299</v>
      </c>
      <c r="AL1020" s="68"/>
      <c r="AM1020" s="91"/>
      <c r="AN1020" s="68"/>
      <c r="AO1020" s="218"/>
      <c r="AP1020" s="68"/>
      <c r="AQ1020" s="69"/>
      <c r="AR1020" s="68"/>
      <c r="AS1020" s="68"/>
      <c r="AT1020" s="68"/>
      <c r="AU1020" s="68"/>
      <c r="AV1020" s="68"/>
      <c r="AW1020" s="68"/>
      <c r="AX1020" s="68"/>
      <c r="AY1020" s="30"/>
      <c r="AZ1020" s="30"/>
      <c r="BA1020" s="30"/>
      <c r="BB1020" s="75"/>
    </row>
    <row r="1021" spans="1:54" x14ac:dyDescent="0.25">
      <c r="A1021" s="153" t="s">
        <v>4885</v>
      </c>
      <c r="B1021" s="30" t="s">
        <v>4886</v>
      </c>
      <c r="C1021" s="30" t="s">
        <v>4887</v>
      </c>
      <c r="D1021" s="84" t="s">
        <v>2822</v>
      </c>
      <c r="E1021" s="24" t="s">
        <v>4888</v>
      </c>
      <c r="F1021" s="25">
        <v>1</v>
      </c>
      <c r="G1021" s="30" t="s">
        <v>21</v>
      </c>
      <c r="H1021" s="30" t="s">
        <v>106</v>
      </c>
      <c r="I1021" s="203">
        <v>45168.6728842593</v>
      </c>
      <c r="J1021" s="121">
        <v>45180.708333333299</v>
      </c>
      <c r="K1021" s="121">
        <v>45168.6728842593</v>
      </c>
      <c r="L1021" s="203">
        <v>45180.708333333299</v>
      </c>
      <c r="M1021" s="204">
        <v>45170</v>
      </c>
      <c r="N1021" s="205" t="s">
        <v>11</v>
      </c>
      <c r="O1021" s="203"/>
      <c r="P1021" s="24"/>
      <c r="Q1021" s="160">
        <v>45173.375</v>
      </c>
      <c r="R1021" s="160">
        <v>45175.791666666664</v>
      </c>
      <c r="S1021" s="161">
        <v>45258.832638888889</v>
      </c>
      <c r="T1021" s="210">
        <v>14000000</v>
      </c>
      <c r="U1021" s="209">
        <f>Tabla1[[#This Row],[PPTO]]/(1+'Lista Datos'!$B$1)</f>
        <v>11764705.882352943</v>
      </c>
      <c r="V1021" s="67"/>
      <c r="W1021" s="193" t="s">
        <v>10</v>
      </c>
      <c r="X1021" s="127"/>
      <c r="Y1021" s="127"/>
      <c r="Z1021" s="154" t="s">
        <v>10</v>
      </c>
      <c r="AA1021" s="30" t="s">
        <v>512</v>
      </c>
      <c r="AB1021" s="30"/>
      <c r="AC1021" s="30"/>
      <c r="AD1021" s="30"/>
      <c r="AE1021" s="155">
        <f>Tabla1[[#This Row],[Cierre]]+Tabla1[[#This Row],[Vigencia Oferta (días)]]</f>
        <v>45180.708333333299</v>
      </c>
      <c r="AF1021" s="68">
        <v>2</v>
      </c>
      <c r="AG1021" s="157">
        <v>4227984</v>
      </c>
      <c r="AH1021" s="194">
        <f>Tabla1[[#This Row],[Unidades2]]*Tabla1[[#This Row],[Precio Unitario]]</f>
        <v>8455968</v>
      </c>
      <c r="AI1021" s="97" t="s">
        <v>44</v>
      </c>
      <c r="AJ1021" s="104">
        <v>45210</v>
      </c>
      <c r="AK1021" s="104">
        <f>Tabla1[[#This Row],[Fecha Vigencia]]-AJ1021</f>
        <v>-29.291666666700621</v>
      </c>
      <c r="AL1021" s="68" t="s">
        <v>115</v>
      </c>
      <c r="AM1021" s="91">
        <v>8455968</v>
      </c>
      <c r="AN1021" s="68"/>
      <c r="AO1021" s="218"/>
      <c r="AP1021" s="97" t="s">
        <v>292</v>
      </c>
      <c r="AQ1021" s="69" t="s">
        <v>572</v>
      </c>
      <c r="AR1021" s="68" t="s">
        <v>10</v>
      </c>
      <c r="AS1021" s="68"/>
      <c r="AT1021" s="68"/>
      <c r="AU1021" s="97" t="s">
        <v>4889</v>
      </c>
      <c r="AV1021" t="s">
        <v>4890</v>
      </c>
      <c r="AW1021" s="97" t="s">
        <v>1782</v>
      </c>
      <c r="AX1021" s="97" t="s">
        <v>1783</v>
      </c>
      <c r="AY1021" s="30"/>
      <c r="AZ1021" s="30"/>
      <c r="BA1021" s="30"/>
      <c r="BB1021" s="75"/>
    </row>
    <row r="1022" spans="1:54" x14ac:dyDescent="0.25">
      <c r="A1022" s="117" t="s">
        <v>4891</v>
      </c>
      <c r="B1022" s="118" t="s">
        <v>4892</v>
      </c>
      <c r="C1022" s="118" t="s">
        <v>4893</v>
      </c>
      <c r="D1022" s="119" t="s">
        <v>425</v>
      </c>
      <c r="E1022" s="38" t="s">
        <v>4894</v>
      </c>
      <c r="F1022" s="39">
        <v>1</v>
      </c>
      <c r="G1022" s="118" t="s">
        <v>21</v>
      </c>
      <c r="H1022" s="118" t="s">
        <v>106</v>
      </c>
      <c r="I1022" s="206">
        <v>45170.596281018501</v>
      </c>
      <c r="J1022" s="38">
        <v>45181.625</v>
      </c>
      <c r="K1022" s="38">
        <v>45170.596281018501</v>
      </c>
      <c r="L1022" s="206">
        <v>45191.5</v>
      </c>
      <c r="M1022" s="211">
        <v>45173</v>
      </c>
      <c r="N1022" s="207" t="s">
        <v>11</v>
      </c>
      <c r="O1022" s="206"/>
      <c r="P1022" s="207" t="s">
        <v>11</v>
      </c>
      <c r="Q1022" s="147">
        <v>45174.666666666664</v>
      </c>
      <c r="R1022" s="147">
        <v>45177.708333333336</v>
      </c>
      <c r="S1022" s="148">
        <v>45243.708333333336</v>
      </c>
      <c r="T1022" s="215">
        <v>15000000</v>
      </c>
      <c r="U1022" s="214">
        <f>Tabla1[[#This Row],[PPTO]]/(1+'Lista Datos'!$B$1)</f>
        <v>12605042.016806724</v>
      </c>
      <c r="V1022" s="64"/>
      <c r="W1022" s="191" t="s">
        <v>10</v>
      </c>
      <c r="X1022" s="122"/>
      <c r="Y1022" s="122"/>
      <c r="Z1022" s="123" t="s">
        <v>10</v>
      </c>
      <c r="AA1022" s="118" t="s">
        <v>512</v>
      </c>
      <c r="AB1022" s="118"/>
      <c r="AC1022" s="118"/>
      <c r="AD1022" s="118"/>
      <c r="AE1022" s="145">
        <f>Tabla1[[#This Row],[Cierre]]+Tabla1[[#This Row],[Vigencia Oferta (días)]]</f>
        <v>45191.5</v>
      </c>
      <c r="AF1022" s="65">
        <v>1</v>
      </c>
      <c r="AG1022" s="231">
        <v>2846788</v>
      </c>
      <c r="AH1022" s="192">
        <f>Tabla1[[#This Row],[Unidades2]]*Tabla1[[#This Row],[Precio Unitario]]</f>
        <v>2846788</v>
      </c>
      <c r="AI1022" s="126" t="s">
        <v>44</v>
      </c>
      <c r="AJ1022" s="149">
        <v>45218</v>
      </c>
      <c r="AK1022" s="149">
        <f>Tabla1[[#This Row],[Fecha Vigencia]]-AJ1022</f>
        <v>-26.5</v>
      </c>
      <c r="AL1022" s="65" t="s">
        <v>115</v>
      </c>
      <c r="AM1022" s="90">
        <v>2846788</v>
      </c>
      <c r="AN1022" s="65"/>
      <c r="AO1022" s="217"/>
      <c r="AP1022" s="97" t="s">
        <v>292</v>
      </c>
      <c r="AQ1022" s="66" t="s">
        <v>426</v>
      </c>
      <c r="AR1022" s="65" t="s">
        <v>10</v>
      </c>
      <c r="AS1022" s="65"/>
      <c r="AT1022" s="65"/>
      <c r="AU1022" s="97" t="s">
        <v>4895</v>
      </c>
      <c r="AV1022" s="97" t="s">
        <v>4896</v>
      </c>
      <c r="AW1022" s="97" t="s">
        <v>4897</v>
      </c>
      <c r="AX1022" s="97" t="s">
        <v>4898</v>
      </c>
      <c r="AY1022" s="118"/>
      <c r="AZ1022" s="118"/>
      <c r="BA1022" s="118"/>
      <c r="BB1022" s="124"/>
    </row>
    <row r="1023" spans="1:54" x14ac:dyDescent="0.25">
      <c r="A1023" s="117" t="s">
        <v>4899</v>
      </c>
      <c r="B1023" s="118" t="s">
        <v>4900</v>
      </c>
      <c r="C1023" s="118" t="s">
        <v>4901</v>
      </c>
      <c r="D1023" s="119" t="s">
        <v>2990</v>
      </c>
      <c r="E1023" s="38" t="s">
        <v>4902</v>
      </c>
      <c r="F1023" s="39">
        <v>4</v>
      </c>
      <c r="G1023" s="118" t="s">
        <v>21</v>
      </c>
      <c r="H1023" s="118" t="s">
        <v>106</v>
      </c>
      <c r="I1023" s="206">
        <v>45173.506761805598</v>
      </c>
      <c r="J1023" s="38">
        <v>45180.625</v>
      </c>
      <c r="K1023" s="38">
        <v>45173.506761805598</v>
      </c>
      <c r="L1023" s="206">
        <v>45180.625</v>
      </c>
      <c r="M1023" s="211">
        <v>45174</v>
      </c>
      <c r="N1023" s="207" t="s">
        <v>10</v>
      </c>
      <c r="O1023" s="206" t="s">
        <v>27</v>
      </c>
      <c r="P1023" s="38"/>
      <c r="Q1023" s="121"/>
      <c r="R1023" s="121"/>
      <c r="S1023" s="19"/>
      <c r="T1023" s="38"/>
      <c r="U1023" s="65">
        <f>Tabla1[[#This Row],[PPTO]]/(1+'Lista Datos'!$B$1)</f>
        <v>0</v>
      </c>
      <c r="V1023" s="64"/>
      <c r="W1023" s="191"/>
      <c r="X1023" s="122"/>
      <c r="Y1023" s="122"/>
      <c r="Z1023" s="123"/>
      <c r="AA1023" s="118"/>
      <c r="AB1023" s="118"/>
      <c r="AC1023" s="118"/>
      <c r="AD1023" s="118"/>
      <c r="AE1023" s="145">
        <f>Tabla1[[#This Row],[Cierre]]+Tabla1[[#This Row],[Vigencia Oferta (días)]]</f>
        <v>45180.625</v>
      </c>
      <c r="AF1023" s="65"/>
      <c r="AG1023" s="181"/>
      <c r="AH1023" s="192">
        <f>Tabla1[[#This Row],[Unidades2]]*Tabla1[[#This Row],[Precio Unitario]]</f>
        <v>0</v>
      </c>
      <c r="AI1023" s="126" t="s">
        <v>270</v>
      </c>
      <c r="AJ1023" s="149"/>
      <c r="AK1023" s="149">
        <f>Tabla1[[#This Row],[Fecha Vigencia]]-AJ1023</f>
        <v>45180.625</v>
      </c>
      <c r="AL1023" s="65"/>
      <c r="AM1023" s="90"/>
      <c r="AN1023" s="65"/>
      <c r="AO1023" s="217"/>
      <c r="AP1023" s="65"/>
      <c r="AQ1023" s="66"/>
      <c r="AR1023" s="65"/>
      <c r="AS1023" s="65"/>
      <c r="AT1023" s="65"/>
      <c r="AU1023" s="65"/>
      <c r="AV1023" s="65"/>
      <c r="AW1023" s="65"/>
      <c r="AX1023" s="65"/>
      <c r="AY1023" s="118"/>
      <c r="AZ1023" s="118"/>
      <c r="BA1023" s="118"/>
      <c r="BB1023" s="124"/>
    </row>
    <row r="1024" spans="1:54" x14ac:dyDescent="0.25">
      <c r="A1024" s="153" t="s">
        <v>4903</v>
      </c>
      <c r="B1024" s="30" t="s">
        <v>4904</v>
      </c>
      <c r="C1024" s="30" t="s">
        <v>4905</v>
      </c>
      <c r="D1024" s="84" t="s">
        <v>1526</v>
      </c>
      <c r="E1024" s="24" t="s">
        <v>4906</v>
      </c>
      <c r="F1024" s="25">
        <v>1</v>
      </c>
      <c r="G1024" s="30" t="s">
        <v>16</v>
      </c>
      <c r="H1024" s="30" t="s">
        <v>145</v>
      </c>
      <c r="I1024" s="203">
        <v>45174.753701851798</v>
      </c>
      <c r="J1024" s="38">
        <v>45180.645833333299</v>
      </c>
      <c r="K1024" s="38">
        <v>45174.753701851798</v>
      </c>
      <c r="L1024" s="203">
        <v>45180.645833333299</v>
      </c>
      <c r="M1024" s="204">
        <v>45175</v>
      </c>
      <c r="N1024" s="205" t="s">
        <v>10</v>
      </c>
      <c r="O1024" s="203" t="s">
        <v>25</v>
      </c>
      <c r="P1024" s="24"/>
      <c r="Q1024" s="160">
        <v>45176.625</v>
      </c>
      <c r="R1024" s="160">
        <v>45177.625</v>
      </c>
      <c r="S1024" s="161">
        <v>45184.708333333336</v>
      </c>
      <c r="T1024" s="210">
        <v>6300000</v>
      </c>
      <c r="U1024" s="209">
        <f>Tabla1[[#This Row],[PPTO]]/(1+'Lista Datos'!$B$1)</f>
        <v>5294117.6470588241</v>
      </c>
      <c r="V1024" s="67"/>
      <c r="W1024" s="193" t="s">
        <v>10</v>
      </c>
      <c r="X1024" s="127"/>
      <c r="Y1024" s="127"/>
      <c r="Z1024" s="154" t="s">
        <v>10</v>
      </c>
      <c r="AA1024" s="30" t="s">
        <v>177</v>
      </c>
      <c r="AB1024" s="30">
        <v>4</v>
      </c>
      <c r="AC1024" s="30"/>
      <c r="AD1024" s="30"/>
      <c r="AE1024" s="145">
        <f>Tabla1[[#This Row],[Cierre]]+Tabla1[[#This Row],[Vigencia Oferta (días)]]</f>
        <v>45180.645833333299</v>
      </c>
      <c r="AF1024" s="68"/>
      <c r="AG1024" s="157"/>
      <c r="AH1024" s="194">
        <f>Tabla1[[#This Row],[Unidades2]]*Tabla1[[#This Row],[Precio Unitario]]</f>
        <v>0</v>
      </c>
      <c r="AI1024" s="97" t="s">
        <v>270</v>
      </c>
      <c r="AJ1024" s="149"/>
      <c r="AK1024" s="149">
        <f>Tabla1[[#This Row],[Fecha Vigencia]]-AJ1024</f>
        <v>45180.645833333299</v>
      </c>
      <c r="AL1024" s="68"/>
      <c r="AM1024" s="91"/>
      <c r="AN1024" s="68"/>
      <c r="AO1024" s="218"/>
      <c r="AP1024" s="68"/>
      <c r="AQ1024" s="69"/>
      <c r="AR1024" s="68"/>
      <c r="AS1024" s="68"/>
      <c r="AT1024" s="68"/>
      <c r="AU1024" s="68"/>
      <c r="AV1024" s="68"/>
      <c r="AW1024" s="68"/>
      <c r="AX1024" s="68"/>
      <c r="AY1024" s="30"/>
      <c r="AZ1024" s="30"/>
      <c r="BA1024" s="30"/>
      <c r="BB1024" s="75"/>
    </row>
    <row r="1025" spans="1:54" x14ac:dyDescent="0.25">
      <c r="A1025" s="153" t="s">
        <v>4907</v>
      </c>
      <c r="B1025" s="30" t="s">
        <v>4908</v>
      </c>
      <c r="C1025" s="30" t="s">
        <v>4908</v>
      </c>
      <c r="D1025" s="84" t="s">
        <v>3545</v>
      </c>
      <c r="E1025" s="24" t="s">
        <v>4908</v>
      </c>
      <c r="F1025" s="25">
        <v>1003</v>
      </c>
      <c r="G1025" s="30" t="s">
        <v>21</v>
      </c>
      <c r="H1025" s="30" t="s">
        <v>106</v>
      </c>
      <c r="I1025" s="203">
        <v>45174.7101337153</v>
      </c>
      <c r="J1025" s="121">
        <v>45181.625</v>
      </c>
      <c r="K1025" s="121">
        <v>45174.7101337153</v>
      </c>
      <c r="L1025" s="203">
        <v>45197.354166666664</v>
      </c>
      <c r="M1025" s="204">
        <v>45175</v>
      </c>
      <c r="N1025" s="205" t="s">
        <v>10</v>
      </c>
      <c r="O1025" s="203" t="s">
        <v>27</v>
      </c>
      <c r="P1025" s="24"/>
      <c r="Q1025" s="60"/>
      <c r="R1025" s="60"/>
      <c r="S1025" s="18"/>
      <c r="T1025" s="24"/>
      <c r="U1025" s="68">
        <f>Tabla1[[#This Row],[PPTO]]/(1+'Lista Datos'!$B$1)</f>
        <v>0</v>
      </c>
      <c r="V1025" s="67"/>
      <c r="W1025" s="193"/>
      <c r="X1025" s="127"/>
      <c r="Y1025" s="127"/>
      <c r="Z1025" s="154"/>
      <c r="AA1025" s="30"/>
      <c r="AB1025" s="30"/>
      <c r="AC1025" s="30"/>
      <c r="AD1025" s="30"/>
      <c r="AE1025" s="145">
        <f>Tabla1[[#This Row],[Cierre]]+Tabla1[[#This Row],[Vigencia Oferta (días)]]</f>
        <v>45197.354166666664</v>
      </c>
      <c r="AF1025" s="68"/>
      <c r="AG1025" s="157"/>
      <c r="AH1025" s="194">
        <f>Tabla1[[#This Row],[Unidades2]]*Tabla1[[#This Row],[Precio Unitario]]</f>
        <v>0</v>
      </c>
      <c r="AI1025" s="97" t="s">
        <v>270</v>
      </c>
      <c r="AJ1025" s="149"/>
      <c r="AK1025" s="149">
        <f>Tabla1[[#This Row],[Fecha Vigencia]]-AJ1025</f>
        <v>45197.354166666664</v>
      </c>
      <c r="AL1025" s="68"/>
      <c r="AM1025" s="91"/>
      <c r="AN1025" s="68"/>
      <c r="AO1025" s="218"/>
      <c r="AP1025" s="68"/>
      <c r="AQ1025" s="69"/>
      <c r="AR1025" s="68"/>
      <c r="AS1025" s="68"/>
      <c r="AT1025" s="68"/>
      <c r="AU1025" s="68"/>
      <c r="AV1025" s="68"/>
      <c r="AW1025" s="68"/>
      <c r="AX1025" s="68"/>
      <c r="AY1025" s="30"/>
      <c r="AZ1025" s="30"/>
      <c r="BA1025" s="30"/>
      <c r="BB1025" s="75"/>
    </row>
    <row r="1026" spans="1:54" x14ac:dyDescent="0.25">
      <c r="A1026" s="153" t="s">
        <v>4909</v>
      </c>
      <c r="B1026" s="30" t="s">
        <v>4910</v>
      </c>
      <c r="C1026" s="30" t="s">
        <v>4911</v>
      </c>
      <c r="D1026" s="84" t="s">
        <v>378</v>
      </c>
      <c r="E1026" s="24" t="s">
        <v>4912</v>
      </c>
      <c r="F1026" s="25">
        <v>1</v>
      </c>
      <c r="G1026" s="30" t="s">
        <v>3716</v>
      </c>
      <c r="H1026" s="30" t="s">
        <v>213</v>
      </c>
      <c r="I1026" s="203">
        <v>45174.677412847203</v>
      </c>
      <c r="J1026" s="121">
        <v>45184.625</v>
      </c>
      <c r="K1026" s="121">
        <v>45174.677412847203</v>
      </c>
      <c r="L1026" s="203">
        <v>45190.625</v>
      </c>
      <c r="M1026" s="204">
        <v>45175</v>
      </c>
      <c r="N1026" s="205" t="s">
        <v>10</v>
      </c>
      <c r="O1026" s="203" t="s">
        <v>25</v>
      </c>
      <c r="P1026" s="24"/>
      <c r="Q1026" s="160">
        <v>45181.886111111111</v>
      </c>
      <c r="R1026" s="160">
        <v>45182.886111111111</v>
      </c>
      <c r="S1026" s="161">
        <v>45230.833333333336</v>
      </c>
      <c r="T1026" s="210">
        <v>6200000</v>
      </c>
      <c r="U1026" s="209">
        <f>Tabla1[[#This Row],[PPTO]]/(1+'Lista Datos'!$B$1)</f>
        <v>5210084.0336134452</v>
      </c>
      <c r="V1026" s="67"/>
      <c r="W1026" s="193" t="s">
        <v>11</v>
      </c>
      <c r="X1026" s="127" t="s">
        <v>4913</v>
      </c>
      <c r="Y1026" s="104">
        <v>45247</v>
      </c>
      <c r="Z1026" s="154" t="s">
        <v>11</v>
      </c>
      <c r="AA1026" s="30" t="s">
        <v>177</v>
      </c>
      <c r="AB1026" s="30">
        <v>6</v>
      </c>
      <c r="AC1026" s="30"/>
      <c r="AD1026" s="30"/>
      <c r="AE1026" s="145">
        <f>Tabla1[[#This Row],[Cierre]]+Tabla1[[#This Row],[Vigencia Oferta (días)]]</f>
        <v>45190.625</v>
      </c>
      <c r="AF1026" s="68"/>
      <c r="AG1026" s="157"/>
      <c r="AH1026" s="194">
        <f>Tabla1[[#This Row],[Unidades2]]*Tabla1[[#This Row],[Precio Unitario]]</f>
        <v>0</v>
      </c>
      <c r="AI1026" s="97" t="s">
        <v>270</v>
      </c>
      <c r="AJ1026" s="149"/>
      <c r="AK1026" s="149">
        <f>Tabla1[[#This Row],[Fecha Vigencia]]-AJ1026</f>
        <v>45190.625</v>
      </c>
      <c r="AL1026" s="68"/>
      <c r="AM1026" s="91"/>
      <c r="AN1026" s="68"/>
      <c r="AO1026" s="218"/>
      <c r="AP1026" s="68"/>
      <c r="AQ1026" s="69"/>
      <c r="AR1026" s="68"/>
      <c r="AS1026" s="68"/>
      <c r="AT1026" s="68"/>
      <c r="AU1026" s="68"/>
      <c r="AV1026" s="68"/>
      <c r="AW1026" s="68"/>
      <c r="AX1026" s="68"/>
      <c r="AY1026" s="30"/>
      <c r="AZ1026" s="30"/>
      <c r="BA1026" s="30"/>
      <c r="BB1026" s="75"/>
    </row>
    <row r="1027" spans="1:54" x14ac:dyDescent="0.25">
      <c r="A1027" s="153" t="s">
        <v>4914</v>
      </c>
      <c r="B1027" s="30" t="s">
        <v>4915</v>
      </c>
      <c r="C1027" s="30" t="s">
        <v>4916</v>
      </c>
      <c r="D1027" s="84" t="s">
        <v>4917</v>
      </c>
      <c r="E1027" s="24" t="s">
        <v>4918</v>
      </c>
      <c r="F1027" s="25">
        <v>57</v>
      </c>
      <c r="G1027" s="30" t="s">
        <v>21</v>
      </c>
      <c r="H1027" s="30" t="s">
        <v>106</v>
      </c>
      <c r="I1027" s="203">
        <v>45175.7647748495</v>
      </c>
      <c r="J1027" s="38">
        <v>45182.335416666698</v>
      </c>
      <c r="K1027" s="38">
        <v>45175.7647748495</v>
      </c>
      <c r="L1027" s="203">
        <v>45190.4375</v>
      </c>
      <c r="M1027" s="204">
        <v>45176</v>
      </c>
      <c r="N1027" s="205" t="s">
        <v>11</v>
      </c>
      <c r="O1027" s="203"/>
      <c r="P1027" s="236" t="s">
        <v>11</v>
      </c>
      <c r="Q1027" s="160">
        <v>45177.502083333333</v>
      </c>
      <c r="R1027" s="160">
        <v>45180.752083333333</v>
      </c>
      <c r="S1027" s="161">
        <v>45189.752083333333</v>
      </c>
      <c r="T1027" s="210">
        <v>6289240</v>
      </c>
      <c r="U1027" s="209">
        <f>Tabla1[[#This Row],[PPTO]]/(1+'Lista Datos'!$B$1)</f>
        <v>5285075.6302521015</v>
      </c>
      <c r="V1027" s="67"/>
      <c r="W1027" s="193" t="s">
        <v>10</v>
      </c>
      <c r="X1027" s="127"/>
      <c r="Y1027" s="127"/>
      <c r="Z1027" s="154" t="s">
        <v>10</v>
      </c>
      <c r="AA1027" s="30" t="s">
        <v>512</v>
      </c>
      <c r="AB1027" s="30"/>
      <c r="AC1027" s="30"/>
      <c r="AD1027" s="30"/>
      <c r="AE1027" s="145">
        <f>Tabla1[[#This Row],[Cierre]]+Tabla1[[#This Row],[Vigencia Oferta (días)]]</f>
        <v>45190.4375</v>
      </c>
      <c r="AF1027" s="68"/>
      <c r="AG1027" s="157"/>
      <c r="AH1027" s="194">
        <f>Tabla1[[#This Row],[Unidades2]]*Tabla1[[#This Row],[Precio Unitario]]</f>
        <v>0</v>
      </c>
      <c r="AI1027" s="97" t="s">
        <v>44</v>
      </c>
      <c r="AJ1027" s="149">
        <v>45210</v>
      </c>
      <c r="AK1027" s="149">
        <f>Tabla1[[#This Row],[Fecha Vigencia]]-AJ1027</f>
        <v>-19.5625</v>
      </c>
      <c r="AL1027" s="68" t="s">
        <v>46</v>
      </c>
      <c r="AM1027" s="91">
        <v>1128600</v>
      </c>
      <c r="AN1027" s="68"/>
      <c r="AO1027" s="218"/>
      <c r="AP1027" s="23" t="s">
        <v>292</v>
      </c>
      <c r="AQ1027" s="69"/>
      <c r="AR1027" s="68"/>
      <c r="AS1027" s="68"/>
      <c r="AT1027" s="68"/>
      <c r="AU1027" s="68"/>
      <c r="AV1027" s="68"/>
      <c r="AW1027" s="68"/>
      <c r="AX1027" s="68"/>
      <c r="AY1027" s="30"/>
      <c r="AZ1027" s="30"/>
      <c r="BA1027" s="30"/>
      <c r="BB1027" s="75"/>
    </row>
    <row r="1028" spans="1:54" x14ac:dyDescent="0.25">
      <c r="A1028" s="117" t="s">
        <v>4919</v>
      </c>
      <c r="B1028" s="118" t="s">
        <v>4920</v>
      </c>
      <c r="C1028" s="118" t="s">
        <v>4921</v>
      </c>
      <c r="D1028" s="119" t="s">
        <v>405</v>
      </c>
      <c r="E1028" s="38" t="s">
        <v>4922</v>
      </c>
      <c r="F1028" s="39">
        <v>24</v>
      </c>
      <c r="G1028" s="118" t="s">
        <v>14</v>
      </c>
      <c r="H1028" s="118" t="s">
        <v>123</v>
      </c>
      <c r="I1028" s="206">
        <v>45175.667471990702</v>
      </c>
      <c r="J1028" s="121">
        <v>45189.625694444403</v>
      </c>
      <c r="K1028" s="121">
        <v>45175.667471990702</v>
      </c>
      <c r="L1028" s="206">
        <v>45196.625694444447</v>
      </c>
      <c r="M1028" s="211">
        <v>45176</v>
      </c>
      <c r="N1028" s="207" t="s">
        <v>10</v>
      </c>
      <c r="O1028" s="206" t="s">
        <v>25</v>
      </c>
      <c r="P1028" s="38"/>
      <c r="Q1028" s="147">
        <v>45178.708333333336</v>
      </c>
      <c r="R1028" s="147">
        <v>45180.75</v>
      </c>
      <c r="S1028" s="148">
        <v>45215.75</v>
      </c>
      <c r="T1028" s="215">
        <v>19816000</v>
      </c>
      <c r="U1028" s="214">
        <f>Tabla1[[#This Row],[PPTO]]/(1+'Lista Datos'!$B$1)</f>
        <v>16652100.840336135</v>
      </c>
      <c r="V1028" s="64"/>
      <c r="W1028" s="191" t="s">
        <v>10</v>
      </c>
      <c r="X1028" s="122"/>
      <c r="Y1028" s="122"/>
      <c r="Z1028" s="123" t="s">
        <v>10</v>
      </c>
      <c r="AA1028" s="118" t="s">
        <v>512</v>
      </c>
      <c r="AB1028" s="118"/>
      <c r="AC1028" s="118"/>
      <c r="AD1028" s="118"/>
      <c r="AE1028" s="145">
        <f>Tabla1[[#This Row],[Cierre]]+Tabla1[[#This Row],[Vigencia Oferta (días)]]</f>
        <v>45196.625694444447</v>
      </c>
      <c r="AF1028" s="65"/>
      <c r="AG1028" s="181"/>
      <c r="AH1028" s="192">
        <f>Tabla1[[#This Row],[Unidades2]]*Tabla1[[#This Row],[Precio Unitario]]</f>
        <v>0</v>
      </c>
      <c r="AI1028" s="126" t="s">
        <v>270</v>
      </c>
      <c r="AJ1028" s="149"/>
      <c r="AK1028" s="149">
        <f>Tabla1[[#This Row],[Fecha Vigencia]]-AJ1028</f>
        <v>45196.625694444447</v>
      </c>
      <c r="AL1028" s="65"/>
      <c r="AM1028" s="90"/>
      <c r="AN1028" s="65"/>
      <c r="AO1028" s="217"/>
      <c r="AP1028" s="65"/>
      <c r="AQ1028" s="66"/>
      <c r="AR1028" s="65"/>
      <c r="AS1028" s="65"/>
      <c r="AT1028" s="65"/>
      <c r="AU1028" s="65"/>
      <c r="AV1028" s="65"/>
      <c r="AW1028" s="65"/>
      <c r="AX1028" s="65"/>
      <c r="AY1028" s="118"/>
      <c r="AZ1028" s="118"/>
      <c r="BA1028" s="118"/>
      <c r="BB1028" s="124"/>
    </row>
    <row r="1029" spans="1:54" x14ac:dyDescent="0.25">
      <c r="A1029" s="153" t="s">
        <v>4923</v>
      </c>
      <c r="B1029" s="30" t="s">
        <v>4924</v>
      </c>
      <c r="C1029" s="30" t="s">
        <v>4924</v>
      </c>
      <c r="D1029" s="84" t="s">
        <v>4688</v>
      </c>
      <c r="E1029" s="24" t="s">
        <v>4925</v>
      </c>
      <c r="F1029" s="25">
        <v>2</v>
      </c>
      <c r="G1029" s="30" t="s">
        <v>21</v>
      </c>
      <c r="H1029" s="30" t="s">
        <v>106</v>
      </c>
      <c r="I1029" s="203">
        <v>45175.664671330996</v>
      </c>
      <c r="J1029" s="38">
        <v>45181.729166666701</v>
      </c>
      <c r="K1029" s="38">
        <v>45175.664671330996</v>
      </c>
      <c r="L1029" s="203">
        <v>45195.708333333336</v>
      </c>
      <c r="M1029" s="204">
        <v>45176</v>
      </c>
      <c r="N1029" s="205" t="s">
        <v>11</v>
      </c>
      <c r="O1029" s="203"/>
      <c r="P1029" s="205" t="s">
        <v>11</v>
      </c>
      <c r="Q1029" s="160">
        <v>45178.8125</v>
      </c>
      <c r="R1029" s="160">
        <v>45179.8125</v>
      </c>
      <c r="S1029" s="161">
        <v>45224.729861111111</v>
      </c>
      <c r="T1029" s="210">
        <v>1557132</v>
      </c>
      <c r="U1029" s="209">
        <f>Tabla1[[#This Row],[PPTO]]/(1+'Lista Datos'!$B$1)</f>
        <v>1308514.2857142857</v>
      </c>
      <c r="V1029" s="67"/>
      <c r="W1029" s="193" t="s">
        <v>10</v>
      </c>
      <c r="X1029" s="127"/>
      <c r="Y1029" s="127"/>
      <c r="Z1029" s="154" t="s">
        <v>10</v>
      </c>
      <c r="AA1029" s="30" t="s">
        <v>512</v>
      </c>
      <c r="AB1029" s="30"/>
      <c r="AC1029" s="30"/>
      <c r="AD1029" s="30"/>
      <c r="AE1029" s="145">
        <f>Tabla1[[#This Row],[Cierre]]+Tabla1[[#This Row],[Vigencia Oferta (días)]]</f>
        <v>45195.708333333336</v>
      </c>
      <c r="AF1029" s="68">
        <v>2</v>
      </c>
      <c r="AG1029" s="228">
        <v>578812</v>
      </c>
      <c r="AH1029" s="194">
        <f>Tabla1[[#This Row],[Unidades2]]*Tabla1[[#This Row],[Precio Unitario]]</f>
        <v>1157624</v>
      </c>
      <c r="AI1029" s="97" t="s">
        <v>44</v>
      </c>
      <c r="AJ1029" s="149">
        <v>45218</v>
      </c>
      <c r="AK1029" s="149">
        <f>Tabla1[[#This Row],[Fecha Vigencia]]-AJ1029</f>
        <v>-22.291666666664241</v>
      </c>
      <c r="AL1029" s="68" t="s">
        <v>46</v>
      </c>
      <c r="AM1029" s="91">
        <v>550000</v>
      </c>
      <c r="AN1029" s="68"/>
      <c r="AO1029" s="218"/>
      <c r="AP1029" s="126" t="s">
        <v>292</v>
      </c>
      <c r="AQ1029" s="69"/>
      <c r="AR1029" s="68"/>
      <c r="AS1029" s="68"/>
      <c r="AT1029" s="68"/>
      <c r="AU1029" s="68"/>
      <c r="AV1029" s="68"/>
      <c r="AW1029" s="68"/>
      <c r="AX1029" s="68"/>
      <c r="AY1029" s="30"/>
      <c r="AZ1029" s="30"/>
      <c r="BA1029" s="30"/>
      <c r="BB1029" s="75"/>
    </row>
    <row r="1030" spans="1:54" x14ac:dyDescent="0.25">
      <c r="A1030" s="153" t="s">
        <v>4926</v>
      </c>
      <c r="B1030" s="30" t="s">
        <v>4927</v>
      </c>
      <c r="C1030" s="30" t="s">
        <v>4928</v>
      </c>
      <c r="D1030" s="84" t="s">
        <v>4929</v>
      </c>
      <c r="E1030" s="24" t="s">
        <v>4930</v>
      </c>
      <c r="F1030" s="25">
        <v>2</v>
      </c>
      <c r="G1030" s="30" t="s">
        <v>21</v>
      </c>
      <c r="H1030" s="30" t="s">
        <v>106</v>
      </c>
      <c r="I1030" s="203">
        <v>45175.470565393502</v>
      </c>
      <c r="J1030" s="121">
        <v>45181.649305555598</v>
      </c>
      <c r="K1030" s="121">
        <v>45175.470565393502</v>
      </c>
      <c r="L1030" s="203">
        <v>45195.649305555555</v>
      </c>
      <c r="M1030" s="204">
        <v>45176</v>
      </c>
      <c r="N1030" s="205" t="s">
        <v>10</v>
      </c>
      <c r="O1030" s="203" t="s">
        <v>27</v>
      </c>
      <c r="P1030" s="24"/>
      <c r="Q1030" s="60"/>
      <c r="R1030" s="60"/>
      <c r="S1030" s="18"/>
      <c r="T1030" s="24"/>
      <c r="U1030" s="68">
        <f>Tabla1[[#This Row],[PPTO]]/(1+'Lista Datos'!$B$1)</f>
        <v>0</v>
      </c>
      <c r="V1030" s="67"/>
      <c r="W1030" s="193"/>
      <c r="X1030" s="127"/>
      <c r="Y1030" s="127"/>
      <c r="Z1030" s="154"/>
      <c r="AA1030" s="30"/>
      <c r="AB1030" s="30"/>
      <c r="AC1030" s="30"/>
      <c r="AD1030" s="30"/>
      <c r="AE1030" s="145">
        <f>Tabla1[[#This Row],[Cierre]]+Tabla1[[#This Row],[Vigencia Oferta (días)]]</f>
        <v>45195.649305555555</v>
      </c>
      <c r="AF1030" s="68"/>
      <c r="AG1030" s="157"/>
      <c r="AH1030" s="194">
        <f>Tabla1[[#This Row],[Unidades2]]*Tabla1[[#This Row],[Precio Unitario]]</f>
        <v>0</v>
      </c>
      <c r="AI1030" s="97" t="s">
        <v>270</v>
      </c>
      <c r="AJ1030" s="149"/>
      <c r="AK1030" s="149">
        <f>Tabla1[[#This Row],[Fecha Vigencia]]-AJ1030</f>
        <v>45195.649305555555</v>
      </c>
      <c r="AL1030" s="68"/>
      <c r="AM1030" s="91"/>
      <c r="AN1030" s="68"/>
      <c r="AO1030" s="218"/>
      <c r="AP1030" s="68"/>
      <c r="AQ1030" s="69"/>
      <c r="AR1030" s="68"/>
      <c r="AS1030" s="68"/>
      <c r="AT1030" s="68"/>
      <c r="AU1030" s="68"/>
      <c r="AV1030" s="68"/>
      <c r="AW1030" s="68"/>
      <c r="AX1030" s="68"/>
      <c r="AY1030" s="30"/>
      <c r="AZ1030" s="30"/>
      <c r="BA1030" s="30"/>
      <c r="BB1030" s="75"/>
    </row>
    <row r="1031" spans="1:54" x14ac:dyDescent="0.25">
      <c r="A1031" s="117" t="s">
        <v>4931</v>
      </c>
      <c r="B1031" s="118" t="s">
        <v>4932</v>
      </c>
      <c r="C1031" s="118" t="s">
        <v>4933</v>
      </c>
      <c r="D1031" s="119" t="s">
        <v>1001</v>
      </c>
      <c r="E1031" s="38" t="s">
        <v>4934</v>
      </c>
      <c r="F1031" s="39">
        <v>18</v>
      </c>
      <c r="G1031" s="118" t="s">
        <v>21</v>
      </c>
      <c r="H1031" s="118" t="s">
        <v>106</v>
      </c>
      <c r="I1031" s="206">
        <v>45175.4650905093</v>
      </c>
      <c r="J1031" s="121">
        <v>45205.625694444403</v>
      </c>
      <c r="K1031" s="121">
        <v>45175.4650905093</v>
      </c>
      <c r="L1031" s="206">
        <v>45205.625694444403</v>
      </c>
      <c r="M1031" s="211">
        <v>45176</v>
      </c>
      <c r="N1031" s="207" t="s">
        <v>10</v>
      </c>
      <c r="O1031" s="206" t="s">
        <v>25</v>
      </c>
      <c r="P1031" s="38"/>
      <c r="Q1031" s="147">
        <v>45185.666666666664</v>
      </c>
      <c r="R1031" s="147">
        <v>45189.75</v>
      </c>
      <c r="S1031" s="148">
        <v>45265.791666666664</v>
      </c>
      <c r="T1031" s="215">
        <v>440626964</v>
      </c>
      <c r="U1031" s="214">
        <f>Tabla1[[#This Row],[PPTO]]/(1+'Lista Datos'!$B$1)</f>
        <v>370274759.66386557</v>
      </c>
      <c r="V1031" s="64"/>
      <c r="W1031" s="191" t="s">
        <v>11</v>
      </c>
      <c r="X1031" s="233">
        <v>0.03</v>
      </c>
      <c r="Y1031" s="149">
        <v>45305</v>
      </c>
      <c r="Z1031" s="123" t="s">
        <v>10</v>
      </c>
      <c r="AA1031" s="118" t="s">
        <v>177</v>
      </c>
      <c r="AB1031" s="118">
        <v>24</v>
      </c>
      <c r="AC1031" s="118"/>
      <c r="AD1031" s="118"/>
      <c r="AE1031" s="145">
        <f>Tabla1[[#This Row],[Cierre]]+Tabla1[[#This Row],[Vigencia Oferta (días)]]</f>
        <v>45205.625694444403</v>
      </c>
      <c r="AF1031" s="65"/>
      <c r="AG1031" s="181"/>
      <c r="AH1031" s="192">
        <f>Tabla1[[#This Row],[Unidades2]]*Tabla1[[#This Row],[Precio Unitario]]</f>
        <v>0</v>
      </c>
      <c r="AI1031" s="126" t="s">
        <v>270</v>
      </c>
      <c r="AJ1031" s="149"/>
      <c r="AK1031" s="149">
        <f>Tabla1[[#This Row],[Fecha Vigencia]]-AJ1031</f>
        <v>45205.625694444403</v>
      </c>
      <c r="AL1031" s="65"/>
      <c r="AM1031" s="90"/>
      <c r="AN1031" s="65"/>
      <c r="AO1031" s="217"/>
      <c r="AP1031" s="65"/>
      <c r="AQ1031" s="66"/>
      <c r="AR1031" s="65"/>
      <c r="AS1031" s="65"/>
      <c r="AT1031" s="65"/>
      <c r="AU1031" s="65"/>
      <c r="AV1031" s="65"/>
      <c r="AW1031" s="65"/>
      <c r="AX1031" s="65"/>
      <c r="AY1031" s="118"/>
      <c r="AZ1031" s="118"/>
      <c r="BA1031" s="118"/>
      <c r="BB1031" s="124"/>
    </row>
    <row r="1032" spans="1:54" x14ac:dyDescent="0.25">
      <c r="A1032" s="117" t="s">
        <v>4935</v>
      </c>
      <c r="B1032" s="118" t="s">
        <v>4936</v>
      </c>
      <c r="C1032" s="118" t="s">
        <v>4937</v>
      </c>
      <c r="D1032" s="119" t="s">
        <v>4938</v>
      </c>
      <c r="E1032" s="38" t="s">
        <v>4939</v>
      </c>
      <c r="F1032" s="39">
        <v>30</v>
      </c>
      <c r="G1032" s="118" t="s">
        <v>21</v>
      </c>
      <c r="H1032" s="118" t="s">
        <v>106</v>
      </c>
      <c r="I1032" s="206">
        <v>45176.7429198264</v>
      </c>
      <c r="J1032" s="38">
        <v>45183.625</v>
      </c>
      <c r="K1032" s="38">
        <v>45176.7429198264</v>
      </c>
      <c r="L1032" s="206">
        <v>45195.625</v>
      </c>
      <c r="M1032" s="211">
        <v>45177</v>
      </c>
      <c r="N1032" s="207" t="s">
        <v>10</v>
      </c>
      <c r="O1032" s="206" t="s">
        <v>25</v>
      </c>
      <c r="P1032" s="38"/>
      <c r="Q1032" s="147">
        <v>45177.833333333336</v>
      </c>
      <c r="R1032" s="147">
        <v>45180.833333333336</v>
      </c>
      <c r="S1032" s="148">
        <v>45192.833333333336</v>
      </c>
      <c r="T1032" s="215">
        <v>1999280</v>
      </c>
      <c r="U1032" s="214">
        <f>Tabla1[[#This Row],[PPTO]]/(1+'Lista Datos'!$B$1)</f>
        <v>1680067.2268907563</v>
      </c>
      <c r="V1032" s="64"/>
      <c r="W1032" s="191" t="s">
        <v>10</v>
      </c>
      <c r="X1032" s="122"/>
      <c r="Y1032" s="122"/>
      <c r="Z1032" s="123" t="s">
        <v>10</v>
      </c>
      <c r="AA1032" s="118" t="s">
        <v>512</v>
      </c>
      <c r="AB1032" s="118"/>
      <c r="AC1032" s="118"/>
      <c r="AD1032" s="118"/>
      <c r="AE1032" s="145">
        <f>Tabla1[[#This Row],[Cierre]]+Tabla1[[#This Row],[Vigencia Oferta (días)]]</f>
        <v>45195.625</v>
      </c>
      <c r="AF1032" s="65"/>
      <c r="AG1032" s="181"/>
      <c r="AH1032" s="192">
        <f>Tabla1[[#This Row],[Unidades2]]*Tabla1[[#This Row],[Precio Unitario]]</f>
        <v>0</v>
      </c>
      <c r="AI1032" s="126" t="s">
        <v>270</v>
      </c>
      <c r="AJ1032" s="149"/>
      <c r="AK1032" s="149">
        <f>Tabla1[[#This Row],[Fecha Vigencia]]-AJ1032</f>
        <v>45195.625</v>
      </c>
      <c r="AL1032" s="65"/>
      <c r="AM1032" s="90"/>
      <c r="AN1032" s="65"/>
      <c r="AO1032" s="217"/>
      <c r="AP1032" s="65"/>
      <c r="AQ1032" s="66"/>
      <c r="AR1032" s="65"/>
      <c r="AS1032" s="65"/>
      <c r="AT1032" s="65"/>
      <c r="AU1032" s="65"/>
      <c r="AV1032" s="65"/>
      <c r="AW1032" s="65"/>
      <c r="AX1032" s="65"/>
      <c r="AY1032" s="118"/>
      <c r="AZ1032" s="118"/>
      <c r="BA1032" s="118"/>
      <c r="BB1032" s="124"/>
    </row>
    <row r="1033" spans="1:54" x14ac:dyDescent="0.25">
      <c r="A1033" s="117" t="s">
        <v>4940</v>
      </c>
      <c r="B1033" s="118" t="s">
        <v>4941</v>
      </c>
      <c r="C1033" s="118" t="s">
        <v>4942</v>
      </c>
      <c r="D1033" s="119" t="s">
        <v>344</v>
      </c>
      <c r="E1033" s="38" t="s">
        <v>4943</v>
      </c>
      <c r="F1033" s="39">
        <v>1</v>
      </c>
      <c r="G1033" s="118" t="s">
        <v>16</v>
      </c>
      <c r="H1033" s="118" t="s">
        <v>345</v>
      </c>
      <c r="I1033" s="206">
        <v>45176.657632789298</v>
      </c>
      <c r="J1033" s="38">
        <v>45209.666666666701</v>
      </c>
      <c r="K1033" s="38">
        <v>45176.657632789298</v>
      </c>
      <c r="L1033" s="206">
        <v>45224.666666666664</v>
      </c>
      <c r="M1033" s="211">
        <v>45177</v>
      </c>
      <c r="N1033" s="207" t="s">
        <v>11</v>
      </c>
      <c r="O1033" s="206"/>
      <c r="P1033" s="38"/>
      <c r="Q1033" s="121" t="s">
        <v>4944</v>
      </c>
      <c r="R1033" s="147">
        <v>45194.75</v>
      </c>
      <c r="S1033" s="148">
        <v>45239.75</v>
      </c>
      <c r="T1033" s="215">
        <v>465585000</v>
      </c>
      <c r="U1033" s="214">
        <f>Tabla1[[#This Row],[PPTO]]/(1+'Lista Datos'!$B$1)</f>
        <v>391247899.15966386</v>
      </c>
      <c r="V1033" s="64"/>
      <c r="W1033" s="191" t="s">
        <v>11</v>
      </c>
      <c r="X1033" s="122" t="s">
        <v>2773</v>
      </c>
      <c r="Y1033" s="149">
        <v>45397</v>
      </c>
      <c r="Z1033" s="123" t="s">
        <v>11</v>
      </c>
      <c r="AA1033" s="118" t="s">
        <v>177</v>
      </c>
      <c r="AB1033" s="118">
        <v>12</v>
      </c>
      <c r="AC1033" s="118"/>
      <c r="AD1033" s="118"/>
      <c r="AE1033" s="145">
        <f>Tabla1[[#This Row],[Cierre]]+Tabla1[[#This Row],[Vigencia Oferta (días)]]</f>
        <v>45224.666666666664</v>
      </c>
      <c r="AF1033" s="65"/>
      <c r="AG1033" s="181"/>
      <c r="AH1033" s="192">
        <f>Tabla1[[#This Row],[Unidades2]]*Tabla1[[#This Row],[Precio Unitario]]</f>
        <v>0</v>
      </c>
      <c r="AI1033" s="126" t="s">
        <v>44</v>
      </c>
      <c r="AJ1033" s="149">
        <v>45243</v>
      </c>
      <c r="AK1033" s="149">
        <f>Tabla1[[#This Row],[Fecha Vigencia]]-AJ1033</f>
        <v>-18.333333333335759</v>
      </c>
      <c r="AL1033" s="65" t="s">
        <v>46</v>
      </c>
      <c r="AM1033" s="90">
        <v>456209735</v>
      </c>
      <c r="AN1033" s="181">
        <v>45243</v>
      </c>
      <c r="AO1033" s="217">
        <v>45609</v>
      </c>
      <c r="AP1033" s="65" t="s">
        <v>177</v>
      </c>
      <c r="AQ1033" s="66"/>
      <c r="AR1033" s="65"/>
      <c r="AS1033" s="65"/>
      <c r="AT1033" s="65"/>
      <c r="AU1033" s="65"/>
      <c r="AV1033" s="65"/>
      <c r="AW1033" s="65"/>
      <c r="AX1033" s="65"/>
      <c r="AY1033" s="118"/>
      <c r="AZ1033" s="118"/>
      <c r="BA1033" s="118"/>
      <c r="BB1033" s="124"/>
    </row>
    <row r="1034" spans="1:54" x14ac:dyDescent="0.25">
      <c r="A1034" s="117" t="s">
        <v>4945</v>
      </c>
      <c r="B1034" s="118" t="s">
        <v>2195</v>
      </c>
      <c r="C1034" s="118" t="s">
        <v>2256</v>
      </c>
      <c r="D1034" s="119" t="s">
        <v>1813</v>
      </c>
      <c r="E1034" s="38" t="s">
        <v>4946</v>
      </c>
      <c r="F1034" s="39">
        <v>1</v>
      </c>
      <c r="G1034" s="118" t="s">
        <v>16</v>
      </c>
      <c r="H1034" s="118" t="s">
        <v>123</v>
      </c>
      <c r="I1034" s="206">
        <v>45175.405243055553</v>
      </c>
      <c r="J1034" s="38">
        <v>45189.628472222219</v>
      </c>
      <c r="K1034" s="38">
        <v>45175.405243055553</v>
      </c>
      <c r="L1034" s="206">
        <v>45194.666666666664</v>
      </c>
      <c r="M1034" s="211">
        <v>45177</v>
      </c>
      <c r="N1034" s="207" t="s">
        <v>10</v>
      </c>
      <c r="O1034" s="206" t="s">
        <v>33</v>
      </c>
      <c r="P1034" s="38"/>
      <c r="Q1034" s="121"/>
      <c r="R1034" s="121"/>
      <c r="S1034" s="19"/>
      <c r="T1034" s="38"/>
      <c r="U1034" s="65">
        <f>Tabla1[[#This Row],[PPTO]]/(1+'Lista Datos'!$B$1)</f>
        <v>0</v>
      </c>
      <c r="V1034" s="64"/>
      <c r="W1034" s="191"/>
      <c r="X1034" s="122"/>
      <c r="Y1034" s="122"/>
      <c r="Z1034" s="123"/>
      <c r="AA1034" s="118"/>
      <c r="AB1034" s="118"/>
      <c r="AC1034" s="118"/>
      <c r="AD1034" s="118"/>
      <c r="AE1034" s="145">
        <f>Tabla1[[#This Row],[Cierre]]+Tabla1[[#This Row],[Vigencia Oferta (días)]]</f>
        <v>45194.666666666664</v>
      </c>
      <c r="AF1034" s="65"/>
      <c r="AG1034" s="181"/>
      <c r="AH1034" s="192">
        <f>Tabla1[[#This Row],[Unidades2]]*Tabla1[[#This Row],[Precio Unitario]]</f>
        <v>0</v>
      </c>
      <c r="AI1034" s="126" t="s">
        <v>270</v>
      </c>
      <c r="AJ1034" s="149"/>
      <c r="AK1034" s="149">
        <f>Tabla1[[#This Row],[Fecha Vigencia]]-AJ1034</f>
        <v>45194.666666666664</v>
      </c>
      <c r="AL1034" s="65"/>
      <c r="AM1034" s="90"/>
      <c r="AN1034" s="65"/>
      <c r="AO1034" s="217"/>
      <c r="AP1034" s="65"/>
      <c r="AQ1034" s="66"/>
      <c r="AR1034" s="65"/>
      <c r="AS1034" s="65"/>
      <c r="AT1034" s="65"/>
      <c r="AU1034" s="65"/>
      <c r="AV1034" s="65"/>
      <c r="AW1034" s="65"/>
      <c r="AX1034" s="65"/>
      <c r="AY1034" s="118"/>
      <c r="AZ1034" s="118"/>
      <c r="BA1034" s="118"/>
      <c r="BB1034" s="124"/>
    </row>
    <row r="1035" spans="1:54" x14ac:dyDescent="0.25">
      <c r="A1035" s="117" t="s">
        <v>4947</v>
      </c>
      <c r="B1035" s="118" t="s">
        <v>4948</v>
      </c>
      <c r="C1035" s="118" t="s">
        <v>4949</v>
      </c>
      <c r="D1035" s="119" t="s">
        <v>364</v>
      </c>
      <c r="E1035" s="38" t="s">
        <v>4950</v>
      </c>
      <c r="F1035" s="39">
        <v>5</v>
      </c>
      <c r="G1035" s="118" t="s">
        <v>14</v>
      </c>
      <c r="H1035" s="118" t="s">
        <v>1596</v>
      </c>
      <c r="I1035" s="206">
        <v>45177.629556250002</v>
      </c>
      <c r="J1035" s="38">
        <v>45189.625694444403</v>
      </c>
      <c r="K1035" s="38">
        <v>45177.629556250002</v>
      </c>
      <c r="L1035" s="206">
        <v>45205.625694444447</v>
      </c>
      <c r="M1035" s="211">
        <v>45180</v>
      </c>
      <c r="N1035" s="207" t="s">
        <v>10</v>
      </c>
      <c r="O1035" s="206" t="s">
        <v>25</v>
      </c>
      <c r="P1035" s="38"/>
      <c r="Q1035" s="121" t="s">
        <v>4951</v>
      </c>
      <c r="R1035" s="147">
        <v>45183.747916666667</v>
      </c>
      <c r="S1035" s="148">
        <v>45218.732638888891</v>
      </c>
      <c r="T1035" s="215">
        <v>15000000</v>
      </c>
      <c r="U1035" s="214">
        <f>Tabla1[[#This Row],[PPTO]]/(1+'Lista Datos'!$B$1)</f>
        <v>12605042.016806724</v>
      </c>
      <c r="V1035" s="64"/>
      <c r="W1035" s="191" t="s">
        <v>10</v>
      </c>
      <c r="X1035" s="122"/>
      <c r="Y1035" s="122"/>
      <c r="Z1035" s="123" t="s">
        <v>10</v>
      </c>
      <c r="AA1035" s="118" t="s">
        <v>177</v>
      </c>
      <c r="AB1035" s="118">
        <v>3</v>
      </c>
      <c r="AC1035" s="118"/>
      <c r="AD1035" s="118"/>
      <c r="AE1035" s="145">
        <f>Tabla1[[#This Row],[Cierre]]+Tabla1[[#This Row],[Vigencia Oferta (días)]]</f>
        <v>45205.625694444447</v>
      </c>
      <c r="AF1035" s="65"/>
      <c r="AG1035" s="181"/>
      <c r="AH1035" s="192">
        <f>Tabla1[[#This Row],[Unidades2]]*Tabla1[[#This Row],[Precio Unitario]]</f>
        <v>0</v>
      </c>
      <c r="AI1035" s="126" t="s">
        <v>270</v>
      </c>
      <c r="AJ1035" s="149"/>
      <c r="AK1035" s="149">
        <f>Tabla1[[#This Row],[Fecha Vigencia]]-AJ1035</f>
        <v>45205.625694444447</v>
      </c>
      <c r="AL1035" s="65"/>
      <c r="AM1035" s="90"/>
      <c r="AN1035" s="65"/>
      <c r="AO1035" s="217"/>
      <c r="AP1035" s="65"/>
      <c r="AQ1035" s="66"/>
      <c r="AR1035" s="65"/>
      <c r="AS1035" s="65"/>
      <c r="AT1035" s="65"/>
      <c r="AU1035" s="65"/>
      <c r="AV1035" s="65"/>
      <c r="AW1035" s="65"/>
      <c r="AX1035" s="65"/>
      <c r="AY1035" s="118"/>
      <c r="AZ1035" s="118"/>
      <c r="BA1035" s="118"/>
      <c r="BB1035" s="124"/>
    </row>
    <row r="1036" spans="1:54" x14ac:dyDescent="0.25">
      <c r="A1036" s="117" t="s">
        <v>4952</v>
      </c>
      <c r="B1036" s="118" t="s">
        <v>4953</v>
      </c>
      <c r="C1036" s="118" t="s">
        <v>1532</v>
      </c>
      <c r="D1036" s="119" t="s">
        <v>1533</v>
      </c>
      <c r="E1036" s="38" t="s">
        <v>4954</v>
      </c>
      <c r="F1036" s="39">
        <v>336000</v>
      </c>
      <c r="G1036" s="118" t="s">
        <v>16</v>
      </c>
      <c r="H1036" s="118" t="s">
        <v>123</v>
      </c>
      <c r="I1036" s="206">
        <v>45190.505254629628</v>
      </c>
      <c r="J1036" s="38">
        <f>MONTH(Tabla1[[#This Row],[Publicación]])</f>
        <v>9</v>
      </c>
      <c r="K1036" s="38">
        <f>YEAR(Tabla1[[#This Row],[Publicación]])</f>
        <v>2023</v>
      </c>
      <c r="L1036" s="206">
        <v>45210.762499999997</v>
      </c>
      <c r="M1036" s="211">
        <v>45190</v>
      </c>
      <c r="N1036" s="207" t="s">
        <v>11</v>
      </c>
      <c r="O1036" s="206"/>
      <c r="P1036" s="38"/>
      <c r="Q1036" s="147">
        <v>45200.527083333334</v>
      </c>
      <c r="R1036" s="147">
        <v>45205.527083333334</v>
      </c>
      <c r="S1036" s="148">
        <v>45250.679861111108</v>
      </c>
      <c r="T1036" s="38"/>
      <c r="U1036" s="65">
        <f>Tabla1[[#This Row],[PPTO]]/(1+'Lista Datos'!$B$1)</f>
        <v>0</v>
      </c>
      <c r="V1036" s="64"/>
      <c r="W1036" s="191" t="s">
        <v>11</v>
      </c>
      <c r="X1036" s="122">
        <v>1000000</v>
      </c>
      <c r="Y1036" s="149">
        <v>45310</v>
      </c>
      <c r="Z1036" s="123" t="s">
        <v>11</v>
      </c>
      <c r="AA1036" s="118" t="s">
        <v>177</v>
      </c>
      <c r="AB1036" s="118">
        <v>24</v>
      </c>
      <c r="AC1036" s="118"/>
      <c r="AD1036" s="118"/>
      <c r="AE1036" s="145">
        <f>Tabla1[[#This Row],[Cierre]]+Tabla1[[#This Row],[Vigencia Oferta (días)]]</f>
        <v>45210.762499999997</v>
      </c>
      <c r="AF1036" s="65"/>
      <c r="AG1036" s="181"/>
      <c r="AH1036" s="192">
        <f>Tabla1[[#This Row],[Unidades2]]*Tabla1[[#This Row],[Precio Unitario]]</f>
        <v>0</v>
      </c>
      <c r="AI1036" s="126" t="s">
        <v>44</v>
      </c>
      <c r="AJ1036" s="149">
        <v>45229</v>
      </c>
      <c r="AK1036" s="149">
        <f>Tabla1[[#This Row],[Fecha Vigencia]]-AJ1036</f>
        <v>-18.23750000000291</v>
      </c>
      <c r="AL1036" s="65" t="s">
        <v>472</v>
      </c>
      <c r="AM1036" s="90" t="s">
        <v>4955</v>
      </c>
      <c r="AN1036" s="181">
        <v>45229</v>
      </c>
      <c r="AO1036" s="217">
        <v>45960</v>
      </c>
      <c r="AP1036" s="65" t="s">
        <v>177</v>
      </c>
      <c r="AQ1036" s="66"/>
      <c r="AR1036" s="65"/>
      <c r="AS1036" s="65"/>
      <c r="AT1036" s="65"/>
      <c r="AU1036" s="65"/>
      <c r="AV1036" s="65"/>
      <c r="AW1036" s="65"/>
      <c r="AX1036" s="65"/>
      <c r="AY1036" s="118"/>
      <c r="AZ1036" s="118"/>
      <c r="BA1036" s="118"/>
      <c r="BB1036" s="124"/>
    </row>
    <row r="1037" spans="1:54" x14ac:dyDescent="0.25">
      <c r="A1037" s="117" t="s">
        <v>4956</v>
      </c>
      <c r="B1037" s="118" t="s">
        <v>4957</v>
      </c>
      <c r="C1037" s="118" t="s">
        <v>4958</v>
      </c>
      <c r="D1037" s="119" t="s">
        <v>425</v>
      </c>
      <c r="E1037" s="38" t="s">
        <v>4959</v>
      </c>
      <c r="F1037" s="39">
        <v>45</v>
      </c>
      <c r="G1037" s="118" t="s">
        <v>21</v>
      </c>
      <c r="H1037" s="118" t="s">
        <v>106</v>
      </c>
      <c r="I1037" s="206">
        <v>45190.53502314815</v>
      </c>
      <c r="J1037" s="38">
        <f>MONTH(Tabla1[[#This Row],[Publicación]])</f>
        <v>9</v>
      </c>
      <c r="K1037" s="38">
        <f>YEAR(Tabla1[[#This Row],[Publicación]])</f>
        <v>2023</v>
      </c>
      <c r="L1037" s="206">
        <v>45201.708333333336</v>
      </c>
      <c r="M1037" s="211">
        <v>45190</v>
      </c>
      <c r="N1037" s="207" t="s">
        <v>10</v>
      </c>
      <c r="O1037" s="206" t="s">
        <v>25</v>
      </c>
      <c r="P1037" s="38"/>
      <c r="Q1037" s="147">
        <v>45194.625</v>
      </c>
      <c r="R1037" s="147">
        <v>45197.708333333336</v>
      </c>
      <c r="S1037" s="148">
        <v>45247.708333333336</v>
      </c>
      <c r="T1037" s="38"/>
      <c r="U1037" s="65">
        <f>Tabla1[[#This Row],[PPTO]]/(1+'Lista Datos'!$B$1)</f>
        <v>0</v>
      </c>
      <c r="V1037" s="64"/>
      <c r="W1037" s="191" t="s">
        <v>11</v>
      </c>
      <c r="X1037" s="122">
        <v>200000</v>
      </c>
      <c r="Y1037" s="149">
        <v>45324</v>
      </c>
      <c r="Z1037" s="123" t="s">
        <v>10</v>
      </c>
      <c r="AA1037" s="118" t="s">
        <v>177</v>
      </c>
      <c r="AB1037" s="118">
        <v>18</v>
      </c>
      <c r="AC1037" s="118"/>
      <c r="AD1037" s="118"/>
      <c r="AE1037" s="145">
        <f>Tabla1[[#This Row],[Cierre]]+Tabla1[[#This Row],[Vigencia Oferta (días)]]</f>
        <v>45201.708333333336</v>
      </c>
      <c r="AF1037" s="65"/>
      <c r="AG1037" s="181"/>
      <c r="AH1037" s="192">
        <f>Tabla1[[#This Row],[Unidades2]]*Tabla1[[#This Row],[Precio Unitario]]</f>
        <v>0</v>
      </c>
      <c r="AI1037" s="126" t="s">
        <v>270</v>
      </c>
      <c r="AJ1037" s="149"/>
      <c r="AK1037" s="149">
        <f>Tabla1[[#This Row],[Fecha Vigencia]]-AJ1037</f>
        <v>45201.708333333336</v>
      </c>
      <c r="AL1037" s="65"/>
      <c r="AM1037" s="90"/>
      <c r="AN1037" s="65"/>
      <c r="AO1037" s="217"/>
      <c r="AP1037" s="65"/>
      <c r="AQ1037" s="66"/>
      <c r="AR1037" s="65"/>
      <c r="AS1037" s="65"/>
      <c r="AT1037" s="65"/>
      <c r="AU1037" s="65"/>
      <c r="AV1037" s="65"/>
      <c r="AW1037" s="65"/>
      <c r="AX1037" s="65"/>
      <c r="AY1037" s="118"/>
      <c r="AZ1037" s="118"/>
      <c r="BA1037" s="118"/>
      <c r="BB1037" s="124"/>
    </row>
    <row r="1038" spans="1:54" x14ac:dyDescent="0.25">
      <c r="A1038" s="117" t="s">
        <v>4960</v>
      </c>
      <c r="B1038" s="118" t="s">
        <v>4961</v>
      </c>
      <c r="C1038" s="118" t="s">
        <v>4962</v>
      </c>
      <c r="D1038" s="119" t="s">
        <v>4963</v>
      </c>
      <c r="E1038" s="38" t="s">
        <v>4964</v>
      </c>
      <c r="F1038" s="39">
        <v>1</v>
      </c>
      <c r="G1038" s="118" t="s">
        <v>21</v>
      </c>
      <c r="H1038" s="118" t="s">
        <v>106</v>
      </c>
      <c r="I1038" s="206" t="s">
        <v>4965</v>
      </c>
      <c r="J1038" s="38" t="e">
        <f>MONTH(Tabla1[[#This Row],[Publicación]])</f>
        <v>#VALUE!</v>
      </c>
      <c r="K1038" s="38" t="e">
        <f>YEAR(Tabla1[[#This Row],[Publicación]])</f>
        <v>#VALUE!</v>
      </c>
      <c r="L1038" s="206">
        <v>45197.547222222223</v>
      </c>
      <c r="M1038" s="211">
        <v>45194</v>
      </c>
      <c r="N1038" s="207" t="s">
        <v>10</v>
      </c>
      <c r="O1038" s="206" t="s">
        <v>25</v>
      </c>
      <c r="P1038" s="38"/>
      <c r="Q1038" s="147">
        <v>45194.630555555559</v>
      </c>
      <c r="R1038" s="147">
        <v>45195.630555555559</v>
      </c>
      <c r="S1038" s="148">
        <v>45229.666666666664</v>
      </c>
      <c r="T1038" s="38"/>
      <c r="U1038" s="65">
        <f>Tabla1[[#This Row],[PPTO]]/(1+'Lista Datos'!$B$1)</f>
        <v>0</v>
      </c>
      <c r="V1038" s="64"/>
      <c r="W1038" s="191" t="s">
        <v>10</v>
      </c>
      <c r="X1038" s="122"/>
      <c r="Y1038" s="122"/>
      <c r="Z1038" s="123" t="s">
        <v>10</v>
      </c>
      <c r="AA1038" s="118" t="s">
        <v>512</v>
      </c>
      <c r="AB1038" s="118"/>
      <c r="AC1038" s="118"/>
      <c r="AD1038" s="118"/>
      <c r="AE1038" s="145">
        <f>Tabla1[[#This Row],[Cierre]]+Tabla1[[#This Row],[Vigencia Oferta (días)]]</f>
        <v>45197.547222222223</v>
      </c>
      <c r="AF1038" s="65"/>
      <c r="AG1038" s="181"/>
      <c r="AH1038" s="192">
        <f>Tabla1[[#This Row],[Unidades2]]*Tabla1[[#This Row],[Precio Unitario]]</f>
        <v>0</v>
      </c>
      <c r="AI1038" s="126" t="s">
        <v>270</v>
      </c>
      <c r="AJ1038" s="149"/>
      <c r="AK1038" s="149">
        <f>Tabla1[[#This Row],[Fecha Vigencia]]-AJ1038</f>
        <v>45197.547222222223</v>
      </c>
      <c r="AL1038" s="65"/>
      <c r="AM1038" s="90"/>
      <c r="AN1038" s="65"/>
      <c r="AO1038" s="217"/>
      <c r="AP1038" s="65"/>
      <c r="AQ1038" s="66"/>
      <c r="AR1038" s="65"/>
      <c r="AS1038" s="65"/>
      <c r="AT1038" s="65"/>
      <c r="AU1038" s="65"/>
      <c r="AV1038" s="65"/>
      <c r="AW1038" s="65"/>
      <c r="AX1038" s="65"/>
      <c r="AY1038" s="118"/>
      <c r="AZ1038" s="118"/>
      <c r="BA1038" s="118"/>
      <c r="BB1038" s="124"/>
    </row>
    <row r="1039" spans="1:54" x14ac:dyDescent="0.25">
      <c r="A1039" s="117" t="s">
        <v>4966</v>
      </c>
      <c r="B1039" s="118" t="s">
        <v>4967</v>
      </c>
      <c r="C1039" s="118" t="s">
        <v>4968</v>
      </c>
      <c r="D1039" s="119" t="s">
        <v>1448</v>
      </c>
      <c r="E1039" s="38" t="s">
        <v>4969</v>
      </c>
      <c r="F1039" s="39">
        <v>1</v>
      </c>
      <c r="G1039" s="118" t="s">
        <v>17</v>
      </c>
      <c r="H1039" s="118" t="s">
        <v>213</v>
      </c>
      <c r="I1039" s="206">
        <v>45194.485231481478</v>
      </c>
      <c r="J1039" s="38">
        <f>MONTH(Tabla1[[#This Row],[Publicación]])</f>
        <v>9</v>
      </c>
      <c r="K1039" s="38">
        <f>YEAR(Tabla1[[#This Row],[Publicación]])</f>
        <v>2023</v>
      </c>
      <c r="L1039" s="206">
        <v>45203.625</v>
      </c>
      <c r="M1039" s="211">
        <v>45194</v>
      </c>
      <c r="N1039" s="207" t="s">
        <v>10</v>
      </c>
      <c r="O1039" s="206" t="s">
        <v>25</v>
      </c>
      <c r="P1039" s="38"/>
      <c r="Q1039" s="147">
        <v>45198.625</v>
      </c>
      <c r="R1039" s="147">
        <v>45201.625</v>
      </c>
      <c r="S1039" s="148">
        <v>45264.775694444441</v>
      </c>
      <c r="T1039" s="38"/>
      <c r="U1039" s="65">
        <f>Tabla1[[#This Row],[PPTO]]/(1+'Lista Datos'!$B$1)</f>
        <v>0</v>
      </c>
      <c r="V1039" s="64"/>
      <c r="W1039" s="191" t="s">
        <v>10</v>
      </c>
      <c r="X1039" s="122"/>
      <c r="Y1039" s="122"/>
      <c r="Z1039" s="123" t="s">
        <v>11</v>
      </c>
      <c r="AA1039" s="118" t="s">
        <v>512</v>
      </c>
      <c r="AB1039" s="118"/>
      <c r="AC1039" s="118"/>
      <c r="AD1039" s="118"/>
      <c r="AE1039" s="145">
        <f>Tabla1[[#This Row],[Cierre]]+Tabla1[[#This Row],[Vigencia Oferta (días)]]</f>
        <v>45203.625</v>
      </c>
      <c r="AF1039" s="65"/>
      <c r="AG1039" s="181"/>
      <c r="AH1039" s="192">
        <f>Tabla1[[#This Row],[Unidades2]]*Tabla1[[#This Row],[Precio Unitario]]</f>
        <v>0</v>
      </c>
      <c r="AI1039" s="126" t="s">
        <v>270</v>
      </c>
      <c r="AJ1039" s="149"/>
      <c r="AK1039" s="149">
        <f>Tabla1[[#This Row],[Fecha Vigencia]]-AJ1039</f>
        <v>45203.625</v>
      </c>
      <c r="AL1039" s="65"/>
      <c r="AM1039" s="90"/>
      <c r="AN1039" s="65"/>
      <c r="AO1039" s="217"/>
      <c r="AP1039" s="65"/>
      <c r="AQ1039" s="66"/>
      <c r="AR1039" s="65"/>
      <c r="AS1039" s="65"/>
      <c r="AT1039" s="65"/>
      <c r="AU1039" s="65"/>
      <c r="AV1039" s="65"/>
      <c r="AW1039" s="65"/>
      <c r="AX1039" s="65"/>
      <c r="AY1039" s="118"/>
      <c r="AZ1039" s="118"/>
      <c r="BA1039" s="118"/>
      <c r="BB1039" s="124"/>
    </row>
    <row r="1040" spans="1:54" x14ac:dyDescent="0.25">
      <c r="A1040" s="117" t="s">
        <v>4970</v>
      </c>
      <c r="B1040" s="118" t="s">
        <v>4971</v>
      </c>
      <c r="C1040" s="118" t="s">
        <v>4972</v>
      </c>
      <c r="D1040" s="119" t="s">
        <v>3009</v>
      </c>
      <c r="E1040" s="38" t="s">
        <v>4973</v>
      </c>
      <c r="F1040" s="39">
        <v>40</v>
      </c>
      <c r="G1040" s="118" t="s">
        <v>21</v>
      </c>
      <c r="H1040" s="118" t="s">
        <v>106</v>
      </c>
      <c r="I1040" s="206">
        <v>45190.70385416667</v>
      </c>
      <c r="J1040" s="38">
        <f>MONTH(Tabla1[[#This Row],[Publicación]])</f>
        <v>9</v>
      </c>
      <c r="K1040" s="38">
        <f>YEAR(Tabla1[[#This Row],[Publicación]])</f>
        <v>2023</v>
      </c>
      <c r="L1040" s="206">
        <v>45201.625</v>
      </c>
      <c r="M1040" s="211">
        <v>45194</v>
      </c>
      <c r="N1040" s="207" t="s">
        <v>10</v>
      </c>
      <c r="O1040" s="206" t="s">
        <v>25</v>
      </c>
      <c r="P1040" s="38"/>
      <c r="Q1040" s="147">
        <v>45195.5</v>
      </c>
      <c r="R1040" s="147">
        <v>45196.625</v>
      </c>
      <c r="S1040" s="148">
        <v>45261.708333333336</v>
      </c>
      <c r="T1040" s="38"/>
      <c r="U1040" s="65">
        <f>Tabla1[[#This Row],[PPTO]]/(1+'Lista Datos'!$B$1)</f>
        <v>0</v>
      </c>
      <c r="V1040" s="64"/>
      <c r="W1040" s="191" t="s">
        <v>11</v>
      </c>
      <c r="X1040" s="122">
        <v>250000</v>
      </c>
      <c r="Y1040" s="149">
        <v>45202</v>
      </c>
      <c r="Z1040" s="123" t="s">
        <v>10</v>
      </c>
      <c r="AA1040" s="118" t="s">
        <v>177</v>
      </c>
      <c r="AB1040" s="118"/>
      <c r="AC1040" s="118"/>
      <c r="AD1040" s="118"/>
      <c r="AE1040" s="145">
        <f>Tabla1[[#This Row],[Cierre]]+Tabla1[[#This Row],[Vigencia Oferta (días)]]</f>
        <v>45201.625</v>
      </c>
      <c r="AF1040" s="65"/>
      <c r="AG1040" s="181"/>
      <c r="AH1040" s="192">
        <f>Tabla1[[#This Row],[Unidades2]]*Tabla1[[#This Row],[Precio Unitario]]</f>
        <v>0</v>
      </c>
      <c r="AI1040" s="126" t="s">
        <v>270</v>
      </c>
      <c r="AJ1040" s="149"/>
      <c r="AK1040" s="149">
        <f>Tabla1[[#This Row],[Fecha Vigencia]]-AJ1040</f>
        <v>45201.625</v>
      </c>
      <c r="AL1040" s="65"/>
      <c r="AM1040" s="90"/>
      <c r="AN1040" s="65"/>
      <c r="AO1040" s="217"/>
      <c r="AP1040" s="65"/>
      <c r="AQ1040" s="66"/>
      <c r="AR1040" s="65"/>
      <c r="AS1040" s="65"/>
      <c r="AT1040" s="65"/>
      <c r="AU1040" s="65"/>
      <c r="AV1040" s="65"/>
      <c r="AW1040" s="65"/>
      <c r="AX1040" s="65"/>
      <c r="AY1040" s="118"/>
      <c r="AZ1040" s="118"/>
      <c r="BA1040" s="118"/>
      <c r="BB1040" s="124"/>
    </row>
    <row r="1041" spans="1:54" x14ac:dyDescent="0.25">
      <c r="A1041" s="117" t="s">
        <v>4974</v>
      </c>
      <c r="B1041" s="118" t="s">
        <v>4975</v>
      </c>
      <c r="C1041" s="118" t="s">
        <v>4976</v>
      </c>
      <c r="D1041" s="119" t="s">
        <v>3942</v>
      </c>
      <c r="E1041" s="38" t="s">
        <v>4977</v>
      </c>
      <c r="F1041" s="39">
        <v>20</v>
      </c>
      <c r="G1041" s="118" t="s">
        <v>21</v>
      </c>
      <c r="H1041" s="118" t="s">
        <v>106</v>
      </c>
      <c r="I1041" s="206">
        <v>45194.494687500002</v>
      </c>
      <c r="J1041" s="38">
        <f>MONTH(Tabla1[[#This Row],[Publicación]])</f>
        <v>9</v>
      </c>
      <c r="K1041" s="38">
        <f>YEAR(Tabla1[[#This Row],[Publicación]])</f>
        <v>2023</v>
      </c>
      <c r="L1041" s="206">
        <v>45204.625</v>
      </c>
      <c r="M1041" s="211">
        <v>45194</v>
      </c>
      <c r="N1041" s="207" t="s">
        <v>10</v>
      </c>
      <c r="O1041" s="206" t="s">
        <v>25</v>
      </c>
      <c r="P1041" s="38"/>
      <c r="Q1041" s="147">
        <v>45196.999305555553</v>
      </c>
      <c r="R1041" s="147">
        <v>45198.999305555553</v>
      </c>
      <c r="S1041" s="148">
        <v>45219.75</v>
      </c>
      <c r="T1041" s="215">
        <v>6550000</v>
      </c>
      <c r="U1041" s="214">
        <f>Tabla1[[#This Row],[PPTO]]/(1+'Lista Datos'!$B$1)</f>
        <v>5504201.6806722693</v>
      </c>
      <c r="V1041" s="64"/>
      <c r="W1041" s="191" t="s">
        <v>10</v>
      </c>
      <c r="X1041" s="122"/>
      <c r="Y1041" s="122"/>
      <c r="Z1041" s="123" t="s">
        <v>10</v>
      </c>
      <c r="AA1041" s="118" t="s">
        <v>512</v>
      </c>
      <c r="AB1041" s="118"/>
      <c r="AC1041" s="118"/>
      <c r="AD1041" s="118"/>
      <c r="AE1041" s="145">
        <f>Tabla1[[#This Row],[Cierre]]+Tabla1[[#This Row],[Vigencia Oferta (días)]]</f>
        <v>45204.625</v>
      </c>
      <c r="AF1041" s="65"/>
      <c r="AG1041" s="181"/>
      <c r="AH1041" s="192">
        <f>Tabla1[[#This Row],[Unidades2]]*Tabla1[[#This Row],[Precio Unitario]]</f>
        <v>0</v>
      </c>
      <c r="AI1041" s="126" t="s">
        <v>270</v>
      </c>
      <c r="AJ1041" s="149"/>
      <c r="AK1041" s="149">
        <f>Tabla1[[#This Row],[Fecha Vigencia]]-AJ1041</f>
        <v>45204.625</v>
      </c>
      <c r="AL1041" s="65"/>
      <c r="AM1041" s="90"/>
      <c r="AN1041" s="65"/>
      <c r="AO1041" s="217"/>
      <c r="AP1041" s="65"/>
      <c r="AQ1041" s="66"/>
      <c r="AR1041" s="65"/>
      <c r="AS1041" s="65"/>
      <c r="AT1041" s="65"/>
      <c r="AU1041" s="65"/>
      <c r="AV1041" s="65"/>
      <c r="AW1041" s="65"/>
      <c r="AX1041" s="65"/>
      <c r="AY1041" s="118"/>
      <c r="AZ1041" s="118"/>
      <c r="BA1041" s="118"/>
      <c r="BB1041" s="124"/>
    </row>
    <row r="1042" spans="1:54" x14ac:dyDescent="0.25">
      <c r="A1042" s="117" t="s">
        <v>4978</v>
      </c>
      <c r="B1042" s="118" t="s">
        <v>4979</v>
      </c>
      <c r="C1042" s="118" t="s">
        <v>4980</v>
      </c>
      <c r="D1042" s="119" t="s">
        <v>4981</v>
      </c>
      <c r="E1042" s="38" t="s">
        <v>4982</v>
      </c>
      <c r="F1042" s="39">
        <v>1</v>
      </c>
      <c r="G1042" s="118" t="s">
        <v>20</v>
      </c>
      <c r="H1042" s="118" t="s">
        <v>106</v>
      </c>
      <c r="I1042" s="206">
        <v>45194.751157407409</v>
      </c>
      <c r="J1042" s="38">
        <f>MONTH(Tabla1[[#This Row],[Publicación]])</f>
        <v>9</v>
      </c>
      <c r="K1042" s="38">
        <f>YEAR(Tabla1[[#This Row],[Publicación]])</f>
        <v>2023</v>
      </c>
      <c r="L1042" s="206">
        <v>45205.708333333336</v>
      </c>
      <c r="M1042" s="211">
        <v>45195</v>
      </c>
      <c r="N1042" s="207" t="s">
        <v>11</v>
      </c>
      <c r="O1042" s="206"/>
      <c r="P1042" s="38"/>
      <c r="Q1042" s="147">
        <v>45198.708333333336</v>
      </c>
      <c r="R1042" s="147">
        <v>45202.708333333336</v>
      </c>
      <c r="S1042" s="148">
        <v>45254.708333333336</v>
      </c>
      <c r="T1042" s="38"/>
      <c r="U1042" s="65">
        <f>Tabla1[[#This Row],[PPTO]]/(1+'Lista Datos'!$B$1)</f>
        <v>0</v>
      </c>
      <c r="V1042" s="64"/>
      <c r="W1042" s="191" t="s">
        <v>11</v>
      </c>
      <c r="X1042" s="122">
        <v>200000</v>
      </c>
      <c r="Y1042" s="149">
        <v>45328</v>
      </c>
      <c r="Z1042" s="123" t="s">
        <v>10</v>
      </c>
      <c r="AA1042" s="118" t="s">
        <v>177</v>
      </c>
      <c r="AB1042" s="118">
        <v>18</v>
      </c>
      <c r="AC1042" s="118"/>
      <c r="AD1042" s="118"/>
      <c r="AE1042" s="145">
        <f>Tabla1[[#This Row],[Cierre]]+Tabla1[[#This Row],[Vigencia Oferta (días)]]</f>
        <v>45205.708333333336</v>
      </c>
      <c r="AF1042" s="65"/>
      <c r="AG1042" s="181"/>
      <c r="AH1042" s="192">
        <f>Tabla1[[#This Row],[Unidades2]]*Tabla1[[#This Row],[Precio Unitario]]</f>
        <v>0</v>
      </c>
      <c r="AI1042" s="126" t="s">
        <v>320</v>
      </c>
      <c r="AJ1042" s="149"/>
      <c r="AK1042" s="149">
        <f>Tabla1[[#This Row],[Fecha Vigencia]]-AJ1042</f>
        <v>45205.708333333336</v>
      </c>
      <c r="AL1042" s="65"/>
      <c r="AM1042" s="90"/>
      <c r="AN1042" s="65"/>
      <c r="AO1042" s="217"/>
      <c r="AP1042" s="65"/>
      <c r="AQ1042" s="66"/>
      <c r="AR1042" s="65"/>
      <c r="AS1042" s="65"/>
      <c r="AT1042" s="65"/>
      <c r="AU1042" s="65"/>
      <c r="AV1042" s="65"/>
      <c r="AW1042" s="65"/>
      <c r="AX1042" s="65"/>
      <c r="AY1042" s="118"/>
      <c r="AZ1042" s="118"/>
      <c r="BA1042" s="118"/>
      <c r="BB1042" s="124"/>
    </row>
    <row r="1043" spans="1:54" x14ac:dyDescent="0.25">
      <c r="A1043" s="117" t="s">
        <v>4983</v>
      </c>
      <c r="B1043" s="118" t="s">
        <v>4984</v>
      </c>
      <c r="C1043" s="118" t="s">
        <v>4985</v>
      </c>
      <c r="D1043" s="119" t="s">
        <v>4986</v>
      </c>
      <c r="E1043" s="38" t="s">
        <v>4987</v>
      </c>
      <c r="F1043" s="39">
        <v>1</v>
      </c>
      <c r="G1043" s="118" t="s">
        <v>16</v>
      </c>
      <c r="H1043" s="118" t="s">
        <v>123</v>
      </c>
      <c r="I1043" s="206">
        <v>45194.642604166664</v>
      </c>
      <c r="J1043" s="38">
        <f>MONTH(Tabla1[[#This Row],[Publicación]])</f>
        <v>9</v>
      </c>
      <c r="K1043" s="38">
        <f>YEAR(Tabla1[[#This Row],[Publicación]])</f>
        <v>2023</v>
      </c>
      <c r="L1043" s="206">
        <v>45236.625</v>
      </c>
      <c r="M1043" s="211">
        <v>45195</v>
      </c>
      <c r="N1043" s="207" t="s">
        <v>10</v>
      </c>
      <c r="O1043" s="206" t="s">
        <v>33</v>
      </c>
      <c r="P1043" s="38"/>
      <c r="Q1043" s="147">
        <v>45215.5</v>
      </c>
      <c r="R1043" s="147">
        <v>45225.625</v>
      </c>
      <c r="S1043" s="148">
        <v>45254.666666666664</v>
      </c>
      <c r="T1043" s="38"/>
      <c r="U1043" s="65">
        <f>Tabla1[[#This Row],[PPTO]]/(1+'Lista Datos'!$B$1)</f>
        <v>0</v>
      </c>
      <c r="V1043" s="64"/>
      <c r="W1043" s="191" t="s">
        <v>11</v>
      </c>
      <c r="X1043" s="122">
        <v>1000000</v>
      </c>
      <c r="Y1043" s="149">
        <v>45386</v>
      </c>
      <c r="Z1043" s="123" t="s">
        <v>10</v>
      </c>
      <c r="AA1043" s="118" t="s">
        <v>177</v>
      </c>
      <c r="AB1043" s="118"/>
      <c r="AC1043" s="118"/>
      <c r="AD1043" s="118"/>
      <c r="AE1043" s="145">
        <f>Tabla1[[#This Row],[Cierre]]+Tabla1[[#This Row],[Vigencia Oferta (días)]]</f>
        <v>45236.625</v>
      </c>
      <c r="AF1043" s="65"/>
      <c r="AG1043" s="181"/>
      <c r="AH1043" s="192">
        <f>Tabla1[[#This Row],[Unidades2]]*Tabla1[[#This Row],[Precio Unitario]]</f>
        <v>0</v>
      </c>
      <c r="AI1043" s="126" t="s">
        <v>270</v>
      </c>
      <c r="AJ1043" s="149"/>
      <c r="AK1043" s="149">
        <f>Tabla1[[#This Row],[Fecha Vigencia]]-AJ1043</f>
        <v>45236.625</v>
      </c>
      <c r="AL1043" s="65"/>
      <c r="AM1043" s="90"/>
      <c r="AN1043" s="65"/>
      <c r="AO1043" s="217"/>
      <c r="AP1043" s="65"/>
      <c r="AQ1043" s="66"/>
      <c r="AR1043" s="65"/>
      <c r="AS1043" s="65"/>
      <c r="AT1043" s="65"/>
      <c r="AU1043" s="65"/>
      <c r="AV1043" s="65"/>
      <c r="AW1043" s="65"/>
      <c r="AX1043" s="65"/>
      <c r="AY1043" s="118"/>
      <c r="AZ1043" s="118"/>
      <c r="BA1043" s="118"/>
      <c r="BB1043" s="124"/>
    </row>
    <row r="1044" spans="1:54" x14ac:dyDescent="0.25">
      <c r="A1044" s="117" t="s">
        <v>4988</v>
      </c>
      <c r="B1044" s="118" t="s">
        <v>4989</v>
      </c>
      <c r="C1044" s="118" t="s">
        <v>4990</v>
      </c>
      <c r="D1044" s="119" t="s">
        <v>869</v>
      </c>
      <c r="E1044" s="38" t="s">
        <v>4991</v>
      </c>
      <c r="F1044" s="39">
        <v>1</v>
      </c>
      <c r="G1044" s="118" t="s">
        <v>16</v>
      </c>
      <c r="H1044" s="118" t="s">
        <v>1983</v>
      </c>
      <c r="I1044" s="206">
        <v>45195.795798611114</v>
      </c>
      <c r="J1044" s="38">
        <f>MONTH(Tabla1[[#This Row],[Publicación]])</f>
        <v>9</v>
      </c>
      <c r="K1044" s="38">
        <f>YEAR(Tabla1[[#This Row],[Publicación]])</f>
        <v>2023</v>
      </c>
      <c r="L1044" s="206">
        <v>45205.375</v>
      </c>
      <c r="M1044" s="211">
        <v>45196</v>
      </c>
      <c r="N1044" s="207" t="s">
        <v>11</v>
      </c>
      <c r="O1044" s="206"/>
      <c r="P1044" s="38"/>
      <c r="Q1044" s="147">
        <v>45198.5</v>
      </c>
      <c r="R1044" s="147">
        <v>45201.999305555553</v>
      </c>
      <c r="S1044" s="148">
        <v>45230.692361111112</v>
      </c>
      <c r="T1044" s="38"/>
      <c r="U1044" s="65">
        <f>Tabla1[[#This Row],[PPTO]]/(1+'Lista Datos'!$B$1)</f>
        <v>0</v>
      </c>
      <c r="V1044" s="64"/>
      <c r="W1044" s="191" t="s">
        <v>11</v>
      </c>
      <c r="X1044" s="122">
        <v>500000</v>
      </c>
      <c r="Y1044" s="149">
        <v>45317</v>
      </c>
      <c r="Z1044" s="123" t="s">
        <v>10</v>
      </c>
      <c r="AA1044" s="118" t="s">
        <v>177</v>
      </c>
      <c r="AB1044" s="118">
        <v>24</v>
      </c>
      <c r="AC1044" s="118"/>
      <c r="AD1044" s="118"/>
      <c r="AE1044" s="145">
        <f>Tabla1[[#This Row],[Cierre]]+Tabla1[[#This Row],[Vigencia Oferta (días)]]</f>
        <v>45205.375</v>
      </c>
      <c r="AF1044" s="65"/>
      <c r="AG1044" s="181"/>
      <c r="AH1044" s="192">
        <f>Tabla1[[#This Row],[Unidades2]]*Tabla1[[#This Row],[Precio Unitario]]</f>
        <v>0</v>
      </c>
      <c r="AI1044" s="126" t="s">
        <v>44</v>
      </c>
      <c r="AJ1044" s="149">
        <v>45232.688796296294</v>
      </c>
      <c r="AK1044" s="149">
        <f>Tabla1[[#This Row],[Fecha Vigencia]]-AJ1044</f>
        <v>-27.313796296293731</v>
      </c>
      <c r="AL1044" s="65" t="s">
        <v>115</v>
      </c>
      <c r="AM1044" s="90">
        <v>45000000</v>
      </c>
      <c r="AN1044" s="181">
        <v>45232</v>
      </c>
      <c r="AO1044" s="217">
        <v>45963</v>
      </c>
      <c r="AP1044" s="65" t="s">
        <v>177</v>
      </c>
      <c r="AQ1044" s="66" t="s">
        <v>4992</v>
      </c>
      <c r="AR1044" s="65" t="s">
        <v>11</v>
      </c>
      <c r="AS1044" s="195">
        <v>0.1</v>
      </c>
      <c r="AT1044" s="181">
        <v>46053</v>
      </c>
      <c r="AU1044" s="97" t="s">
        <v>4993</v>
      </c>
      <c r="AV1044" s="97" t="s">
        <v>4994</v>
      </c>
      <c r="AW1044" s="97" t="s">
        <v>4995</v>
      </c>
      <c r="AX1044" s="97" t="s">
        <v>4996</v>
      </c>
      <c r="AY1044" s="118"/>
      <c r="AZ1044" s="118"/>
      <c r="BA1044" s="118"/>
      <c r="BB1044" s="124"/>
    </row>
    <row r="1045" spans="1:54" x14ac:dyDescent="0.25">
      <c r="A1045" s="117" t="s">
        <v>4997</v>
      </c>
      <c r="B1045" s="118" t="s">
        <v>4998</v>
      </c>
      <c r="C1045" s="118" t="s">
        <v>4999</v>
      </c>
      <c r="D1045" s="119" t="s">
        <v>5000</v>
      </c>
      <c r="E1045" s="38" t="s">
        <v>5001</v>
      </c>
      <c r="F1045" s="39">
        <v>36</v>
      </c>
      <c r="G1045" s="118" t="s">
        <v>16</v>
      </c>
      <c r="H1045" s="118" t="s">
        <v>1983</v>
      </c>
      <c r="I1045" s="206">
        <v>45197.540277777778</v>
      </c>
      <c r="J1045" s="38">
        <f>MONTH(Tabla1[[#This Row],[Publicación]])</f>
        <v>9</v>
      </c>
      <c r="K1045" s="38">
        <f>YEAR(Tabla1[[#This Row],[Publicación]])</f>
        <v>2023</v>
      </c>
      <c r="L1045" s="206">
        <v>45229.666666666664</v>
      </c>
      <c r="M1045" s="211">
        <v>45197</v>
      </c>
      <c r="N1045" s="207" t="s">
        <v>11</v>
      </c>
      <c r="O1045" s="206"/>
      <c r="P1045" s="38"/>
      <c r="Q1045" s="147">
        <v>45208.5</v>
      </c>
      <c r="R1045" s="147">
        <v>45215.645833333336</v>
      </c>
      <c r="S1045" s="148">
        <v>45246.5</v>
      </c>
      <c r="T1045" s="215">
        <v>322940258</v>
      </c>
      <c r="U1045" s="214">
        <f>Tabla1[[#This Row],[PPTO]]/(1+'Lista Datos'!$B$1)</f>
        <v>271378368.06722689</v>
      </c>
      <c r="V1045" s="64"/>
      <c r="W1045" s="191" t="s">
        <v>11</v>
      </c>
      <c r="X1045" s="122">
        <v>900000</v>
      </c>
      <c r="Y1045" s="149">
        <v>45316</v>
      </c>
      <c r="Z1045" s="123" t="s">
        <v>11</v>
      </c>
      <c r="AA1045" s="118" t="s">
        <v>177</v>
      </c>
      <c r="AB1045" s="118">
        <v>36</v>
      </c>
      <c r="AC1045" s="118"/>
      <c r="AD1045" s="118"/>
      <c r="AE1045" s="145">
        <f>Tabla1[[#This Row],[Cierre]]+Tabla1[[#This Row],[Vigencia Oferta (días)]]</f>
        <v>45229.666666666664</v>
      </c>
      <c r="AF1045" s="65"/>
      <c r="AG1045" s="181"/>
      <c r="AH1045" s="192">
        <f>Tabla1[[#This Row],[Unidades2]]*Tabla1[[#This Row],[Precio Unitario]]</f>
        <v>0</v>
      </c>
      <c r="AI1045" s="126" t="s">
        <v>270</v>
      </c>
      <c r="AJ1045" s="149"/>
      <c r="AK1045" s="149">
        <f>Tabla1[[#This Row],[Fecha Vigencia]]-AJ1045</f>
        <v>45229.666666666664</v>
      </c>
      <c r="AL1045" s="65"/>
      <c r="AM1045" s="90"/>
      <c r="AN1045" s="65"/>
      <c r="AO1045" s="217"/>
      <c r="AP1045" s="65"/>
      <c r="AQ1045" s="66"/>
      <c r="AR1045" s="65"/>
      <c r="AS1045" s="65"/>
      <c r="AT1045" s="65"/>
      <c r="AU1045" s="65"/>
      <c r="AV1045" s="65"/>
      <c r="AW1045" s="65"/>
      <c r="AX1045" s="65"/>
      <c r="AY1045" s="118"/>
      <c r="AZ1045" s="118"/>
      <c r="BA1045" s="118"/>
      <c r="BB1045" s="124"/>
    </row>
    <row r="1046" spans="1:54" x14ac:dyDescent="0.25">
      <c r="A1046" s="117" t="s">
        <v>5002</v>
      </c>
      <c r="B1046" s="118" t="s">
        <v>5003</v>
      </c>
      <c r="C1046" s="118" t="s">
        <v>5004</v>
      </c>
      <c r="D1046" s="119" t="s">
        <v>2377</v>
      </c>
      <c r="E1046" s="38" t="s">
        <v>5005</v>
      </c>
      <c r="F1046" s="39">
        <v>1</v>
      </c>
      <c r="G1046" s="118" t="s">
        <v>21</v>
      </c>
      <c r="H1046" s="118" t="s">
        <v>106</v>
      </c>
      <c r="I1046" s="206">
        <v>45201.386518831001</v>
      </c>
      <c r="J1046" s="38">
        <v>45211.631944444402</v>
      </c>
      <c r="K1046" s="38">
        <v>45201.386518831001</v>
      </c>
      <c r="L1046" s="206">
        <v>45211.631944444402</v>
      </c>
      <c r="M1046" s="211">
        <v>45202</v>
      </c>
      <c r="N1046" s="207" t="s">
        <v>10</v>
      </c>
      <c r="O1046" s="206" t="s">
        <v>5006</v>
      </c>
      <c r="P1046" s="38"/>
      <c r="Q1046" s="147">
        <v>45204.625</v>
      </c>
      <c r="R1046" s="147">
        <v>45205.625</v>
      </c>
      <c r="S1046" s="148">
        <v>45254.708333333336</v>
      </c>
      <c r="T1046" s="38"/>
      <c r="U1046" s="65">
        <f>Tabla1[[#This Row],[PPTO]]/(1+'Lista Datos'!$B$1)</f>
        <v>0</v>
      </c>
      <c r="V1046" s="64"/>
      <c r="W1046" s="191" t="s">
        <v>10</v>
      </c>
      <c r="X1046" s="122"/>
      <c r="Y1046" s="122"/>
      <c r="Z1046" s="123" t="s">
        <v>10</v>
      </c>
      <c r="AA1046" s="118" t="s">
        <v>512</v>
      </c>
      <c r="AB1046" s="118"/>
      <c r="AC1046" s="118"/>
      <c r="AD1046" s="118"/>
      <c r="AE1046" s="145">
        <f>Tabla1[[#This Row],[Cierre]]+Tabla1[[#This Row],[Vigencia Oferta (días)]]</f>
        <v>45211.631944444402</v>
      </c>
      <c r="AF1046" s="65"/>
      <c r="AG1046" s="181"/>
      <c r="AH1046" s="192">
        <f>Tabla1[[#This Row],[Unidades2]]*Tabla1[[#This Row],[Precio Unitario]]</f>
        <v>0</v>
      </c>
      <c r="AI1046" s="126" t="s">
        <v>270</v>
      </c>
      <c r="AJ1046" s="149"/>
      <c r="AK1046" s="149">
        <f>Tabla1[[#This Row],[Fecha Vigencia]]-AJ1046</f>
        <v>45211.631944444402</v>
      </c>
      <c r="AL1046" s="65"/>
      <c r="AM1046" s="90"/>
      <c r="AN1046" s="65"/>
      <c r="AO1046" s="217"/>
      <c r="AP1046" s="65"/>
      <c r="AQ1046" s="66"/>
      <c r="AR1046" s="65"/>
      <c r="AS1046" s="65"/>
      <c r="AT1046" s="65"/>
      <c r="AU1046" s="65"/>
      <c r="AV1046" s="65"/>
      <c r="AW1046" s="65"/>
      <c r="AX1046" s="65"/>
      <c r="AY1046" s="118"/>
      <c r="AZ1046" s="118"/>
      <c r="BA1046" s="118"/>
      <c r="BB1046" s="124"/>
    </row>
    <row r="1047" spans="1:54" x14ac:dyDescent="0.25">
      <c r="A1047" s="153" t="s">
        <v>5007</v>
      </c>
      <c r="B1047" s="30" t="s">
        <v>5008</v>
      </c>
      <c r="C1047" s="30" t="s">
        <v>5009</v>
      </c>
      <c r="D1047" s="84" t="s">
        <v>2990</v>
      </c>
      <c r="E1047" s="24" t="s">
        <v>5010</v>
      </c>
      <c r="F1047" s="25">
        <v>2</v>
      </c>
      <c r="G1047" s="30" t="s">
        <v>21</v>
      </c>
      <c r="H1047" s="30" t="s">
        <v>106</v>
      </c>
      <c r="I1047" s="203">
        <v>45198.629074999997</v>
      </c>
      <c r="J1047" s="38">
        <v>45205.631944444402</v>
      </c>
      <c r="K1047" s="38">
        <v>45198.629074999997</v>
      </c>
      <c r="L1047" s="203">
        <v>45205.631944444402</v>
      </c>
      <c r="M1047" s="204">
        <v>45202</v>
      </c>
      <c r="N1047" s="205" t="s">
        <v>10</v>
      </c>
      <c r="O1047" s="203" t="s">
        <v>27</v>
      </c>
      <c r="P1047" s="24"/>
      <c r="Q1047" s="60"/>
      <c r="R1047" s="60"/>
      <c r="S1047" s="18"/>
      <c r="T1047" s="24"/>
      <c r="U1047" s="68">
        <f>Tabla1[[#This Row],[PPTO]]/(1+'Lista Datos'!$B$1)</f>
        <v>0</v>
      </c>
      <c r="V1047" s="67"/>
      <c r="W1047" s="193"/>
      <c r="X1047" s="127"/>
      <c r="Y1047" s="127"/>
      <c r="Z1047" s="154"/>
      <c r="AA1047" s="30"/>
      <c r="AB1047" s="30"/>
      <c r="AC1047" s="30"/>
      <c r="AD1047" s="30"/>
      <c r="AE1047" s="145">
        <f>Tabla1[[#This Row],[Cierre]]+Tabla1[[#This Row],[Vigencia Oferta (días)]]</f>
        <v>45205.631944444402</v>
      </c>
      <c r="AF1047" s="68"/>
      <c r="AG1047" s="157"/>
      <c r="AH1047" s="194">
        <f>Tabla1[[#This Row],[Unidades2]]*Tabla1[[#This Row],[Precio Unitario]]</f>
        <v>0</v>
      </c>
      <c r="AI1047" s="97" t="s">
        <v>270</v>
      </c>
      <c r="AJ1047" s="149"/>
      <c r="AK1047" s="149">
        <f>Tabla1[[#This Row],[Fecha Vigencia]]-AJ1047</f>
        <v>45205.631944444402</v>
      </c>
      <c r="AL1047" s="68"/>
      <c r="AM1047" s="91"/>
      <c r="AN1047" s="68"/>
      <c r="AO1047" s="218"/>
      <c r="AP1047" s="68"/>
      <c r="AQ1047" s="69"/>
      <c r="AR1047" s="68"/>
      <c r="AS1047" s="68"/>
      <c r="AT1047" s="68"/>
      <c r="AU1047" s="68"/>
      <c r="AV1047" s="68"/>
      <c r="AW1047" s="68"/>
      <c r="AX1047" s="68"/>
      <c r="AY1047" s="30"/>
      <c r="AZ1047" s="30"/>
      <c r="BA1047" s="30"/>
      <c r="BB1047" s="75"/>
    </row>
    <row r="1048" spans="1:54" x14ac:dyDescent="0.25">
      <c r="A1048" s="153" t="s">
        <v>5011</v>
      </c>
      <c r="B1048" s="30" t="s">
        <v>5012</v>
      </c>
      <c r="C1048" s="30" t="s">
        <v>5013</v>
      </c>
      <c r="D1048" s="84" t="s">
        <v>1001</v>
      </c>
      <c r="E1048" s="24" t="s">
        <v>5014</v>
      </c>
      <c r="F1048" s="25">
        <v>456</v>
      </c>
      <c r="G1048" s="30" t="s">
        <v>21</v>
      </c>
      <c r="H1048" s="30" t="s">
        <v>106</v>
      </c>
      <c r="I1048" s="203">
        <v>45198.617825000001</v>
      </c>
      <c r="J1048" s="121">
        <v>45210.375</v>
      </c>
      <c r="K1048" s="121">
        <v>45198.617825000001</v>
      </c>
      <c r="L1048" s="203">
        <v>45210.375</v>
      </c>
      <c r="M1048" s="204">
        <v>45202</v>
      </c>
      <c r="N1048" s="205" t="s">
        <v>10</v>
      </c>
      <c r="O1048" s="203" t="s">
        <v>34</v>
      </c>
      <c r="P1048" s="24"/>
      <c r="Q1048" s="60"/>
      <c r="R1048" s="60"/>
      <c r="S1048" s="18"/>
      <c r="T1048" s="24"/>
      <c r="U1048" s="68">
        <f>Tabla1[[#This Row],[PPTO]]/(1+'Lista Datos'!$B$1)</f>
        <v>0</v>
      </c>
      <c r="V1048" s="67"/>
      <c r="W1048" s="193"/>
      <c r="X1048" s="127"/>
      <c r="Y1048" s="127"/>
      <c r="Z1048" s="154"/>
      <c r="AA1048" s="30"/>
      <c r="AB1048" s="30"/>
      <c r="AC1048" s="30"/>
      <c r="AD1048" s="30"/>
      <c r="AE1048" s="145">
        <f>Tabla1[[#This Row],[Cierre]]+Tabla1[[#This Row],[Vigencia Oferta (días)]]</f>
        <v>45210.375</v>
      </c>
      <c r="AF1048" s="68"/>
      <c r="AG1048" s="157"/>
      <c r="AH1048" s="194">
        <f>Tabla1[[#This Row],[Unidades2]]*Tabla1[[#This Row],[Precio Unitario]]</f>
        <v>0</v>
      </c>
      <c r="AI1048" s="97" t="s">
        <v>270</v>
      </c>
      <c r="AJ1048" s="149"/>
      <c r="AK1048" s="149">
        <f>Tabla1[[#This Row],[Fecha Vigencia]]-AJ1048</f>
        <v>45210.375</v>
      </c>
      <c r="AL1048" s="68"/>
      <c r="AM1048" s="91"/>
      <c r="AN1048" s="68"/>
      <c r="AO1048" s="218"/>
      <c r="AP1048" s="68"/>
      <c r="AQ1048" s="69"/>
      <c r="AR1048" s="68"/>
      <c r="AS1048" s="68"/>
      <c r="AT1048" s="68"/>
      <c r="AU1048" s="68"/>
      <c r="AV1048" s="68"/>
      <c r="AW1048" s="68"/>
      <c r="AX1048" s="68"/>
      <c r="AY1048" s="30"/>
      <c r="AZ1048" s="30"/>
      <c r="BA1048" s="30"/>
      <c r="BB1048" s="75"/>
    </row>
    <row r="1049" spans="1:54" x14ac:dyDescent="0.25">
      <c r="A1049" s="153" t="s">
        <v>5015</v>
      </c>
      <c r="B1049" s="30" t="s">
        <v>5016</v>
      </c>
      <c r="C1049" s="30" t="s">
        <v>5017</v>
      </c>
      <c r="D1049" s="84" t="s">
        <v>4295</v>
      </c>
      <c r="E1049" s="24" t="s">
        <v>5018</v>
      </c>
      <c r="F1049" s="25">
        <v>7</v>
      </c>
      <c r="G1049" s="30" t="s">
        <v>21</v>
      </c>
      <c r="H1049" s="30" t="s">
        <v>106</v>
      </c>
      <c r="I1049" s="203">
        <v>45198.548018668997</v>
      </c>
      <c r="J1049" s="121">
        <v>45203.581250000003</v>
      </c>
      <c r="K1049" s="121">
        <v>45198.548018668997</v>
      </c>
      <c r="L1049" s="203">
        <v>45203.581250000003</v>
      </c>
      <c r="M1049" s="204">
        <v>45202</v>
      </c>
      <c r="N1049" s="205" t="s">
        <v>10</v>
      </c>
      <c r="O1049" s="203" t="s">
        <v>27</v>
      </c>
      <c r="P1049" s="24"/>
      <c r="Q1049" s="60"/>
      <c r="R1049" s="60"/>
      <c r="S1049" s="18"/>
      <c r="T1049" s="24"/>
      <c r="U1049" s="68">
        <f>Tabla1[[#This Row],[PPTO]]/(1+'Lista Datos'!$B$1)</f>
        <v>0</v>
      </c>
      <c r="V1049" s="67"/>
      <c r="W1049" s="193"/>
      <c r="X1049" s="127"/>
      <c r="Y1049" s="127"/>
      <c r="Z1049" s="154"/>
      <c r="AA1049" s="30"/>
      <c r="AB1049" s="30"/>
      <c r="AC1049" s="30"/>
      <c r="AD1049" s="30"/>
      <c r="AE1049" s="145">
        <f>Tabla1[[#This Row],[Cierre]]+Tabla1[[#This Row],[Vigencia Oferta (días)]]</f>
        <v>45203.581250000003</v>
      </c>
      <c r="AF1049" s="68"/>
      <c r="AG1049" s="157"/>
      <c r="AH1049" s="194">
        <f>Tabla1[[#This Row],[Unidades2]]*Tabla1[[#This Row],[Precio Unitario]]</f>
        <v>0</v>
      </c>
      <c r="AI1049" s="97" t="s">
        <v>270</v>
      </c>
      <c r="AJ1049" s="149"/>
      <c r="AK1049" s="149">
        <f>Tabla1[[#This Row],[Fecha Vigencia]]-AJ1049</f>
        <v>45203.581250000003</v>
      </c>
      <c r="AL1049" s="68"/>
      <c r="AM1049" s="91"/>
      <c r="AN1049" s="68"/>
      <c r="AO1049" s="218"/>
      <c r="AP1049" s="68"/>
      <c r="AQ1049" s="69"/>
      <c r="AR1049" s="68"/>
      <c r="AS1049" s="68"/>
      <c r="AT1049" s="68"/>
      <c r="AU1049" s="68"/>
      <c r="AV1049" s="68"/>
      <c r="AW1049" s="68"/>
      <c r="AX1049" s="68"/>
      <c r="AY1049" s="30"/>
      <c r="AZ1049" s="30"/>
      <c r="BA1049" s="30"/>
      <c r="BB1049" s="75"/>
    </row>
    <row r="1050" spans="1:54" x14ac:dyDescent="0.25">
      <c r="A1050" s="153" t="s">
        <v>5019</v>
      </c>
      <c r="B1050" s="30" t="s">
        <v>5020</v>
      </c>
      <c r="C1050" s="30" t="s">
        <v>5021</v>
      </c>
      <c r="D1050" s="84" t="s">
        <v>4917</v>
      </c>
      <c r="E1050" s="24" t="s">
        <v>5022</v>
      </c>
      <c r="F1050" s="25">
        <v>2</v>
      </c>
      <c r="G1050" s="30" t="s">
        <v>21</v>
      </c>
      <c r="H1050" s="30" t="s">
        <v>106</v>
      </c>
      <c r="I1050" s="203">
        <v>45197.845751122702</v>
      </c>
      <c r="J1050" s="121">
        <v>45204.7055555556</v>
      </c>
      <c r="K1050" s="121">
        <v>45197.845751122702</v>
      </c>
      <c r="L1050" s="203">
        <v>45204.7055555556</v>
      </c>
      <c r="M1050" s="204">
        <v>45202</v>
      </c>
      <c r="N1050" s="205" t="s">
        <v>10</v>
      </c>
      <c r="O1050" s="203" t="s">
        <v>27</v>
      </c>
      <c r="P1050" s="24"/>
      <c r="Q1050" s="60"/>
      <c r="R1050" s="60"/>
      <c r="S1050" s="18"/>
      <c r="T1050" s="24"/>
      <c r="U1050" s="68">
        <f>Tabla1[[#This Row],[PPTO]]/(1+'Lista Datos'!$B$1)</f>
        <v>0</v>
      </c>
      <c r="V1050" s="67"/>
      <c r="W1050" s="193"/>
      <c r="X1050" s="127"/>
      <c r="Y1050" s="127"/>
      <c r="Z1050" s="154"/>
      <c r="AA1050" s="30"/>
      <c r="AB1050" s="30"/>
      <c r="AC1050" s="30"/>
      <c r="AD1050" s="30"/>
      <c r="AE1050" s="145">
        <f>Tabla1[[#This Row],[Cierre]]+Tabla1[[#This Row],[Vigencia Oferta (días)]]</f>
        <v>45204.7055555556</v>
      </c>
      <c r="AF1050" s="68"/>
      <c r="AG1050" s="157"/>
      <c r="AH1050" s="194">
        <f>Tabla1[[#This Row],[Unidades2]]*Tabla1[[#This Row],[Precio Unitario]]</f>
        <v>0</v>
      </c>
      <c r="AI1050" s="97" t="s">
        <v>270</v>
      </c>
      <c r="AJ1050" s="149"/>
      <c r="AK1050" s="149">
        <f>Tabla1[[#This Row],[Fecha Vigencia]]-AJ1050</f>
        <v>45204.7055555556</v>
      </c>
      <c r="AL1050" s="68"/>
      <c r="AM1050" s="91"/>
      <c r="AN1050" s="68"/>
      <c r="AO1050" s="218"/>
      <c r="AP1050" s="68"/>
      <c r="AQ1050" s="69"/>
      <c r="AR1050" s="68"/>
      <c r="AS1050" s="68"/>
      <c r="AT1050" s="68"/>
      <c r="AU1050" s="68"/>
      <c r="AV1050" s="68"/>
      <c r="AW1050" s="68"/>
      <c r="AX1050" s="68"/>
      <c r="AY1050" s="30"/>
      <c r="AZ1050" s="30"/>
      <c r="BA1050" s="30"/>
      <c r="BB1050" s="75"/>
    </row>
    <row r="1051" spans="1:54" x14ac:dyDescent="0.25">
      <c r="A1051" s="117" t="s">
        <v>5023</v>
      </c>
      <c r="B1051" s="118" t="s">
        <v>5024</v>
      </c>
      <c r="C1051" s="118" t="s">
        <v>5025</v>
      </c>
      <c r="D1051" s="119" t="s">
        <v>4759</v>
      </c>
      <c r="E1051" s="38" t="s">
        <v>5026</v>
      </c>
      <c r="F1051" s="39">
        <v>15</v>
      </c>
      <c r="G1051" s="118" t="s">
        <v>21</v>
      </c>
      <c r="H1051" s="118" t="s">
        <v>106</v>
      </c>
      <c r="I1051" s="206">
        <v>45197.737305868097</v>
      </c>
      <c r="J1051" s="121">
        <v>45203.708333333299</v>
      </c>
      <c r="K1051" s="121">
        <v>45197.737305868097</v>
      </c>
      <c r="L1051" s="206">
        <v>45203.708333333299</v>
      </c>
      <c r="M1051" s="211">
        <v>45202</v>
      </c>
      <c r="N1051" s="207" t="s">
        <v>10</v>
      </c>
      <c r="O1051" s="206" t="s">
        <v>27</v>
      </c>
      <c r="P1051" s="38"/>
      <c r="Q1051" s="121"/>
      <c r="R1051" s="121"/>
      <c r="S1051" s="19"/>
      <c r="T1051" s="38"/>
      <c r="U1051" s="65">
        <f>Tabla1[[#This Row],[PPTO]]/(1+'Lista Datos'!$B$1)</f>
        <v>0</v>
      </c>
      <c r="V1051" s="64"/>
      <c r="W1051" s="191"/>
      <c r="X1051" s="122"/>
      <c r="Y1051" s="122"/>
      <c r="Z1051" s="123"/>
      <c r="AA1051" s="118"/>
      <c r="AB1051" s="118"/>
      <c r="AC1051" s="118"/>
      <c r="AD1051" s="118"/>
      <c r="AE1051" s="145">
        <f>Tabla1[[#This Row],[Cierre]]+Tabla1[[#This Row],[Vigencia Oferta (días)]]</f>
        <v>45203.708333333299</v>
      </c>
      <c r="AF1051" s="65"/>
      <c r="AG1051" s="181"/>
      <c r="AH1051" s="192">
        <f>Tabla1[[#This Row],[Unidades2]]*Tabla1[[#This Row],[Precio Unitario]]</f>
        <v>0</v>
      </c>
      <c r="AI1051" s="126" t="s">
        <v>270</v>
      </c>
      <c r="AJ1051" s="149"/>
      <c r="AK1051" s="149">
        <f>Tabla1[[#This Row],[Fecha Vigencia]]-AJ1051</f>
        <v>45203.708333333299</v>
      </c>
      <c r="AL1051" s="65"/>
      <c r="AM1051" s="90"/>
      <c r="AN1051" s="65"/>
      <c r="AO1051" s="217"/>
      <c r="AP1051" s="65"/>
      <c r="AQ1051" s="66"/>
      <c r="AR1051" s="65"/>
      <c r="AS1051" s="65"/>
      <c r="AT1051" s="65"/>
      <c r="AU1051" s="65"/>
      <c r="AV1051" s="65"/>
      <c r="AW1051" s="65"/>
      <c r="AX1051" s="65"/>
      <c r="AY1051" s="118"/>
      <c r="AZ1051" s="118"/>
      <c r="BA1051" s="118"/>
      <c r="BB1051" s="124"/>
    </row>
    <row r="1052" spans="1:54" x14ac:dyDescent="0.25">
      <c r="A1052" s="153" t="s">
        <v>5027</v>
      </c>
      <c r="B1052" s="30" t="s">
        <v>5028</v>
      </c>
      <c r="C1052" s="30" t="s">
        <v>5029</v>
      </c>
      <c r="D1052" s="84" t="s">
        <v>3215</v>
      </c>
      <c r="E1052" s="24" t="s">
        <v>5030</v>
      </c>
      <c r="F1052" s="25">
        <v>1</v>
      </c>
      <c r="G1052" s="30" t="s">
        <v>17</v>
      </c>
      <c r="H1052" s="30" t="s">
        <v>213</v>
      </c>
      <c r="I1052" s="203">
        <v>45197.712514155101</v>
      </c>
      <c r="J1052" s="38">
        <v>45229.625694444403</v>
      </c>
      <c r="K1052" s="38">
        <v>45197.712514155101</v>
      </c>
      <c r="L1052" s="203">
        <v>45229.625694444403</v>
      </c>
      <c r="M1052" s="204">
        <v>45202</v>
      </c>
      <c r="N1052" s="205" t="s">
        <v>10</v>
      </c>
      <c r="O1052" s="203" t="s">
        <v>28</v>
      </c>
      <c r="P1052" s="24"/>
      <c r="Q1052" s="60"/>
      <c r="R1052" s="60"/>
      <c r="S1052" s="18"/>
      <c r="T1052" s="24"/>
      <c r="U1052" s="68">
        <f>Tabla1[[#This Row],[PPTO]]/(1+'Lista Datos'!$B$1)</f>
        <v>0</v>
      </c>
      <c r="V1052" s="67"/>
      <c r="W1052" s="193"/>
      <c r="X1052" s="127"/>
      <c r="Y1052" s="127"/>
      <c r="Z1052" s="154"/>
      <c r="AA1052" s="30"/>
      <c r="AB1052" s="30"/>
      <c r="AC1052" s="30"/>
      <c r="AD1052" s="30"/>
      <c r="AE1052" s="145">
        <f>Tabla1[[#This Row],[Cierre]]+Tabla1[[#This Row],[Vigencia Oferta (días)]]</f>
        <v>45229.625694444403</v>
      </c>
      <c r="AF1052" s="68"/>
      <c r="AG1052" s="157"/>
      <c r="AH1052" s="194">
        <f>Tabla1[[#This Row],[Unidades2]]*Tabla1[[#This Row],[Precio Unitario]]</f>
        <v>0</v>
      </c>
      <c r="AI1052" s="97" t="s">
        <v>270</v>
      </c>
      <c r="AJ1052" s="149"/>
      <c r="AK1052" s="149">
        <f>Tabla1[[#This Row],[Fecha Vigencia]]-AJ1052</f>
        <v>45229.625694444403</v>
      </c>
      <c r="AL1052" s="68"/>
      <c r="AM1052" s="91"/>
      <c r="AN1052" s="68"/>
      <c r="AO1052" s="218"/>
      <c r="AP1052" s="68"/>
      <c r="AQ1052" s="69"/>
      <c r="AR1052" s="68"/>
      <c r="AS1052" s="68"/>
      <c r="AT1052" s="68"/>
      <c r="AU1052" s="68"/>
      <c r="AV1052" s="68"/>
      <c r="AW1052" s="68"/>
      <c r="AX1052" s="68"/>
      <c r="AY1052" s="30"/>
      <c r="AZ1052" s="30"/>
      <c r="BA1052" s="30"/>
      <c r="BB1052" s="75"/>
    </row>
    <row r="1053" spans="1:54" x14ac:dyDescent="0.25">
      <c r="A1053" s="153" t="s">
        <v>5031</v>
      </c>
      <c r="B1053" s="30" t="s">
        <v>5032</v>
      </c>
      <c r="C1053" s="30" t="s">
        <v>5033</v>
      </c>
      <c r="D1053" s="84" t="s">
        <v>1821</v>
      </c>
      <c r="E1053" s="24" t="s">
        <v>5034</v>
      </c>
      <c r="F1053" s="25">
        <v>1</v>
      </c>
      <c r="G1053" s="30" t="s">
        <v>21</v>
      </c>
      <c r="H1053" s="30" t="s">
        <v>106</v>
      </c>
      <c r="I1053" s="203">
        <v>45197.467184108798</v>
      </c>
      <c r="J1053" s="121">
        <v>45205.625</v>
      </c>
      <c r="K1053" s="121">
        <v>45197.467184108798</v>
      </c>
      <c r="L1053" s="203">
        <v>45205.625</v>
      </c>
      <c r="M1053" s="204">
        <v>45202</v>
      </c>
      <c r="N1053" s="205" t="s">
        <v>10</v>
      </c>
      <c r="O1053" s="203" t="s">
        <v>27</v>
      </c>
      <c r="P1053" s="24"/>
      <c r="Q1053" s="60"/>
      <c r="R1053" s="60"/>
      <c r="S1053" s="18"/>
      <c r="T1053" s="24"/>
      <c r="U1053" s="68">
        <f>Tabla1[[#This Row],[PPTO]]/(1+'Lista Datos'!$B$1)</f>
        <v>0</v>
      </c>
      <c r="V1053" s="67"/>
      <c r="W1053" s="193"/>
      <c r="X1053" s="127"/>
      <c r="Y1053" s="127"/>
      <c r="Z1053" s="154"/>
      <c r="AA1053" s="30"/>
      <c r="AB1053" s="30"/>
      <c r="AC1053" s="30"/>
      <c r="AD1053" s="30"/>
      <c r="AE1053" s="145">
        <f>Tabla1[[#This Row],[Cierre]]+Tabla1[[#This Row],[Vigencia Oferta (días)]]</f>
        <v>45205.625</v>
      </c>
      <c r="AF1053" s="68"/>
      <c r="AG1053" s="157"/>
      <c r="AH1053" s="194">
        <f>Tabla1[[#This Row],[Unidades2]]*Tabla1[[#This Row],[Precio Unitario]]</f>
        <v>0</v>
      </c>
      <c r="AI1053" s="97" t="s">
        <v>270</v>
      </c>
      <c r="AJ1053" s="149"/>
      <c r="AK1053" s="149">
        <f>Tabla1[[#This Row],[Fecha Vigencia]]-AJ1053</f>
        <v>45205.625</v>
      </c>
      <c r="AL1053" s="68"/>
      <c r="AM1053" s="91"/>
      <c r="AN1053" s="68"/>
      <c r="AO1053" s="218"/>
      <c r="AP1053" s="68"/>
      <c r="AQ1053" s="69"/>
      <c r="AR1053" s="68"/>
      <c r="AS1053" s="68"/>
      <c r="AT1053" s="68"/>
      <c r="AU1053" s="68"/>
      <c r="AV1053" s="68"/>
      <c r="AW1053" s="68"/>
      <c r="AX1053" s="68"/>
      <c r="AY1053" s="30"/>
      <c r="AZ1053" s="30"/>
      <c r="BA1053" s="30"/>
      <c r="BB1053" s="75"/>
    </row>
    <row r="1054" spans="1:54" x14ac:dyDescent="0.25">
      <c r="A1054" s="117" t="s">
        <v>5035</v>
      </c>
      <c r="B1054" s="118" t="s">
        <v>5036</v>
      </c>
      <c r="C1054" s="118" t="s">
        <v>5037</v>
      </c>
      <c r="D1054" s="119" t="s">
        <v>190</v>
      </c>
      <c r="E1054" s="38" t="s">
        <v>5038</v>
      </c>
      <c r="F1054" s="39">
        <v>5</v>
      </c>
      <c r="G1054" s="118" t="s">
        <v>16</v>
      </c>
      <c r="H1054" s="118" t="s">
        <v>533</v>
      </c>
      <c r="I1054" s="206">
        <v>45197.465533877301</v>
      </c>
      <c r="J1054" s="121">
        <v>45209.625694444403</v>
      </c>
      <c r="K1054" s="121">
        <v>45197.465533877301</v>
      </c>
      <c r="L1054" s="206">
        <v>45209.625694444403</v>
      </c>
      <c r="M1054" s="211">
        <v>45202</v>
      </c>
      <c r="N1054" s="207" t="s">
        <v>10</v>
      </c>
      <c r="O1054" s="206" t="s">
        <v>25</v>
      </c>
      <c r="P1054" s="38"/>
      <c r="Q1054" s="121"/>
      <c r="R1054" s="121"/>
      <c r="S1054" s="19"/>
      <c r="T1054" s="38"/>
      <c r="U1054" s="65">
        <f>Tabla1[[#This Row],[PPTO]]/(1+'Lista Datos'!$B$1)</f>
        <v>0</v>
      </c>
      <c r="V1054" s="64"/>
      <c r="W1054" s="191"/>
      <c r="X1054" s="122"/>
      <c r="Y1054" s="122"/>
      <c r="Z1054" s="123"/>
      <c r="AA1054" s="118"/>
      <c r="AB1054" s="118"/>
      <c r="AC1054" s="118"/>
      <c r="AD1054" s="118"/>
      <c r="AE1054" s="145">
        <f>Tabla1[[#This Row],[Cierre]]+Tabla1[[#This Row],[Vigencia Oferta (días)]]</f>
        <v>45209.625694444403</v>
      </c>
      <c r="AF1054" s="65"/>
      <c r="AG1054" s="181"/>
      <c r="AH1054" s="192">
        <f>Tabla1[[#This Row],[Unidades2]]*Tabla1[[#This Row],[Precio Unitario]]</f>
        <v>0</v>
      </c>
      <c r="AI1054" s="126" t="s">
        <v>270</v>
      </c>
      <c r="AJ1054" s="149"/>
      <c r="AK1054" s="149">
        <f>Tabla1[[#This Row],[Fecha Vigencia]]-AJ1054</f>
        <v>45209.625694444403</v>
      </c>
      <c r="AL1054" s="65"/>
      <c r="AM1054" s="90"/>
      <c r="AN1054" s="65"/>
      <c r="AO1054" s="217"/>
      <c r="AP1054" s="65"/>
      <c r="AQ1054" s="66"/>
      <c r="AR1054" s="65"/>
      <c r="AS1054" s="65"/>
      <c r="AT1054" s="65"/>
      <c r="AU1054" s="65"/>
      <c r="AV1054" s="65"/>
      <c r="AW1054" s="65"/>
      <c r="AX1054" s="65"/>
      <c r="AY1054" s="118"/>
      <c r="AZ1054" s="118"/>
      <c r="BA1054" s="118"/>
      <c r="BB1054" s="124"/>
    </row>
    <row r="1055" spans="1:54" x14ac:dyDescent="0.25">
      <c r="A1055" s="117" t="s">
        <v>5039</v>
      </c>
      <c r="B1055" s="118" t="s">
        <v>5040</v>
      </c>
      <c r="C1055" s="118" t="s">
        <v>5041</v>
      </c>
      <c r="D1055" s="119" t="s">
        <v>3372</v>
      </c>
      <c r="E1055" s="38" t="s">
        <v>5042</v>
      </c>
      <c r="F1055" s="39">
        <v>1</v>
      </c>
      <c r="G1055" s="118" t="s">
        <v>18</v>
      </c>
      <c r="H1055" s="118" t="s">
        <v>213</v>
      </c>
      <c r="I1055" s="206">
        <v>45197.379260879599</v>
      </c>
      <c r="J1055" s="121">
        <v>45204.646527777797</v>
      </c>
      <c r="K1055" s="121">
        <v>45197.379260879599</v>
      </c>
      <c r="L1055" s="206">
        <v>45204.646527777797</v>
      </c>
      <c r="M1055" s="211">
        <v>45202</v>
      </c>
      <c r="N1055" s="207" t="s">
        <v>10</v>
      </c>
      <c r="O1055" s="206" t="s">
        <v>35</v>
      </c>
      <c r="P1055" s="38"/>
      <c r="Q1055" s="121"/>
      <c r="R1055" s="121"/>
      <c r="S1055" s="19"/>
      <c r="T1055" s="38"/>
      <c r="U1055" s="65">
        <f>Tabla1[[#This Row],[PPTO]]/(1+'Lista Datos'!$B$1)</f>
        <v>0</v>
      </c>
      <c r="V1055" s="64"/>
      <c r="W1055" s="191"/>
      <c r="X1055" s="122"/>
      <c r="Y1055" s="122"/>
      <c r="Z1055" s="123"/>
      <c r="AA1055" s="118"/>
      <c r="AB1055" s="118"/>
      <c r="AC1055" s="118"/>
      <c r="AD1055" s="118"/>
      <c r="AE1055" s="145">
        <f>Tabla1[[#This Row],[Cierre]]+Tabla1[[#This Row],[Vigencia Oferta (días)]]</f>
        <v>45204.646527777797</v>
      </c>
      <c r="AF1055" s="65"/>
      <c r="AG1055" s="181"/>
      <c r="AH1055" s="192">
        <f>Tabla1[[#This Row],[Unidades2]]*Tabla1[[#This Row],[Precio Unitario]]</f>
        <v>0</v>
      </c>
      <c r="AI1055" s="126" t="s">
        <v>270</v>
      </c>
      <c r="AJ1055" s="149"/>
      <c r="AK1055" s="149">
        <f>Tabla1[[#This Row],[Fecha Vigencia]]-AJ1055</f>
        <v>45204.646527777797</v>
      </c>
      <c r="AL1055" s="65"/>
      <c r="AM1055" s="90"/>
      <c r="AN1055" s="65"/>
      <c r="AO1055" s="217"/>
      <c r="AP1055" s="65"/>
      <c r="AQ1055" s="66"/>
      <c r="AR1055" s="65"/>
      <c r="AS1055" s="65"/>
      <c r="AT1055" s="65"/>
      <c r="AU1055" s="65"/>
      <c r="AV1055" s="65"/>
      <c r="AW1055" s="65"/>
      <c r="AX1055" s="65"/>
      <c r="AY1055" s="118"/>
      <c r="AZ1055" s="118"/>
      <c r="BA1055" s="118"/>
      <c r="BB1055" s="124"/>
    </row>
    <row r="1056" spans="1:54" x14ac:dyDescent="0.25">
      <c r="A1056" s="117" t="s">
        <v>5043</v>
      </c>
      <c r="B1056" s="118" t="s">
        <v>5044</v>
      </c>
      <c r="C1056" s="118" t="s">
        <v>5045</v>
      </c>
      <c r="D1056" s="119" t="s">
        <v>3696</v>
      </c>
      <c r="E1056" s="38" t="s">
        <v>5046</v>
      </c>
      <c r="F1056" s="39">
        <v>1</v>
      </c>
      <c r="G1056" s="118" t="s">
        <v>21</v>
      </c>
      <c r="H1056" s="118" t="s">
        <v>106</v>
      </c>
      <c r="I1056" s="206">
        <v>45195.547060648103</v>
      </c>
      <c r="J1056" s="121">
        <v>45205.5090277778</v>
      </c>
      <c r="K1056" s="121">
        <v>45195.547060648103</v>
      </c>
      <c r="L1056" s="206">
        <v>45205.5090277778</v>
      </c>
      <c r="M1056" s="211">
        <v>45202</v>
      </c>
      <c r="N1056" s="207" t="s">
        <v>10</v>
      </c>
      <c r="O1056" s="206" t="s">
        <v>28</v>
      </c>
      <c r="P1056" s="38"/>
      <c r="Q1056" s="121"/>
      <c r="R1056" s="121"/>
      <c r="S1056" s="19"/>
      <c r="T1056" s="38"/>
      <c r="U1056" s="65">
        <f>Tabla1[[#This Row],[PPTO]]/(1+'Lista Datos'!$B$1)</f>
        <v>0</v>
      </c>
      <c r="V1056" s="64"/>
      <c r="W1056" s="191"/>
      <c r="X1056" s="122"/>
      <c r="Y1056" s="122"/>
      <c r="Z1056" s="123"/>
      <c r="AA1056" s="118"/>
      <c r="AB1056" s="118"/>
      <c r="AC1056" s="118"/>
      <c r="AD1056" s="118"/>
      <c r="AE1056" s="145">
        <f>Tabla1[[#This Row],[Cierre]]+Tabla1[[#This Row],[Vigencia Oferta (días)]]</f>
        <v>45205.5090277778</v>
      </c>
      <c r="AF1056" s="65"/>
      <c r="AG1056" s="181"/>
      <c r="AH1056" s="192">
        <f>Tabla1[[#This Row],[Unidades2]]*Tabla1[[#This Row],[Precio Unitario]]</f>
        <v>0</v>
      </c>
      <c r="AI1056" s="126" t="s">
        <v>270</v>
      </c>
      <c r="AJ1056" s="149"/>
      <c r="AK1056" s="149">
        <f>Tabla1[[#This Row],[Fecha Vigencia]]-AJ1056</f>
        <v>45205.5090277778</v>
      </c>
      <c r="AL1056" s="65"/>
      <c r="AM1056" s="90"/>
      <c r="AN1056" s="65"/>
      <c r="AO1056" s="217"/>
      <c r="AP1056" s="65"/>
      <c r="AQ1056" s="66"/>
      <c r="AR1056" s="65"/>
      <c r="AS1056" s="65"/>
      <c r="AT1056" s="65"/>
      <c r="AU1056" s="65"/>
      <c r="AV1056" s="65"/>
      <c r="AW1056" s="65"/>
      <c r="AX1056" s="65"/>
      <c r="AY1056" s="118"/>
      <c r="AZ1056" s="118"/>
      <c r="BA1056" s="118"/>
      <c r="BB1056" s="124"/>
    </row>
    <row r="1057" spans="1:54" x14ac:dyDescent="0.25">
      <c r="A1057" s="117" t="s">
        <v>5047</v>
      </c>
      <c r="B1057" s="118" t="s">
        <v>5048</v>
      </c>
      <c r="C1057" s="118" t="s">
        <v>5049</v>
      </c>
      <c r="D1057" s="119" t="s">
        <v>3951</v>
      </c>
      <c r="E1057" s="38" t="s">
        <v>5050</v>
      </c>
      <c r="F1057" s="39">
        <v>2</v>
      </c>
      <c r="G1057" s="118" t="s">
        <v>18</v>
      </c>
      <c r="H1057" s="118" t="s">
        <v>213</v>
      </c>
      <c r="I1057" s="206">
        <v>45194.668274884301</v>
      </c>
      <c r="J1057" s="38">
        <v>45217.625</v>
      </c>
      <c r="K1057" s="38">
        <v>45194.668274884301</v>
      </c>
      <c r="L1057" s="206">
        <v>45217.625</v>
      </c>
      <c r="M1057" s="211">
        <v>45202</v>
      </c>
      <c r="N1057" s="207" t="s">
        <v>10</v>
      </c>
      <c r="O1057" s="206" t="s">
        <v>35</v>
      </c>
      <c r="P1057" s="38"/>
      <c r="Q1057" s="121"/>
      <c r="R1057" s="121"/>
      <c r="S1057" s="19"/>
      <c r="T1057" s="38"/>
      <c r="U1057" s="65">
        <f>Tabla1[[#This Row],[PPTO]]/(1+'Lista Datos'!$B$1)</f>
        <v>0</v>
      </c>
      <c r="V1057" s="64"/>
      <c r="W1057" s="191"/>
      <c r="X1057" s="122"/>
      <c r="Y1057" s="122"/>
      <c r="Z1057" s="123"/>
      <c r="AA1057" s="118"/>
      <c r="AB1057" s="118"/>
      <c r="AC1057" s="118"/>
      <c r="AD1057" s="118"/>
      <c r="AE1057" s="145">
        <f>Tabla1[[#This Row],[Cierre]]+Tabla1[[#This Row],[Vigencia Oferta (días)]]</f>
        <v>45217.625</v>
      </c>
      <c r="AF1057" s="65"/>
      <c r="AG1057" s="181"/>
      <c r="AH1057" s="192">
        <f>Tabla1[[#This Row],[Unidades2]]*Tabla1[[#This Row],[Precio Unitario]]</f>
        <v>0</v>
      </c>
      <c r="AI1057" s="126" t="s">
        <v>270</v>
      </c>
      <c r="AJ1057" s="149"/>
      <c r="AK1057" s="149">
        <f>Tabla1[[#This Row],[Fecha Vigencia]]-AJ1057</f>
        <v>45217.625</v>
      </c>
      <c r="AL1057" s="65"/>
      <c r="AM1057" s="90"/>
      <c r="AN1057" s="65"/>
      <c r="AO1057" s="217"/>
      <c r="AP1057" s="65"/>
      <c r="AQ1057" s="66"/>
      <c r="AR1057" s="65"/>
      <c r="AS1057" s="65"/>
      <c r="AT1057" s="65"/>
      <c r="AU1057" s="65"/>
      <c r="AV1057" s="65"/>
      <c r="AW1057" s="65"/>
      <c r="AX1057" s="65"/>
      <c r="AY1057" s="118"/>
      <c r="AZ1057" s="118"/>
      <c r="BA1057" s="118"/>
      <c r="BB1057" s="124"/>
    </row>
    <row r="1058" spans="1:54" x14ac:dyDescent="0.25">
      <c r="A1058" s="153" t="s">
        <v>5051</v>
      </c>
      <c r="B1058" s="30" t="s">
        <v>5052</v>
      </c>
      <c r="C1058" s="30" t="s">
        <v>4010</v>
      </c>
      <c r="D1058" s="84" t="s">
        <v>994</v>
      </c>
      <c r="E1058" s="24" t="s">
        <v>4011</v>
      </c>
      <c r="F1058" s="25">
        <v>36</v>
      </c>
      <c r="G1058" s="30" t="s">
        <v>21</v>
      </c>
      <c r="H1058" s="30" t="s">
        <v>106</v>
      </c>
      <c r="I1058" s="203">
        <v>45194.492325428197</v>
      </c>
      <c r="J1058" s="38">
        <v>45205.625</v>
      </c>
      <c r="K1058" s="38">
        <v>45194.492325428197</v>
      </c>
      <c r="L1058" s="203">
        <v>45205.625</v>
      </c>
      <c r="M1058" s="204">
        <v>45202</v>
      </c>
      <c r="N1058" s="205" t="s">
        <v>10</v>
      </c>
      <c r="O1058" s="203" t="s">
        <v>27</v>
      </c>
      <c r="P1058" s="24"/>
      <c r="Q1058" s="60"/>
      <c r="R1058" s="60"/>
      <c r="S1058" s="18"/>
      <c r="T1058" s="24"/>
      <c r="U1058" s="68">
        <f>Tabla1[[#This Row],[PPTO]]/(1+'Lista Datos'!$B$1)</f>
        <v>0</v>
      </c>
      <c r="V1058" s="67"/>
      <c r="W1058" s="193"/>
      <c r="X1058" s="127"/>
      <c r="Y1058" s="127"/>
      <c r="Z1058" s="154"/>
      <c r="AA1058" s="30"/>
      <c r="AB1058" s="30"/>
      <c r="AC1058" s="30"/>
      <c r="AD1058" s="30"/>
      <c r="AE1058" s="145">
        <f>Tabla1[[#This Row],[Cierre]]+Tabla1[[#This Row],[Vigencia Oferta (días)]]</f>
        <v>45205.625</v>
      </c>
      <c r="AF1058" s="68"/>
      <c r="AG1058" s="157"/>
      <c r="AH1058" s="194">
        <f>Tabla1[[#This Row],[Unidades2]]*Tabla1[[#This Row],[Precio Unitario]]</f>
        <v>0</v>
      </c>
      <c r="AI1058" s="97" t="s">
        <v>270</v>
      </c>
      <c r="AJ1058" s="149"/>
      <c r="AK1058" s="149">
        <f>Tabla1[[#This Row],[Fecha Vigencia]]-AJ1058</f>
        <v>45205.625</v>
      </c>
      <c r="AL1058" s="68"/>
      <c r="AM1058" s="91"/>
      <c r="AN1058" s="68"/>
      <c r="AO1058" s="218"/>
      <c r="AP1058" s="68"/>
      <c r="AQ1058" s="69"/>
      <c r="AR1058" s="68"/>
      <c r="AS1058" s="68"/>
      <c r="AT1058" s="68"/>
      <c r="AU1058" s="68"/>
      <c r="AV1058" s="68"/>
      <c r="AW1058" s="68"/>
      <c r="AX1058" s="68"/>
      <c r="AY1058" s="30"/>
      <c r="AZ1058" s="30"/>
      <c r="BA1058" s="30"/>
      <c r="BB1058" s="75"/>
    </row>
    <row r="1059" spans="1:54" x14ac:dyDescent="0.25">
      <c r="A1059" s="153" t="s">
        <v>4966</v>
      </c>
      <c r="B1059" s="30" t="s">
        <v>4967</v>
      </c>
      <c r="C1059" s="30" t="s">
        <v>4968</v>
      </c>
      <c r="D1059" s="84" t="s">
        <v>1448</v>
      </c>
      <c r="E1059" s="24" t="s">
        <v>4969</v>
      </c>
      <c r="F1059" s="25">
        <v>1</v>
      </c>
      <c r="G1059" s="30" t="s">
        <v>17</v>
      </c>
      <c r="H1059" s="30" t="s">
        <v>213</v>
      </c>
      <c r="I1059" s="203">
        <v>45194.485238692097</v>
      </c>
      <c r="J1059" s="121">
        <v>45203.625</v>
      </c>
      <c r="K1059" s="121">
        <v>45194.485238692097</v>
      </c>
      <c r="L1059" s="203">
        <v>45203.625</v>
      </c>
      <c r="M1059" s="204">
        <v>45202</v>
      </c>
      <c r="N1059" s="205" t="s">
        <v>10</v>
      </c>
      <c r="O1059" s="203" t="s">
        <v>35</v>
      </c>
      <c r="P1059" s="24"/>
      <c r="Q1059" s="60"/>
      <c r="R1059" s="60"/>
      <c r="S1059" s="18"/>
      <c r="T1059" s="24"/>
      <c r="U1059" s="68">
        <f>Tabla1[[#This Row],[PPTO]]/(1+'Lista Datos'!$B$1)</f>
        <v>0</v>
      </c>
      <c r="V1059" s="67"/>
      <c r="W1059" s="193"/>
      <c r="X1059" s="127"/>
      <c r="Y1059" s="127"/>
      <c r="Z1059" s="154"/>
      <c r="AA1059" s="30"/>
      <c r="AB1059" s="30"/>
      <c r="AC1059" s="30"/>
      <c r="AD1059" s="30"/>
      <c r="AE1059" s="145">
        <f>Tabla1[[#This Row],[Cierre]]+Tabla1[[#This Row],[Vigencia Oferta (días)]]</f>
        <v>45203.625</v>
      </c>
      <c r="AF1059" s="68"/>
      <c r="AG1059" s="157"/>
      <c r="AH1059" s="194">
        <f>Tabla1[[#This Row],[Unidades2]]*Tabla1[[#This Row],[Precio Unitario]]</f>
        <v>0</v>
      </c>
      <c r="AI1059" s="97" t="s">
        <v>270</v>
      </c>
      <c r="AJ1059" s="149"/>
      <c r="AK1059" s="149">
        <f>Tabla1[[#This Row],[Fecha Vigencia]]-AJ1059</f>
        <v>45203.625</v>
      </c>
      <c r="AL1059" s="68"/>
      <c r="AM1059" s="91"/>
      <c r="AN1059" s="68"/>
      <c r="AO1059" s="218"/>
      <c r="AP1059" s="68"/>
      <c r="AQ1059" s="69"/>
      <c r="AR1059" s="68"/>
      <c r="AS1059" s="68"/>
      <c r="AT1059" s="68"/>
      <c r="AU1059" s="68"/>
      <c r="AV1059" s="68"/>
      <c r="AW1059" s="68"/>
      <c r="AX1059" s="68"/>
      <c r="AY1059" s="30"/>
      <c r="AZ1059" s="30"/>
      <c r="BA1059" s="30"/>
      <c r="BB1059" s="75"/>
    </row>
    <row r="1060" spans="1:54" x14ac:dyDescent="0.25">
      <c r="A1060" s="117" t="s">
        <v>5053</v>
      </c>
      <c r="B1060" s="118" t="s">
        <v>5054</v>
      </c>
      <c r="C1060" s="118" t="s">
        <v>5055</v>
      </c>
      <c r="D1060" s="119" t="s">
        <v>2990</v>
      </c>
      <c r="E1060" s="38" t="s">
        <v>5056</v>
      </c>
      <c r="F1060" s="39">
        <v>6</v>
      </c>
      <c r="G1060" s="118" t="s">
        <v>21</v>
      </c>
      <c r="H1060" s="118" t="s">
        <v>106</v>
      </c>
      <c r="I1060" s="206">
        <v>45194.380209756899</v>
      </c>
      <c r="J1060" s="121">
        <v>45204.631944444402</v>
      </c>
      <c r="K1060" s="121">
        <v>45194.380209756899</v>
      </c>
      <c r="L1060" s="206">
        <v>45204.631944444402</v>
      </c>
      <c r="M1060" s="211">
        <v>45202</v>
      </c>
      <c r="N1060" s="207" t="s">
        <v>10</v>
      </c>
      <c r="O1060" s="206" t="s">
        <v>27</v>
      </c>
      <c r="P1060" s="38"/>
      <c r="Q1060" s="121"/>
      <c r="R1060" s="121"/>
      <c r="S1060" s="19"/>
      <c r="T1060" s="38"/>
      <c r="U1060" s="65">
        <f>Tabla1[[#This Row],[PPTO]]/(1+'Lista Datos'!$B$1)</f>
        <v>0</v>
      </c>
      <c r="V1060" s="64"/>
      <c r="W1060" s="191"/>
      <c r="X1060" s="122"/>
      <c r="Y1060" s="122"/>
      <c r="Z1060" s="123"/>
      <c r="AA1060" s="118"/>
      <c r="AB1060" s="118"/>
      <c r="AC1060" s="118"/>
      <c r="AD1060" s="118"/>
      <c r="AE1060" s="145">
        <f>Tabla1[[#This Row],[Cierre]]+Tabla1[[#This Row],[Vigencia Oferta (días)]]</f>
        <v>45204.631944444402</v>
      </c>
      <c r="AF1060" s="65"/>
      <c r="AG1060" s="181"/>
      <c r="AH1060" s="192">
        <f>Tabla1[[#This Row],[Unidades2]]*Tabla1[[#This Row],[Precio Unitario]]</f>
        <v>0</v>
      </c>
      <c r="AI1060" s="126" t="s">
        <v>270</v>
      </c>
      <c r="AJ1060" s="149"/>
      <c r="AK1060" s="149">
        <f>Tabla1[[#This Row],[Fecha Vigencia]]-AJ1060</f>
        <v>45204.631944444402</v>
      </c>
      <c r="AL1060" s="65"/>
      <c r="AM1060" s="90"/>
      <c r="AN1060" s="65"/>
      <c r="AO1060" s="217"/>
      <c r="AP1060" s="65"/>
      <c r="AQ1060" s="66"/>
      <c r="AR1060" s="65"/>
      <c r="AS1060" s="65"/>
      <c r="AT1060" s="65"/>
      <c r="AU1060" s="65"/>
      <c r="AV1060" s="65"/>
      <c r="AW1060" s="65"/>
      <c r="AX1060" s="65"/>
      <c r="AY1060" s="118"/>
      <c r="AZ1060" s="118"/>
      <c r="BA1060" s="118"/>
      <c r="BB1060" s="124"/>
    </row>
    <row r="1061" spans="1:54" x14ac:dyDescent="0.25">
      <c r="A1061" s="117" t="s">
        <v>5057</v>
      </c>
      <c r="B1061" s="118" t="s">
        <v>5058</v>
      </c>
      <c r="C1061" s="118" t="s">
        <v>5059</v>
      </c>
      <c r="D1061" s="119" t="s">
        <v>1965</v>
      </c>
      <c r="E1061" s="38" t="s">
        <v>5060</v>
      </c>
      <c r="F1061" s="39">
        <v>4</v>
      </c>
      <c r="G1061" s="118" t="s">
        <v>21</v>
      </c>
      <c r="H1061" s="118" t="s">
        <v>106</v>
      </c>
      <c r="I1061" s="206">
        <v>45190.641666666699</v>
      </c>
      <c r="J1061" s="38">
        <v>45209.629861111098</v>
      </c>
      <c r="K1061" s="38">
        <v>45190.641666666699</v>
      </c>
      <c r="L1061" s="206">
        <v>45209.629861111098</v>
      </c>
      <c r="M1061" s="211">
        <v>45202</v>
      </c>
      <c r="N1061" s="207" t="s">
        <v>10</v>
      </c>
      <c r="O1061" s="206" t="s">
        <v>5006</v>
      </c>
      <c r="P1061" s="38"/>
      <c r="Q1061" s="147">
        <v>45201.709027777775</v>
      </c>
      <c r="R1061" s="147">
        <v>45202.792361111111</v>
      </c>
      <c r="S1061" s="148">
        <v>45250.630555555559</v>
      </c>
      <c r="T1061" s="215">
        <v>14670000</v>
      </c>
      <c r="U1061" s="214">
        <f>Tabla1[[#This Row],[PPTO]]/(1+'Lista Datos'!$B$1)</f>
        <v>12327731.092436975</v>
      </c>
      <c r="V1061" s="64"/>
      <c r="W1061" s="191" t="s">
        <v>10</v>
      </c>
      <c r="X1061" s="122"/>
      <c r="Y1061" s="122"/>
      <c r="Z1061" s="123" t="s">
        <v>10</v>
      </c>
      <c r="AA1061" s="118" t="s">
        <v>512</v>
      </c>
      <c r="AB1061" s="118"/>
      <c r="AC1061" s="118"/>
      <c r="AD1061" s="118"/>
      <c r="AE1061" s="145">
        <f>Tabla1[[#This Row],[Cierre]]+Tabla1[[#This Row],[Vigencia Oferta (días)]]</f>
        <v>45209.629861111098</v>
      </c>
      <c r="AF1061" s="65"/>
      <c r="AG1061" s="181"/>
      <c r="AH1061" s="192">
        <f>Tabla1[[#This Row],[Unidades2]]*Tabla1[[#This Row],[Precio Unitario]]</f>
        <v>0</v>
      </c>
      <c r="AI1061" s="126" t="s">
        <v>270</v>
      </c>
      <c r="AJ1061" s="149"/>
      <c r="AK1061" s="149">
        <f>Tabla1[[#This Row],[Fecha Vigencia]]-AJ1061</f>
        <v>45209.629861111098</v>
      </c>
      <c r="AL1061" s="65"/>
      <c r="AM1061" s="90"/>
      <c r="AN1061" s="65"/>
      <c r="AO1061" s="217"/>
      <c r="AP1061" s="65"/>
      <c r="AQ1061" s="66"/>
      <c r="AR1061" s="65"/>
      <c r="AS1061" s="65"/>
      <c r="AT1061" s="65"/>
      <c r="AU1061" s="65"/>
      <c r="AV1061" s="65"/>
      <c r="AW1061" s="65"/>
      <c r="AX1061" s="65"/>
      <c r="AY1061" s="118"/>
      <c r="AZ1061" s="118"/>
      <c r="BA1061" s="118"/>
      <c r="BB1061" s="124"/>
    </row>
    <row r="1062" spans="1:54" x14ac:dyDescent="0.25">
      <c r="A1062" s="117" t="s">
        <v>5061</v>
      </c>
      <c r="B1062" s="118" t="s">
        <v>5062</v>
      </c>
      <c r="C1062" s="118" t="s">
        <v>5063</v>
      </c>
      <c r="D1062" s="119" t="s">
        <v>331</v>
      </c>
      <c r="E1062" s="38" t="s">
        <v>5064</v>
      </c>
      <c r="F1062" s="39">
        <v>48</v>
      </c>
      <c r="G1062" s="118" t="s">
        <v>21</v>
      </c>
      <c r="H1062" s="118" t="s">
        <v>106</v>
      </c>
      <c r="I1062" s="206">
        <v>45202.421892164399</v>
      </c>
      <c r="J1062" s="38">
        <v>45223.625</v>
      </c>
      <c r="K1062" s="38">
        <v>45202.421892164399</v>
      </c>
      <c r="L1062" s="206">
        <v>45223.625</v>
      </c>
      <c r="M1062" s="211">
        <v>45203</v>
      </c>
      <c r="N1062" s="207" t="s">
        <v>10</v>
      </c>
      <c r="O1062" s="206" t="s">
        <v>5006</v>
      </c>
      <c r="P1062" s="38"/>
      <c r="Q1062" s="147">
        <v>45210.833333333336</v>
      </c>
      <c r="R1062" s="147">
        <v>45215.833333333336</v>
      </c>
      <c r="S1062" s="148">
        <v>45349.833333333336</v>
      </c>
      <c r="T1062" s="38"/>
      <c r="U1062" s="65">
        <f>Tabla1[[#This Row],[PPTO]]/(1+'Lista Datos'!$B$1)</f>
        <v>0</v>
      </c>
      <c r="V1062" s="64"/>
      <c r="W1062" s="191" t="s">
        <v>11</v>
      </c>
      <c r="X1062" s="122">
        <v>200000</v>
      </c>
      <c r="Y1062" s="149">
        <v>45412</v>
      </c>
      <c r="Z1062" s="123" t="s">
        <v>10</v>
      </c>
      <c r="AA1062" s="118" t="s">
        <v>177</v>
      </c>
      <c r="AB1062" s="118">
        <v>24</v>
      </c>
      <c r="AC1062" s="118"/>
      <c r="AD1062" s="118"/>
      <c r="AE1062" s="145">
        <f>Tabla1[[#This Row],[Cierre]]+Tabla1[[#This Row],[Vigencia Oferta (días)]]</f>
        <v>45223.625</v>
      </c>
      <c r="AF1062" s="65"/>
      <c r="AG1062" s="181"/>
      <c r="AH1062" s="192">
        <f>Tabla1[[#This Row],[Unidades2]]*Tabla1[[#This Row],[Precio Unitario]]</f>
        <v>0</v>
      </c>
      <c r="AI1062" s="126" t="s">
        <v>270</v>
      </c>
      <c r="AJ1062" s="149"/>
      <c r="AK1062" s="149">
        <f>Tabla1[[#This Row],[Fecha Vigencia]]-AJ1062</f>
        <v>45223.625</v>
      </c>
      <c r="AL1062" s="65"/>
      <c r="AM1062" s="90"/>
      <c r="AN1062" s="65"/>
      <c r="AO1062" s="217"/>
      <c r="AP1062" s="65"/>
      <c r="AQ1062" s="66"/>
      <c r="AR1062" s="65"/>
      <c r="AS1062" s="65"/>
      <c r="AT1062" s="65"/>
      <c r="AU1062" s="65"/>
      <c r="AV1062" s="65"/>
      <c r="AW1062" s="65"/>
      <c r="AX1062" s="65"/>
      <c r="AY1062" s="118"/>
      <c r="AZ1062" s="118"/>
      <c r="BA1062" s="118"/>
      <c r="BB1062" s="124"/>
    </row>
    <row r="1063" spans="1:54" x14ac:dyDescent="0.25">
      <c r="A1063" s="153" t="s">
        <v>5065</v>
      </c>
      <c r="B1063" s="30" t="s">
        <v>5066</v>
      </c>
      <c r="C1063" s="30" t="s">
        <v>5067</v>
      </c>
      <c r="D1063" s="84" t="s">
        <v>319</v>
      </c>
      <c r="E1063" s="24" t="s">
        <v>5068</v>
      </c>
      <c r="F1063" s="25">
        <v>1</v>
      </c>
      <c r="G1063" s="30" t="s">
        <v>17</v>
      </c>
      <c r="H1063" s="30" t="s">
        <v>213</v>
      </c>
      <c r="I1063" s="203">
        <v>45204.432473460598</v>
      </c>
      <c r="J1063" s="38">
        <v>45224.645833333299</v>
      </c>
      <c r="K1063" s="38">
        <v>45204.432473460598</v>
      </c>
      <c r="L1063" s="203">
        <v>45224.645833333299</v>
      </c>
      <c r="M1063" s="204">
        <v>45205</v>
      </c>
      <c r="N1063" s="205" t="s">
        <v>10</v>
      </c>
      <c r="O1063" s="203" t="s">
        <v>25</v>
      </c>
      <c r="P1063" s="24"/>
      <c r="Q1063" s="160">
        <v>45211.5</v>
      </c>
      <c r="R1063" s="160">
        <v>45216.541666666664</v>
      </c>
      <c r="S1063" s="161">
        <v>45261.645833333336</v>
      </c>
      <c r="T1063" s="24"/>
      <c r="U1063" s="68">
        <f>Tabla1[[#This Row],[PPTO]]/(1+'Lista Datos'!$B$1)</f>
        <v>0</v>
      </c>
      <c r="V1063" s="67"/>
      <c r="W1063" s="193" t="s">
        <v>10</v>
      </c>
      <c r="X1063" s="127"/>
      <c r="Y1063" s="127"/>
      <c r="Z1063" s="154" t="s">
        <v>2783</v>
      </c>
      <c r="AA1063" s="30" t="s">
        <v>177</v>
      </c>
      <c r="AB1063" s="30">
        <v>6</v>
      </c>
      <c r="AC1063" s="30"/>
      <c r="AD1063" s="30"/>
      <c r="AE1063" s="145">
        <f>Tabla1[[#This Row],[Cierre]]+Tabla1[[#This Row],[Vigencia Oferta (días)]]</f>
        <v>45224.645833333299</v>
      </c>
      <c r="AF1063" s="68"/>
      <c r="AG1063" s="157"/>
      <c r="AH1063" s="194">
        <f>Tabla1[[#This Row],[Unidades2]]*Tabla1[[#This Row],[Precio Unitario]]</f>
        <v>0</v>
      </c>
      <c r="AI1063" s="97" t="s">
        <v>270</v>
      </c>
      <c r="AJ1063" s="149"/>
      <c r="AK1063" s="149">
        <f>Tabla1[[#This Row],[Fecha Vigencia]]-AJ1063</f>
        <v>45224.645833333299</v>
      </c>
      <c r="AL1063" s="68"/>
      <c r="AM1063" s="91"/>
      <c r="AN1063" s="68"/>
      <c r="AO1063" s="218"/>
      <c r="AP1063" s="68"/>
      <c r="AQ1063" s="69"/>
      <c r="AR1063" s="68"/>
      <c r="AS1063" s="68"/>
      <c r="AT1063" s="68"/>
      <c r="AU1063" s="68"/>
      <c r="AV1063" s="68"/>
      <c r="AW1063" s="68"/>
      <c r="AX1063" s="68"/>
      <c r="AY1063" s="30"/>
      <c r="AZ1063" s="30"/>
      <c r="BA1063" s="30"/>
      <c r="BB1063" s="75"/>
    </row>
    <row r="1064" spans="1:54" x14ac:dyDescent="0.25">
      <c r="A1064" s="153" t="s">
        <v>5069</v>
      </c>
      <c r="B1064" s="30" t="s">
        <v>5070</v>
      </c>
      <c r="C1064" s="30" t="s">
        <v>5071</v>
      </c>
      <c r="D1064" s="84" t="s">
        <v>160</v>
      </c>
      <c r="E1064" s="24" t="s">
        <v>5072</v>
      </c>
      <c r="F1064" s="25">
        <v>2</v>
      </c>
      <c r="G1064" s="30" t="s">
        <v>21</v>
      </c>
      <c r="H1064" s="30" t="s">
        <v>106</v>
      </c>
      <c r="I1064" s="203">
        <v>45203.7276383102</v>
      </c>
      <c r="J1064" s="121">
        <v>45210.625</v>
      </c>
      <c r="K1064" s="121">
        <v>45203.7276383102</v>
      </c>
      <c r="L1064" s="203">
        <v>45210.625</v>
      </c>
      <c r="M1064" s="204">
        <v>45205</v>
      </c>
      <c r="N1064" s="205" t="s">
        <v>10</v>
      </c>
      <c r="O1064" s="203" t="s">
        <v>25</v>
      </c>
      <c r="P1064" s="24"/>
      <c r="Q1064" s="160">
        <v>45206.886805555558</v>
      </c>
      <c r="R1064" s="160">
        <v>45209.604166666664</v>
      </c>
      <c r="S1064" s="161">
        <v>45230.804166666669</v>
      </c>
      <c r="T1064" s="24"/>
      <c r="U1064" s="68">
        <f>Tabla1[[#This Row],[PPTO]]/(1+'Lista Datos'!$B$1)</f>
        <v>0</v>
      </c>
      <c r="V1064" s="67"/>
      <c r="W1064" s="193" t="s">
        <v>10</v>
      </c>
      <c r="X1064" s="127"/>
      <c r="Y1064" s="127"/>
      <c r="Z1064" s="154" t="s">
        <v>10</v>
      </c>
      <c r="AA1064" s="30" t="s">
        <v>512</v>
      </c>
      <c r="AB1064" s="30"/>
      <c r="AC1064" s="30"/>
      <c r="AD1064" s="30"/>
      <c r="AE1064" s="145">
        <f>Tabla1[[#This Row],[Cierre]]+Tabla1[[#This Row],[Vigencia Oferta (días)]]</f>
        <v>45210.625</v>
      </c>
      <c r="AF1064" s="68"/>
      <c r="AG1064" s="157"/>
      <c r="AH1064" s="194">
        <f>Tabla1[[#This Row],[Unidades2]]*Tabla1[[#This Row],[Precio Unitario]]</f>
        <v>0</v>
      </c>
      <c r="AI1064" s="97" t="s">
        <v>270</v>
      </c>
      <c r="AJ1064" s="149"/>
      <c r="AK1064" s="149">
        <f>Tabla1[[#This Row],[Fecha Vigencia]]-AJ1064</f>
        <v>45210.625</v>
      </c>
      <c r="AL1064" s="68"/>
      <c r="AM1064" s="91"/>
      <c r="AN1064" s="68"/>
      <c r="AO1064" s="218"/>
      <c r="AP1064" s="68"/>
      <c r="AQ1064" s="69"/>
      <c r="AR1064" s="68"/>
      <c r="AS1064" s="68"/>
      <c r="AT1064" s="68"/>
      <c r="AU1064" s="68"/>
      <c r="AV1064" s="68"/>
      <c r="AW1064" s="68"/>
      <c r="AX1064" s="68"/>
      <c r="AY1064" s="30"/>
      <c r="AZ1064" s="30"/>
      <c r="BA1064" s="30"/>
      <c r="BB1064" s="75"/>
    </row>
    <row r="1065" spans="1:54" x14ac:dyDescent="0.25">
      <c r="A1065" s="117" t="s">
        <v>5073</v>
      </c>
      <c r="B1065" s="118" t="s">
        <v>5074</v>
      </c>
      <c r="C1065" s="118" t="s">
        <v>5075</v>
      </c>
      <c r="D1065" s="119" t="s">
        <v>2881</v>
      </c>
      <c r="E1065" s="38" t="s">
        <v>5076</v>
      </c>
      <c r="F1065" s="39">
        <v>30</v>
      </c>
      <c r="G1065" s="118" t="s">
        <v>21</v>
      </c>
      <c r="H1065" s="118" t="s">
        <v>106</v>
      </c>
      <c r="I1065" s="206">
        <v>45203.677609756902</v>
      </c>
      <c r="J1065" s="121">
        <v>45210.666666666701</v>
      </c>
      <c r="K1065" s="121">
        <v>45203.677609756902</v>
      </c>
      <c r="L1065" s="206">
        <v>45210.666666666701</v>
      </c>
      <c r="M1065" s="211">
        <v>45205</v>
      </c>
      <c r="N1065" s="207" t="s">
        <v>10</v>
      </c>
      <c r="O1065" s="206" t="s">
        <v>25</v>
      </c>
      <c r="P1065" s="38"/>
      <c r="Q1065" s="147">
        <v>45205.75</v>
      </c>
      <c r="R1065" s="147">
        <v>45209.75</v>
      </c>
      <c r="S1065" s="148">
        <v>45223.75</v>
      </c>
      <c r="T1065" s="38"/>
      <c r="U1065" s="65">
        <f>Tabla1[[#This Row],[PPTO]]/(1+'Lista Datos'!$B$1)</f>
        <v>0</v>
      </c>
      <c r="V1065" s="64"/>
      <c r="W1065" s="191" t="s">
        <v>10</v>
      </c>
      <c r="X1065" s="122"/>
      <c r="Y1065" s="122"/>
      <c r="Z1065" s="123" t="s">
        <v>10</v>
      </c>
      <c r="AA1065" s="118" t="s">
        <v>512</v>
      </c>
      <c r="AB1065" s="118"/>
      <c r="AC1065" s="118"/>
      <c r="AD1065" s="118"/>
      <c r="AE1065" s="145">
        <f>Tabla1[[#This Row],[Cierre]]+Tabla1[[#This Row],[Vigencia Oferta (días)]]</f>
        <v>45210.666666666701</v>
      </c>
      <c r="AF1065" s="65"/>
      <c r="AG1065" s="181"/>
      <c r="AH1065" s="192">
        <f>Tabla1[[#This Row],[Unidades2]]*Tabla1[[#This Row],[Precio Unitario]]</f>
        <v>0</v>
      </c>
      <c r="AI1065" s="126" t="s">
        <v>270</v>
      </c>
      <c r="AJ1065" s="149"/>
      <c r="AK1065" s="149">
        <f>Tabla1[[#This Row],[Fecha Vigencia]]-AJ1065</f>
        <v>45210.666666666701</v>
      </c>
      <c r="AL1065" s="65"/>
      <c r="AM1065" s="90"/>
      <c r="AN1065" s="65"/>
      <c r="AO1065" s="217"/>
      <c r="AP1065" s="65"/>
      <c r="AQ1065" s="66"/>
      <c r="AR1065" s="65"/>
      <c r="AS1065" s="65"/>
      <c r="AT1065" s="65"/>
      <c r="AU1065" s="65"/>
      <c r="AV1065" s="65"/>
      <c r="AW1065" s="65"/>
      <c r="AX1065" s="65"/>
      <c r="AY1065" s="118"/>
      <c r="AZ1065" s="118"/>
      <c r="BA1065" s="118"/>
      <c r="BB1065" s="124"/>
    </row>
    <row r="1066" spans="1:54" x14ac:dyDescent="0.25">
      <c r="A1066" s="153" t="s">
        <v>5077</v>
      </c>
      <c r="B1066" s="30" t="s">
        <v>5078</v>
      </c>
      <c r="C1066" s="30" t="s">
        <v>5078</v>
      </c>
      <c r="D1066" s="84" t="s">
        <v>2922</v>
      </c>
      <c r="E1066" s="24" t="s">
        <v>5079</v>
      </c>
      <c r="F1066" s="25">
        <v>1</v>
      </c>
      <c r="G1066" s="30" t="s">
        <v>21</v>
      </c>
      <c r="H1066" s="30" t="s">
        <v>106</v>
      </c>
      <c r="I1066" s="203">
        <v>45203.621832488403</v>
      </c>
      <c r="J1066" s="38">
        <v>45215.779861111099</v>
      </c>
      <c r="K1066" s="38">
        <v>45203.621832488403</v>
      </c>
      <c r="L1066" s="203">
        <v>45215.779861111099</v>
      </c>
      <c r="M1066" s="204">
        <v>45205</v>
      </c>
      <c r="N1066" s="205" t="s">
        <v>10</v>
      </c>
      <c r="O1066" s="203" t="s">
        <v>28</v>
      </c>
      <c r="P1066" s="24"/>
      <c r="Q1066" s="160">
        <v>45210.676388888889</v>
      </c>
      <c r="R1066" s="160">
        <v>45211.676388888889</v>
      </c>
      <c r="S1066" s="161">
        <v>45247.780555555553</v>
      </c>
      <c r="T1066" s="24"/>
      <c r="U1066" s="68">
        <f>Tabla1[[#This Row],[PPTO]]/(1+'Lista Datos'!$B$1)</f>
        <v>0</v>
      </c>
      <c r="V1066" s="67"/>
      <c r="W1066" s="193" t="s">
        <v>10</v>
      </c>
      <c r="X1066" s="127"/>
      <c r="Y1066" s="127"/>
      <c r="Z1066" s="154" t="s">
        <v>10</v>
      </c>
      <c r="AA1066" s="30" t="s">
        <v>177</v>
      </c>
      <c r="AB1066" s="30">
        <v>24</v>
      </c>
      <c r="AC1066" s="30"/>
      <c r="AD1066" s="30"/>
      <c r="AE1066" s="145">
        <f>Tabla1[[#This Row],[Cierre]]+Tabla1[[#This Row],[Vigencia Oferta (días)]]</f>
        <v>45215.779861111099</v>
      </c>
      <c r="AF1066" s="68"/>
      <c r="AG1066" s="157"/>
      <c r="AH1066" s="194">
        <f>Tabla1[[#This Row],[Unidades2]]*Tabla1[[#This Row],[Precio Unitario]]</f>
        <v>0</v>
      </c>
      <c r="AI1066" s="97" t="s">
        <v>270</v>
      </c>
      <c r="AJ1066" s="149"/>
      <c r="AK1066" s="149">
        <f>Tabla1[[#This Row],[Fecha Vigencia]]-AJ1066</f>
        <v>45215.779861111099</v>
      </c>
      <c r="AL1066" s="68"/>
      <c r="AM1066" s="91"/>
      <c r="AN1066" s="68"/>
      <c r="AO1066" s="218"/>
      <c r="AP1066" s="68"/>
      <c r="AQ1066" s="69"/>
      <c r="AR1066" s="68"/>
      <c r="AS1066" s="68"/>
      <c r="AT1066" s="68"/>
      <c r="AU1066" s="68"/>
      <c r="AV1066" s="68"/>
      <c r="AW1066" s="68"/>
      <c r="AX1066" s="68"/>
      <c r="AY1066" s="30"/>
      <c r="AZ1066" s="30"/>
      <c r="BA1066" s="30"/>
      <c r="BB1066" s="75"/>
    </row>
    <row r="1067" spans="1:54" x14ac:dyDescent="0.25">
      <c r="A1067" s="153" t="s">
        <v>5080</v>
      </c>
      <c r="B1067" s="30" t="s">
        <v>1812</v>
      </c>
      <c r="C1067" s="30" t="s">
        <v>5081</v>
      </c>
      <c r="D1067" s="84" t="s">
        <v>553</v>
      </c>
      <c r="E1067" s="24" t="s">
        <v>5082</v>
      </c>
      <c r="F1067" s="25">
        <v>1500</v>
      </c>
      <c r="G1067" s="30" t="s">
        <v>20</v>
      </c>
      <c r="H1067" s="30" t="s">
        <v>106</v>
      </c>
      <c r="I1067" s="203">
        <v>45203.463604363402</v>
      </c>
      <c r="J1067" s="121">
        <v>45224.625</v>
      </c>
      <c r="K1067" s="121">
        <v>45203.463604363402</v>
      </c>
      <c r="L1067" s="203">
        <v>45224.625</v>
      </c>
      <c r="M1067" s="204">
        <v>45205</v>
      </c>
      <c r="N1067" s="205" t="s">
        <v>10</v>
      </c>
      <c r="O1067" s="203" t="s">
        <v>34</v>
      </c>
      <c r="P1067" s="23" t="s">
        <v>11</v>
      </c>
      <c r="Q1067" s="160">
        <v>45213.5</v>
      </c>
      <c r="R1067" s="160">
        <v>45218.5</v>
      </c>
      <c r="S1067" s="161">
        <v>45316.625694444447</v>
      </c>
      <c r="T1067" s="24"/>
      <c r="U1067" s="68">
        <f>Tabla1[[#This Row],[PPTO]]/(1+'Lista Datos'!$B$1)</f>
        <v>0</v>
      </c>
      <c r="V1067" s="67"/>
      <c r="W1067" s="193" t="s">
        <v>11</v>
      </c>
      <c r="X1067" s="127">
        <v>1000000</v>
      </c>
      <c r="Y1067" s="104">
        <v>45316</v>
      </c>
      <c r="Z1067" s="154" t="s">
        <v>10</v>
      </c>
      <c r="AA1067" s="30" t="s">
        <v>177</v>
      </c>
      <c r="AB1067" s="30">
        <v>24</v>
      </c>
      <c r="AC1067" s="30" t="s">
        <v>10</v>
      </c>
      <c r="AD1067" s="30"/>
      <c r="AE1067" s="145">
        <f>Tabla1[[#This Row],[Cierre]]+Tabla1[[#This Row],[Vigencia Oferta (días)]]</f>
        <v>45224.625</v>
      </c>
      <c r="AF1067" s="68"/>
      <c r="AG1067" s="157"/>
      <c r="AH1067" s="194">
        <f>Tabla1[[#This Row],[Unidades2]]*Tabla1[[#This Row],[Precio Unitario]]</f>
        <v>0</v>
      </c>
      <c r="AI1067" s="97" t="s">
        <v>270</v>
      </c>
      <c r="AJ1067" s="149"/>
      <c r="AK1067" s="149">
        <f>Tabla1[[#This Row],[Fecha Vigencia]]-AJ1067</f>
        <v>45224.625</v>
      </c>
      <c r="AL1067" s="68"/>
      <c r="AM1067" s="91"/>
      <c r="AN1067" s="68"/>
      <c r="AO1067" s="218"/>
      <c r="AP1067" s="68"/>
      <c r="AQ1067" s="69"/>
      <c r="AR1067" s="68"/>
      <c r="AS1067" s="68"/>
      <c r="AT1067" s="68"/>
      <c r="AU1067" s="68"/>
      <c r="AV1067" s="68"/>
      <c r="AW1067" s="68"/>
      <c r="AX1067" s="68"/>
      <c r="AY1067" s="30"/>
      <c r="AZ1067" s="30"/>
      <c r="BA1067" s="30"/>
      <c r="BB1067" s="75"/>
    </row>
    <row r="1068" spans="1:54" x14ac:dyDescent="0.25">
      <c r="A1068" s="117" t="s">
        <v>5083</v>
      </c>
      <c r="B1068" s="118" t="s">
        <v>729</v>
      </c>
      <c r="C1068" s="118" t="s">
        <v>730</v>
      </c>
      <c r="D1068" s="119" t="s">
        <v>731</v>
      </c>
      <c r="E1068" s="38" t="s">
        <v>5084</v>
      </c>
      <c r="F1068" s="39">
        <v>1</v>
      </c>
      <c r="G1068" s="118" t="s">
        <v>16</v>
      </c>
      <c r="H1068" s="118" t="s">
        <v>145</v>
      </c>
      <c r="I1068" s="206">
        <v>45203.438364849499</v>
      </c>
      <c r="J1068" s="121">
        <v>45211.639583333301</v>
      </c>
      <c r="K1068" s="121">
        <v>45203.438364849499</v>
      </c>
      <c r="L1068" s="206">
        <v>45211.639583333301</v>
      </c>
      <c r="M1068" s="211">
        <v>45205</v>
      </c>
      <c r="N1068" s="207" t="s">
        <v>10</v>
      </c>
      <c r="O1068" s="206" t="s">
        <v>25</v>
      </c>
      <c r="P1068" s="38"/>
      <c r="Q1068" s="147">
        <v>45209.416666666664</v>
      </c>
      <c r="R1068" s="147">
        <v>45210.625</v>
      </c>
      <c r="S1068" s="148">
        <v>45219.723611111112</v>
      </c>
      <c r="T1068" s="38"/>
      <c r="U1068" s="65">
        <f>Tabla1[[#This Row],[PPTO]]/(1+'Lista Datos'!$B$1)</f>
        <v>0</v>
      </c>
      <c r="V1068" s="64"/>
      <c r="W1068" s="191" t="s">
        <v>10</v>
      </c>
      <c r="X1068" s="122"/>
      <c r="Y1068" s="122"/>
      <c r="Z1068" s="123" t="s">
        <v>10</v>
      </c>
      <c r="AA1068" s="118" t="s">
        <v>177</v>
      </c>
      <c r="AB1068" s="118">
        <v>12</v>
      </c>
      <c r="AC1068" s="118" t="s">
        <v>10</v>
      </c>
      <c r="AD1068" s="118"/>
      <c r="AE1068" s="145">
        <f>Tabla1[[#This Row],[Cierre]]+Tabla1[[#This Row],[Vigencia Oferta (días)]]</f>
        <v>45211.639583333301</v>
      </c>
      <c r="AF1068" s="65"/>
      <c r="AG1068" s="181"/>
      <c r="AH1068" s="192">
        <f>Tabla1[[#This Row],[Unidades2]]*Tabla1[[#This Row],[Precio Unitario]]</f>
        <v>0</v>
      </c>
      <c r="AI1068" s="126" t="s">
        <v>270</v>
      </c>
      <c r="AJ1068" s="149"/>
      <c r="AK1068" s="149">
        <f>Tabla1[[#This Row],[Fecha Vigencia]]-AJ1068</f>
        <v>45211.639583333301</v>
      </c>
      <c r="AL1068" s="65"/>
      <c r="AM1068" s="90"/>
      <c r="AN1068" s="65"/>
      <c r="AO1068" s="217"/>
      <c r="AP1068" s="65"/>
      <c r="AQ1068" s="66"/>
      <c r="AR1068" s="65"/>
      <c r="AS1068" s="65"/>
      <c r="AT1068" s="65"/>
      <c r="AU1068" s="65"/>
      <c r="AV1068" s="65"/>
      <c r="AW1068" s="65"/>
      <c r="AX1068" s="65"/>
      <c r="AY1068" s="118"/>
      <c r="AZ1068" s="118"/>
      <c r="BA1068" s="118"/>
      <c r="BB1068" s="124"/>
    </row>
    <row r="1069" spans="1:54" ht="23.25" x14ac:dyDescent="0.25">
      <c r="A1069" s="153" t="s">
        <v>5085</v>
      </c>
      <c r="B1069" s="30" t="s">
        <v>5086</v>
      </c>
      <c r="C1069" s="30" t="s">
        <v>3119</v>
      </c>
      <c r="D1069" s="84" t="s">
        <v>291</v>
      </c>
      <c r="E1069" s="24" t="s">
        <v>3119</v>
      </c>
      <c r="F1069" s="25">
        <v>1</v>
      </c>
      <c r="G1069" s="30" t="s">
        <v>16</v>
      </c>
      <c r="H1069" s="30" t="s">
        <v>145</v>
      </c>
      <c r="I1069" s="203">
        <v>45203.398771412001</v>
      </c>
      <c r="J1069" s="38">
        <v>45210.75</v>
      </c>
      <c r="K1069" s="38">
        <v>45203.398771412001</v>
      </c>
      <c r="L1069" s="203">
        <v>45210.75</v>
      </c>
      <c r="M1069" s="204">
        <v>45205</v>
      </c>
      <c r="N1069" s="205" t="s">
        <v>10</v>
      </c>
      <c r="O1069" s="203"/>
      <c r="P1069" s="24"/>
      <c r="Q1069" s="60"/>
      <c r="R1069" s="60"/>
      <c r="S1069" s="18"/>
      <c r="T1069" s="24"/>
      <c r="U1069" s="68">
        <f>Tabla1[[#This Row],[PPTO]]/(1+'Lista Datos'!$B$1)</f>
        <v>0</v>
      </c>
      <c r="V1069" s="67"/>
      <c r="W1069" s="193"/>
      <c r="X1069" s="127"/>
      <c r="Y1069" s="127"/>
      <c r="Z1069" s="154" t="s">
        <v>10</v>
      </c>
      <c r="AA1069" s="30" t="s">
        <v>512</v>
      </c>
      <c r="AB1069" s="30"/>
      <c r="AC1069" s="30"/>
      <c r="AD1069" s="30"/>
      <c r="AE1069" s="145">
        <f>Tabla1[[#This Row],[Cierre]]+Tabla1[[#This Row],[Vigencia Oferta (días)]]</f>
        <v>45210.75</v>
      </c>
      <c r="AF1069" s="68"/>
      <c r="AG1069" s="157"/>
      <c r="AH1069" s="194">
        <f>Tabla1[[#This Row],[Unidades2]]*Tabla1[[#This Row],[Precio Unitario]]</f>
        <v>0</v>
      </c>
      <c r="AI1069" s="97" t="s">
        <v>44</v>
      </c>
      <c r="AJ1069" s="149">
        <v>45244</v>
      </c>
      <c r="AK1069" s="149">
        <f>Tabla1[[#This Row],[Fecha Vigencia]]-AJ1069</f>
        <v>-33.25</v>
      </c>
      <c r="AL1069" s="68" t="s">
        <v>45</v>
      </c>
      <c r="AM1069" s="91">
        <v>5210084</v>
      </c>
      <c r="AN1069" s="68"/>
      <c r="AO1069" s="218"/>
      <c r="AP1069" s="68" t="s">
        <v>292</v>
      </c>
      <c r="AQ1069" s="69"/>
      <c r="AR1069" s="68"/>
      <c r="AS1069" s="68"/>
      <c r="AT1069" s="68"/>
      <c r="AU1069" s="68"/>
      <c r="AV1069" s="68"/>
      <c r="AW1069" s="68"/>
      <c r="AX1069" s="68"/>
      <c r="AY1069" s="30"/>
      <c r="AZ1069" s="30"/>
      <c r="BA1069" s="30"/>
      <c r="BB1069" s="75"/>
    </row>
    <row r="1070" spans="1:54" x14ac:dyDescent="0.25">
      <c r="A1070" s="117" t="s">
        <v>5087</v>
      </c>
      <c r="B1070" s="118" t="s">
        <v>5088</v>
      </c>
      <c r="C1070" s="118" t="s">
        <v>5089</v>
      </c>
      <c r="D1070" s="119" t="s">
        <v>823</v>
      </c>
      <c r="E1070" s="38" t="s">
        <v>5090</v>
      </c>
      <c r="F1070" s="39">
        <v>1</v>
      </c>
      <c r="G1070" s="118" t="s">
        <v>16</v>
      </c>
      <c r="H1070" s="118" t="s">
        <v>1983</v>
      </c>
      <c r="I1070" s="206">
        <v>45203.358397800897</v>
      </c>
      <c r="J1070" s="121">
        <v>45212.375</v>
      </c>
      <c r="K1070" s="121">
        <v>45203.358397800897</v>
      </c>
      <c r="L1070" s="206">
        <v>45212.375</v>
      </c>
      <c r="M1070" s="211">
        <v>45205</v>
      </c>
      <c r="N1070" s="207" t="s">
        <v>10</v>
      </c>
      <c r="O1070" s="206" t="s">
        <v>25</v>
      </c>
      <c r="P1070" s="38"/>
      <c r="Q1070" s="147">
        <v>45209.797222222223</v>
      </c>
      <c r="R1070" s="147">
        <v>45210.797222222223</v>
      </c>
      <c r="S1070" s="148">
        <v>45217.556944444441</v>
      </c>
      <c r="T1070" s="38"/>
      <c r="U1070" s="65">
        <f>Tabla1[[#This Row],[PPTO]]/(1+'Lista Datos'!$B$1)</f>
        <v>0</v>
      </c>
      <c r="V1070" s="64"/>
      <c r="W1070" s="191" t="s">
        <v>10</v>
      </c>
      <c r="X1070" s="122"/>
      <c r="Y1070" s="122"/>
      <c r="Z1070" s="123" t="s">
        <v>10</v>
      </c>
      <c r="AA1070" s="118" t="s">
        <v>177</v>
      </c>
      <c r="AB1070" s="118">
        <v>12</v>
      </c>
      <c r="AC1070" s="118" t="s">
        <v>10</v>
      </c>
      <c r="AD1070" s="118"/>
      <c r="AE1070" s="145">
        <f>Tabla1[[#This Row],[Cierre]]+Tabla1[[#This Row],[Vigencia Oferta (días)]]</f>
        <v>45212.375</v>
      </c>
      <c r="AF1070" s="65"/>
      <c r="AG1070" s="181"/>
      <c r="AH1070" s="192">
        <f>Tabla1[[#This Row],[Unidades2]]*Tabla1[[#This Row],[Precio Unitario]]</f>
        <v>0</v>
      </c>
      <c r="AI1070" s="126" t="s">
        <v>270</v>
      </c>
      <c r="AJ1070" s="149"/>
      <c r="AK1070" s="149">
        <f>Tabla1[[#This Row],[Fecha Vigencia]]-AJ1070</f>
        <v>45212.375</v>
      </c>
      <c r="AL1070" s="65"/>
      <c r="AM1070" s="90"/>
      <c r="AN1070" s="65"/>
      <c r="AO1070" s="217"/>
      <c r="AP1070" s="65"/>
      <c r="AQ1070" s="66"/>
      <c r="AR1070" s="65"/>
      <c r="AS1070" s="65"/>
      <c r="AT1070" s="65"/>
      <c r="AU1070" s="65"/>
      <c r="AV1070" s="65"/>
      <c r="AW1070" s="65"/>
      <c r="AX1070" s="65"/>
      <c r="AY1070" s="118"/>
      <c r="AZ1070" s="118"/>
      <c r="BA1070" s="118"/>
      <c r="BB1070" s="124"/>
    </row>
    <row r="1071" spans="1:54" x14ac:dyDescent="0.25">
      <c r="A1071" s="117" t="s">
        <v>5091</v>
      </c>
      <c r="B1071" s="118" t="s">
        <v>2195</v>
      </c>
      <c r="C1071" s="118" t="s">
        <v>2196</v>
      </c>
      <c r="D1071" s="119" t="s">
        <v>5092</v>
      </c>
      <c r="E1071" s="38" t="s">
        <v>5093</v>
      </c>
      <c r="F1071" s="39">
        <v>1</v>
      </c>
      <c r="G1071" s="118" t="s">
        <v>16</v>
      </c>
      <c r="H1071" s="118" t="s">
        <v>345</v>
      </c>
      <c r="I1071" s="206">
        <v>45205.446527777778</v>
      </c>
      <c r="J1071" s="38">
        <f>MONTH(Tabla1[[#This Row],[Publicación]])</f>
        <v>10</v>
      </c>
      <c r="K1071" s="38">
        <f>YEAR(Tabla1[[#This Row],[Publicación]])</f>
        <v>2023</v>
      </c>
      <c r="L1071" s="206">
        <v>45215.642361111109</v>
      </c>
      <c r="M1071" s="211">
        <v>45205</v>
      </c>
      <c r="N1071" s="207" t="s">
        <v>10</v>
      </c>
      <c r="O1071" s="206" t="s">
        <v>25</v>
      </c>
      <c r="P1071" s="38"/>
      <c r="Q1071" s="147">
        <v>45209.602083333331</v>
      </c>
      <c r="R1071" s="147">
        <v>45210.602083333331</v>
      </c>
      <c r="S1071" s="148">
        <v>45230.726388888892</v>
      </c>
      <c r="T1071" s="215">
        <v>9000000</v>
      </c>
      <c r="U1071" s="214">
        <f>Tabla1[[#This Row],[PPTO]]/(1+'Lista Datos'!$B$1)</f>
        <v>7563025.2100840341</v>
      </c>
      <c r="V1071" s="64"/>
      <c r="W1071" s="191" t="s">
        <v>10</v>
      </c>
      <c r="X1071" s="122"/>
      <c r="Y1071" s="122"/>
      <c r="Z1071" s="123" t="s">
        <v>10</v>
      </c>
      <c r="AA1071" s="118" t="s">
        <v>177</v>
      </c>
      <c r="AB1071" s="118">
        <v>12</v>
      </c>
      <c r="AC1071" s="118" t="s">
        <v>10</v>
      </c>
      <c r="AD1071" s="118"/>
      <c r="AE1071" s="145">
        <f>Tabla1[[#This Row],[Cierre]]+Tabla1[[#This Row],[Vigencia Oferta (días)]]</f>
        <v>45215.642361111109</v>
      </c>
      <c r="AF1071" s="65"/>
      <c r="AG1071" s="181"/>
      <c r="AH1071" s="192">
        <f>Tabla1[[#This Row],[Unidades2]]*Tabla1[[#This Row],[Precio Unitario]]</f>
        <v>0</v>
      </c>
      <c r="AI1071" s="126" t="s">
        <v>270</v>
      </c>
      <c r="AJ1071" s="149"/>
      <c r="AK1071" s="149">
        <f>Tabla1[[#This Row],[Fecha Vigencia]]-AJ1071</f>
        <v>45215.642361111109</v>
      </c>
      <c r="AL1071" s="65"/>
      <c r="AM1071" s="90"/>
      <c r="AN1071" s="65"/>
      <c r="AO1071" s="217"/>
      <c r="AP1071" s="65"/>
      <c r="AQ1071" s="66"/>
      <c r="AR1071" s="65"/>
      <c r="AS1071" s="65"/>
      <c r="AT1071" s="65"/>
      <c r="AU1071" s="65"/>
      <c r="AV1071" s="65"/>
      <c r="AW1071" s="65"/>
      <c r="AX1071" s="65"/>
      <c r="AY1071" s="118"/>
      <c r="AZ1071" s="118"/>
      <c r="BA1071" s="118"/>
      <c r="BB1071" s="124"/>
    </row>
    <row r="1072" spans="1:54" x14ac:dyDescent="0.25">
      <c r="A1072" s="117" t="s">
        <v>5094</v>
      </c>
      <c r="B1072" s="118" t="s">
        <v>5095</v>
      </c>
      <c r="C1072" s="118" t="s">
        <v>5096</v>
      </c>
      <c r="D1072" s="119" t="s">
        <v>5097</v>
      </c>
      <c r="E1072" s="38" t="s">
        <v>5098</v>
      </c>
      <c r="F1072" s="39">
        <v>36</v>
      </c>
      <c r="G1072" s="118" t="s">
        <v>3716</v>
      </c>
      <c r="H1072" s="118" t="s">
        <v>213</v>
      </c>
      <c r="I1072" s="206">
        <v>45205.442453703705</v>
      </c>
      <c r="J1072" s="38">
        <f>MONTH(Tabla1[[#This Row],[Publicación]])</f>
        <v>10</v>
      </c>
      <c r="K1072" s="38">
        <f>YEAR(Tabla1[[#This Row],[Publicación]])</f>
        <v>2023</v>
      </c>
      <c r="L1072" s="206">
        <v>45225.666666666664</v>
      </c>
      <c r="M1072" s="211">
        <v>45205</v>
      </c>
      <c r="N1072" s="207" t="s">
        <v>10</v>
      </c>
      <c r="O1072" s="206" t="s">
        <v>28</v>
      </c>
      <c r="P1072" s="38"/>
      <c r="Q1072" s="147">
        <v>45211.666666666664</v>
      </c>
      <c r="R1072" s="147">
        <v>45212.666666666664</v>
      </c>
      <c r="S1072" s="148">
        <v>45286.739583333336</v>
      </c>
      <c r="T1072" s="38"/>
      <c r="U1072" s="65">
        <f>Tabla1[[#This Row],[PPTO]]/(1+'Lista Datos'!$B$1)</f>
        <v>0</v>
      </c>
      <c r="V1072" s="64"/>
      <c r="W1072" s="191" t="s">
        <v>11</v>
      </c>
      <c r="X1072" s="122">
        <v>500000</v>
      </c>
      <c r="Y1072" s="149">
        <v>45289</v>
      </c>
      <c r="Z1072" s="123" t="s">
        <v>2783</v>
      </c>
      <c r="AA1072" s="118" t="s">
        <v>177</v>
      </c>
      <c r="AB1072" s="118">
        <v>36</v>
      </c>
      <c r="AC1072" s="118" t="s">
        <v>10</v>
      </c>
      <c r="AD1072" s="118"/>
      <c r="AE1072" s="145">
        <f>Tabla1[[#This Row],[Cierre]]+Tabla1[[#This Row],[Vigencia Oferta (días)]]</f>
        <v>45225.666666666664</v>
      </c>
      <c r="AF1072" s="65"/>
      <c r="AG1072" s="181"/>
      <c r="AH1072" s="192">
        <f>Tabla1[[#This Row],[Unidades2]]*Tabla1[[#This Row],[Precio Unitario]]</f>
        <v>0</v>
      </c>
      <c r="AI1072" s="126" t="s">
        <v>5099</v>
      </c>
      <c r="AJ1072" s="149"/>
      <c r="AK1072" s="149">
        <f>Tabla1[[#This Row],[Fecha Vigencia]]-AJ1072</f>
        <v>45225.666666666664</v>
      </c>
      <c r="AL1072" s="65"/>
      <c r="AM1072" s="90"/>
      <c r="AN1072" s="65"/>
      <c r="AO1072" s="217"/>
      <c r="AP1072" s="65"/>
      <c r="AQ1072" s="66"/>
      <c r="AR1072" s="65"/>
      <c r="AS1072" s="65"/>
      <c r="AT1072" s="65"/>
      <c r="AU1072" s="65"/>
      <c r="AV1072" s="65"/>
      <c r="AW1072" s="65"/>
      <c r="AX1072" s="65"/>
      <c r="AY1072" s="118"/>
      <c r="AZ1072" s="118"/>
      <c r="BA1072" s="118"/>
      <c r="BB1072" s="124"/>
    </row>
    <row r="1073" spans="1:54" x14ac:dyDescent="0.25">
      <c r="A1073" s="153" t="s">
        <v>5100</v>
      </c>
      <c r="B1073" s="30" t="s">
        <v>5101</v>
      </c>
      <c r="C1073" s="30" t="s">
        <v>5102</v>
      </c>
      <c r="D1073" s="84" t="s">
        <v>1998</v>
      </c>
      <c r="E1073" s="24" t="s">
        <v>5103</v>
      </c>
      <c r="F1073" s="25">
        <v>6</v>
      </c>
      <c r="G1073" s="30" t="s">
        <v>21</v>
      </c>
      <c r="H1073" s="30" t="s">
        <v>106</v>
      </c>
      <c r="I1073" s="203">
        <v>45205.651573414398</v>
      </c>
      <c r="J1073" s="38">
        <v>45206</v>
      </c>
      <c r="K1073" s="38">
        <v>45205.651573414398</v>
      </c>
      <c r="L1073" s="203">
        <v>45206</v>
      </c>
      <c r="M1073" s="204">
        <v>45209</v>
      </c>
      <c r="N1073" s="205" t="s">
        <v>10</v>
      </c>
      <c r="O1073" s="203" t="s">
        <v>27</v>
      </c>
      <c r="P1073" s="24"/>
      <c r="Q1073" s="60"/>
      <c r="R1073" s="60"/>
      <c r="S1073" s="18"/>
      <c r="T1073" s="24"/>
      <c r="U1073" s="68">
        <f>Tabla1[[#This Row],[PPTO]]/(1+'Lista Datos'!$B$1)</f>
        <v>0</v>
      </c>
      <c r="V1073" s="67"/>
      <c r="W1073" s="193"/>
      <c r="X1073" s="127"/>
      <c r="Y1073" s="127"/>
      <c r="Z1073" s="154"/>
      <c r="AA1073" s="30"/>
      <c r="AB1073" s="30"/>
      <c r="AC1073" s="30"/>
      <c r="AD1073" s="30"/>
      <c r="AE1073" s="145">
        <f>Tabla1[[#This Row],[Cierre]]+Tabla1[[#This Row],[Vigencia Oferta (días)]]</f>
        <v>45206</v>
      </c>
      <c r="AF1073" s="68"/>
      <c r="AG1073" s="157"/>
      <c r="AH1073" s="194">
        <f>Tabla1[[#This Row],[Unidades2]]*Tabla1[[#This Row],[Precio Unitario]]</f>
        <v>0</v>
      </c>
      <c r="AI1073" s="97" t="s">
        <v>270</v>
      </c>
      <c r="AJ1073" s="149"/>
      <c r="AK1073" s="149">
        <f>Tabla1[[#This Row],[Fecha Vigencia]]-AJ1073</f>
        <v>45206</v>
      </c>
      <c r="AL1073" s="68"/>
      <c r="AM1073" s="91"/>
      <c r="AN1073" s="68"/>
      <c r="AO1073" s="218"/>
      <c r="AP1073" s="68"/>
      <c r="AQ1073" s="69"/>
      <c r="AR1073" s="68"/>
      <c r="AS1073" s="68"/>
      <c r="AT1073" s="68"/>
      <c r="AU1073" s="68"/>
      <c r="AV1073" s="68"/>
      <c r="AW1073" s="68"/>
      <c r="AX1073" s="68"/>
      <c r="AY1073" s="30"/>
      <c r="AZ1073" s="30"/>
      <c r="BA1073" s="30"/>
      <c r="BB1073" s="75"/>
    </row>
    <row r="1074" spans="1:54" x14ac:dyDescent="0.25">
      <c r="A1074" s="153" t="s">
        <v>5104</v>
      </c>
      <c r="B1074" s="30" t="s">
        <v>5105</v>
      </c>
      <c r="C1074" s="30" t="s">
        <v>5106</v>
      </c>
      <c r="D1074" s="84" t="s">
        <v>5107</v>
      </c>
      <c r="E1074" s="24" t="s">
        <v>4376</v>
      </c>
      <c r="F1074" s="25">
        <v>20</v>
      </c>
      <c r="G1074" s="30" t="s">
        <v>21</v>
      </c>
      <c r="H1074" s="30" t="s">
        <v>106</v>
      </c>
      <c r="I1074" s="203">
        <v>45209.743440891201</v>
      </c>
      <c r="J1074" s="38">
        <v>45216.625</v>
      </c>
      <c r="K1074" s="38">
        <v>45209.743440891201</v>
      </c>
      <c r="L1074" s="203">
        <v>45216.625</v>
      </c>
      <c r="M1074" s="204">
        <v>45210</v>
      </c>
      <c r="N1074" s="205" t="s">
        <v>10</v>
      </c>
      <c r="O1074" s="203" t="s">
        <v>25</v>
      </c>
      <c r="P1074" s="24"/>
      <c r="Q1074" s="160">
        <v>45211.75</v>
      </c>
      <c r="R1074" s="160">
        <v>45212.75</v>
      </c>
      <c r="S1074" s="161">
        <v>45229.75</v>
      </c>
      <c r="T1074" s="24"/>
      <c r="U1074" s="68">
        <f>Tabla1[[#This Row],[PPTO]]/(1+'Lista Datos'!$B$1)</f>
        <v>0</v>
      </c>
      <c r="V1074" s="67"/>
      <c r="W1074" s="193" t="s">
        <v>10</v>
      </c>
      <c r="X1074" s="127"/>
      <c r="Y1074" s="127"/>
      <c r="Z1074" s="154" t="s">
        <v>10</v>
      </c>
      <c r="AA1074" s="30" t="s">
        <v>512</v>
      </c>
      <c r="AB1074" s="30"/>
      <c r="AC1074" s="30"/>
      <c r="AD1074" s="30"/>
      <c r="AE1074" s="145">
        <f>Tabla1[[#This Row],[Cierre]]+Tabla1[[#This Row],[Vigencia Oferta (días)]]</f>
        <v>45216.625</v>
      </c>
      <c r="AF1074" s="68"/>
      <c r="AG1074" s="157"/>
      <c r="AH1074" s="194">
        <f>Tabla1[[#This Row],[Unidades2]]*Tabla1[[#This Row],[Precio Unitario]]</f>
        <v>0</v>
      </c>
      <c r="AI1074" s="97" t="s">
        <v>270</v>
      </c>
      <c r="AJ1074" s="149"/>
      <c r="AK1074" s="149">
        <f>Tabla1[[#This Row],[Fecha Vigencia]]-AJ1074</f>
        <v>45216.625</v>
      </c>
      <c r="AL1074" s="68"/>
      <c r="AM1074" s="91"/>
      <c r="AN1074" s="68"/>
      <c r="AO1074" s="218"/>
      <c r="AP1074" s="68"/>
      <c r="AQ1074" s="69"/>
      <c r="AR1074" s="68"/>
      <c r="AS1074" s="68"/>
      <c r="AT1074" s="68"/>
      <c r="AU1074" s="68"/>
      <c r="AV1074" s="68"/>
      <c r="AW1074" s="68"/>
      <c r="AX1074" s="68"/>
      <c r="AY1074" s="30"/>
      <c r="AZ1074" s="30"/>
      <c r="BA1074" s="30"/>
      <c r="BB1074" s="75"/>
    </row>
    <row r="1075" spans="1:54" x14ac:dyDescent="0.25">
      <c r="A1075" s="117" t="s">
        <v>5108</v>
      </c>
      <c r="B1075" s="118" t="s">
        <v>1663</v>
      </c>
      <c r="C1075" s="118" t="s">
        <v>5109</v>
      </c>
      <c r="D1075" s="119" t="s">
        <v>4099</v>
      </c>
      <c r="E1075" s="38" t="s">
        <v>5110</v>
      </c>
      <c r="F1075" s="39">
        <v>1</v>
      </c>
      <c r="G1075" s="118" t="s">
        <v>16</v>
      </c>
      <c r="H1075" s="118" t="s">
        <v>533</v>
      </c>
      <c r="I1075" s="206">
        <v>45209.517060763901</v>
      </c>
      <c r="J1075" s="121">
        <v>45216.458333333299</v>
      </c>
      <c r="K1075" s="121">
        <v>45209.517060763901</v>
      </c>
      <c r="L1075" s="206">
        <v>45218.458333333336</v>
      </c>
      <c r="M1075" s="211">
        <v>45210</v>
      </c>
      <c r="N1075" s="207" t="s">
        <v>11</v>
      </c>
      <c r="O1075" s="206"/>
      <c r="P1075" s="38"/>
      <c r="Q1075" s="147">
        <v>45211.614583333336</v>
      </c>
      <c r="R1075" s="147">
        <v>45212.416666666664</v>
      </c>
      <c r="S1075" s="148">
        <v>45229.708333333336</v>
      </c>
      <c r="T1075" s="215">
        <v>30000000</v>
      </c>
      <c r="U1075" s="214">
        <f>Tabla1[[#This Row],[PPTO]]/(1+'Lista Datos'!$B$1)</f>
        <v>25210084.033613447</v>
      </c>
      <c r="V1075" s="64"/>
      <c r="W1075" s="191" t="s">
        <v>10</v>
      </c>
      <c r="X1075" s="122"/>
      <c r="Y1075" s="122"/>
      <c r="Z1075" s="123" t="s">
        <v>10</v>
      </c>
      <c r="AA1075" s="118" t="s">
        <v>177</v>
      </c>
      <c r="AB1075" s="118">
        <v>12</v>
      </c>
      <c r="AC1075" s="118"/>
      <c r="AD1075" s="118"/>
      <c r="AE1075" s="145">
        <f>Tabla1[[#This Row],[Cierre]]+Tabla1[[#This Row],[Vigencia Oferta (días)]]</f>
        <v>45218.458333333336</v>
      </c>
      <c r="AF1075" s="65"/>
      <c r="AG1075" s="181"/>
      <c r="AH1075" s="192">
        <f>Tabla1[[#This Row],[Unidades2]]*Tabla1[[#This Row],[Precio Unitario]]</f>
        <v>0</v>
      </c>
      <c r="AI1075" s="126" t="s">
        <v>44</v>
      </c>
      <c r="AJ1075" s="149">
        <v>45230</v>
      </c>
      <c r="AK1075" s="149">
        <f>Tabla1[[#This Row],[Fecha Vigencia]]-AJ1075</f>
        <v>-11.541666666664241</v>
      </c>
      <c r="AL1075" s="65" t="s">
        <v>115</v>
      </c>
      <c r="AM1075" s="90">
        <v>30000000</v>
      </c>
      <c r="AN1075" s="181">
        <v>45230</v>
      </c>
      <c r="AO1075" s="217">
        <v>45596</v>
      </c>
      <c r="AP1075" s="65" t="s">
        <v>177</v>
      </c>
      <c r="AQ1075" s="66" t="s">
        <v>1666</v>
      </c>
      <c r="AR1075" s="65" t="s">
        <v>11</v>
      </c>
      <c r="AS1075" s="195">
        <v>0.05</v>
      </c>
      <c r="AT1075" s="181">
        <v>45681</v>
      </c>
      <c r="AU1075" s="97" t="s">
        <v>5111</v>
      </c>
      <c r="AV1075" s="97" t="s">
        <v>5112</v>
      </c>
      <c r="AW1075" s="97" t="s">
        <v>5113</v>
      </c>
      <c r="AX1075" s="97" t="s">
        <v>1669</v>
      </c>
      <c r="AY1075" s="118"/>
      <c r="AZ1075" s="118"/>
      <c r="BA1075" s="118"/>
      <c r="BB1075" s="124"/>
    </row>
    <row r="1076" spans="1:54" x14ac:dyDescent="0.25">
      <c r="A1076" s="117" t="s">
        <v>5114</v>
      </c>
      <c r="B1076" s="118" t="s">
        <v>5115</v>
      </c>
      <c r="C1076" s="118" t="s">
        <v>5116</v>
      </c>
      <c r="D1076" s="119" t="s">
        <v>198</v>
      </c>
      <c r="E1076" s="38" t="s">
        <v>5117</v>
      </c>
      <c r="F1076" s="39" t="s">
        <v>4798</v>
      </c>
      <c r="G1076" s="118" t="s">
        <v>14</v>
      </c>
      <c r="H1076" s="118" t="s">
        <v>123</v>
      </c>
      <c r="I1076" s="206">
        <v>45210.672963460602</v>
      </c>
      <c r="J1076" s="38">
        <v>45219.625</v>
      </c>
      <c r="K1076" s="38">
        <v>45210.672963460602</v>
      </c>
      <c r="L1076" s="206">
        <v>45219.625</v>
      </c>
      <c r="M1076" s="211">
        <v>45211</v>
      </c>
      <c r="N1076" s="207" t="s">
        <v>10</v>
      </c>
      <c r="O1076" s="206" t="s">
        <v>25</v>
      </c>
      <c r="P1076" s="38"/>
      <c r="Q1076" s="147">
        <v>45215.625</v>
      </c>
      <c r="R1076" s="147">
        <v>45217.625</v>
      </c>
      <c r="S1076" s="148">
        <v>45265.625</v>
      </c>
      <c r="T1076" s="38"/>
      <c r="U1076" s="65">
        <f>Tabla1[[#This Row],[PPTO]]/(1+'Lista Datos'!$B$1)</f>
        <v>0</v>
      </c>
      <c r="V1076" s="64"/>
      <c r="W1076" s="191" t="s">
        <v>10</v>
      </c>
      <c r="X1076" s="122"/>
      <c r="Y1076" s="122"/>
      <c r="Z1076" s="123" t="s">
        <v>10</v>
      </c>
      <c r="AA1076" s="118" t="s">
        <v>177</v>
      </c>
      <c r="AB1076" s="118"/>
      <c r="AC1076" s="118"/>
      <c r="AD1076" s="118"/>
      <c r="AE1076" s="145">
        <f>Tabla1[[#This Row],[Cierre]]+Tabla1[[#This Row],[Vigencia Oferta (días)]]</f>
        <v>45219.625</v>
      </c>
      <c r="AF1076" s="65"/>
      <c r="AG1076" s="181"/>
      <c r="AH1076" s="192">
        <f>Tabla1[[#This Row],[Unidades2]]*Tabla1[[#This Row],[Precio Unitario]]</f>
        <v>0</v>
      </c>
      <c r="AI1076" s="126" t="s">
        <v>270</v>
      </c>
      <c r="AJ1076" s="149"/>
      <c r="AK1076" s="149">
        <f>Tabla1[[#This Row],[Fecha Vigencia]]-AJ1076</f>
        <v>45219.625</v>
      </c>
      <c r="AL1076" s="65"/>
      <c r="AM1076" s="90"/>
      <c r="AN1076" s="65"/>
      <c r="AO1076" s="217"/>
      <c r="AP1076" s="65"/>
      <c r="AQ1076" s="66"/>
      <c r="AR1076" s="65"/>
      <c r="AS1076" s="65"/>
      <c r="AT1076" s="65"/>
      <c r="AU1076" s="65"/>
      <c r="AV1076" s="65"/>
      <c r="AW1076" s="65"/>
      <c r="AX1076" s="65"/>
      <c r="AY1076" s="118"/>
      <c r="AZ1076" s="118"/>
      <c r="BA1076" s="118"/>
      <c r="BB1076" s="124"/>
    </row>
    <row r="1077" spans="1:54" x14ac:dyDescent="0.25">
      <c r="A1077" s="153" t="s">
        <v>5118</v>
      </c>
      <c r="B1077" s="30" t="s">
        <v>5119</v>
      </c>
      <c r="C1077" s="30" t="s">
        <v>5120</v>
      </c>
      <c r="D1077" s="84" t="s">
        <v>136</v>
      </c>
      <c r="E1077" s="24" t="s">
        <v>5121</v>
      </c>
      <c r="F1077" s="25">
        <v>1</v>
      </c>
      <c r="G1077" s="30" t="s">
        <v>20</v>
      </c>
      <c r="H1077" s="30" t="s">
        <v>106</v>
      </c>
      <c r="I1077" s="203">
        <v>45210.626626041703</v>
      </c>
      <c r="J1077" s="38">
        <v>45222.627777777801</v>
      </c>
      <c r="K1077" s="38">
        <v>45210.626626041703</v>
      </c>
      <c r="L1077" s="203">
        <v>45222.627777777801</v>
      </c>
      <c r="M1077" s="204">
        <v>45211</v>
      </c>
      <c r="N1077" s="205" t="s">
        <v>10</v>
      </c>
      <c r="O1077" s="203" t="s">
        <v>28</v>
      </c>
      <c r="P1077" s="24"/>
      <c r="Q1077" s="60"/>
      <c r="R1077" s="60"/>
      <c r="S1077" s="18"/>
      <c r="T1077" s="210">
        <v>26000000</v>
      </c>
      <c r="U1077" s="209">
        <f>Tabla1[[#This Row],[PPTO]]/(1+'Lista Datos'!$B$1)</f>
        <v>21848739.49579832</v>
      </c>
      <c r="V1077" s="67"/>
      <c r="W1077" s="193"/>
      <c r="X1077" s="127"/>
      <c r="Y1077" s="127"/>
      <c r="Z1077" s="154" t="s">
        <v>10</v>
      </c>
      <c r="AA1077" s="30" t="s">
        <v>177</v>
      </c>
      <c r="AB1077" s="30">
        <v>18</v>
      </c>
      <c r="AC1077" s="30"/>
      <c r="AD1077" s="30"/>
      <c r="AE1077" s="145">
        <f>Tabla1[[#This Row],[Cierre]]+Tabla1[[#This Row],[Vigencia Oferta (días)]]</f>
        <v>45222.627777777801</v>
      </c>
      <c r="AF1077" s="68"/>
      <c r="AG1077" s="157"/>
      <c r="AH1077" s="194">
        <f>Tabla1[[#This Row],[Unidades2]]*Tabla1[[#This Row],[Precio Unitario]]</f>
        <v>0</v>
      </c>
      <c r="AI1077" s="97" t="s">
        <v>270</v>
      </c>
      <c r="AJ1077" s="149"/>
      <c r="AK1077" s="149">
        <f>Tabla1[[#This Row],[Fecha Vigencia]]-AJ1077</f>
        <v>45222.627777777801</v>
      </c>
      <c r="AL1077" s="68"/>
      <c r="AM1077" s="91"/>
      <c r="AN1077" s="68"/>
      <c r="AO1077" s="218"/>
      <c r="AP1077" s="68"/>
      <c r="AQ1077" s="69"/>
      <c r="AR1077" s="68"/>
      <c r="AS1077" s="68"/>
      <c r="AT1077" s="68"/>
      <c r="AU1077" s="68"/>
      <c r="AV1077" s="68"/>
      <c r="AW1077" s="68"/>
      <c r="AX1077" s="68"/>
      <c r="AY1077" s="30"/>
      <c r="AZ1077" s="30"/>
      <c r="BA1077" s="30"/>
      <c r="BB1077" s="75"/>
    </row>
    <row r="1078" spans="1:54" x14ac:dyDescent="0.25">
      <c r="A1078" s="153" t="s">
        <v>5122</v>
      </c>
      <c r="B1078" s="30" t="s">
        <v>4267</v>
      </c>
      <c r="C1078" s="30" t="s">
        <v>2786</v>
      </c>
      <c r="D1078" s="84" t="s">
        <v>2787</v>
      </c>
      <c r="E1078" s="24" t="s">
        <v>4267</v>
      </c>
      <c r="F1078" s="25">
        <v>1</v>
      </c>
      <c r="G1078" s="30" t="s">
        <v>15</v>
      </c>
      <c r="H1078" s="30" t="s">
        <v>114</v>
      </c>
      <c r="I1078" s="203">
        <v>45210.620819641197</v>
      </c>
      <c r="J1078" s="121">
        <v>45218.625</v>
      </c>
      <c r="K1078" s="121">
        <v>45210.620819641197</v>
      </c>
      <c r="L1078" s="203">
        <v>45218.625</v>
      </c>
      <c r="M1078" s="204">
        <v>45211</v>
      </c>
      <c r="N1078" s="205" t="s">
        <v>10</v>
      </c>
      <c r="O1078" s="203" t="s">
        <v>25</v>
      </c>
      <c r="P1078" s="24"/>
      <c r="Q1078" s="160">
        <v>45212.5</v>
      </c>
      <c r="R1078" s="160">
        <v>45215.666666666664</v>
      </c>
      <c r="S1078" s="161">
        <v>45250.518055555556</v>
      </c>
      <c r="T1078" s="210">
        <v>6000000</v>
      </c>
      <c r="U1078" s="209">
        <f>Tabla1[[#This Row],[PPTO]]/(1+'Lista Datos'!$B$1)</f>
        <v>5042016.8067226894</v>
      </c>
      <c r="V1078" s="67"/>
      <c r="W1078" s="193" t="s">
        <v>10</v>
      </c>
      <c r="X1078" s="127"/>
      <c r="Y1078" s="127"/>
      <c r="Z1078" s="154"/>
      <c r="AA1078" s="30" t="s">
        <v>177</v>
      </c>
      <c r="AB1078" s="30"/>
      <c r="AC1078" s="30"/>
      <c r="AD1078" s="30"/>
      <c r="AE1078" s="145">
        <f>Tabla1[[#This Row],[Cierre]]+Tabla1[[#This Row],[Vigencia Oferta (días)]]</f>
        <v>45218.625</v>
      </c>
      <c r="AF1078" s="68"/>
      <c r="AG1078" s="157"/>
      <c r="AH1078" s="194">
        <f>Tabla1[[#This Row],[Unidades2]]*Tabla1[[#This Row],[Precio Unitario]]</f>
        <v>0</v>
      </c>
      <c r="AI1078" s="97" t="s">
        <v>270</v>
      </c>
      <c r="AJ1078" s="149"/>
      <c r="AK1078" s="149">
        <f>Tabla1[[#This Row],[Fecha Vigencia]]-AJ1078</f>
        <v>45218.625</v>
      </c>
      <c r="AL1078" s="68"/>
      <c r="AM1078" s="91"/>
      <c r="AN1078" s="68"/>
      <c r="AO1078" s="218"/>
      <c r="AP1078" s="68"/>
      <c r="AQ1078" s="69"/>
      <c r="AR1078" s="68"/>
      <c r="AS1078" s="68"/>
      <c r="AT1078" s="68"/>
      <c r="AU1078" s="68"/>
      <c r="AV1078" s="68"/>
      <c r="AW1078" s="68"/>
      <c r="AX1078" s="68"/>
      <c r="AY1078" s="30"/>
      <c r="AZ1078" s="30"/>
      <c r="BA1078" s="30"/>
      <c r="BB1078" s="75"/>
    </row>
    <row r="1079" spans="1:54" x14ac:dyDescent="0.25">
      <c r="A1079" s="117" t="s">
        <v>5123</v>
      </c>
      <c r="B1079" s="118" t="s">
        <v>5124</v>
      </c>
      <c r="C1079" s="118" t="s">
        <v>5125</v>
      </c>
      <c r="D1079" s="119" t="s">
        <v>1375</v>
      </c>
      <c r="E1079" s="38" t="s">
        <v>5126</v>
      </c>
      <c r="F1079" s="39">
        <v>19</v>
      </c>
      <c r="G1079" s="118" t="s">
        <v>21</v>
      </c>
      <c r="H1079" s="118" t="s">
        <v>106</v>
      </c>
      <c r="I1079" s="206">
        <v>45210.588127928197</v>
      </c>
      <c r="J1079" s="121">
        <v>45219.375</v>
      </c>
      <c r="K1079" s="121">
        <v>45210.588127928197</v>
      </c>
      <c r="L1079" s="206">
        <v>45219.375</v>
      </c>
      <c r="M1079" s="211">
        <v>45211</v>
      </c>
      <c r="N1079" s="207" t="s">
        <v>10</v>
      </c>
      <c r="O1079" s="206" t="s">
        <v>27</v>
      </c>
      <c r="P1079" s="38"/>
      <c r="Q1079" s="121"/>
      <c r="R1079" s="121"/>
      <c r="S1079" s="19"/>
      <c r="T1079" s="38"/>
      <c r="U1079" s="65">
        <f>Tabla1[[#This Row],[PPTO]]/(1+'Lista Datos'!$B$1)</f>
        <v>0</v>
      </c>
      <c r="V1079" s="64"/>
      <c r="W1079" s="191"/>
      <c r="X1079" s="122"/>
      <c r="Y1079" s="122"/>
      <c r="Z1079" s="123"/>
      <c r="AA1079" s="118"/>
      <c r="AB1079" s="118"/>
      <c r="AC1079" s="118"/>
      <c r="AD1079" s="118"/>
      <c r="AE1079" s="145">
        <f>Tabla1[[#This Row],[Cierre]]+Tabla1[[#This Row],[Vigencia Oferta (días)]]</f>
        <v>45219.375</v>
      </c>
      <c r="AF1079" s="65"/>
      <c r="AG1079" s="181"/>
      <c r="AH1079" s="192">
        <f>Tabla1[[#This Row],[Unidades2]]*Tabla1[[#This Row],[Precio Unitario]]</f>
        <v>0</v>
      </c>
      <c r="AI1079" s="126" t="s">
        <v>270</v>
      </c>
      <c r="AJ1079" s="149"/>
      <c r="AK1079" s="149">
        <f>Tabla1[[#This Row],[Fecha Vigencia]]-AJ1079</f>
        <v>45219.375</v>
      </c>
      <c r="AL1079" s="65"/>
      <c r="AM1079" s="90"/>
      <c r="AN1079" s="65"/>
      <c r="AO1079" s="217"/>
      <c r="AP1079" s="65"/>
      <c r="AQ1079" s="66"/>
      <c r="AR1079" s="65"/>
      <c r="AS1079" s="65"/>
      <c r="AT1079" s="65"/>
      <c r="AU1079" s="65"/>
      <c r="AV1079" s="65"/>
      <c r="AW1079" s="65"/>
      <c r="AX1079" s="65"/>
      <c r="AY1079" s="118"/>
      <c r="AZ1079" s="118"/>
      <c r="BA1079" s="118"/>
      <c r="BB1079" s="124"/>
    </row>
    <row r="1080" spans="1:54" x14ac:dyDescent="0.25">
      <c r="A1080" s="117" t="s">
        <v>5127</v>
      </c>
      <c r="B1080" s="118" t="s">
        <v>5128</v>
      </c>
      <c r="C1080" s="118" t="s">
        <v>5129</v>
      </c>
      <c r="D1080" s="119" t="s">
        <v>4650</v>
      </c>
      <c r="E1080" s="38" t="s">
        <v>5130</v>
      </c>
      <c r="F1080" s="39">
        <v>1</v>
      </c>
      <c r="G1080" s="118" t="s">
        <v>18</v>
      </c>
      <c r="H1080" s="118" t="s">
        <v>213</v>
      </c>
      <c r="I1080" s="206">
        <v>45210.402086111098</v>
      </c>
      <c r="J1080" s="38">
        <v>45225.625</v>
      </c>
      <c r="K1080" s="38">
        <v>45210.402086111098</v>
      </c>
      <c r="L1080" s="206">
        <v>45225.625</v>
      </c>
      <c r="M1080" s="211">
        <v>45211</v>
      </c>
      <c r="N1080" s="207" t="s">
        <v>10</v>
      </c>
      <c r="O1080" s="206" t="s">
        <v>28</v>
      </c>
      <c r="P1080" s="38"/>
      <c r="Q1080" s="147">
        <v>45218.541666666664</v>
      </c>
      <c r="R1080" s="147">
        <v>45222.833333333336</v>
      </c>
      <c r="S1080" s="148">
        <v>45239.833333333336</v>
      </c>
      <c r="T1080" s="38"/>
      <c r="U1080" s="65">
        <f>Tabla1[[#This Row],[PPTO]]/(1+'Lista Datos'!$B$1)</f>
        <v>0</v>
      </c>
      <c r="V1080" s="64"/>
      <c r="W1080" s="191" t="s">
        <v>10</v>
      </c>
      <c r="X1080" s="122"/>
      <c r="Y1080" s="122"/>
      <c r="Z1080" s="123" t="s">
        <v>2783</v>
      </c>
      <c r="AA1080" s="118" t="s">
        <v>177</v>
      </c>
      <c r="AB1080" s="118">
        <v>24</v>
      </c>
      <c r="AC1080" s="118"/>
      <c r="AD1080" s="118"/>
      <c r="AE1080" s="145">
        <f>Tabla1[[#This Row],[Cierre]]+Tabla1[[#This Row],[Vigencia Oferta (días)]]</f>
        <v>45225.625</v>
      </c>
      <c r="AF1080" s="65"/>
      <c r="AG1080" s="181"/>
      <c r="AH1080" s="192">
        <f>Tabla1[[#This Row],[Unidades2]]*Tabla1[[#This Row],[Precio Unitario]]</f>
        <v>0</v>
      </c>
      <c r="AI1080" s="126" t="s">
        <v>270</v>
      </c>
      <c r="AJ1080" s="149"/>
      <c r="AK1080" s="149">
        <f>Tabla1[[#This Row],[Fecha Vigencia]]-AJ1080</f>
        <v>45225.625</v>
      </c>
      <c r="AL1080" s="65"/>
      <c r="AM1080" s="90"/>
      <c r="AN1080" s="65"/>
      <c r="AO1080" s="217"/>
      <c r="AP1080" s="65"/>
      <c r="AQ1080" s="66"/>
      <c r="AR1080" s="65"/>
      <c r="AS1080" s="65"/>
      <c r="AT1080" s="65"/>
      <c r="AU1080" s="65"/>
      <c r="AV1080" s="65"/>
      <c r="AW1080" s="65"/>
      <c r="AX1080" s="65"/>
      <c r="AY1080" s="118"/>
      <c r="AZ1080" s="118"/>
      <c r="BA1080" s="118"/>
      <c r="BB1080" s="124"/>
    </row>
    <row r="1081" spans="1:54" x14ac:dyDescent="0.25">
      <c r="A1081" s="153" t="s">
        <v>5131</v>
      </c>
      <c r="B1081" s="30" t="s">
        <v>5132</v>
      </c>
      <c r="C1081" s="30" t="s">
        <v>5133</v>
      </c>
      <c r="D1081" s="84" t="s">
        <v>5107</v>
      </c>
      <c r="E1081" s="24" t="s">
        <v>5134</v>
      </c>
      <c r="F1081" s="25">
        <v>1</v>
      </c>
      <c r="G1081" s="30" t="s">
        <v>21</v>
      </c>
      <c r="H1081" s="30" t="s">
        <v>106</v>
      </c>
      <c r="I1081" s="203">
        <v>45211.606240312503</v>
      </c>
      <c r="J1081" s="38">
        <v>45217.625</v>
      </c>
      <c r="K1081" s="38">
        <v>45211.606240312503</v>
      </c>
      <c r="L1081" s="203">
        <v>45217.625</v>
      </c>
      <c r="M1081" s="204">
        <v>45212</v>
      </c>
      <c r="N1081" s="235" t="s">
        <v>10</v>
      </c>
      <c r="O1081" s="203" t="s">
        <v>28</v>
      </c>
      <c r="P1081" s="24"/>
      <c r="Q1081" s="60"/>
      <c r="R1081" s="60"/>
      <c r="S1081" s="18"/>
      <c r="T1081" s="24"/>
      <c r="U1081" s="68">
        <f>Tabla1[[#This Row],[PPTO]]/(1+'Lista Datos'!$B$1)</f>
        <v>0</v>
      </c>
      <c r="V1081" s="67"/>
      <c r="W1081" s="193"/>
      <c r="X1081" s="127"/>
      <c r="Y1081" s="127"/>
      <c r="Z1081" s="154"/>
      <c r="AA1081" s="30"/>
      <c r="AB1081" s="30"/>
      <c r="AC1081" s="30"/>
      <c r="AD1081" s="30"/>
      <c r="AE1081" s="145">
        <f>Tabla1[[#This Row],[Cierre]]+Tabla1[[#This Row],[Vigencia Oferta (días)]]</f>
        <v>45217.625</v>
      </c>
      <c r="AF1081" s="68"/>
      <c r="AG1081" s="157"/>
      <c r="AH1081" s="194">
        <f>Tabla1[[#This Row],[Unidades2]]*Tabla1[[#This Row],[Precio Unitario]]</f>
        <v>0</v>
      </c>
      <c r="AI1081" s="97" t="s">
        <v>270</v>
      </c>
      <c r="AJ1081" s="149"/>
      <c r="AK1081" s="149">
        <f>Tabla1[[#This Row],[Fecha Vigencia]]-AJ1081</f>
        <v>45217.625</v>
      </c>
      <c r="AL1081" s="68"/>
      <c r="AM1081" s="91"/>
      <c r="AN1081" s="68"/>
      <c r="AO1081" s="218"/>
      <c r="AP1081" s="68"/>
      <c r="AQ1081" s="69"/>
      <c r="AR1081" s="68"/>
      <c r="AS1081" s="68"/>
      <c r="AT1081" s="68"/>
      <c r="AU1081" s="68"/>
      <c r="AV1081" s="68"/>
      <c r="AW1081" s="68"/>
      <c r="AX1081" s="68"/>
      <c r="AY1081" s="30"/>
      <c r="AZ1081" s="30"/>
      <c r="BA1081" s="30"/>
      <c r="BB1081" s="75"/>
    </row>
    <row r="1082" spans="1:54" x14ac:dyDescent="0.25">
      <c r="A1082" s="153" t="s">
        <v>5135</v>
      </c>
      <c r="B1082" s="30" t="s">
        <v>5136</v>
      </c>
      <c r="C1082" s="30" t="s">
        <v>5137</v>
      </c>
      <c r="D1082" s="84" t="s">
        <v>3215</v>
      </c>
      <c r="E1082" s="24" t="s">
        <v>5138</v>
      </c>
      <c r="F1082" s="25">
        <v>2000</v>
      </c>
      <c r="G1082" s="30" t="s">
        <v>15</v>
      </c>
      <c r="H1082" s="30" t="s">
        <v>114</v>
      </c>
      <c r="I1082" s="203">
        <v>45211.4018011921</v>
      </c>
      <c r="J1082" s="121">
        <v>45222.625</v>
      </c>
      <c r="K1082" s="121">
        <v>45211.4018011921</v>
      </c>
      <c r="L1082" s="203">
        <v>45222.625</v>
      </c>
      <c r="M1082" s="204">
        <v>45212</v>
      </c>
      <c r="N1082" s="205" t="s">
        <v>11</v>
      </c>
      <c r="O1082" s="203"/>
      <c r="P1082" s="24"/>
      <c r="Q1082" s="160">
        <v>45215.625</v>
      </c>
      <c r="R1082" s="160">
        <v>45217.75</v>
      </c>
      <c r="S1082" s="161">
        <v>45252.75</v>
      </c>
      <c r="T1082" s="210">
        <v>100000000</v>
      </c>
      <c r="U1082" s="209">
        <f>Tabla1[[#This Row],[PPTO]]/(1+'Lista Datos'!$B$1)</f>
        <v>84033613.445378155</v>
      </c>
      <c r="V1082" s="67"/>
      <c r="W1082" s="193" t="s">
        <v>11</v>
      </c>
      <c r="X1082" s="127">
        <v>2000000</v>
      </c>
      <c r="Y1082" s="104">
        <v>45348</v>
      </c>
      <c r="Z1082" s="154" t="s">
        <v>10</v>
      </c>
      <c r="AA1082" s="30" t="s">
        <v>177</v>
      </c>
      <c r="AB1082" s="30">
        <v>12</v>
      </c>
      <c r="AC1082" s="30"/>
      <c r="AD1082" s="30"/>
      <c r="AE1082" s="145">
        <f>Tabla1[[#This Row],[Cierre]]+Tabla1[[#This Row],[Vigencia Oferta (días)]]</f>
        <v>45222.625</v>
      </c>
      <c r="AF1082" s="68"/>
      <c r="AG1082" s="157"/>
      <c r="AH1082" s="194">
        <f>Tabla1[[#This Row],[Unidades2]]*Tabla1[[#This Row],[Precio Unitario]]</f>
        <v>0</v>
      </c>
      <c r="AI1082" s="97" t="s">
        <v>270</v>
      </c>
      <c r="AJ1082" s="149"/>
      <c r="AK1082" s="149">
        <f>Tabla1[[#This Row],[Fecha Vigencia]]-AJ1082</f>
        <v>45222.625</v>
      </c>
      <c r="AL1082" s="68"/>
      <c r="AM1082" s="91"/>
      <c r="AN1082" s="68"/>
      <c r="AO1082" s="218"/>
      <c r="AP1082" s="68"/>
      <c r="AQ1082" s="69"/>
      <c r="AR1082" s="68"/>
      <c r="AS1082" s="68"/>
      <c r="AT1082" s="68"/>
      <c r="AU1082" s="68"/>
      <c r="AV1082" s="68"/>
      <c r="AW1082" s="68"/>
      <c r="AX1082" s="68"/>
      <c r="AY1082" s="30"/>
      <c r="AZ1082" s="30"/>
      <c r="BA1082" s="30"/>
      <c r="BB1082" s="75"/>
    </row>
    <row r="1083" spans="1:54" x14ac:dyDescent="0.25">
      <c r="A1083" s="117" t="s">
        <v>5139</v>
      </c>
      <c r="B1083" s="118" t="s">
        <v>5140</v>
      </c>
      <c r="C1083" s="118" t="s">
        <v>5141</v>
      </c>
      <c r="D1083" s="119" t="s">
        <v>5142</v>
      </c>
      <c r="E1083" s="38" t="s">
        <v>5143</v>
      </c>
      <c r="F1083" s="39">
        <v>8</v>
      </c>
      <c r="G1083" s="118" t="s">
        <v>21</v>
      </c>
      <c r="H1083" s="118" t="s">
        <v>106</v>
      </c>
      <c r="I1083" s="206">
        <v>45211.344263923602</v>
      </c>
      <c r="J1083" s="121">
        <v>45217.711805555598</v>
      </c>
      <c r="K1083" s="121">
        <v>45211.344263923602</v>
      </c>
      <c r="L1083" s="206">
        <v>45217.711805555598</v>
      </c>
      <c r="M1083" s="211">
        <v>45212</v>
      </c>
      <c r="N1083" s="207" t="s">
        <v>10</v>
      </c>
      <c r="O1083" s="206" t="s">
        <v>27</v>
      </c>
      <c r="P1083" s="38"/>
      <c r="Q1083" s="121"/>
      <c r="R1083" s="121"/>
      <c r="S1083" s="19"/>
      <c r="T1083" s="38"/>
      <c r="U1083" s="65">
        <f>Tabla1[[#This Row],[PPTO]]/(1+'Lista Datos'!$B$1)</f>
        <v>0</v>
      </c>
      <c r="V1083" s="64"/>
      <c r="W1083" s="191"/>
      <c r="X1083" s="122"/>
      <c r="Y1083" s="122"/>
      <c r="Z1083" s="123"/>
      <c r="AA1083" s="118"/>
      <c r="AB1083" s="118"/>
      <c r="AC1083" s="118"/>
      <c r="AD1083" s="118"/>
      <c r="AE1083" s="145">
        <f>Tabla1[[#This Row],[Cierre]]+Tabla1[[#This Row],[Vigencia Oferta (días)]]</f>
        <v>45217.711805555598</v>
      </c>
      <c r="AF1083" s="65"/>
      <c r="AG1083" s="181"/>
      <c r="AH1083" s="192">
        <f>Tabla1[[#This Row],[Unidades2]]*Tabla1[[#This Row],[Precio Unitario]]</f>
        <v>0</v>
      </c>
      <c r="AI1083" s="126" t="s">
        <v>270</v>
      </c>
      <c r="AJ1083" s="149"/>
      <c r="AK1083" s="149">
        <f>Tabla1[[#This Row],[Fecha Vigencia]]-AJ1083</f>
        <v>45217.711805555598</v>
      </c>
      <c r="AL1083" s="65"/>
      <c r="AM1083" s="90"/>
      <c r="AN1083" s="65"/>
      <c r="AO1083" s="217"/>
      <c r="AP1083" s="65"/>
      <c r="AQ1083" s="66"/>
      <c r="AR1083" s="65"/>
      <c r="AS1083" s="65"/>
      <c r="AT1083" s="65"/>
      <c r="AU1083" s="65"/>
      <c r="AV1083" s="65"/>
      <c r="AW1083" s="65"/>
      <c r="AX1083" s="65"/>
      <c r="AY1083" s="118"/>
      <c r="AZ1083" s="118"/>
      <c r="BA1083" s="118"/>
      <c r="BB1083" s="124"/>
    </row>
    <row r="1084" spans="1:54" x14ac:dyDescent="0.25">
      <c r="A1084" s="117" t="s">
        <v>5144</v>
      </c>
      <c r="B1084" s="118" t="s">
        <v>4979</v>
      </c>
      <c r="C1084" s="118" t="s">
        <v>4982</v>
      </c>
      <c r="D1084" s="119" t="s">
        <v>4981</v>
      </c>
      <c r="E1084" s="38" t="s">
        <v>4982</v>
      </c>
      <c r="F1084" s="39">
        <v>1</v>
      </c>
      <c r="G1084" s="118" t="s">
        <v>20</v>
      </c>
      <c r="H1084" s="118" t="s">
        <v>5145</v>
      </c>
      <c r="I1084" s="206">
        <v>45212.587025462963</v>
      </c>
      <c r="J1084" s="38">
        <f>MONTH(Tabla1[[#This Row],[Publicación]])</f>
        <v>10</v>
      </c>
      <c r="K1084" s="38">
        <f>YEAR(Tabla1[[#This Row],[Publicación]])</f>
        <v>2023</v>
      </c>
      <c r="L1084" s="206">
        <v>45222.708333333336</v>
      </c>
      <c r="M1084" s="211">
        <v>45212</v>
      </c>
      <c r="N1084" s="207" t="s">
        <v>11</v>
      </c>
      <c r="O1084" s="206"/>
      <c r="P1084" s="38" t="s">
        <v>11</v>
      </c>
      <c r="Q1084" s="147">
        <v>45216.625</v>
      </c>
      <c r="R1084" s="147">
        <v>45219.708333333336</v>
      </c>
      <c r="S1084" s="148">
        <v>45265.708333333336</v>
      </c>
      <c r="T1084" s="215">
        <v>190400000</v>
      </c>
      <c r="U1084" s="214">
        <f>Tabla1[[#This Row],[PPTO]]/(1+'Lista Datos'!$B$1)</f>
        <v>160000000</v>
      </c>
      <c r="V1084" s="64"/>
      <c r="W1084" s="191" t="s">
        <v>11</v>
      </c>
      <c r="X1084" s="122">
        <v>200000</v>
      </c>
      <c r="Y1084" s="149">
        <v>45345</v>
      </c>
      <c r="Z1084" s="123" t="s">
        <v>10</v>
      </c>
      <c r="AA1084" s="118" t="s">
        <v>177</v>
      </c>
      <c r="AB1084" s="118">
        <v>18</v>
      </c>
      <c r="AC1084" s="118"/>
      <c r="AD1084" s="118"/>
      <c r="AE1084" s="145">
        <f>Tabla1[[#This Row],[Cierre]]+Tabla1[[#This Row],[Vigencia Oferta (días)]]</f>
        <v>45222.708333333336</v>
      </c>
      <c r="AF1084" s="65"/>
      <c r="AG1084" s="181"/>
      <c r="AH1084" s="192">
        <f>Tabla1[[#This Row],[Unidades2]]*Tabla1[[#This Row],[Precio Unitario]]</f>
        <v>0</v>
      </c>
      <c r="AI1084" s="126" t="s">
        <v>44</v>
      </c>
      <c r="AJ1084" s="149">
        <v>45240</v>
      </c>
      <c r="AK1084" s="149">
        <f>Tabla1[[#This Row],[Fecha Vigencia]]-AJ1084</f>
        <v>-17.291666666664241</v>
      </c>
      <c r="AL1084" s="65" t="s">
        <v>472</v>
      </c>
      <c r="AM1084" s="90" t="s">
        <v>5146</v>
      </c>
      <c r="AN1084" s="181">
        <v>45240</v>
      </c>
      <c r="AO1084" s="217">
        <v>45787</v>
      </c>
      <c r="AP1084" s="65" t="s">
        <v>177</v>
      </c>
      <c r="AQ1084" s="66"/>
      <c r="AR1084" s="65"/>
      <c r="AS1084" s="65"/>
      <c r="AT1084" s="65"/>
      <c r="AU1084" s="65"/>
      <c r="AV1084" s="65"/>
      <c r="AW1084" s="65"/>
      <c r="AX1084" s="65"/>
      <c r="AY1084" s="118"/>
      <c r="AZ1084" s="118"/>
      <c r="BA1084" s="118"/>
      <c r="BB1084" s="124"/>
    </row>
    <row r="1085" spans="1:54" x14ac:dyDescent="0.25">
      <c r="A1085" s="117" t="s">
        <v>5147</v>
      </c>
      <c r="B1085" s="118" t="s">
        <v>5148</v>
      </c>
      <c r="C1085" s="118" t="s">
        <v>5149</v>
      </c>
      <c r="D1085" s="119" t="s">
        <v>787</v>
      </c>
      <c r="E1085" s="38" t="s">
        <v>5150</v>
      </c>
      <c r="F1085" s="39">
        <v>200</v>
      </c>
      <c r="G1085" s="118" t="s">
        <v>21</v>
      </c>
      <c r="H1085" s="118" t="s">
        <v>106</v>
      </c>
      <c r="I1085" s="206">
        <v>45212.643596678201</v>
      </c>
      <c r="J1085" s="38">
        <v>45223.625694444403</v>
      </c>
      <c r="K1085" s="38">
        <v>45212.643596678201</v>
      </c>
      <c r="L1085" s="206">
        <v>45223.625694444403</v>
      </c>
      <c r="M1085" s="211">
        <v>45215</v>
      </c>
      <c r="N1085" s="207" t="s">
        <v>10</v>
      </c>
      <c r="O1085" s="206" t="s">
        <v>34</v>
      </c>
      <c r="P1085" s="38"/>
      <c r="Q1085" s="121"/>
      <c r="R1085" s="121"/>
      <c r="S1085" s="19"/>
      <c r="T1085" s="38"/>
      <c r="U1085" s="65">
        <f>Tabla1[[#This Row],[PPTO]]/(1+'Lista Datos'!$B$1)</f>
        <v>0</v>
      </c>
      <c r="V1085" s="64"/>
      <c r="W1085" s="191"/>
      <c r="X1085" s="122"/>
      <c r="Y1085" s="122"/>
      <c r="Z1085" s="123"/>
      <c r="AA1085" s="118"/>
      <c r="AB1085" s="118"/>
      <c r="AC1085" s="118"/>
      <c r="AD1085" s="118"/>
      <c r="AE1085" s="145">
        <f>Tabla1[[#This Row],[Cierre]]+Tabla1[[#This Row],[Vigencia Oferta (días)]]</f>
        <v>45223.625694444403</v>
      </c>
      <c r="AF1085" s="65"/>
      <c r="AG1085" s="181"/>
      <c r="AH1085" s="192">
        <f>Tabla1[[#This Row],[Unidades2]]*Tabla1[[#This Row],[Precio Unitario]]</f>
        <v>0</v>
      </c>
      <c r="AI1085" s="126" t="s">
        <v>270</v>
      </c>
      <c r="AJ1085" s="149"/>
      <c r="AK1085" s="149">
        <f>Tabla1[[#This Row],[Fecha Vigencia]]-AJ1085</f>
        <v>45223.625694444403</v>
      </c>
      <c r="AL1085" s="65"/>
      <c r="AM1085" s="90"/>
      <c r="AN1085" s="65"/>
      <c r="AO1085" s="217"/>
      <c r="AP1085" s="65"/>
      <c r="AQ1085" s="66"/>
      <c r="AR1085" s="65"/>
      <c r="AS1085" s="65"/>
      <c r="AT1085" s="65"/>
      <c r="AU1085" s="65"/>
      <c r="AV1085" s="65"/>
      <c r="AW1085" s="65"/>
      <c r="AX1085" s="65"/>
      <c r="AY1085" s="118"/>
      <c r="AZ1085" s="118"/>
      <c r="BA1085" s="118"/>
      <c r="BB1085" s="124"/>
    </row>
    <row r="1086" spans="1:54" x14ac:dyDescent="0.25">
      <c r="A1086" s="117" t="s">
        <v>5151</v>
      </c>
      <c r="B1086" s="118" t="s">
        <v>5152</v>
      </c>
      <c r="C1086" s="118" t="s">
        <v>5153</v>
      </c>
      <c r="D1086" s="119" t="s">
        <v>3292</v>
      </c>
      <c r="E1086" s="38" t="s">
        <v>5154</v>
      </c>
      <c r="F1086" s="39">
        <v>30</v>
      </c>
      <c r="G1086" s="118" t="s">
        <v>21</v>
      </c>
      <c r="H1086" s="118" t="s">
        <v>106</v>
      </c>
      <c r="I1086" s="206">
        <v>45212.586291053201</v>
      </c>
      <c r="J1086" s="38">
        <v>45222.625</v>
      </c>
      <c r="K1086" s="38">
        <v>45212.586291053201</v>
      </c>
      <c r="L1086" s="206">
        <v>45222.625</v>
      </c>
      <c r="M1086" s="211">
        <v>45215</v>
      </c>
      <c r="N1086" s="207" t="s">
        <v>10</v>
      </c>
      <c r="O1086" s="206" t="s">
        <v>25</v>
      </c>
      <c r="P1086" s="38"/>
      <c r="Q1086" s="147">
        <v>45215.5</v>
      </c>
      <c r="R1086" s="147">
        <v>45217.791666666664</v>
      </c>
      <c r="S1086" s="148">
        <v>45238.791666666664</v>
      </c>
      <c r="T1086" s="38"/>
      <c r="U1086" s="65">
        <f>Tabla1[[#This Row],[PPTO]]/(1+'Lista Datos'!$B$1)</f>
        <v>0</v>
      </c>
      <c r="V1086" s="64"/>
      <c r="W1086" s="191" t="s">
        <v>10</v>
      </c>
      <c r="X1086" s="122"/>
      <c r="Y1086" s="122"/>
      <c r="Z1086" s="123" t="s">
        <v>10</v>
      </c>
      <c r="AA1086" s="118" t="s">
        <v>512</v>
      </c>
      <c r="AB1086" s="118"/>
      <c r="AC1086" s="118"/>
      <c r="AD1086" s="118"/>
      <c r="AE1086" s="145">
        <f>Tabla1[[#This Row],[Cierre]]+Tabla1[[#This Row],[Vigencia Oferta (días)]]</f>
        <v>45222.625</v>
      </c>
      <c r="AF1086" s="65"/>
      <c r="AG1086" s="181"/>
      <c r="AH1086" s="192">
        <f>Tabla1[[#This Row],[Unidades2]]*Tabla1[[#This Row],[Precio Unitario]]</f>
        <v>0</v>
      </c>
      <c r="AI1086" s="126" t="s">
        <v>270</v>
      </c>
      <c r="AJ1086" s="149"/>
      <c r="AK1086" s="149">
        <f>Tabla1[[#This Row],[Fecha Vigencia]]-AJ1086</f>
        <v>45222.625</v>
      </c>
      <c r="AL1086" s="65"/>
      <c r="AM1086" s="90"/>
      <c r="AN1086" s="65"/>
      <c r="AO1086" s="217"/>
      <c r="AP1086" s="65"/>
      <c r="AQ1086" s="66"/>
      <c r="AR1086" s="65"/>
      <c r="AS1086" s="65"/>
      <c r="AT1086" s="65"/>
      <c r="AU1086" s="65"/>
      <c r="AV1086" s="65"/>
      <c r="AW1086" s="65"/>
      <c r="AX1086" s="65"/>
      <c r="AY1086" s="118"/>
      <c r="AZ1086" s="118"/>
      <c r="BA1086" s="118"/>
      <c r="BB1086" s="124"/>
    </row>
    <row r="1087" spans="1:54" x14ac:dyDescent="0.25">
      <c r="A1087" s="117" t="s">
        <v>5155</v>
      </c>
      <c r="B1087" s="118" t="s">
        <v>5156</v>
      </c>
      <c r="C1087" s="118" t="s">
        <v>5157</v>
      </c>
      <c r="D1087" s="119" t="s">
        <v>344</v>
      </c>
      <c r="E1087" s="38" t="s">
        <v>5158</v>
      </c>
      <c r="F1087" s="39">
        <v>39</v>
      </c>
      <c r="G1087" s="118" t="s">
        <v>21</v>
      </c>
      <c r="H1087" s="118" t="s">
        <v>106</v>
      </c>
      <c r="I1087" s="206">
        <v>45212.543247453701</v>
      </c>
      <c r="J1087" s="38">
        <v>45229.635416666701</v>
      </c>
      <c r="K1087" s="38">
        <v>45212.543247453701</v>
      </c>
      <c r="L1087" s="206">
        <v>45229.635416666701</v>
      </c>
      <c r="M1087" s="211">
        <v>45215</v>
      </c>
      <c r="N1087" s="207" t="s">
        <v>10</v>
      </c>
      <c r="O1087" s="206" t="s">
        <v>5006</v>
      </c>
      <c r="P1087" s="38"/>
      <c r="Q1087" s="147">
        <v>45216.657638888886</v>
      </c>
      <c r="R1087" s="147">
        <v>45225.657638888886</v>
      </c>
      <c r="S1087" s="148">
        <v>45260.636111111111</v>
      </c>
      <c r="T1087" s="38"/>
      <c r="U1087" s="65">
        <f>Tabla1[[#This Row],[PPTO]]/(1+'Lista Datos'!$B$1)</f>
        <v>0</v>
      </c>
      <c r="V1087" s="64"/>
      <c r="W1087" s="191" t="s">
        <v>11</v>
      </c>
      <c r="X1087" s="122">
        <v>200000</v>
      </c>
      <c r="Y1087" s="149">
        <v>45349</v>
      </c>
      <c r="Z1087" s="123" t="s">
        <v>10</v>
      </c>
      <c r="AA1087" s="118" t="s">
        <v>512</v>
      </c>
      <c r="AB1087" s="118"/>
      <c r="AC1087" s="118" t="s">
        <v>10</v>
      </c>
      <c r="AD1087" s="118"/>
      <c r="AE1087" s="145">
        <f>Tabla1[[#This Row],[Cierre]]+Tabla1[[#This Row],[Vigencia Oferta (días)]]</f>
        <v>45229.635416666701</v>
      </c>
      <c r="AF1087" s="65"/>
      <c r="AG1087" s="181"/>
      <c r="AH1087" s="192">
        <f>Tabla1[[#This Row],[Unidades2]]*Tabla1[[#This Row],[Precio Unitario]]</f>
        <v>0</v>
      </c>
      <c r="AI1087" s="126" t="s">
        <v>270</v>
      </c>
      <c r="AJ1087" s="149"/>
      <c r="AK1087" s="149">
        <f>Tabla1[[#This Row],[Fecha Vigencia]]-AJ1087</f>
        <v>45229.635416666701</v>
      </c>
      <c r="AL1087" s="65"/>
      <c r="AM1087" s="90"/>
      <c r="AN1087" s="65"/>
      <c r="AO1087" s="217"/>
      <c r="AP1087" s="65"/>
      <c r="AQ1087" s="66"/>
      <c r="AR1087" s="65"/>
      <c r="AS1087" s="65"/>
      <c r="AT1087" s="65"/>
      <c r="AU1087" s="65"/>
      <c r="AV1087" s="65"/>
      <c r="AW1087" s="65"/>
      <c r="AX1087" s="65"/>
      <c r="AY1087" s="118"/>
      <c r="AZ1087" s="118"/>
      <c r="BA1087" s="118"/>
      <c r="BB1087" s="124"/>
    </row>
    <row r="1088" spans="1:54" x14ac:dyDescent="0.25">
      <c r="A1088" s="153" t="s">
        <v>5159</v>
      </c>
      <c r="B1088" s="30" t="s">
        <v>5160</v>
      </c>
      <c r="C1088" s="30" t="s">
        <v>5161</v>
      </c>
      <c r="D1088" s="84" t="s">
        <v>5162</v>
      </c>
      <c r="E1088" s="24" t="s">
        <v>5163</v>
      </c>
      <c r="F1088" s="25">
        <v>7</v>
      </c>
      <c r="G1088" s="30" t="s">
        <v>21</v>
      </c>
      <c r="H1088" s="30" t="s">
        <v>106</v>
      </c>
      <c r="I1088" s="203">
        <v>45215.646985185202</v>
      </c>
      <c r="J1088" s="38">
        <v>45223.625</v>
      </c>
      <c r="K1088" s="38">
        <v>45215.646985185202</v>
      </c>
      <c r="L1088" s="203">
        <v>45223.625</v>
      </c>
      <c r="M1088" s="204">
        <v>45216</v>
      </c>
      <c r="N1088" s="205" t="s">
        <v>10</v>
      </c>
      <c r="O1088" s="203" t="s">
        <v>29</v>
      </c>
      <c r="P1088" s="24"/>
      <c r="Q1088" s="160">
        <v>45217.625</v>
      </c>
      <c r="R1088" s="160">
        <v>45219.625</v>
      </c>
      <c r="S1088" s="161">
        <v>45236.75</v>
      </c>
      <c r="T1088" s="24"/>
      <c r="U1088" s="68">
        <f>Tabla1[[#This Row],[PPTO]]/(1+'Lista Datos'!$B$1)</f>
        <v>0</v>
      </c>
      <c r="V1088" s="67"/>
      <c r="W1088" s="193"/>
      <c r="X1088" s="127"/>
      <c r="Y1088" s="127"/>
      <c r="Z1088" s="154" t="s">
        <v>10</v>
      </c>
      <c r="AA1088" s="30" t="s">
        <v>512</v>
      </c>
      <c r="AB1088" s="30"/>
      <c r="AC1088" s="30" t="s">
        <v>10</v>
      </c>
      <c r="AD1088" s="30"/>
      <c r="AE1088" s="145">
        <f>Tabla1[[#This Row],[Cierre]]+Tabla1[[#This Row],[Vigencia Oferta (días)]]</f>
        <v>45223.625</v>
      </c>
      <c r="AF1088" s="68"/>
      <c r="AG1088" s="157"/>
      <c r="AH1088" s="194">
        <f>Tabla1[[#This Row],[Unidades2]]*Tabla1[[#This Row],[Precio Unitario]]</f>
        <v>0</v>
      </c>
      <c r="AI1088" s="97" t="s">
        <v>270</v>
      </c>
      <c r="AJ1088" s="149"/>
      <c r="AK1088" s="149">
        <f>Tabla1[[#This Row],[Fecha Vigencia]]-AJ1088</f>
        <v>45223.625</v>
      </c>
      <c r="AL1088" s="68"/>
      <c r="AM1088" s="91"/>
      <c r="AN1088" s="68"/>
      <c r="AO1088" s="218"/>
      <c r="AP1088" s="68"/>
      <c r="AQ1088" s="69"/>
      <c r="AR1088" s="68"/>
      <c r="AS1088" s="68"/>
      <c r="AT1088" s="68"/>
      <c r="AU1088" s="68"/>
      <c r="AV1088" s="68"/>
      <c r="AW1088" s="68"/>
      <c r="AX1088" s="68"/>
      <c r="AY1088" s="30"/>
      <c r="AZ1088" s="30"/>
      <c r="BA1088" s="30"/>
      <c r="BB1088" s="75"/>
    </row>
    <row r="1089" spans="1:54" x14ac:dyDescent="0.25">
      <c r="A1089" s="117" t="s">
        <v>5164</v>
      </c>
      <c r="B1089" s="118" t="s">
        <v>5165</v>
      </c>
      <c r="C1089" s="118" t="s">
        <v>5166</v>
      </c>
      <c r="D1089" s="119" t="s">
        <v>183</v>
      </c>
      <c r="E1089" s="38" t="s">
        <v>5167</v>
      </c>
      <c r="F1089" s="39">
        <v>1</v>
      </c>
      <c r="G1089" s="118" t="s">
        <v>16</v>
      </c>
      <c r="H1089" s="118" t="s">
        <v>145</v>
      </c>
      <c r="I1089" s="206">
        <v>45215.5908100694</v>
      </c>
      <c r="J1089" s="121">
        <v>45223.625</v>
      </c>
      <c r="K1089" s="121">
        <v>45215.5908100694</v>
      </c>
      <c r="L1089" s="206">
        <v>45223.625</v>
      </c>
      <c r="M1089" s="211">
        <v>45216</v>
      </c>
      <c r="N1089" s="207" t="s">
        <v>11</v>
      </c>
      <c r="O1089" s="206"/>
      <c r="P1089" s="38"/>
      <c r="Q1089" s="147">
        <v>45218.729166666664</v>
      </c>
      <c r="R1089" s="147">
        <v>45219.729166666664</v>
      </c>
      <c r="S1089" s="148">
        <v>45233.729166666664</v>
      </c>
      <c r="T1089" s="38"/>
      <c r="U1089" s="65">
        <f>Tabla1[[#This Row],[PPTO]]/(1+'Lista Datos'!$B$1)</f>
        <v>0</v>
      </c>
      <c r="V1089" s="64"/>
      <c r="W1089" s="191" t="s">
        <v>10</v>
      </c>
      <c r="X1089" s="122"/>
      <c r="Y1089" s="122"/>
      <c r="Z1089" s="123" t="s">
        <v>10</v>
      </c>
      <c r="AA1089" s="118" t="s">
        <v>177</v>
      </c>
      <c r="AB1089" s="118">
        <v>24</v>
      </c>
      <c r="AC1089" s="118" t="s">
        <v>10</v>
      </c>
      <c r="AD1089" s="118"/>
      <c r="AE1089" s="145">
        <f>Tabla1[[#This Row],[Cierre]]+Tabla1[[#This Row],[Vigencia Oferta (días)]]</f>
        <v>45223.625</v>
      </c>
      <c r="AF1089" s="65"/>
      <c r="AG1089" s="181"/>
      <c r="AH1089" s="192">
        <f>Tabla1[[#This Row],[Unidades2]]*Tabla1[[#This Row],[Precio Unitario]]</f>
        <v>0</v>
      </c>
      <c r="AI1089" s="126" t="s">
        <v>44</v>
      </c>
      <c r="AJ1089" s="149">
        <v>45230</v>
      </c>
      <c r="AK1089" s="149">
        <f>Tabla1[[#This Row],[Fecha Vigencia]]-AJ1089</f>
        <v>-6.375</v>
      </c>
      <c r="AL1089" s="65" t="s">
        <v>115</v>
      </c>
      <c r="AM1089" s="90" t="s">
        <v>5168</v>
      </c>
      <c r="AN1089" s="181">
        <v>45230</v>
      </c>
      <c r="AO1089" s="217">
        <v>45961</v>
      </c>
      <c r="AP1089" s="65" t="s">
        <v>177</v>
      </c>
      <c r="AQ1089" s="66" t="s">
        <v>184</v>
      </c>
      <c r="AR1089" s="65" t="s">
        <v>10</v>
      </c>
      <c r="AS1089" s="65"/>
      <c r="AT1089" s="65"/>
      <c r="AU1089" s="97" t="s">
        <v>5169</v>
      </c>
      <c r="AV1089" s="97" t="s">
        <v>5170</v>
      </c>
      <c r="AW1089" s="97" t="s">
        <v>5171</v>
      </c>
      <c r="AX1089" s="97" t="s">
        <v>186</v>
      </c>
      <c r="AY1089" s="118"/>
      <c r="AZ1089" s="118"/>
      <c r="BA1089" s="118"/>
      <c r="BB1089" s="124"/>
    </row>
    <row r="1090" spans="1:54" x14ac:dyDescent="0.25">
      <c r="A1090" s="117" t="s">
        <v>5172</v>
      </c>
      <c r="B1090" s="118" t="s">
        <v>5173</v>
      </c>
      <c r="C1090" s="118" t="s">
        <v>5174</v>
      </c>
      <c r="D1090" s="119" t="s">
        <v>5175</v>
      </c>
      <c r="E1090" s="38" t="s">
        <v>5176</v>
      </c>
      <c r="F1090" s="39">
        <v>1</v>
      </c>
      <c r="G1090" s="118" t="s">
        <v>16</v>
      </c>
      <c r="H1090" s="118" t="s">
        <v>123</v>
      </c>
      <c r="I1090" s="206">
        <v>45217.575694444444</v>
      </c>
      <c r="J1090" s="38">
        <f>MONTH(Tabla1[[#This Row],[Publicación]])</f>
        <v>10</v>
      </c>
      <c r="K1090" s="38">
        <f>YEAR(Tabla1[[#This Row],[Publicación]])</f>
        <v>2023</v>
      </c>
      <c r="L1090" s="206">
        <v>45225.625</v>
      </c>
      <c r="M1090" s="211">
        <v>45219</v>
      </c>
      <c r="N1090" s="207" t="s">
        <v>10</v>
      </c>
      <c r="O1090" s="206" t="s">
        <v>33</v>
      </c>
      <c r="P1090" s="38"/>
      <c r="Q1090" s="147">
        <v>45219.604861111111</v>
      </c>
      <c r="R1090" s="147">
        <v>45223.625</v>
      </c>
      <c r="S1090" s="148">
        <v>45260.708333333336</v>
      </c>
      <c r="T1090" s="38"/>
      <c r="U1090" s="65">
        <f>Tabla1[[#This Row],[PPTO]]/(1+'Lista Datos'!$B$1)</f>
        <v>0</v>
      </c>
      <c r="V1090" s="64"/>
      <c r="W1090" s="191" t="s">
        <v>10</v>
      </c>
      <c r="X1090" s="122"/>
      <c r="Y1090" s="122"/>
      <c r="Z1090" s="123" t="s">
        <v>10</v>
      </c>
      <c r="AA1090" s="118" t="s">
        <v>177</v>
      </c>
      <c r="AB1090" s="118">
        <v>12</v>
      </c>
      <c r="AC1090" s="118" t="s">
        <v>10</v>
      </c>
      <c r="AD1090" s="118"/>
      <c r="AE1090" s="145">
        <f>Tabla1[[#This Row],[Cierre]]+Tabla1[[#This Row],[Vigencia Oferta (días)]]</f>
        <v>45225.625</v>
      </c>
      <c r="AF1090" s="65"/>
      <c r="AG1090" s="181"/>
      <c r="AH1090" s="192">
        <f>Tabla1[[#This Row],[Unidades2]]*Tabla1[[#This Row],[Precio Unitario]]</f>
        <v>0</v>
      </c>
      <c r="AI1090" s="126" t="s">
        <v>270</v>
      </c>
      <c r="AJ1090" s="149"/>
      <c r="AK1090" s="149">
        <f>Tabla1[[#This Row],[Fecha Vigencia]]-AJ1090</f>
        <v>45225.625</v>
      </c>
      <c r="AL1090" s="65"/>
      <c r="AM1090" s="90"/>
      <c r="AN1090" s="65"/>
      <c r="AO1090" s="217"/>
      <c r="AP1090" s="65"/>
      <c r="AQ1090" s="66"/>
      <c r="AR1090" s="65"/>
      <c r="AS1090" s="65"/>
      <c r="AT1090" s="65"/>
      <c r="AU1090" s="65"/>
      <c r="AV1090" s="65"/>
      <c r="AW1090" s="65"/>
      <c r="AX1090" s="65"/>
      <c r="AY1090" s="118"/>
      <c r="AZ1090" s="118"/>
      <c r="BA1090" s="118"/>
      <c r="BB1090" s="124"/>
    </row>
    <row r="1091" spans="1:54" x14ac:dyDescent="0.25">
      <c r="A1091" s="117" t="s">
        <v>5177</v>
      </c>
      <c r="B1091" s="118" t="s">
        <v>5178</v>
      </c>
      <c r="C1091" s="118" t="s">
        <v>5179</v>
      </c>
      <c r="D1091" s="119" t="s">
        <v>5180</v>
      </c>
      <c r="E1091" s="38" t="s">
        <v>5181</v>
      </c>
      <c r="F1091" s="39">
        <v>1</v>
      </c>
      <c r="G1091" s="118" t="s">
        <v>16</v>
      </c>
      <c r="H1091" s="118" t="s">
        <v>145</v>
      </c>
      <c r="I1091" s="206">
        <v>45217.653819444444</v>
      </c>
      <c r="J1091" s="38">
        <f>MONTH(Tabla1[[#This Row],[Publicación]])</f>
        <v>10</v>
      </c>
      <c r="K1091" s="38">
        <f>YEAR(Tabla1[[#This Row],[Publicación]])</f>
        <v>2023</v>
      </c>
      <c r="L1091" s="206">
        <v>45223.458333333336</v>
      </c>
      <c r="M1091" s="211">
        <v>45219</v>
      </c>
      <c r="N1091" s="207" t="s">
        <v>10</v>
      </c>
      <c r="O1091" s="206" t="s">
        <v>25</v>
      </c>
      <c r="P1091" s="38"/>
      <c r="Q1091" s="147">
        <v>45219.5</v>
      </c>
      <c r="R1091" s="147">
        <v>45219.625</v>
      </c>
      <c r="S1091" s="148">
        <v>45230.5</v>
      </c>
      <c r="T1091" s="38"/>
      <c r="U1091" s="65">
        <f>Tabla1[[#This Row],[PPTO]]/(1+'Lista Datos'!$B$1)</f>
        <v>0</v>
      </c>
      <c r="V1091" s="64"/>
      <c r="W1091" s="191" t="s">
        <v>10</v>
      </c>
      <c r="X1091" s="122"/>
      <c r="Y1091" s="122"/>
      <c r="Z1091" s="123" t="s">
        <v>10</v>
      </c>
      <c r="AA1091" s="118"/>
      <c r="AB1091" s="118"/>
      <c r="AC1091" s="118"/>
      <c r="AD1091" s="118"/>
      <c r="AE1091" s="145">
        <f>Tabla1[[#This Row],[Cierre]]+Tabla1[[#This Row],[Vigencia Oferta (días)]]</f>
        <v>45223.458333333336</v>
      </c>
      <c r="AF1091" s="65"/>
      <c r="AG1091" s="181"/>
      <c r="AH1091" s="192">
        <f>Tabla1[[#This Row],[Unidades2]]*Tabla1[[#This Row],[Precio Unitario]]</f>
        <v>0</v>
      </c>
      <c r="AI1091" s="126" t="s">
        <v>270</v>
      </c>
      <c r="AJ1091" s="149"/>
      <c r="AK1091" s="149">
        <f>Tabla1[[#This Row],[Fecha Vigencia]]-AJ1091</f>
        <v>45223.458333333336</v>
      </c>
      <c r="AL1091" s="65"/>
      <c r="AM1091" s="90"/>
      <c r="AN1091" s="65"/>
      <c r="AO1091" s="217"/>
      <c r="AP1091" s="65"/>
      <c r="AQ1091" s="66"/>
      <c r="AR1091" s="65"/>
      <c r="AS1091" s="65"/>
      <c r="AT1091" s="65"/>
      <c r="AU1091" s="65"/>
      <c r="AV1091" s="65"/>
      <c r="AW1091" s="65"/>
      <c r="AX1091" s="65"/>
      <c r="AY1091" s="118"/>
      <c r="AZ1091" s="118"/>
      <c r="BA1091" s="118"/>
      <c r="BB1091" s="124"/>
    </row>
    <row r="1092" spans="1:54" x14ac:dyDescent="0.25">
      <c r="A1092" s="117" t="s">
        <v>5182</v>
      </c>
      <c r="B1092" s="118" t="s">
        <v>5183</v>
      </c>
      <c r="C1092" s="118"/>
      <c r="D1092" s="119" t="s">
        <v>3959</v>
      </c>
      <c r="E1092" s="38" t="s">
        <v>5184</v>
      </c>
      <c r="F1092" s="39">
        <v>2</v>
      </c>
      <c r="G1092" s="118" t="s">
        <v>21</v>
      </c>
      <c r="H1092" s="118" t="s">
        <v>106</v>
      </c>
      <c r="I1092" s="206">
        <v>45218.596307870372</v>
      </c>
      <c r="J1092" s="38">
        <f>MONTH(Tabla1[[#This Row],[Publicación]])</f>
        <v>10</v>
      </c>
      <c r="K1092" s="38">
        <f>YEAR(Tabla1[[#This Row],[Publicación]])</f>
        <v>2023</v>
      </c>
      <c r="L1092" s="206">
        <v>45225.75</v>
      </c>
      <c r="M1092" s="211">
        <v>45219</v>
      </c>
      <c r="N1092" s="207" t="s">
        <v>10</v>
      </c>
      <c r="O1092" s="206" t="s">
        <v>25</v>
      </c>
      <c r="P1092" s="38"/>
      <c r="Q1092" s="147">
        <v>45219.75</v>
      </c>
      <c r="R1092" s="147">
        <v>45223.75</v>
      </c>
      <c r="S1092" s="148">
        <v>45230.75</v>
      </c>
      <c r="T1092" s="38"/>
      <c r="U1092" s="65">
        <f>Tabla1[[#This Row],[PPTO]]/(1+'Lista Datos'!$B$1)</f>
        <v>0</v>
      </c>
      <c r="V1092" s="64"/>
      <c r="W1092" s="191" t="s">
        <v>10</v>
      </c>
      <c r="X1092" s="122"/>
      <c r="Y1092" s="122"/>
      <c r="Z1092" s="123" t="s">
        <v>10</v>
      </c>
      <c r="AA1092" s="118" t="s">
        <v>512</v>
      </c>
      <c r="AB1092" s="118"/>
      <c r="AC1092" s="118"/>
      <c r="AD1092" s="118"/>
      <c r="AE1092" s="145">
        <f>Tabla1[[#This Row],[Cierre]]+Tabla1[[#This Row],[Vigencia Oferta (días)]]</f>
        <v>45225.75</v>
      </c>
      <c r="AF1092" s="65"/>
      <c r="AG1092" s="181"/>
      <c r="AH1092" s="192">
        <f>Tabla1[[#This Row],[Unidades2]]*Tabla1[[#This Row],[Precio Unitario]]</f>
        <v>0</v>
      </c>
      <c r="AI1092" s="126" t="s">
        <v>270</v>
      </c>
      <c r="AJ1092" s="149"/>
      <c r="AK1092" s="149">
        <f>Tabla1[[#This Row],[Fecha Vigencia]]-AJ1092</f>
        <v>45225.75</v>
      </c>
      <c r="AL1092" s="65"/>
      <c r="AM1092" s="90"/>
      <c r="AN1092" s="65"/>
      <c r="AO1092" s="217"/>
      <c r="AP1092" s="65"/>
      <c r="AQ1092" s="66"/>
      <c r="AR1092" s="65"/>
      <c r="AS1092" s="65"/>
      <c r="AT1092" s="65"/>
      <c r="AU1092" s="65"/>
      <c r="AV1092" s="65"/>
      <c r="AW1092" s="65"/>
      <c r="AX1092" s="65"/>
      <c r="AY1092" s="118"/>
      <c r="AZ1092" s="118"/>
      <c r="BA1092" s="118"/>
      <c r="BB1092" s="124"/>
    </row>
    <row r="1093" spans="1:54" x14ac:dyDescent="0.25">
      <c r="A1093" s="117" t="s">
        <v>5185</v>
      </c>
      <c r="B1093" s="118" t="s">
        <v>5186</v>
      </c>
      <c r="C1093" s="118" t="s">
        <v>5187</v>
      </c>
      <c r="D1093" s="119" t="s">
        <v>2738</v>
      </c>
      <c r="E1093" s="38" t="s">
        <v>5188</v>
      </c>
      <c r="F1093" s="39">
        <v>1</v>
      </c>
      <c r="G1093" s="118" t="s">
        <v>17</v>
      </c>
      <c r="H1093" s="118" t="s">
        <v>213</v>
      </c>
      <c r="I1093" s="206">
        <v>45218.428657407407</v>
      </c>
      <c r="J1093" s="38">
        <f>MONTH(Tabla1[[#This Row],[Publicación]])</f>
        <v>10</v>
      </c>
      <c r="K1093" s="38">
        <f>YEAR(Tabla1[[#This Row],[Publicación]])</f>
        <v>2023</v>
      </c>
      <c r="L1093" s="206">
        <v>45238.75</v>
      </c>
      <c r="M1093" s="211">
        <v>45219</v>
      </c>
      <c r="N1093" s="207" t="s">
        <v>10</v>
      </c>
      <c r="O1093" s="206" t="s">
        <v>25</v>
      </c>
      <c r="P1093" s="38"/>
      <c r="Q1093" s="147">
        <v>45228.75</v>
      </c>
      <c r="R1093" s="121" t="s">
        <v>5189</v>
      </c>
      <c r="S1093" s="148">
        <v>45299.75</v>
      </c>
      <c r="T1093" s="215">
        <v>121263155</v>
      </c>
      <c r="U1093" s="214">
        <f>Tabla1[[#This Row],[PPTO]]/(1+'Lista Datos'!$B$1)</f>
        <v>101901810.92436975</v>
      </c>
      <c r="V1093" s="64"/>
      <c r="W1093" s="191" t="s">
        <v>11</v>
      </c>
      <c r="X1093" s="122">
        <v>1000000</v>
      </c>
      <c r="Y1093" s="149">
        <v>45418</v>
      </c>
      <c r="Z1093" s="123" t="s">
        <v>11</v>
      </c>
      <c r="AA1093" s="118" t="s">
        <v>177</v>
      </c>
      <c r="AB1093" s="118"/>
      <c r="AC1093" s="118" t="s">
        <v>10</v>
      </c>
      <c r="AD1093" s="118"/>
      <c r="AE1093" s="145">
        <f>Tabla1[[#This Row],[Cierre]]+Tabla1[[#This Row],[Vigencia Oferta (días)]]</f>
        <v>45238.75</v>
      </c>
      <c r="AF1093" s="65"/>
      <c r="AG1093" s="181"/>
      <c r="AH1093" s="192">
        <f>Tabla1[[#This Row],[Unidades2]]*Tabla1[[#This Row],[Precio Unitario]]</f>
        <v>0</v>
      </c>
      <c r="AI1093" s="126" t="s">
        <v>270</v>
      </c>
      <c r="AJ1093" s="149"/>
      <c r="AK1093" s="149">
        <f>Tabla1[[#This Row],[Fecha Vigencia]]-AJ1093</f>
        <v>45238.75</v>
      </c>
      <c r="AL1093" s="65"/>
      <c r="AM1093" s="90"/>
      <c r="AN1093" s="65"/>
      <c r="AO1093" s="217"/>
      <c r="AP1093" s="65"/>
      <c r="AQ1093" s="66"/>
      <c r="AR1093" s="65"/>
      <c r="AS1093" s="65"/>
      <c r="AT1093" s="65"/>
      <c r="AU1093" s="65"/>
      <c r="AV1093" s="65"/>
      <c r="AW1093" s="65"/>
      <c r="AX1093" s="65"/>
      <c r="AY1093" s="118"/>
      <c r="AZ1093" s="118"/>
      <c r="BA1093" s="118"/>
      <c r="BB1093" s="124"/>
    </row>
    <row r="1094" spans="1:54" x14ac:dyDescent="0.25">
      <c r="A1094" s="117" t="s">
        <v>5190</v>
      </c>
      <c r="B1094" s="118" t="s">
        <v>5191</v>
      </c>
      <c r="C1094" s="118" t="s">
        <v>5192</v>
      </c>
      <c r="D1094" s="119" t="s">
        <v>405</v>
      </c>
      <c r="E1094" s="38" t="s">
        <v>5193</v>
      </c>
      <c r="F1094" s="39">
        <v>60</v>
      </c>
      <c r="G1094" s="118" t="s">
        <v>21</v>
      </c>
      <c r="H1094" s="118" t="s">
        <v>106</v>
      </c>
      <c r="I1094" s="206">
        <v>45217.65525462963</v>
      </c>
      <c r="J1094" s="38">
        <f>MONTH(Tabla1[[#This Row],[Publicación]])</f>
        <v>10</v>
      </c>
      <c r="K1094" s="38">
        <f>YEAR(Tabla1[[#This Row],[Publicación]])</f>
        <v>2023</v>
      </c>
      <c r="L1094" s="206">
        <v>45230.679861111108</v>
      </c>
      <c r="M1094" s="211">
        <v>45219</v>
      </c>
      <c r="N1094" s="207" t="s">
        <v>10</v>
      </c>
      <c r="O1094" s="206" t="s">
        <v>35</v>
      </c>
      <c r="P1094" s="38"/>
      <c r="Q1094" s="147">
        <v>45220.796527777777</v>
      </c>
      <c r="R1094" s="147">
        <v>45222.796527777777</v>
      </c>
      <c r="S1094" s="148">
        <v>45260.680555555555</v>
      </c>
      <c r="T1094" s="38"/>
      <c r="U1094" s="65">
        <f>Tabla1[[#This Row],[PPTO]]/(1+'Lista Datos'!$B$1)</f>
        <v>0</v>
      </c>
      <c r="V1094" s="64"/>
      <c r="W1094" s="191" t="s">
        <v>10</v>
      </c>
      <c r="X1094" s="122"/>
      <c r="Y1094" s="122"/>
      <c r="Z1094" s="123" t="s">
        <v>10</v>
      </c>
      <c r="AA1094" s="118" t="s">
        <v>177</v>
      </c>
      <c r="AB1094" s="118"/>
      <c r="AC1094" s="118"/>
      <c r="AD1094" s="118"/>
      <c r="AE1094" s="145">
        <f>Tabla1[[#This Row],[Cierre]]+Tabla1[[#This Row],[Vigencia Oferta (días)]]</f>
        <v>45230.679861111108</v>
      </c>
      <c r="AF1094" s="65"/>
      <c r="AG1094" s="181"/>
      <c r="AH1094" s="192">
        <f>Tabla1[[#This Row],[Unidades2]]*Tabla1[[#This Row],[Precio Unitario]]</f>
        <v>0</v>
      </c>
      <c r="AI1094" s="126" t="s">
        <v>270</v>
      </c>
      <c r="AJ1094" s="149"/>
      <c r="AK1094" s="149">
        <f>Tabla1[[#This Row],[Fecha Vigencia]]-AJ1094</f>
        <v>45230.679861111108</v>
      </c>
      <c r="AL1094" s="65"/>
      <c r="AM1094" s="90"/>
      <c r="AN1094" s="65"/>
      <c r="AO1094" s="217"/>
      <c r="AP1094" s="65"/>
      <c r="AQ1094" s="66"/>
      <c r="AR1094" s="65"/>
      <c r="AS1094" s="65"/>
      <c r="AT1094" s="65"/>
      <c r="AU1094" s="65"/>
      <c r="AV1094" s="65"/>
      <c r="AW1094" s="65"/>
      <c r="AX1094" s="65"/>
      <c r="AY1094" s="118"/>
      <c r="AZ1094" s="118"/>
      <c r="BA1094" s="118"/>
      <c r="BB1094" s="124"/>
    </row>
    <row r="1095" spans="1:54" x14ac:dyDescent="0.25">
      <c r="A1095" s="117" t="s">
        <v>5194</v>
      </c>
      <c r="B1095" s="118" t="s">
        <v>5195</v>
      </c>
      <c r="C1095" s="118" t="s">
        <v>5196</v>
      </c>
      <c r="D1095" s="119" t="s">
        <v>829</v>
      </c>
      <c r="E1095" s="38" t="s">
        <v>5197</v>
      </c>
      <c r="F1095" s="39">
        <v>4</v>
      </c>
      <c r="G1095" s="118" t="s">
        <v>21</v>
      </c>
      <c r="H1095" s="118" t="s">
        <v>106</v>
      </c>
      <c r="I1095" s="206">
        <v>45216.522951469902</v>
      </c>
      <c r="J1095" s="38">
        <v>45222.645833333299</v>
      </c>
      <c r="K1095" s="38">
        <v>45216.522951469902</v>
      </c>
      <c r="L1095" s="206">
        <v>45222.645833333299</v>
      </c>
      <c r="M1095" s="211">
        <v>45219</v>
      </c>
      <c r="N1095" s="207" t="s">
        <v>10</v>
      </c>
      <c r="O1095" s="206" t="s">
        <v>27</v>
      </c>
      <c r="P1095" s="38"/>
      <c r="Q1095" s="121"/>
      <c r="R1095" s="121"/>
      <c r="S1095" s="19"/>
      <c r="T1095" s="38"/>
      <c r="U1095" s="65">
        <f>Tabla1[[#This Row],[PPTO]]/(1+'Lista Datos'!$B$1)</f>
        <v>0</v>
      </c>
      <c r="V1095" s="64"/>
      <c r="W1095" s="191"/>
      <c r="X1095" s="122"/>
      <c r="Y1095" s="122"/>
      <c r="Z1095" s="123"/>
      <c r="AA1095" s="118"/>
      <c r="AB1095" s="118"/>
      <c r="AC1095" s="118"/>
      <c r="AD1095" s="118"/>
      <c r="AE1095" s="145">
        <f>Tabla1[[#This Row],[Cierre]]+Tabla1[[#This Row],[Vigencia Oferta (días)]]</f>
        <v>45222.645833333299</v>
      </c>
      <c r="AF1095" s="65"/>
      <c r="AG1095" s="181"/>
      <c r="AH1095" s="192">
        <f>Tabla1[[#This Row],[Unidades2]]*Tabla1[[#This Row],[Precio Unitario]]</f>
        <v>0</v>
      </c>
      <c r="AI1095" s="126" t="s">
        <v>270</v>
      </c>
      <c r="AJ1095" s="149"/>
      <c r="AK1095" s="149">
        <f>Tabla1[[#This Row],[Fecha Vigencia]]-AJ1095</f>
        <v>45222.645833333299</v>
      </c>
      <c r="AL1095" s="65"/>
      <c r="AM1095" s="90"/>
      <c r="AN1095" s="65"/>
      <c r="AO1095" s="217"/>
      <c r="AP1095" s="65"/>
      <c r="AQ1095" s="66"/>
      <c r="AR1095" s="65"/>
      <c r="AS1095" s="65"/>
      <c r="AT1095" s="65"/>
      <c r="AU1095" s="65"/>
      <c r="AV1095" s="65"/>
      <c r="AW1095" s="65"/>
      <c r="AX1095" s="65"/>
      <c r="AY1095" s="118"/>
      <c r="AZ1095" s="118"/>
      <c r="BA1095" s="118"/>
      <c r="BB1095" s="124"/>
    </row>
    <row r="1096" spans="1:54" x14ac:dyDescent="0.25">
      <c r="A1096" s="153" t="s">
        <v>5198</v>
      </c>
      <c r="B1096" s="30" t="s">
        <v>5199</v>
      </c>
      <c r="C1096" s="30" t="s">
        <v>4609</v>
      </c>
      <c r="D1096" s="84" t="s">
        <v>122</v>
      </c>
      <c r="E1096" s="24" t="s">
        <v>4611</v>
      </c>
      <c r="F1096" s="25">
        <v>1</v>
      </c>
      <c r="G1096" s="30" t="s">
        <v>17</v>
      </c>
      <c r="H1096" s="30" t="s">
        <v>213</v>
      </c>
      <c r="I1096" s="203">
        <v>45216.408849108797</v>
      </c>
      <c r="J1096" s="121">
        <v>45229.708333333299</v>
      </c>
      <c r="K1096" s="121">
        <v>45216.408849108797</v>
      </c>
      <c r="L1096" s="203">
        <v>45229.708333333299</v>
      </c>
      <c r="M1096" s="204">
        <v>45219</v>
      </c>
      <c r="N1096" s="205" t="s">
        <v>10</v>
      </c>
      <c r="O1096" s="203" t="s">
        <v>35</v>
      </c>
      <c r="P1096" s="24"/>
      <c r="Q1096" s="60"/>
      <c r="R1096" s="60"/>
      <c r="S1096" s="18"/>
      <c r="T1096" s="24"/>
      <c r="U1096" s="68">
        <f>Tabla1[[#This Row],[PPTO]]/(1+'Lista Datos'!$B$1)</f>
        <v>0</v>
      </c>
      <c r="V1096" s="67"/>
      <c r="W1096" s="193"/>
      <c r="X1096" s="127"/>
      <c r="Y1096" s="127"/>
      <c r="Z1096" s="154"/>
      <c r="AA1096" s="30"/>
      <c r="AB1096" s="30"/>
      <c r="AC1096" s="30"/>
      <c r="AD1096" s="30"/>
      <c r="AE1096" s="145">
        <f>Tabla1[[#This Row],[Cierre]]+Tabla1[[#This Row],[Vigencia Oferta (días)]]</f>
        <v>45229.708333333299</v>
      </c>
      <c r="AF1096" s="68"/>
      <c r="AG1096" s="157"/>
      <c r="AH1096" s="194">
        <f>Tabla1[[#This Row],[Unidades2]]*Tabla1[[#This Row],[Precio Unitario]]</f>
        <v>0</v>
      </c>
      <c r="AI1096" s="97" t="s">
        <v>270</v>
      </c>
      <c r="AJ1096" s="149"/>
      <c r="AK1096" s="149">
        <f>Tabla1[[#This Row],[Fecha Vigencia]]-AJ1096</f>
        <v>45229.708333333299</v>
      </c>
      <c r="AL1096" s="68"/>
      <c r="AM1096" s="91"/>
      <c r="AN1096" s="68"/>
      <c r="AO1096" s="218"/>
      <c r="AP1096" s="68"/>
      <c r="AQ1096" s="69"/>
      <c r="AR1096" s="68"/>
      <c r="AS1096" s="68"/>
      <c r="AT1096" s="68"/>
      <c r="AU1096" s="68"/>
      <c r="AV1096" s="68"/>
      <c r="AW1096" s="68"/>
      <c r="AX1096" s="68"/>
      <c r="AY1096" s="30"/>
      <c r="AZ1096" s="30"/>
      <c r="BA1096" s="30"/>
      <c r="BB1096" s="75"/>
    </row>
    <row r="1097" spans="1:54" x14ac:dyDescent="0.25">
      <c r="A1097" s="117" t="s">
        <v>5200</v>
      </c>
      <c r="B1097" s="118" t="s">
        <v>5201</v>
      </c>
      <c r="C1097" s="118" t="s">
        <v>5202</v>
      </c>
      <c r="D1097" s="119" t="s">
        <v>3921</v>
      </c>
      <c r="E1097" s="38" t="s">
        <v>5203</v>
      </c>
      <c r="F1097" s="39">
        <v>2</v>
      </c>
      <c r="G1097" s="118" t="s">
        <v>14</v>
      </c>
      <c r="H1097" s="118" t="s">
        <v>123</v>
      </c>
      <c r="I1097" s="206">
        <v>45216.388281909698</v>
      </c>
      <c r="J1097" s="121">
        <v>45223.875</v>
      </c>
      <c r="K1097" s="121">
        <v>45216.388281909698</v>
      </c>
      <c r="L1097" s="206">
        <v>45223.875</v>
      </c>
      <c r="M1097" s="211">
        <v>45219</v>
      </c>
      <c r="N1097" s="207" t="s">
        <v>10</v>
      </c>
      <c r="O1097" s="206" t="s">
        <v>27</v>
      </c>
      <c r="P1097" s="38"/>
      <c r="Q1097" s="121"/>
      <c r="R1097" s="121"/>
      <c r="S1097" s="19"/>
      <c r="T1097" s="38"/>
      <c r="U1097" s="65">
        <f>Tabla1[[#This Row],[PPTO]]/(1+'Lista Datos'!$B$1)</f>
        <v>0</v>
      </c>
      <c r="V1097" s="64"/>
      <c r="W1097" s="191"/>
      <c r="X1097" s="122"/>
      <c r="Y1097" s="122"/>
      <c r="Z1097" s="123"/>
      <c r="AA1097" s="118"/>
      <c r="AB1097" s="118"/>
      <c r="AC1097" s="118"/>
      <c r="AD1097" s="118"/>
      <c r="AE1097" s="145">
        <f>Tabla1[[#This Row],[Cierre]]+Tabla1[[#This Row],[Vigencia Oferta (días)]]</f>
        <v>45223.875</v>
      </c>
      <c r="AF1097" s="65"/>
      <c r="AG1097" s="181"/>
      <c r="AH1097" s="192">
        <f>Tabla1[[#This Row],[Unidades2]]*Tabla1[[#This Row],[Precio Unitario]]</f>
        <v>0</v>
      </c>
      <c r="AI1097" s="126" t="s">
        <v>270</v>
      </c>
      <c r="AJ1097" s="149"/>
      <c r="AK1097" s="149">
        <f>Tabla1[[#This Row],[Fecha Vigencia]]-AJ1097</f>
        <v>45223.875</v>
      </c>
      <c r="AL1097" s="65"/>
      <c r="AM1097" s="90"/>
      <c r="AN1097" s="65"/>
      <c r="AO1097" s="217"/>
      <c r="AP1097" s="65"/>
      <c r="AQ1097" s="66"/>
      <c r="AR1097" s="65"/>
      <c r="AS1097" s="65"/>
      <c r="AT1097" s="65"/>
      <c r="AU1097" s="65"/>
      <c r="AV1097" s="65"/>
      <c r="AW1097" s="65"/>
      <c r="AX1097" s="65"/>
      <c r="AY1097" s="118"/>
      <c r="AZ1097" s="118"/>
      <c r="BA1097" s="118"/>
      <c r="BB1097" s="124"/>
    </row>
    <row r="1098" spans="1:54" x14ac:dyDescent="0.25">
      <c r="A1098" s="153" t="s">
        <v>5204</v>
      </c>
      <c r="B1098" s="30" t="s">
        <v>5205</v>
      </c>
      <c r="C1098" s="30" t="s">
        <v>5206</v>
      </c>
      <c r="D1098" s="84" t="s">
        <v>890</v>
      </c>
      <c r="E1098" s="24" t="s">
        <v>5207</v>
      </c>
      <c r="F1098" s="25">
        <v>1</v>
      </c>
      <c r="G1098" s="30" t="s">
        <v>21</v>
      </c>
      <c r="H1098" s="30" t="s">
        <v>106</v>
      </c>
      <c r="I1098" s="203">
        <v>45219.649503900502</v>
      </c>
      <c r="J1098" s="38">
        <v>45250.645833333299</v>
      </c>
      <c r="K1098" s="38">
        <v>45219.649503900502</v>
      </c>
      <c r="L1098" s="203">
        <v>45250.645833333299</v>
      </c>
      <c r="M1098" s="204">
        <v>45223</v>
      </c>
      <c r="N1098" s="205" t="s">
        <v>10</v>
      </c>
      <c r="O1098" s="203" t="s">
        <v>27</v>
      </c>
      <c r="P1098" s="24"/>
      <c r="Q1098" s="60"/>
      <c r="R1098" s="60"/>
      <c r="S1098" s="18"/>
      <c r="T1098" s="24"/>
      <c r="U1098" s="68">
        <f>Tabla1[[#This Row],[PPTO]]/(1+'Lista Datos'!$B$1)</f>
        <v>0</v>
      </c>
      <c r="V1098" s="67"/>
      <c r="W1098" s="193"/>
      <c r="X1098" s="127"/>
      <c r="Y1098" s="127"/>
      <c r="Z1098" s="154"/>
      <c r="AA1098" s="30"/>
      <c r="AB1098" s="30"/>
      <c r="AC1098" s="30"/>
      <c r="AD1098" s="30"/>
      <c r="AE1098" s="145">
        <f>Tabla1[[#This Row],[Cierre]]+Tabla1[[#This Row],[Vigencia Oferta (días)]]</f>
        <v>45250.645833333299</v>
      </c>
      <c r="AF1098" s="68"/>
      <c r="AG1098" s="157"/>
      <c r="AH1098" s="194">
        <f>Tabla1[[#This Row],[Unidades2]]*Tabla1[[#This Row],[Precio Unitario]]</f>
        <v>0</v>
      </c>
      <c r="AI1098" s="97" t="s">
        <v>270</v>
      </c>
      <c r="AJ1098" s="149"/>
      <c r="AK1098" s="149">
        <f>Tabla1[[#This Row],[Fecha Vigencia]]-AJ1098</f>
        <v>45250.645833333299</v>
      </c>
      <c r="AL1098" s="68"/>
      <c r="AM1098" s="91"/>
      <c r="AN1098" s="68"/>
      <c r="AO1098" s="218"/>
      <c r="AP1098" s="68"/>
      <c r="AQ1098" s="69"/>
      <c r="AR1098" s="68"/>
      <c r="AS1098" s="68"/>
      <c r="AT1098" s="68"/>
      <c r="AU1098" s="68"/>
      <c r="AV1098" s="68"/>
      <c r="AW1098" s="68"/>
      <c r="AX1098" s="68"/>
      <c r="AY1098" s="30"/>
      <c r="AZ1098" s="30"/>
      <c r="BA1098" s="30"/>
      <c r="BB1098" s="75"/>
    </row>
    <row r="1099" spans="1:54" x14ac:dyDescent="0.25">
      <c r="A1099" s="117" t="s">
        <v>5208</v>
      </c>
      <c r="B1099" s="118" t="s">
        <v>5209</v>
      </c>
      <c r="C1099" s="118" t="s">
        <v>5209</v>
      </c>
      <c r="D1099" s="119" t="s">
        <v>829</v>
      </c>
      <c r="E1099" s="38" t="s">
        <v>5210</v>
      </c>
      <c r="F1099" s="39">
        <v>5</v>
      </c>
      <c r="G1099" s="118" t="s">
        <v>21</v>
      </c>
      <c r="H1099" s="118" t="s">
        <v>106</v>
      </c>
      <c r="I1099" s="206">
        <v>45219.557269675897</v>
      </c>
      <c r="J1099" s="121">
        <v>45224.625694444403</v>
      </c>
      <c r="K1099" s="121">
        <v>45219.557269675897</v>
      </c>
      <c r="L1099" s="206">
        <v>45224.625694444403</v>
      </c>
      <c r="M1099" s="211">
        <v>45223</v>
      </c>
      <c r="N1099" s="207" t="s">
        <v>10</v>
      </c>
      <c r="O1099" s="206" t="s">
        <v>27</v>
      </c>
      <c r="P1099" s="38"/>
      <c r="Q1099" s="121"/>
      <c r="R1099" s="121"/>
      <c r="S1099" s="19"/>
      <c r="T1099" s="38"/>
      <c r="U1099" s="65">
        <f>Tabla1[[#This Row],[PPTO]]/(1+'Lista Datos'!$B$1)</f>
        <v>0</v>
      </c>
      <c r="V1099" s="64"/>
      <c r="W1099" s="191"/>
      <c r="X1099" s="122"/>
      <c r="Y1099" s="122"/>
      <c r="Z1099" s="123"/>
      <c r="AA1099" s="118"/>
      <c r="AB1099" s="118"/>
      <c r="AC1099" s="118"/>
      <c r="AD1099" s="118"/>
      <c r="AE1099" s="145">
        <f>Tabla1[[#This Row],[Cierre]]+Tabla1[[#This Row],[Vigencia Oferta (días)]]</f>
        <v>45224.625694444403</v>
      </c>
      <c r="AF1099" s="65"/>
      <c r="AG1099" s="181"/>
      <c r="AH1099" s="192">
        <f>Tabla1[[#This Row],[Unidades2]]*Tabla1[[#This Row],[Precio Unitario]]</f>
        <v>0</v>
      </c>
      <c r="AI1099" s="126" t="s">
        <v>270</v>
      </c>
      <c r="AJ1099" s="149"/>
      <c r="AK1099" s="149">
        <f>Tabla1[[#This Row],[Fecha Vigencia]]-AJ1099</f>
        <v>45224.625694444403</v>
      </c>
      <c r="AL1099" s="65"/>
      <c r="AM1099" s="90"/>
      <c r="AN1099" s="65"/>
      <c r="AO1099" s="217"/>
      <c r="AP1099" s="65"/>
      <c r="AQ1099" s="66"/>
      <c r="AR1099" s="65"/>
      <c r="AS1099" s="65"/>
      <c r="AT1099" s="65"/>
      <c r="AU1099" s="65"/>
      <c r="AV1099" s="65"/>
      <c r="AW1099" s="65"/>
      <c r="AX1099" s="65"/>
      <c r="AY1099" s="118"/>
      <c r="AZ1099" s="118"/>
      <c r="BA1099" s="118"/>
      <c r="BB1099" s="124"/>
    </row>
    <row r="1100" spans="1:54" x14ac:dyDescent="0.25">
      <c r="A1100" s="153" t="s">
        <v>5211</v>
      </c>
      <c r="B1100" s="30" t="s">
        <v>5212</v>
      </c>
      <c r="C1100" s="30" t="s">
        <v>5213</v>
      </c>
      <c r="D1100" s="84" t="s">
        <v>405</v>
      </c>
      <c r="E1100" s="24" t="s">
        <v>5214</v>
      </c>
      <c r="F1100" s="25">
        <v>55</v>
      </c>
      <c r="G1100" s="30" t="s">
        <v>21</v>
      </c>
      <c r="H1100" s="30" t="s">
        <v>106</v>
      </c>
      <c r="I1100" s="203">
        <v>45218.649683182899</v>
      </c>
      <c r="J1100" s="38">
        <v>45223.6743055556</v>
      </c>
      <c r="K1100" s="38">
        <v>45218.649683182899</v>
      </c>
      <c r="L1100" s="203">
        <v>45223.6743055556</v>
      </c>
      <c r="M1100" s="204">
        <v>45223</v>
      </c>
      <c r="N1100" s="205" t="s">
        <v>10</v>
      </c>
      <c r="O1100" s="203" t="s">
        <v>35</v>
      </c>
      <c r="P1100" s="24"/>
      <c r="Q1100" s="60"/>
      <c r="R1100" s="60"/>
      <c r="S1100" s="18"/>
      <c r="T1100" s="24"/>
      <c r="U1100" s="68">
        <f>Tabla1[[#This Row],[PPTO]]/(1+'Lista Datos'!$B$1)</f>
        <v>0</v>
      </c>
      <c r="V1100" s="67"/>
      <c r="W1100" s="193"/>
      <c r="X1100" s="127"/>
      <c r="Y1100" s="127"/>
      <c r="Z1100" s="154"/>
      <c r="AA1100" s="30"/>
      <c r="AB1100" s="30"/>
      <c r="AC1100" s="30"/>
      <c r="AD1100" s="30"/>
      <c r="AE1100" s="145">
        <f>Tabla1[[#This Row],[Cierre]]+Tabla1[[#This Row],[Vigencia Oferta (días)]]</f>
        <v>45223.6743055556</v>
      </c>
      <c r="AF1100" s="68"/>
      <c r="AG1100" s="157"/>
      <c r="AH1100" s="194">
        <f>Tabla1[[#This Row],[Unidades2]]*Tabla1[[#This Row],[Precio Unitario]]</f>
        <v>0</v>
      </c>
      <c r="AI1100" s="97" t="s">
        <v>270</v>
      </c>
      <c r="AJ1100" s="149"/>
      <c r="AK1100" s="149">
        <f>Tabla1[[#This Row],[Fecha Vigencia]]-AJ1100</f>
        <v>45223.6743055556</v>
      </c>
      <c r="AL1100" s="68"/>
      <c r="AM1100" s="91"/>
      <c r="AN1100" s="68"/>
      <c r="AO1100" s="218"/>
      <c r="AP1100" s="68"/>
      <c r="AQ1100" s="69"/>
      <c r="AR1100" s="68"/>
      <c r="AS1100" s="68"/>
      <c r="AT1100" s="68"/>
      <c r="AU1100" s="68"/>
      <c r="AV1100" s="68"/>
      <c r="AW1100" s="68"/>
      <c r="AX1100" s="68"/>
      <c r="AY1100" s="30"/>
      <c r="AZ1100" s="30"/>
      <c r="BA1100" s="30"/>
      <c r="BB1100" s="75"/>
    </row>
    <row r="1101" spans="1:54" x14ac:dyDescent="0.25">
      <c r="A1101" s="153" t="s">
        <v>5215</v>
      </c>
      <c r="B1101" s="30" t="s">
        <v>5216</v>
      </c>
      <c r="C1101" s="30" t="s">
        <v>5217</v>
      </c>
      <c r="D1101" s="84" t="s">
        <v>5218</v>
      </c>
      <c r="E1101" s="24" t="s">
        <v>5219</v>
      </c>
      <c r="F1101" s="25">
        <v>3</v>
      </c>
      <c r="G1101" s="30" t="s">
        <v>21</v>
      </c>
      <c r="H1101" s="30" t="s">
        <v>106</v>
      </c>
      <c r="I1101" s="203">
        <v>45218.646178622701</v>
      </c>
      <c r="J1101" s="121">
        <v>45225.625</v>
      </c>
      <c r="K1101" s="121">
        <v>45218.646178622701</v>
      </c>
      <c r="L1101" s="203">
        <v>45225.625</v>
      </c>
      <c r="M1101" s="204">
        <v>45223</v>
      </c>
      <c r="N1101" s="205" t="s">
        <v>10</v>
      </c>
      <c r="O1101" s="203" t="s">
        <v>27</v>
      </c>
      <c r="P1101" s="24"/>
      <c r="Q1101" s="60"/>
      <c r="R1101" s="60"/>
      <c r="S1101" s="18"/>
      <c r="T1101" s="24"/>
      <c r="U1101" s="68">
        <f>Tabla1[[#This Row],[PPTO]]/(1+'Lista Datos'!$B$1)</f>
        <v>0</v>
      </c>
      <c r="V1101" s="67"/>
      <c r="W1101" s="193"/>
      <c r="X1101" s="127"/>
      <c r="Y1101" s="127"/>
      <c r="Z1101" s="154"/>
      <c r="AA1101" s="30"/>
      <c r="AB1101" s="30"/>
      <c r="AC1101" s="30"/>
      <c r="AD1101" s="30"/>
      <c r="AE1101" s="145">
        <f>Tabla1[[#This Row],[Cierre]]+Tabla1[[#This Row],[Vigencia Oferta (días)]]</f>
        <v>45225.625</v>
      </c>
      <c r="AF1101" s="68"/>
      <c r="AG1101" s="157"/>
      <c r="AH1101" s="194">
        <f>Tabla1[[#This Row],[Unidades2]]*Tabla1[[#This Row],[Precio Unitario]]</f>
        <v>0</v>
      </c>
      <c r="AI1101" s="97" t="s">
        <v>270</v>
      </c>
      <c r="AJ1101" s="149"/>
      <c r="AK1101" s="149">
        <f>Tabla1[[#This Row],[Fecha Vigencia]]-AJ1101</f>
        <v>45225.625</v>
      </c>
      <c r="AL1101" s="68"/>
      <c r="AM1101" s="91"/>
      <c r="AN1101" s="68"/>
      <c r="AO1101" s="218"/>
      <c r="AP1101" s="68"/>
      <c r="AQ1101" s="69"/>
      <c r="AR1101" s="68"/>
      <c r="AS1101" s="68"/>
      <c r="AT1101" s="68"/>
      <c r="AU1101" s="68"/>
      <c r="AV1101" s="68"/>
      <c r="AW1101" s="68"/>
      <c r="AX1101" s="68"/>
      <c r="AY1101" s="30"/>
      <c r="AZ1101" s="30"/>
      <c r="BA1101" s="30"/>
      <c r="BB1101" s="75"/>
    </row>
    <row r="1102" spans="1:54" x14ac:dyDescent="0.25">
      <c r="A1102" s="153" t="s">
        <v>5220</v>
      </c>
      <c r="B1102" s="30" t="s">
        <v>5221</v>
      </c>
      <c r="C1102" s="30" t="s">
        <v>5222</v>
      </c>
      <c r="D1102" s="84" t="s">
        <v>378</v>
      </c>
      <c r="E1102" s="24" t="s">
        <v>5223</v>
      </c>
      <c r="F1102" s="25">
        <v>1</v>
      </c>
      <c r="G1102" s="30" t="s">
        <v>21</v>
      </c>
      <c r="H1102" s="30" t="s">
        <v>106</v>
      </c>
      <c r="I1102" s="203">
        <v>45218.550632291699</v>
      </c>
      <c r="J1102" s="121">
        <v>45229.666666666701</v>
      </c>
      <c r="K1102" s="121">
        <v>45218.550632291699</v>
      </c>
      <c r="L1102" s="203">
        <v>45229.666666666701</v>
      </c>
      <c r="M1102" s="204">
        <v>45223</v>
      </c>
      <c r="N1102" s="205" t="s">
        <v>11</v>
      </c>
      <c r="O1102" s="203"/>
      <c r="P1102" s="24"/>
      <c r="Q1102" s="160">
        <v>45222.625</v>
      </c>
      <c r="R1102" s="160">
        <v>45225.625</v>
      </c>
      <c r="S1102" s="161">
        <v>45289.666666666664</v>
      </c>
      <c r="T1102" s="210">
        <v>33932000</v>
      </c>
      <c r="U1102" s="209">
        <f>Tabla1[[#This Row],[PPTO]]/(1+'Lista Datos'!$B$1)</f>
        <v>28514285.714285716</v>
      </c>
      <c r="V1102" s="67"/>
      <c r="W1102" s="193" t="s">
        <v>10</v>
      </c>
      <c r="X1102" s="127"/>
      <c r="Y1102" s="127"/>
      <c r="Z1102" s="154" t="s">
        <v>10</v>
      </c>
      <c r="AA1102" s="30" t="s">
        <v>512</v>
      </c>
      <c r="AB1102" s="30"/>
      <c r="AC1102" s="30"/>
      <c r="AD1102" s="30"/>
      <c r="AE1102" s="145">
        <f>Tabla1[[#This Row],[Cierre]]+Tabla1[[#This Row],[Vigencia Oferta (días)]]</f>
        <v>45229.666666666701</v>
      </c>
      <c r="AF1102" s="68"/>
      <c r="AG1102" s="157"/>
      <c r="AH1102" s="194">
        <f>Tabla1[[#This Row],[Unidades2]]*Tabla1[[#This Row],[Precio Unitario]]</f>
        <v>0</v>
      </c>
      <c r="AI1102" s="97" t="s">
        <v>270</v>
      </c>
      <c r="AJ1102" s="149"/>
      <c r="AK1102" s="149">
        <f>Tabla1[[#This Row],[Fecha Vigencia]]-AJ1102</f>
        <v>45229.666666666701</v>
      </c>
      <c r="AL1102" s="68"/>
      <c r="AM1102" s="91"/>
      <c r="AN1102" s="68"/>
      <c r="AO1102" s="218"/>
      <c r="AP1102" s="68"/>
      <c r="AQ1102" s="69"/>
      <c r="AR1102" s="68"/>
      <c r="AS1102" s="68"/>
      <c r="AT1102" s="68"/>
      <c r="AU1102" s="68"/>
      <c r="AV1102" s="68"/>
      <c r="AW1102" s="68"/>
      <c r="AX1102" s="68"/>
      <c r="AY1102" s="30"/>
      <c r="AZ1102" s="30"/>
      <c r="BA1102" s="30"/>
      <c r="BB1102" s="75"/>
    </row>
    <row r="1103" spans="1:54" x14ac:dyDescent="0.25">
      <c r="A1103" s="153" t="s">
        <v>5224</v>
      </c>
      <c r="B1103" s="30" t="s">
        <v>5225</v>
      </c>
      <c r="C1103" s="30" t="s">
        <v>5226</v>
      </c>
      <c r="D1103" s="84" t="s">
        <v>1085</v>
      </c>
      <c r="E1103" s="24" t="s">
        <v>5227</v>
      </c>
      <c r="F1103" s="25">
        <v>2</v>
      </c>
      <c r="G1103" s="30" t="s">
        <v>21</v>
      </c>
      <c r="H1103" s="30" t="s">
        <v>106</v>
      </c>
      <c r="I1103" s="203">
        <v>45218.425819560201</v>
      </c>
      <c r="J1103" s="121">
        <v>45224.503472222197</v>
      </c>
      <c r="K1103" s="121">
        <v>45218.425819560201</v>
      </c>
      <c r="L1103" s="203">
        <v>45224.503472222197</v>
      </c>
      <c r="M1103" s="204">
        <v>45223</v>
      </c>
      <c r="N1103" s="205" t="s">
        <v>10</v>
      </c>
      <c r="O1103" s="203" t="s">
        <v>27</v>
      </c>
      <c r="P1103" s="24"/>
      <c r="Q1103" s="60"/>
      <c r="R1103" s="60"/>
      <c r="S1103" s="18"/>
      <c r="T1103" s="24"/>
      <c r="U1103" s="68">
        <f>Tabla1[[#This Row],[PPTO]]/(1+'Lista Datos'!$B$1)</f>
        <v>0</v>
      </c>
      <c r="V1103" s="67"/>
      <c r="W1103" s="193"/>
      <c r="X1103" s="127"/>
      <c r="Y1103" s="127"/>
      <c r="Z1103" s="154"/>
      <c r="AA1103" s="30"/>
      <c r="AB1103" s="30"/>
      <c r="AC1103" s="30"/>
      <c r="AD1103" s="30"/>
      <c r="AE1103" s="145">
        <f>Tabla1[[#This Row],[Cierre]]+Tabla1[[#This Row],[Vigencia Oferta (días)]]</f>
        <v>45224.503472222197</v>
      </c>
      <c r="AF1103" s="68"/>
      <c r="AG1103" s="157"/>
      <c r="AH1103" s="194">
        <f>Tabla1[[#This Row],[Unidades2]]*Tabla1[[#This Row],[Precio Unitario]]</f>
        <v>0</v>
      </c>
      <c r="AI1103" s="97" t="s">
        <v>270</v>
      </c>
      <c r="AJ1103" s="149"/>
      <c r="AK1103" s="149">
        <f>Tabla1[[#This Row],[Fecha Vigencia]]-AJ1103</f>
        <v>45224.503472222197</v>
      </c>
      <c r="AL1103" s="68"/>
      <c r="AM1103" s="91"/>
      <c r="AN1103" s="68"/>
      <c r="AO1103" s="218"/>
      <c r="AP1103" s="68"/>
      <c r="AQ1103" s="69"/>
      <c r="AR1103" s="68"/>
      <c r="AS1103" s="68"/>
      <c r="AT1103" s="68"/>
      <c r="AU1103" s="68"/>
      <c r="AV1103" s="68"/>
      <c r="AW1103" s="68"/>
      <c r="AX1103" s="68"/>
      <c r="AY1103" s="30"/>
      <c r="AZ1103" s="30"/>
      <c r="BA1103" s="30"/>
      <c r="BB1103" s="75"/>
    </row>
    <row r="1104" spans="1:54" x14ac:dyDescent="0.25">
      <c r="A1104" s="153" t="s">
        <v>5228</v>
      </c>
      <c r="B1104" s="30" t="s">
        <v>5229</v>
      </c>
      <c r="C1104" s="30" t="s">
        <v>5230</v>
      </c>
      <c r="D1104" s="84" t="s">
        <v>3128</v>
      </c>
      <c r="E1104" s="24" t="s">
        <v>5231</v>
      </c>
      <c r="F1104" s="25">
        <v>5</v>
      </c>
      <c r="G1104" s="30" t="s">
        <v>21</v>
      </c>
      <c r="H1104" s="30" t="s">
        <v>106</v>
      </c>
      <c r="I1104" s="203">
        <v>45217.704374108798</v>
      </c>
      <c r="J1104" s="121">
        <v>45223.708333333299</v>
      </c>
      <c r="K1104" s="121">
        <v>45217.704374108798</v>
      </c>
      <c r="L1104" s="203">
        <v>45223.708333333299</v>
      </c>
      <c r="M1104" s="204">
        <v>45223</v>
      </c>
      <c r="N1104" s="205" t="s">
        <v>10</v>
      </c>
      <c r="O1104" s="203" t="s">
        <v>27</v>
      </c>
      <c r="P1104" s="24"/>
      <c r="Q1104" s="60"/>
      <c r="R1104" s="60"/>
      <c r="S1104" s="18"/>
      <c r="T1104" s="24"/>
      <c r="U1104" s="68">
        <f>Tabla1[[#This Row],[PPTO]]/(1+'Lista Datos'!$B$1)</f>
        <v>0</v>
      </c>
      <c r="V1104" s="67"/>
      <c r="W1104" s="193"/>
      <c r="X1104" s="127"/>
      <c r="Y1104" s="127"/>
      <c r="Z1104" s="154"/>
      <c r="AA1104" s="30"/>
      <c r="AB1104" s="30"/>
      <c r="AC1104" s="30"/>
      <c r="AD1104" s="30"/>
      <c r="AE1104" s="145">
        <f>Tabla1[[#This Row],[Cierre]]+Tabla1[[#This Row],[Vigencia Oferta (días)]]</f>
        <v>45223.708333333299</v>
      </c>
      <c r="AF1104" s="68"/>
      <c r="AG1104" s="157"/>
      <c r="AH1104" s="194">
        <f>Tabla1[[#This Row],[Unidades2]]*Tabla1[[#This Row],[Precio Unitario]]</f>
        <v>0</v>
      </c>
      <c r="AI1104" s="97" t="s">
        <v>270</v>
      </c>
      <c r="AJ1104" s="149"/>
      <c r="AK1104" s="149">
        <f>Tabla1[[#This Row],[Fecha Vigencia]]-AJ1104</f>
        <v>45223.708333333299</v>
      </c>
      <c r="AL1104" s="68"/>
      <c r="AM1104" s="91"/>
      <c r="AN1104" s="68"/>
      <c r="AO1104" s="218"/>
      <c r="AP1104" s="68"/>
      <c r="AQ1104" s="69"/>
      <c r="AR1104" s="68"/>
      <c r="AS1104" s="68"/>
      <c r="AT1104" s="68"/>
      <c r="AU1104" s="68"/>
      <c r="AV1104" s="68"/>
      <c r="AW1104" s="68"/>
      <c r="AX1104" s="68"/>
      <c r="AY1104" s="30"/>
      <c r="AZ1104" s="30"/>
      <c r="BA1104" s="30"/>
      <c r="BB1104" s="75"/>
    </row>
    <row r="1105" spans="1:54" x14ac:dyDescent="0.25">
      <c r="A1105" s="153" t="s">
        <v>5232</v>
      </c>
      <c r="B1105" s="30" t="s">
        <v>5233</v>
      </c>
      <c r="C1105" s="30" t="s">
        <v>5234</v>
      </c>
      <c r="D1105" s="84" t="s">
        <v>3184</v>
      </c>
      <c r="E1105" s="24" t="s">
        <v>5235</v>
      </c>
      <c r="F1105" s="25">
        <v>2</v>
      </c>
      <c r="G1105" s="30" t="s">
        <v>21</v>
      </c>
      <c r="H1105" s="30" t="s">
        <v>106</v>
      </c>
      <c r="I1105" s="203">
        <v>45217.440849455998</v>
      </c>
      <c r="J1105" s="38">
        <v>45223.375</v>
      </c>
      <c r="K1105" s="38">
        <v>45217.440849455998</v>
      </c>
      <c r="L1105" s="203">
        <v>45223.375</v>
      </c>
      <c r="M1105" s="204">
        <v>45223</v>
      </c>
      <c r="N1105" s="205" t="s">
        <v>10</v>
      </c>
      <c r="O1105" s="203" t="s">
        <v>27</v>
      </c>
      <c r="P1105" s="24"/>
      <c r="Q1105" s="60"/>
      <c r="R1105" s="60"/>
      <c r="S1105" s="18"/>
      <c r="T1105" s="24"/>
      <c r="U1105" s="68">
        <f>Tabla1[[#This Row],[PPTO]]/(1+'Lista Datos'!$B$1)</f>
        <v>0</v>
      </c>
      <c r="V1105" s="67"/>
      <c r="W1105" s="193"/>
      <c r="X1105" s="127"/>
      <c r="Y1105" s="127"/>
      <c r="Z1105" s="154"/>
      <c r="AA1105" s="30"/>
      <c r="AB1105" s="30"/>
      <c r="AC1105" s="30"/>
      <c r="AD1105" s="30"/>
      <c r="AE1105" s="145">
        <f>Tabla1[[#This Row],[Cierre]]+Tabla1[[#This Row],[Vigencia Oferta (días)]]</f>
        <v>45223.375</v>
      </c>
      <c r="AF1105" s="68"/>
      <c r="AG1105" s="157"/>
      <c r="AH1105" s="194">
        <f>Tabla1[[#This Row],[Unidades2]]*Tabla1[[#This Row],[Precio Unitario]]</f>
        <v>0</v>
      </c>
      <c r="AI1105" s="97" t="s">
        <v>270</v>
      </c>
      <c r="AJ1105" s="149"/>
      <c r="AK1105" s="149">
        <f>Tabla1[[#This Row],[Fecha Vigencia]]-AJ1105</f>
        <v>45223.375</v>
      </c>
      <c r="AL1105" s="68"/>
      <c r="AM1105" s="91"/>
      <c r="AN1105" s="68"/>
      <c r="AO1105" s="218"/>
      <c r="AP1105" s="68"/>
      <c r="AQ1105" s="69"/>
      <c r="AR1105" s="68"/>
      <c r="AS1105" s="68"/>
      <c r="AT1105" s="68"/>
      <c r="AU1105" s="68"/>
      <c r="AV1105" s="68"/>
      <c r="AW1105" s="68"/>
      <c r="AX1105" s="68"/>
      <c r="AY1105" s="30"/>
      <c r="AZ1105" s="30"/>
      <c r="BA1105" s="30"/>
      <c r="BB1105" s="75"/>
    </row>
    <row r="1106" spans="1:54" x14ac:dyDescent="0.25">
      <c r="A1106" s="117" t="s">
        <v>5236</v>
      </c>
      <c r="B1106" s="118" t="s">
        <v>5237</v>
      </c>
      <c r="C1106" s="118" t="s">
        <v>5238</v>
      </c>
      <c r="D1106" s="119" t="s">
        <v>2406</v>
      </c>
      <c r="E1106" s="38" t="s">
        <v>5239</v>
      </c>
      <c r="F1106" s="39">
        <v>4</v>
      </c>
      <c r="G1106" s="118" t="s">
        <v>21</v>
      </c>
      <c r="H1106" s="118" t="s">
        <v>106</v>
      </c>
      <c r="I1106" s="206">
        <v>45217.405382638899</v>
      </c>
      <c r="J1106" s="121">
        <v>45222.663194444402</v>
      </c>
      <c r="K1106" s="121">
        <v>45217.405382638899</v>
      </c>
      <c r="L1106" s="206">
        <v>45222.663194444402</v>
      </c>
      <c r="M1106" s="211">
        <v>45223</v>
      </c>
      <c r="N1106" s="207" t="s">
        <v>10</v>
      </c>
      <c r="O1106" s="206" t="s">
        <v>27</v>
      </c>
      <c r="P1106" s="38"/>
      <c r="Q1106" s="121"/>
      <c r="R1106" s="121"/>
      <c r="S1106" s="19"/>
      <c r="T1106" s="38"/>
      <c r="U1106" s="65">
        <f>Tabla1[[#This Row],[PPTO]]/(1+'Lista Datos'!$B$1)</f>
        <v>0</v>
      </c>
      <c r="V1106" s="64"/>
      <c r="W1106" s="191"/>
      <c r="X1106" s="122"/>
      <c r="Y1106" s="122"/>
      <c r="Z1106" s="123"/>
      <c r="AA1106" s="118"/>
      <c r="AB1106" s="118"/>
      <c r="AC1106" s="118"/>
      <c r="AD1106" s="118"/>
      <c r="AE1106" s="145">
        <f>Tabla1[[#This Row],[Cierre]]+Tabla1[[#This Row],[Vigencia Oferta (días)]]</f>
        <v>45222.663194444402</v>
      </c>
      <c r="AF1106" s="65"/>
      <c r="AG1106" s="181"/>
      <c r="AH1106" s="192">
        <f>Tabla1[[#This Row],[Unidades2]]*Tabla1[[#This Row],[Precio Unitario]]</f>
        <v>0</v>
      </c>
      <c r="AI1106" s="126" t="s">
        <v>270</v>
      </c>
      <c r="AJ1106" s="149"/>
      <c r="AK1106" s="149">
        <f>Tabla1[[#This Row],[Fecha Vigencia]]-AJ1106</f>
        <v>45222.663194444402</v>
      </c>
      <c r="AL1106" s="65"/>
      <c r="AM1106" s="90"/>
      <c r="AN1106" s="65"/>
      <c r="AO1106" s="217"/>
      <c r="AP1106" s="65"/>
      <c r="AQ1106" s="66"/>
      <c r="AR1106" s="65"/>
      <c r="AS1106" s="65"/>
      <c r="AT1106" s="65"/>
      <c r="AU1106" s="65"/>
      <c r="AV1106" s="65"/>
      <c r="AW1106" s="65"/>
      <c r="AX1106" s="65"/>
      <c r="AY1106" s="118"/>
      <c r="AZ1106" s="118"/>
      <c r="BA1106" s="118"/>
      <c r="BB1106" s="124"/>
    </row>
    <row r="1107" spans="1:54" x14ac:dyDescent="0.25">
      <c r="A1107" s="153" t="s">
        <v>5240</v>
      </c>
      <c r="B1107" s="30" t="s">
        <v>5241</v>
      </c>
      <c r="C1107" s="30" t="s">
        <v>5242</v>
      </c>
      <c r="D1107" s="84" t="s">
        <v>2947</v>
      </c>
      <c r="E1107" s="24" t="s">
        <v>5243</v>
      </c>
      <c r="F1107" s="25">
        <v>4</v>
      </c>
      <c r="G1107" s="30" t="s">
        <v>14</v>
      </c>
      <c r="H1107" s="30" t="s">
        <v>520</v>
      </c>
      <c r="I1107" s="203">
        <v>45223.786098495402</v>
      </c>
      <c r="J1107" s="38">
        <v>45233.625694444403</v>
      </c>
      <c r="K1107" s="38">
        <v>45223.786098495402</v>
      </c>
      <c r="L1107" s="203">
        <v>45233.625694444403</v>
      </c>
      <c r="M1107" s="204">
        <v>45224</v>
      </c>
      <c r="N1107" s="205" t="s">
        <v>10</v>
      </c>
      <c r="O1107" s="203" t="s">
        <v>27</v>
      </c>
      <c r="P1107" s="24"/>
      <c r="Q1107" s="60"/>
      <c r="R1107" s="60"/>
      <c r="S1107" s="18"/>
      <c r="T1107" s="24"/>
      <c r="U1107" s="68">
        <f>Tabla1[[#This Row],[PPTO]]/(1+'Lista Datos'!$B$1)</f>
        <v>0</v>
      </c>
      <c r="V1107" s="67"/>
      <c r="W1107" s="193"/>
      <c r="X1107" s="127"/>
      <c r="Y1107" s="127"/>
      <c r="Z1107" s="154"/>
      <c r="AA1107" s="30"/>
      <c r="AB1107" s="30"/>
      <c r="AC1107" s="30"/>
      <c r="AD1107" s="30"/>
      <c r="AE1107" s="145">
        <f>Tabla1[[#This Row],[Cierre]]+Tabla1[[#This Row],[Vigencia Oferta (días)]]</f>
        <v>45233.625694444403</v>
      </c>
      <c r="AF1107" s="68"/>
      <c r="AG1107" s="157"/>
      <c r="AH1107" s="194">
        <f>Tabla1[[#This Row],[Unidades2]]*Tabla1[[#This Row],[Precio Unitario]]</f>
        <v>0</v>
      </c>
      <c r="AI1107" s="97" t="s">
        <v>270</v>
      </c>
      <c r="AJ1107" s="149"/>
      <c r="AK1107" s="149">
        <f>Tabla1[[#This Row],[Fecha Vigencia]]-AJ1107</f>
        <v>45233.625694444403</v>
      </c>
      <c r="AL1107" s="68"/>
      <c r="AM1107" s="91"/>
      <c r="AN1107" s="68"/>
      <c r="AO1107" s="218"/>
      <c r="AP1107" s="68"/>
      <c r="AQ1107" s="69"/>
      <c r="AR1107" s="68"/>
      <c r="AS1107" s="68"/>
      <c r="AT1107" s="68"/>
      <c r="AU1107" s="68"/>
      <c r="AV1107" s="68"/>
      <c r="AW1107" s="68"/>
      <c r="AX1107" s="68"/>
      <c r="AY1107" s="30"/>
      <c r="AZ1107" s="30"/>
      <c r="BA1107" s="30"/>
      <c r="BB1107" s="75"/>
    </row>
    <row r="1108" spans="1:54" x14ac:dyDescent="0.25">
      <c r="A1108" s="153" t="s">
        <v>5244</v>
      </c>
      <c r="B1108" s="30" t="s">
        <v>5245</v>
      </c>
      <c r="C1108" s="30" t="s">
        <v>5246</v>
      </c>
      <c r="D1108" s="84" t="s">
        <v>357</v>
      </c>
      <c r="E1108" s="24" t="s">
        <v>5247</v>
      </c>
      <c r="F1108" s="25">
        <v>1</v>
      </c>
      <c r="G1108" s="30" t="s">
        <v>21</v>
      </c>
      <c r="H1108" s="30" t="s">
        <v>106</v>
      </c>
      <c r="I1108" s="203">
        <v>45223.737048298601</v>
      </c>
      <c r="J1108" s="121">
        <v>45229.666666666701</v>
      </c>
      <c r="K1108" s="121">
        <v>45223.737048298601</v>
      </c>
      <c r="L1108" s="203">
        <v>45229.666666666701</v>
      </c>
      <c r="M1108" s="204">
        <v>45224</v>
      </c>
      <c r="N1108" s="207" t="s">
        <v>10</v>
      </c>
      <c r="O1108" s="206" t="s">
        <v>5006</v>
      </c>
      <c r="P1108" s="24"/>
      <c r="Q1108" s="160">
        <v>45226.375</v>
      </c>
      <c r="R1108" s="160">
        <v>45226.708333333336</v>
      </c>
      <c r="S1108" s="161">
        <v>45260.801388888889</v>
      </c>
      <c r="T1108" s="24"/>
      <c r="U1108" s="68">
        <f>Tabla1[[#This Row],[PPTO]]/(1+'Lista Datos'!$B$1)</f>
        <v>0</v>
      </c>
      <c r="V1108" s="67"/>
      <c r="W1108" s="193" t="s">
        <v>10</v>
      </c>
      <c r="X1108" s="127"/>
      <c r="Y1108" s="127"/>
      <c r="Z1108" s="154" t="s">
        <v>10</v>
      </c>
      <c r="AA1108" s="30" t="s">
        <v>512</v>
      </c>
      <c r="AB1108" s="30"/>
      <c r="AC1108" s="30"/>
      <c r="AD1108" s="30"/>
      <c r="AE1108" s="145">
        <f>Tabla1[[#This Row],[Cierre]]+Tabla1[[#This Row],[Vigencia Oferta (días)]]</f>
        <v>45229.666666666701</v>
      </c>
      <c r="AF1108" s="68"/>
      <c r="AG1108" s="157"/>
      <c r="AH1108" s="194">
        <f>Tabla1[[#This Row],[Unidades2]]*Tabla1[[#This Row],[Precio Unitario]]</f>
        <v>0</v>
      </c>
      <c r="AI1108" s="97" t="s">
        <v>270</v>
      </c>
      <c r="AJ1108" s="149"/>
      <c r="AK1108" s="149">
        <f>Tabla1[[#This Row],[Fecha Vigencia]]-AJ1108</f>
        <v>45229.666666666701</v>
      </c>
      <c r="AL1108" s="68"/>
      <c r="AM1108" s="91"/>
      <c r="AN1108" s="68"/>
      <c r="AO1108" s="218"/>
      <c r="AP1108" s="68"/>
      <c r="AQ1108" s="69"/>
      <c r="AR1108" s="68"/>
      <c r="AS1108" s="68"/>
      <c r="AT1108" s="68"/>
      <c r="AU1108" s="68"/>
      <c r="AV1108" s="68"/>
      <c r="AW1108" s="68"/>
      <c r="AX1108" s="68"/>
      <c r="AY1108" s="30"/>
      <c r="AZ1108" s="30"/>
      <c r="BA1108" s="30"/>
      <c r="BB1108" s="75"/>
    </row>
    <row r="1109" spans="1:54" x14ac:dyDescent="0.25">
      <c r="A1109" s="153" t="s">
        <v>5248</v>
      </c>
      <c r="B1109" s="30" t="s">
        <v>5249</v>
      </c>
      <c r="C1109" s="30" t="s">
        <v>5250</v>
      </c>
      <c r="D1109" s="84" t="s">
        <v>3445</v>
      </c>
      <c r="E1109" s="24" t="s">
        <v>5251</v>
      </c>
      <c r="F1109" s="25">
        <v>8</v>
      </c>
      <c r="G1109" s="30" t="s">
        <v>21</v>
      </c>
      <c r="H1109" s="30" t="s">
        <v>106</v>
      </c>
      <c r="I1109" s="203">
        <v>45223.699014236103</v>
      </c>
      <c r="J1109" s="121">
        <v>45232.675694444399</v>
      </c>
      <c r="K1109" s="121">
        <v>45223.699014236103</v>
      </c>
      <c r="L1109" s="203">
        <v>45232.675694444399</v>
      </c>
      <c r="M1109" s="204">
        <v>45224</v>
      </c>
      <c r="N1109" s="205" t="s">
        <v>10</v>
      </c>
      <c r="O1109" s="203" t="s">
        <v>27</v>
      </c>
      <c r="P1109" s="24"/>
      <c r="Q1109" s="60"/>
      <c r="R1109" s="60"/>
      <c r="S1109" s="18"/>
      <c r="T1109" s="24"/>
      <c r="U1109" s="68">
        <f>Tabla1[[#This Row],[PPTO]]/(1+'Lista Datos'!$B$1)</f>
        <v>0</v>
      </c>
      <c r="V1109" s="67"/>
      <c r="W1109" s="193"/>
      <c r="X1109" s="127"/>
      <c r="Y1109" s="127"/>
      <c r="Z1109" s="154"/>
      <c r="AA1109" s="30"/>
      <c r="AB1109" s="30"/>
      <c r="AC1109" s="30"/>
      <c r="AD1109" s="30"/>
      <c r="AE1109" s="145">
        <f>Tabla1[[#This Row],[Cierre]]+Tabla1[[#This Row],[Vigencia Oferta (días)]]</f>
        <v>45232.675694444399</v>
      </c>
      <c r="AF1109" s="68"/>
      <c r="AG1109" s="157"/>
      <c r="AH1109" s="194">
        <f>Tabla1[[#This Row],[Unidades2]]*Tabla1[[#This Row],[Precio Unitario]]</f>
        <v>0</v>
      </c>
      <c r="AI1109" s="97" t="s">
        <v>270</v>
      </c>
      <c r="AJ1109" s="149"/>
      <c r="AK1109" s="149">
        <f>Tabla1[[#This Row],[Fecha Vigencia]]-AJ1109</f>
        <v>45232.675694444399</v>
      </c>
      <c r="AL1109" s="68"/>
      <c r="AM1109" s="91"/>
      <c r="AN1109" s="68"/>
      <c r="AO1109" s="218"/>
      <c r="AP1109" s="68"/>
      <c r="AQ1109" s="69"/>
      <c r="AR1109" s="68"/>
      <c r="AS1109" s="68"/>
      <c r="AT1109" s="68"/>
      <c r="AU1109" s="68"/>
      <c r="AV1109" s="68"/>
      <c r="AW1109" s="68"/>
      <c r="AX1109" s="68"/>
      <c r="AY1109" s="30"/>
      <c r="AZ1109" s="30"/>
      <c r="BA1109" s="30"/>
      <c r="BB1109" s="75"/>
    </row>
    <row r="1110" spans="1:54" x14ac:dyDescent="0.25">
      <c r="A1110" s="117" t="s">
        <v>5252</v>
      </c>
      <c r="B1110" s="118" t="s">
        <v>5253</v>
      </c>
      <c r="C1110" s="118" t="s">
        <v>5254</v>
      </c>
      <c r="D1110" s="119" t="s">
        <v>1836</v>
      </c>
      <c r="E1110" s="38" t="s">
        <v>5255</v>
      </c>
      <c r="F1110" s="39">
        <v>1</v>
      </c>
      <c r="G1110" s="118" t="s">
        <v>3716</v>
      </c>
      <c r="H1110" s="118" t="s">
        <v>213</v>
      </c>
      <c r="I1110" s="206">
        <v>45223.637478391203</v>
      </c>
      <c r="J1110" s="121">
        <v>45233.729166666701</v>
      </c>
      <c r="K1110" s="121">
        <v>45223.637478391203</v>
      </c>
      <c r="L1110" s="206">
        <v>45233.729166666701</v>
      </c>
      <c r="M1110" s="211">
        <v>45224</v>
      </c>
      <c r="N1110" s="207" t="s">
        <v>10</v>
      </c>
      <c r="O1110" s="206" t="s">
        <v>28</v>
      </c>
      <c r="P1110" s="38"/>
      <c r="Q1110" s="147">
        <v>45225.729166666664</v>
      </c>
      <c r="R1110" s="147">
        <v>45230.729166666664</v>
      </c>
      <c r="S1110" s="148">
        <v>45322.729166666664</v>
      </c>
      <c r="T1110" s="215">
        <v>10674300</v>
      </c>
      <c r="U1110" s="214">
        <f>Tabla1[[#This Row],[PPTO]]/(1+'Lista Datos'!$B$1)</f>
        <v>8970000</v>
      </c>
      <c r="V1110" s="64"/>
      <c r="W1110" s="191" t="s">
        <v>10</v>
      </c>
      <c r="X1110" s="122"/>
      <c r="Y1110" s="122"/>
      <c r="Z1110" s="123" t="s">
        <v>10</v>
      </c>
      <c r="AA1110" s="118" t="s">
        <v>512</v>
      </c>
      <c r="AB1110" s="118"/>
      <c r="AC1110" s="118"/>
      <c r="AD1110" s="118"/>
      <c r="AE1110" s="145">
        <f>Tabla1[[#This Row],[Cierre]]+Tabla1[[#This Row],[Vigencia Oferta (días)]]</f>
        <v>45233.729166666701</v>
      </c>
      <c r="AF1110" s="65"/>
      <c r="AG1110" s="181"/>
      <c r="AH1110" s="192">
        <f>Tabla1[[#This Row],[Unidades2]]*Tabla1[[#This Row],[Precio Unitario]]</f>
        <v>0</v>
      </c>
      <c r="AI1110" s="126" t="s">
        <v>270</v>
      </c>
      <c r="AJ1110" s="149"/>
      <c r="AK1110" s="149">
        <f>Tabla1[[#This Row],[Fecha Vigencia]]-AJ1110</f>
        <v>45233.729166666701</v>
      </c>
      <c r="AL1110" s="65"/>
      <c r="AM1110" s="90"/>
      <c r="AN1110" s="65"/>
      <c r="AO1110" s="217"/>
      <c r="AP1110" s="65"/>
      <c r="AQ1110" s="66"/>
      <c r="AR1110" s="65"/>
      <c r="AS1110" s="65"/>
      <c r="AT1110" s="65"/>
      <c r="AU1110" s="65"/>
      <c r="AV1110" s="65"/>
      <c r="AW1110" s="65"/>
      <c r="AX1110" s="65"/>
      <c r="AY1110" s="118"/>
      <c r="AZ1110" s="118"/>
      <c r="BA1110" s="118"/>
      <c r="BB1110" s="124"/>
    </row>
    <row r="1111" spans="1:54" x14ac:dyDescent="0.25">
      <c r="A1111" s="153" t="s">
        <v>5256</v>
      </c>
      <c r="B1111" s="30" t="s">
        <v>5257</v>
      </c>
      <c r="C1111" s="30" t="s">
        <v>5258</v>
      </c>
      <c r="D1111" s="84" t="s">
        <v>3678</v>
      </c>
      <c r="E1111" s="24" t="s">
        <v>5259</v>
      </c>
      <c r="F1111" s="25">
        <v>3</v>
      </c>
      <c r="G1111" s="30" t="s">
        <v>21</v>
      </c>
      <c r="H1111" s="30" t="s">
        <v>106</v>
      </c>
      <c r="I1111" s="203">
        <v>45223.525482141202</v>
      </c>
      <c r="J1111" s="38">
        <v>45229.708333333299</v>
      </c>
      <c r="K1111" s="38">
        <v>45223.525482141202</v>
      </c>
      <c r="L1111" s="203">
        <v>45229.708333333299</v>
      </c>
      <c r="M1111" s="204">
        <v>45224</v>
      </c>
      <c r="N1111" s="207" t="s">
        <v>10</v>
      </c>
      <c r="O1111" s="206" t="s">
        <v>5006</v>
      </c>
      <c r="P1111" s="24"/>
      <c r="Q1111" s="160">
        <v>45224.666666666664</v>
      </c>
      <c r="R1111" s="160">
        <v>45225.6875</v>
      </c>
      <c r="S1111" s="161">
        <v>45232.708333333336</v>
      </c>
      <c r="T1111" s="24"/>
      <c r="U1111" s="68">
        <f>Tabla1[[#This Row],[PPTO]]/(1+'Lista Datos'!$B$1)</f>
        <v>0</v>
      </c>
      <c r="V1111" s="67"/>
      <c r="W1111" s="193" t="s">
        <v>10</v>
      </c>
      <c r="X1111" s="127"/>
      <c r="Y1111" s="127"/>
      <c r="Z1111" s="154" t="s">
        <v>10</v>
      </c>
      <c r="AA1111" s="30" t="s">
        <v>512</v>
      </c>
      <c r="AB1111" s="30"/>
      <c r="AC1111" s="30"/>
      <c r="AD1111" s="30"/>
      <c r="AE1111" s="145">
        <f>Tabla1[[#This Row],[Cierre]]+Tabla1[[#This Row],[Vigencia Oferta (días)]]</f>
        <v>45229.708333333299</v>
      </c>
      <c r="AF1111" s="68"/>
      <c r="AG1111" s="157"/>
      <c r="AH1111" s="194">
        <f>Tabla1[[#This Row],[Unidades2]]*Tabla1[[#This Row],[Precio Unitario]]</f>
        <v>0</v>
      </c>
      <c r="AI1111" s="97" t="s">
        <v>270</v>
      </c>
      <c r="AJ1111" s="149"/>
      <c r="AK1111" s="149">
        <f>Tabla1[[#This Row],[Fecha Vigencia]]-AJ1111</f>
        <v>45229.708333333299</v>
      </c>
      <c r="AL1111" s="68"/>
      <c r="AM1111" s="91"/>
      <c r="AN1111" s="68"/>
      <c r="AO1111" s="218"/>
      <c r="AP1111" s="68"/>
      <c r="AQ1111" s="69"/>
      <c r="AR1111" s="68"/>
      <c r="AS1111" s="68"/>
      <c r="AT1111" s="68"/>
      <c r="AU1111" s="68"/>
      <c r="AV1111" s="68"/>
      <c r="AW1111" s="68"/>
      <c r="AX1111" s="68"/>
      <c r="AY1111" s="30"/>
      <c r="AZ1111" s="30"/>
      <c r="BA1111" s="30"/>
      <c r="BB1111" s="75"/>
    </row>
    <row r="1112" spans="1:54" x14ac:dyDescent="0.25">
      <c r="A1112" s="153" t="s">
        <v>5260</v>
      </c>
      <c r="B1112" s="30" t="s">
        <v>5261</v>
      </c>
      <c r="C1112" s="30" t="s">
        <v>5262</v>
      </c>
      <c r="D1112" s="84" t="s">
        <v>5263</v>
      </c>
      <c r="E1112" s="24" t="s">
        <v>5264</v>
      </c>
      <c r="F1112" s="25">
        <v>4</v>
      </c>
      <c r="G1112" s="30" t="s">
        <v>21</v>
      </c>
      <c r="H1112" s="30" t="s">
        <v>106</v>
      </c>
      <c r="I1112" s="203">
        <v>45223.485971296301</v>
      </c>
      <c r="J1112" s="121">
        <v>45233.75</v>
      </c>
      <c r="K1112" s="121">
        <v>45223.485971296301</v>
      </c>
      <c r="L1112" s="203">
        <v>45233.75</v>
      </c>
      <c r="M1112" s="204">
        <v>45224</v>
      </c>
      <c r="N1112" s="205" t="s">
        <v>11</v>
      </c>
      <c r="O1112" s="203"/>
      <c r="P1112" s="24"/>
      <c r="Q1112" s="160">
        <v>45225.75</v>
      </c>
      <c r="R1112" s="160">
        <v>45232.541666666664</v>
      </c>
      <c r="S1112" s="161">
        <v>45238.4375</v>
      </c>
      <c r="T1112" s="24"/>
      <c r="U1112" s="68">
        <f>Tabla1[[#This Row],[PPTO]]/(1+'Lista Datos'!$B$1)</f>
        <v>0</v>
      </c>
      <c r="V1112" s="67"/>
      <c r="W1112" s="193" t="s">
        <v>10</v>
      </c>
      <c r="X1112" s="127"/>
      <c r="Y1112" s="127"/>
      <c r="Z1112" s="154" t="s">
        <v>10</v>
      </c>
      <c r="AA1112" s="30" t="s">
        <v>177</v>
      </c>
      <c r="AB1112" s="30"/>
      <c r="AC1112" s="30"/>
      <c r="AD1112" s="30"/>
      <c r="AE1112" s="145">
        <f>Tabla1[[#This Row],[Cierre]]+Tabla1[[#This Row],[Vigencia Oferta (días)]]</f>
        <v>45233.75</v>
      </c>
      <c r="AF1112" s="68"/>
      <c r="AG1112" s="157"/>
      <c r="AH1112" s="194">
        <f>Tabla1[[#This Row],[Unidades2]]*Tabla1[[#This Row],[Precio Unitario]]</f>
        <v>0</v>
      </c>
      <c r="AI1112" s="97" t="s">
        <v>385</v>
      </c>
      <c r="AJ1112" s="149"/>
      <c r="AK1112" s="149">
        <f>Tabla1[[#This Row],[Fecha Vigencia]]-AJ1112</f>
        <v>45233.75</v>
      </c>
      <c r="AL1112" s="68"/>
      <c r="AM1112" s="91"/>
      <c r="AN1112" s="68"/>
      <c r="AO1112" s="218"/>
      <c r="AP1112" s="68"/>
      <c r="AQ1112" s="69"/>
      <c r="AR1112" s="68"/>
      <c r="AS1112" s="68"/>
      <c r="AT1112" s="68"/>
      <c r="AU1112" s="68"/>
      <c r="AV1112" s="68"/>
      <c r="AW1112" s="68"/>
      <c r="AX1112" s="68"/>
      <c r="AY1112" s="30"/>
      <c r="AZ1112" s="30"/>
      <c r="BA1112" s="30"/>
      <c r="BB1112" s="75"/>
    </row>
    <row r="1113" spans="1:54" x14ac:dyDescent="0.25">
      <c r="A1113" s="117" t="s">
        <v>5265</v>
      </c>
      <c r="B1113" s="118" t="s">
        <v>832</v>
      </c>
      <c r="C1113" s="118" t="s">
        <v>5266</v>
      </c>
      <c r="D1113" s="119" t="s">
        <v>3757</v>
      </c>
      <c r="E1113" s="38" t="s">
        <v>5267</v>
      </c>
      <c r="F1113" s="39">
        <v>1</v>
      </c>
      <c r="G1113" s="118" t="s">
        <v>16</v>
      </c>
      <c r="H1113" s="118" t="s">
        <v>520</v>
      </c>
      <c r="I1113" s="206">
        <v>45223.449406365697</v>
      </c>
      <c r="J1113" s="121">
        <v>45229.690972222197</v>
      </c>
      <c r="K1113" s="121">
        <v>45223.449406365697</v>
      </c>
      <c r="L1113" s="206">
        <v>45229.690972222197</v>
      </c>
      <c r="M1113" s="211">
        <v>45224</v>
      </c>
      <c r="N1113" s="207" t="s">
        <v>10</v>
      </c>
      <c r="O1113" s="206" t="s">
        <v>33</v>
      </c>
      <c r="P1113" s="38"/>
      <c r="Q1113" s="121"/>
      <c r="R1113" s="121"/>
      <c r="S1113" s="19"/>
      <c r="T1113" s="38"/>
      <c r="U1113" s="65">
        <f>Tabla1[[#This Row],[PPTO]]/(1+'Lista Datos'!$B$1)</f>
        <v>0</v>
      </c>
      <c r="V1113" s="64"/>
      <c r="W1113" s="191"/>
      <c r="X1113" s="122"/>
      <c r="Y1113" s="122"/>
      <c r="Z1113" s="123"/>
      <c r="AA1113" s="118"/>
      <c r="AB1113" s="118"/>
      <c r="AC1113" s="118"/>
      <c r="AD1113" s="118"/>
      <c r="AE1113" s="145">
        <f>Tabla1[[#This Row],[Cierre]]+Tabla1[[#This Row],[Vigencia Oferta (días)]]</f>
        <v>45229.690972222197</v>
      </c>
      <c r="AF1113" s="65"/>
      <c r="AG1113" s="181"/>
      <c r="AH1113" s="192">
        <f>Tabla1[[#This Row],[Unidades2]]*Tabla1[[#This Row],[Precio Unitario]]</f>
        <v>0</v>
      </c>
      <c r="AI1113" s="126" t="s">
        <v>270</v>
      </c>
      <c r="AJ1113" s="149"/>
      <c r="AK1113" s="149">
        <f>Tabla1[[#This Row],[Fecha Vigencia]]-AJ1113</f>
        <v>45229.690972222197</v>
      </c>
      <c r="AL1113" s="65"/>
      <c r="AM1113" s="90"/>
      <c r="AN1113" s="65"/>
      <c r="AO1113" s="217"/>
      <c r="AP1113" s="65"/>
      <c r="AQ1113" s="66"/>
      <c r="AR1113" s="65"/>
      <c r="AS1113" s="65"/>
      <c r="AT1113" s="65"/>
      <c r="AU1113" s="65"/>
      <c r="AV1113" s="65"/>
      <c r="AW1113" s="65"/>
      <c r="AX1113" s="65"/>
      <c r="AY1113" s="118"/>
      <c r="AZ1113" s="118"/>
      <c r="BA1113" s="118"/>
      <c r="BB1113" s="124"/>
    </row>
    <row r="1114" spans="1:54" x14ac:dyDescent="0.25">
      <c r="A1114" s="153" t="s">
        <v>5268</v>
      </c>
      <c r="B1114" s="30" t="s">
        <v>5269</v>
      </c>
      <c r="C1114" s="30" t="s">
        <v>5270</v>
      </c>
      <c r="D1114" s="84" t="s">
        <v>5271</v>
      </c>
      <c r="E1114" s="24" t="s">
        <v>5272</v>
      </c>
      <c r="F1114" s="25">
        <v>4</v>
      </c>
      <c r="G1114" s="30" t="s">
        <v>21</v>
      </c>
      <c r="H1114" s="30" t="s">
        <v>106</v>
      </c>
      <c r="I1114" s="203">
        <v>45223.447686921303</v>
      </c>
      <c r="J1114" s="38">
        <v>45229.708333333299</v>
      </c>
      <c r="K1114" s="38">
        <v>45223.447686921303</v>
      </c>
      <c r="L1114" s="203">
        <v>45229.708333333299</v>
      </c>
      <c r="M1114" s="204">
        <v>45224</v>
      </c>
      <c r="N1114" s="205" t="s">
        <v>10</v>
      </c>
      <c r="O1114" s="203" t="s">
        <v>27</v>
      </c>
      <c r="P1114" s="24"/>
      <c r="Q1114" s="60"/>
      <c r="R1114" s="60"/>
      <c r="S1114" s="18"/>
      <c r="T1114" s="24"/>
      <c r="U1114" s="68">
        <f>Tabla1[[#This Row],[PPTO]]/(1+'Lista Datos'!$B$1)</f>
        <v>0</v>
      </c>
      <c r="V1114" s="67"/>
      <c r="W1114" s="193"/>
      <c r="X1114" s="127"/>
      <c r="Y1114" s="127"/>
      <c r="Z1114" s="154"/>
      <c r="AA1114" s="30"/>
      <c r="AB1114" s="30"/>
      <c r="AC1114" s="30"/>
      <c r="AD1114" s="30"/>
      <c r="AE1114" s="145">
        <f>Tabla1[[#This Row],[Cierre]]+Tabla1[[#This Row],[Vigencia Oferta (días)]]</f>
        <v>45229.708333333299</v>
      </c>
      <c r="AF1114" s="68"/>
      <c r="AG1114" s="157"/>
      <c r="AH1114" s="194">
        <f>Tabla1[[#This Row],[Unidades2]]*Tabla1[[#This Row],[Precio Unitario]]</f>
        <v>0</v>
      </c>
      <c r="AI1114" s="97" t="s">
        <v>270</v>
      </c>
      <c r="AJ1114" s="149"/>
      <c r="AK1114" s="149">
        <f>Tabla1[[#This Row],[Fecha Vigencia]]-AJ1114</f>
        <v>45229.708333333299</v>
      </c>
      <c r="AL1114" s="68"/>
      <c r="AM1114" s="91"/>
      <c r="AN1114" s="68"/>
      <c r="AO1114" s="218"/>
      <c r="AP1114" s="68"/>
      <c r="AQ1114" s="69"/>
      <c r="AR1114" s="68"/>
      <c r="AS1114" s="68"/>
      <c r="AT1114" s="68"/>
      <c r="AU1114" s="68"/>
      <c r="AV1114" s="68"/>
      <c r="AW1114" s="68"/>
      <c r="AX1114" s="68"/>
      <c r="AY1114" s="30"/>
      <c r="AZ1114" s="30"/>
      <c r="BA1114" s="30"/>
      <c r="BB1114" s="75"/>
    </row>
    <row r="1115" spans="1:54" x14ac:dyDescent="0.25">
      <c r="A1115" s="153" t="s">
        <v>5273</v>
      </c>
      <c r="B1115" s="30" t="s">
        <v>5274</v>
      </c>
      <c r="C1115" s="30" t="s">
        <v>5275</v>
      </c>
      <c r="D1115" s="84" t="s">
        <v>5276</v>
      </c>
      <c r="E1115" s="24" t="s">
        <v>5277</v>
      </c>
      <c r="F1115" s="25">
        <v>1</v>
      </c>
      <c r="G1115" s="30" t="s">
        <v>16</v>
      </c>
      <c r="H1115" s="30" t="s">
        <v>123</v>
      </c>
      <c r="I1115" s="203">
        <v>45222.902263622702</v>
      </c>
      <c r="J1115" s="121">
        <v>45232.646527777797</v>
      </c>
      <c r="K1115" s="121">
        <v>45222.902263622702</v>
      </c>
      <c r="L1115" s="203">
        <v>45232.646527777797</v>
      </c>
      <c r="M1115" s="204">
        <v>45224</v>
      </c>
      <c r="N1115" s="205" t="s">
        <v>10</v>
      </c>
      <c r="O1115" s="203" t="s">
        <v>33</v>
      </c>
      <c r="P1115" s="24"/>
      <c r="Q1115" s="60"/>
      <c r="R1115" s="60"/>
      <c r="S1115" s="18"/>
      <c r="T1115" s="24"/>
      <c r="U1115" s="68">
        <f>Tabla1[[#This Row],[PPTO]]/(1+'Lista Datos'!$B$1)</f>
        <v>0</v>
      </c>
      <c r="V1115" s="67"/>
      <c r="W1115" s="193"/>
      <c r="X1115" s="127"/>
      <c r="Y1115" s="127"/>
      <c r="Z1115" s="154"/>
      <c r="AA1115" s="30"/>
      <c r="AB1115" s="30"/>
      <c r="AC1115" s="30"/>
      <c r="AD1115" s="30"/>
      <c r="AE1115" s="145">
        <f>Tabla1[[#This Row],[Cierre]]+Tabla1[[#This Row],[Vigencia Oferta (días)]]</f>
        <v>45232.646527777797</v>
      </c>
      <c r="AF1115" s="68"/>
      <c r="AG1115" s="157"/>
      <c r="AH1115" s="194">
        <f>Tabla1[[#This Row],[Unidades2]]*Tabla1[[#This Row],[Precio Unitario]]</f>
        <v>0</v>
      </c>
      <c r="AI1115" s="97" t="s">
        <v>270</v>
      </c>
      <c r="AJ1115" s="149"/>
      <c r="AK1115" s="149">
        <f>Tabla1[[#This Row],[Fecha Vigencia]]-AJ1115</f>
        <v>45232.646527777797</v>
      </c>
      <c r="AL1115" s="68"/>
      <c r="AM1115" s="91"/>
      <c r="AN1115" s="68"/>
      <c r="AO1115" s="218"/>
      <c r="AP1115" s="68"/>
      <c r="AQ1115" s="69"/>
      <c r="AR1115" s="68"/>
      <c r="AS1115" s="68"/>
      <c r="AT1115" s="68"/>
      <c r="AU1115" s="68"/>
      <c r="AV1115" s="68"/>
      <c r="AW1115" s="68"/>
      <c r="AX1115" s="68"/>
      <c r="AY1115" s="30"/>
      <c r="AZ1115" s="30"/>
      <c r="BA1115" s="30"/>
      <c r="BB1115" s="75"/>
    </row>
    <row r="1116" spans="1:54" x14ac:dyDescent="0.25">
      <c r="A1116" s="153" t="s">
        <v>5278</v>
      </c>
      <c r="B1116" s="30" t="s">
        <v>5279</v>
      </c>
      <c r="C1116" s="30" t="s">
        <v>5280</v>
      </c>
      <c r="D1116" s="84" t="s">
        <v>566</v>
      </c>
      <c r="E1116" s="24" t="s">
        <v>4439</v>
      </c>
      <c r="F1116" s="25">
        <v>4</v>
      </c>
      <c r="G1116" s="30" t="s">
        <v>21</v>
      </c>
      <c r="H1116" s="30" t="s">
        <v>106</v>
      </c>
      <c r="I1116" s="203">
        <v>45222.771299340297</v>
      </c>
      <c r="J1116" s="121">
        <v>45232.645833333299</v>
      </c>
      <c r="K1116" s="121">
        <v>45222.771299340297</v>
      </c>
      <c r="L1116" s="203">
        <v>45232.645833333299</v>
      </c>
      <c r="M1116" s="204">
        <v>45224</v>
      </c>
      <c r="N1116" s="205" t="s">
        <v>10</v>
      </c>
      <c r="O1116" s="203" t="s">
        <v>27</v>
      </c>
      <c r="P1116" s="24"/>
      <c r="Q1116" s="60"/>
      <c r="R1116" s="60"/>
      <c r="S1116" s="18"/>
      <c r="T1116" s="24"/>
      <c r="U1116" s="68">
        <f>Tabla1[[#This Row],[PPTO]]/(1+'Lista Datos'!$B$1)</f>
        <v>0</v>
      </c>
      <c r="V1116" s="67"/>
      <c r="W1116" s="193"/>
      <c r="X1116" s="127"/>
      <c r="Y1116" s="127"/>
      <c r="Z1116" s="154"/>
      <c r="AA1116" s="30"/>
      <c r="AB1116" s="30"/>
      <c r="AC1116" s="30"/>
      <c r="AD1116" s="30"/>
      <c r="AE1116" s="145">
        <f>Tabla1[[#This Row],[Cierre]]+Tabla1[[#This Row],[Vigencia Oferta (días)]]</f>
        <v>45232.645833333299</v>
      </c>
      <c r="AF1116" s="68"/>
      <c r="AG1116" s="157"/>
      <c r="AH1116" s="194">
        <f>Tabla1[[#This Row],[Unidades2]]*Tabla1[[#This Row],[Precio Unitario]]</f>
        <v>0</v>
      </c>
      <c r="AI1116" s="97" t="s">
        <v>270</v>
      </c>
      <c r="AJ1116" s="149"/>
      <c r="AK1116" s="149">
        <f>Tabla1[[#This Row],[Fecha Vigencia]]-AJ1116</f>
        <v>45232.645833333299</v>
      </c>
      <c r="AL1116" s="68"/>
      <c r="AM1116" s="91"/>
      <c r="AN1116" s="68"/>
      <c r="AO1116" s="218"/>
      <c r="AP1116" s="68"/>
      <c r="AQ1116" s="69"/>
      <c r="AR1116" s="68"/>
      <c r="AS1116" s="68"/>
      <c r="AT1116" s="68"/>
      <c r="AU1116" s="68"/>
      <c r="AV1116" s="68"/>
      <c r="AW1116" s="68"/>
      <c r="AX1116" s="68"/>
      <c r="AY1116" s="30"/>
      <c r="AZ1116" s="30"/>
      <c r="BA1116" s="30"/>
      <c r="BB1116" s="75"/>
    </row>
    <row r="1117" spans="1:54" x14ac:dyDescent="0.25">
      <c r="A1117" s="153" t="s">
        <v>5281</v>
      </c>
      <c r="B1117" s="30" t="s">
        <v>5282</v>
      </c>
      <c r="C1117" s="30" t="s">
        <v>5283</v>
      </c>
      <c r="D1117" s="84" t="s">
        <v>2990</v>
      </c>
      <c r="E1117" s="24" t="s">
        <v>5284</v>
      </c>
      <c r="F1117" s="25">
        <v>9</v>
      </c>
      <c r="G1117" s="30" t="s">
        <v>21</v>
      </c>
      <c r="H1117" s="30" t="s">
        <v>106</v>
      </c>
      <c r="I1117" s="203">
        <v>45222.694019131901</v>
      </c>
      <c r="J1117" s="121">
        <v>45232.632638888899</v>
      </c>
      <c r="K1117" s="121">
        <v>45222.694019131901</v>
      </c>
      <c r="L1117" s="203">
        <v>45232.632638888899</v>
      </c>
      <c r="M1117" s="204">
        <v>45224</v>
      </c>
      <c r="N1117" s="205" t="s">
        <v>10</v>
      </c>
      <c r="O1117" s="206" t="s">
        <v>5006</v>
      </c>
      <c r="P1117" s="24"/>
      <c r="Q1117" s="160">
        <v>45224.416666666664</v>
      </c>
      <c r="R1117" s="160">
        <v>45225.708333333336</v>
      </c>
      <c r="S1117" s="161">
        <v>45278.708333333336</v>
      </c>
      <c r="T1117" s="210">
        <v>9309153</v>
      </c>
      <c r="U1117" s="209">
        <f>Tabla1[[#This Row],[PPTO]]/(1+'Lista Datos'!$B$1)</f>
        <v>7822817.6470588241</v>
      </c>
      <c r="V1117" s="67"/>
      <c r="W1117" s="193" t="s">
        <v>10</v>
      </c>
      <c r="X1117" s="127"/>
      <c r="Y1117" s="127"/>
      <c r="Z1117" s="154" t="s">
        <v>10</v>
      </c>
      <c r="AA1117" s="30" t="s">
        <v>512</v>
      </c>
      <c r="AB1117" s="30"/>
      <c r="AC1117" s="30"/>
      <c r="AD1117" s="30"/>
      <c r="AE1117" s="145">
        <f>Tabla1[[#This Row],[Cierre]]+Tabla1[[#This Row],[Vigencia Oferta (días)]]</f>
        <v>45232.632638888899</v>
      </c>
      <c r="AF1117" s="68"/>
      <c r="AG1117" s="157"/>
      <c r="AH1117" s="194">
        <f>Tabla1[[#This Row],[Unidades2]]*Tabla1[[#This Row],[Precio Unitario]]</f>
        <v>0</v>
      </c>
      <c r="AI1117" s="97" t="s">
        <v>270</v>
      </c>
      <c r="AJ1117" s="149"/>
      <c r="AK1117" s="149">
        <f>Tabla1[[#This Row],[Fecha Vigencia]]-AJ1117</f>
        <v>45232.632638888899</v>
      </c>
      <c r="AL1117" s="68"/>
      <c r="AM1117" s="91"/>
      <c r="AN1117" s="68"/>
      <c r="AO1117" s="218"/>
      <c r="AP1117" s="68"/>
      <c r="AQ1117" s="69"/>
      <c r="AR1117" s="68"/>
      <c r="AS1117" s="68"/>
      <c r="AT1117" s="68"/>
      <c r="AU1117" s="68"/>
      <c r="AV1117" s="68"/>
      <c r="AW1117" s="68"/>
      <c r="AX1117" s="68"/>
      <c r="AY1117" s="30"/>
      <c r="AZ1117" s="30"/>
      <c r="BA1117" s="30"/>
      <c r="BB1117" s="75"/>
    </row>
    <row r="1118" spans="1:54" x14ac:dyDescent="0.25">
      <c r="A1118" s="117" t="s">
        <v>5285</v>
      </c>
      <c r="B1118" s="118" t="s">
        <v>5286</v>
      </c>
      <c r="C1118" s="118" t="s">
        <v>5287</v>
      </c>
      <c r="D1118" s="119" t="s">
        <v>1148</v>
      </c>
      <c r="E1118" s="38" t="s">
        <v>5210</v>
      </c>
      <c r="F1118" s="39">
        <v>2</v>
      </c>
      <c r="G1118" s="118" t="s">
        <v>21</v>
      </c>
      <c r="H1118" s="118" t="s">
        <v>106</v>
      </c>
      <c r="I1118" s="206">
        <v>45222.654159062498</v>
      </c>
      <c r="J1118" s="121">
        <v>45232.735416666699</v>
      </c>
      <c r="K1118" s="121">
        <v>45222.654159062498</v>
      </c>
      <c r="L1118" s="206">
        <v>45232.735416666699</v>
      </c>
      <c r="M1118" s="211">
        <v>45224</v>
      </c>
      <c r="N1118" s="207" t="s">
        <v>10</v>
      </c>
      <c r="O1118" s="206" t="s">
        <v>27</v>
      </c>
      <c r="P1118" s="38"/>
      <c r="Q1118" s="121"/>
      <c r="R1118" s="121"/>
      <c r="S1118" s="19"/>
      <c r="T1118" s="38"/>
      <c r="U1118" s="65">
        <f>Tabla1[[#This Row],[PPTO]]/(1+'Lista Datos'!$B$1)</f>
        <v>0</v>
      </c>
      <c r="V1118" s="64"/>
      <c r="W1118" s="191"/>
      <c r="X1118" s="122"/>
      <c r="Y1118" s="122"/>
      <c r="Z1118" s="123"/>
      <c r="AA1118" s="118"/>
      <c r="AB1118" s="118"/>
      <c r="AC1118" s="118"/>
      <c r="AD1118" s="118"/>
      <c r="AE1118" s="145">
        <f>Tabla1[[#This Row],[Cierre]]+Tabla1[[#This Row],[Vigencia Oferta (días)]]</f>
        <v>45232.735416666699</v>
      </c>
      <c r="AF1118" s="65"/>
      <c r="AG1118" s="181"/>
      <c r="AH1118" s="192">
        <f>Tabla1[[#This Row],[Unidades2]]*Tabla1[[#This Row],[Precio Unitario]]</f>
        <v>0</v>
      </c>
      <c r="AI1118" s="126" t="s">
        <v>270</v>
      </c>
      <c r="AJ1118" s="149"/>
      <c r="AK1118" s="149">
        <f>Tabla1[[#This Row],[Fecha Vigencia]]-AJ1118</f>
        <v>45232.735416666699</v>
      </c>
      <c r="AL1118" s="65"/>
      <c r="AM1118" s="90"/>
      <c r="AN1118" s="65"/>
      <c r="AO1118" s="217"/>
      <c r="AP1118" s="65"/>
      <c r="AQ1118" s="66"/>
      <c r="AR1118" s="65"/>
      <c r="AS1118" s="65"/>
      <c r="AT1118" s="65"/>
      <c r="AU1118" s="65"/>
      <c r="AV1118" s="65"/>
      <c r="AW1118" s="65"/>
      <c r="AX1118" s="65"/>
      <c r="AY1118" s="118"/>
      <c r="AZ1118" s="118"/>
      <c r="BA1118" s="118"/>
      <c r="BB1118" s="124"/>
    </row>
    <row r="1119" spans="1:54" x14ac:dyDescent="0.25">
      <c r="A1119" s="153" t="s">
        <v>5288</v>
      </c>
      <c r="B1119" s="30" t="s">
        <v>5289</v>
      </c>
      <c r="C1119" s="30" t="s">
        <v>5290</v>
      </c>
      <c r="D1119" s="84" t="s">
        <v>5291</v>
      </c>
      <c r="E1119" s="24" t="s">
        <v>5292</v>
      </c>
      <c r="F1119" s="25">
        <v>42</v>
      </c>
      <c r="G1119" s="30" t="s">
        <v>16</v>
      </c>
      <c r="H1119" s="30" t="s">
        <v>520</v>
      </c>
      <c r="I1119" s="203">
        <v>45222.652387928203</v>
      </c>
      <c r="J1119" s="38">
        <v>45230.625</v>
      </c>
      <c r="K1119" s="38">
        <v>45222.652387928203</v>
      </c>
      <c r="L1119" s="203">
        <v>45230.625</v>
      </c>
      <c r="M1119" s="204">
        <v>45224</v>
      </c>
      <c r="N1119" s="205" t="s">
        <v>10</v>
      </c>
      <c r="O1119" s="203" t="s">
        <v>25</v>
      </c>
      <c r="P1119" s="24"/>
      <c r="Q1119" s="160">
        <v>45223.729166666664</v>
      </c>
      <c r="R1119" s="160">
        <v>45224.728472222225</v>
      </c>
      <c r="S1119" s="161">
        <v>45252.729166666664</v>
      </c>
      <c r="T1119" s="24"/>
      <c r="U1119" s="68">
        <f>Tabla1[[#This Row],[PPTO]]/(1+'Lista Datos'!$B$1)</f>
        <v>0</v>
      </c>
      <c r="V1119" s="67"/>
      <c r="W1119" s="193" t="s">
        <v>10</v>
      </c>
      <c r="X1119" s="127"/>
      <c r="Y1119" s="127"/>
      <c r="Z1119" s="154" t="s">
        <v>10</v>
      </c>
      <c r="AA1119" s="30" t="s">
        <v>177</v>
      </c>
      <c r="AB1119" s="30"/>
      <c r="AC1119" s="30"/>
      <c r="AD1119" s="30"/>
      <c r="AE1119" s="145">
        <f>Tabla1[[#This Row],[Cierre]]+Tabla1[[#This Row],[Vigencia Oferta (días)]]</f>
        <v>45230.625</v>
      </c>
      <c r="AF1119" s="68"/>
      <c r="AG1119" s="157"/>
      <c r="AH1119" s="194">
        <f>Tabla1[[#This Row],[Unidades2]]*Tabla1[[#This Row],[Precio Unitario]]</f>
        <v>0</v>
      </c>
      <c r="AI1119" s="97" t="s">
        <v>270</v>
      </c>
      <c r="AJ1119" s="149"/>
      <c r="AK1119" s="149">
        <f>Tabla1[[#This Row],[Fecha Vigencia]]-AJ1119</f>
        <v>45230.625</v>
      </c>
      <c r="AL1119" s="68"/>
      <c r="AM1119" s="91"/>
      <c r="AN1119" s="68"/>
      <c r="AO1119" s="218"/>
      <c r="AP1119" s="68"/>
      <c r="AQ1119" s="69"/>
      <c r="AR1119" s="68"/>
      <c r="AS1119" s="68"/>
      <c r="AT1119" s="68"/>
      <c r="AU1119" s="68"/>
      <c r="AV1119" s="68"/>
      <c r="AW1119" s="68"/>
      <c r="AX1119" s="68"/>
      <c r="AY1119" s="30"/>
      <c r="AZ1119" s="30"/>
      <c r="BA1119" s="30"/>
      <c r="BB1119" s="75"/>
    </row>
    <row r="1120" spans="1:54" x14ac:dyDescent="0.25">
      <c r="A1120" s="153" t="s">
        <v>5293</v>
      </c>
      <c r="B1120" s="30" t="s">
        <v>5294</v>
      </c>
      <c r="C1120" s="30" t="s">
        <v>5295</v>
      </c>
      <c r="D1120" s="84" t="s">
        <v>5296</v>
      </c>
      <c r="E1120" s="24" t="s">
        <v>5297</v>
      </c>
      <c r="F1120" s="25">
        <v>2</v>
      </c>
      <c r="G1120" s="30" t="s">
        <v>21</v>
      </c>
      <c r="H1120" s="30" t="s">
        <v>106</v>
      </c>
      <c r="I1120" s="203">
        <v>45222.438284374999</v>
      </c>
      <c r="J1120" s="121">
        <v>45232.625694444403</v>
      </c>
      <c r="K1120" s="121">
        <v>45222.438284374999</v>
      </c>
      <c r="L1120" s="203">
        <v>45232.625694444403</v>
      </c>
      <c r="M1120" s="204">
        <v>45224</v>
      </c>
      <c r="N1120" s="205" t="s">
        <v>10</v>
      </c>
      <c r="O1120" s="203" t="s">
        <v>27</v>
      </c>
      <c r="P1120" s="24"/>
      <c r="Q1120" s="60"/>
      <c r="R1120" s="60"/>
      <c r="S1120" s="18"/>
      <c r="T1120" s="24"/>
      <c r="U1120" s="68">
        <f>Tabla1[[#This Row],[PPTO]]/(1+'Lista Datos'!$B$1)</f>
        <v>0</v>
      </c>
      <c r="V1120" s="67"/>
      <c r="W1120" s="193"/>
      <c r="X1120" s="127"/>
      <c r="Y1120" s="127"/>
      <c r="Z1120" s="154"/>
      <c r="AA1120" s="30"/>
      <c r="AB1120" s="30"/>
      <c r="AC1120" s="30"/>
      <c r="AD1120" s="30"/>
      <c r="AE1120" s="145">
        <f>Tabla1[[#This Row],[Cierre]]+Tabla1[[#This Row],[Vigencia Oferta (días)]]</f>
        <v>45232.625694444403</v>
      </c>
      <c r="AF1120" s="68"/>
      <c r="AG1120" s="157"/>
      <c r="AH1120" s="194">
        <f>Tabla1[[#This Row],[Unidades2]]*Tabla1[[#This Row],[Precio Unitario]]</f>
        <v>0</v>
      </c>
      <c r="AI1120" s="97" t="s">
        <v>270</v>
      </c>
      <c r="AJ1120" s="149"/>
      <c r="AK1120" s="149">
        <f>Tabla1[[#This Row],[Fecha Vigencia]]-AJ1120</f>
        <v>45232.625694444403</v>
      </c>
      <c r="AL1120" s="68"/>
      <c r="AM1120" s="91"/>
      <c r="AN1120" s="68"/>
      <c r="AO1120" s="218"/>
      <c r="AP1120" s="68"/>
      <c r="AQ1120" s="69"/>
      <c r="AR1120" s="68"/>
      <c r="AS1120" s="68"/>
      <c r="AT1120" s="68"/>
      <c r="AU1120" s="68"/>
      <c r="AV1120" s="68"/>
      <c r="AW1120" s="68"/>
      <c r="AX1120" s="68"/>
      <c r="AY1120" s="30"/>
      <c r="AZ1120" s="30"/>
      <c r="BA1120" s="30"/>
      <c r="BB1120" s="75"/>
    </row>
    <row r="1121" spans="1:54" x14ac:dyDescent="0.25">
      <c r="A1121" s="117" t="s">
        <v>5298</v>
      </c>
      <c r="B1121" s="118" t="s">
        <v>5299</v>
      </c>
      <c r="C1121" s="118" t="s">
        <v>5300</v>
      </c>
      <c r="D1121" s="119" t="s">
        <v>2318</v>
      </c>
      <c r="E1121" s="38" t="s">
        <v>5301</v>
      </c>
      <c r="F1121" s="39">
        <v>360</v>
      </c>
      <c r="G1121" s="118" t="s">
        <v>21</v>
      </c>
      <c r="H1121" s="118" t="s">
        <v>106</v>
      </c>
      <c r="I1121" s="206">
        <v>45222.432218437498</v>
      </c>
      <c r="J1121" s="121">
        <v>45232.666666666701</v>
      </c>
      <c r="K1121" s="121">
        <v>45222.432218437498</v>
      </c>
      <c r="L1121" s="206">
        <v>45232.666666666701</v>
      </c>
      <c r="M1121" s="211">
        <v>45224</v>
      </c>
      <c r="N1121" s="205" t="s">
        <v>10</v>
      </c>
      <c r="O1121" s="206" t="s">
        <v>5302</v>
      </c>
      <c r="P1121" s="38"/>
      <c r="Q1121" s="147">
        <v>45224.521527777775</v>
      </c>
      <c r="R1121" s="147">
        <v>45225.521527777775</v>
      </c>
      <c r="S1121" s="148">
        <v>45293.708333333336</v>
      </c>
      <c r="T1121" s="38"/>
      <c r="U1121" s="65">
        <f>Tabla1[[#This Row],[PPTO]]/(1+'Lista Datos'!$B$1)</f>
        <v>0</v>
      </c>
      <c r="V1121" s="64"/>
      <c r="W1121" s="191" t="s">
        <v>10</v>
      </c>
      <c r="X1121" s="122"/>
      <c r="Y1121" s="122"/>
      <c r="Z1121" s="123" t="s">
        <v>10</v>
      </c>
      <c r="AA1121" s="118" t="s">
        <v>177</v>
      </c>
      <c r="AB1121" s="118"/>
      <c r="AC1121" s="118"/>
      <c r="AD1121" s="118"/>
      <c r="AE1121" s="145">
        <f>Tabla1[[#This Row],[Cierre]]+Tabla1[[#This Row],[Vigencia Oferta (días)]]</f>
        <v>45232.666666666701</v>
      </c>
      <c r="AF1121" s="65"/>
      <c r="AG1121" s="181"/>
      <c r="AH1121" s="192">
        <f>Tabla1[[#This Row],[Unidades2]]*Tabla1[[#This Row],[Precio Unitario]]</f>
        <v>0</v>
      </c>
      <c r="AI1121" s="126" t="s">
        <v>270</v>
      </c>
      <c r="AJ1121" s="149"/>
      <c r="AK1121" s="149">
        <f>Tabla1[[#This Row],[Fecha Vigencia]]-AJ1121</f>
        <v>45232.666666666701</v>
      </c>
      <c r="AL1121" s="65"/>
      <c r="AM1121" s="90"/>
      <c r="AN1121" s="65"/>
      <c r="AO1121" s="217"/>
      <c r="AP1121" s="65"/>
      <c r="AQ1121" s="66"/>
      <c r="AR1121" s="65"/>
      <c r="AS1121" s="65"/>
      <c r="AT1121" s="65"/>
      <c r="AU1121" s="65"/>
      <c r="AV1121" s="65"/>
      <c r="AW1121" s="65"/>
      <c r="AX1121" s="65"/>
      <c r="AY1121" s="118"/>
      <c r="AZ1121" s="118"/>
      <c r="BA1121" s="118"/>
      <c r="BB1121" s="124"/>
    </row>
    <row r="1122" spans="1:54" x14ac:dyDescent="0.25">
      <c r="A1122" s="153" t="s">
        <v>5303</v>
      </c>
      <c r="B1122" s="30" t="s">
        <v>5304</v>
      </c>
      <c r="C1122" s="30" t="s">
        <v>5305</v>
      </c>
      <c r="D1122" s="84" t="s">
        <v>3128</v>
      </c>
      <c r="E1122" s="24" t="s">
        <v>5306</v>
      </c>
      <c r="F1122" s="25">
        <v>70</v>
      </c>
      <c r="G1122" s="30" t="s">
        <v>14</v>
      </c>
      <c r="H1122" s="30" t="s">
        <v>520</v>
      </c>
      <c r="I1122" s="203">
        <v>45224.706967673599</v>
      </c>
      <c r="J1122" s="38">
        <v>45236.625</v>
      </c>
      <c r="K1122" s="38">
        <v>45224.706967673599</v>
      </c>
      <c r="L1122" s="203">
        <v>45236.625</v>
      </c>
      <c r="M1122" s="204">
        <v>45225</v>
      </c>
      <c r="N1122" s="205" t="s">
        <v>10</v>
      </c>
      <c r="O1122" s="203" t="s">
        <v>25</v>
      </c>
      <c r="P1122" s="24"/>
      <c r="Q1122" s="160">
        <v>45225.729166666664</v>
      </c>
      <c r="R1122" s="160">
        <v>45230.729166666664</v>
      </c>
      <c r="S1122" s="161">
        <v>45266.729166666664</v>
      </c>
      <c r="T1122" s="24"/>
      <c r="U1122" s="68">
        <f>Tabla1[[#This Row],[PPTO]]/(1+'Lista Datos'!$B$1)</f>
        <v>0</v>
      </c>
      <c r="V1122" s="67"/>
      <c r="W1122" s="193" t="s">
        <v>10</v>
      </c>
      <c r="X1122" s="127"/>
      <c r="Y1122" s="127"/>
      <c r="Z1122" s="154" t="s">
        <v>10</v>
      </c>
      <c r="AA1122" s="30" t="s">
        <v>177</v>
      </c>
      <c r="AB1122" s="30"/>
      <c r="AC1122" s="30"/>
      <c r="AD1122" s="30"/>
      <c r="AE1122" s="145">
        <f>Tabla1[[#This Row],[Cierre]]+Tabla1[[#This Row],[Vigencia Oferta (días)]]</f>
        <v>45236.625</v>
      </c>
      <c r="AF1122" s="68"/>
      <c r="AG1122" s="157"/>
      <c r="AH1122" s="194">
        <f>Tabla1[[#This Row],[Unidades2]]*Tabla1[[#This Row],[Precio Unitario]]</f>
        <v>0</v>
      </c>
      <c r="AI1122" s="97" t="s">
        <v>270</v>
      </c>
      <c r="AJ1122" s="149"/>
      <c r="AK1122" s="149">
        <f>Tabla1[[#This Row],[Fecha Vigencia]]-AJ1122</f>
        <v>45236.625</v>
      </c>
      <c r="AL1122" s="68"/>
      <c r="AM1122" s="91"/>
      <c r="AN1122" s="68"/>
      <c r="AO1122" s="218"/>
      <c r="AP1122" s="68"/>
      <c r="AQ1122" s="69"/>
      <c r="AR1122" s="68"/>
      <c r="AS1122" s="68"/>
      <c r="AT1122" s="68"/>
      <c r="AU1122" s="68"/>
      <c r="AV1122" s="68"/>
      <c r="AW1122" s="68"/>
      <c r="AX1122" s="68"/>
      <c r="AY1122" s="30"/>
      <c r="AZ1122" s="30"/>
      <c r="BA1122" s="30"/>
      <c r="BB1122" s="75"/>
    </row>
    <row r="1123" spans="1:54" x14ac:dyDescent="0.25">
      <c r="A1123" s="153" t="s">
        <v>5307</v>
      </c>
      <c r="B1123" s="30" t="s">
        <v>5308</v>
      </c>
      <c r="C1123" s="30" t="s">
        <v>5309</v>
      </c>
      <c r="D1123" s="84" t="s">
        <v>2422</v>
      </c>
      <c r="E1123" s="24" t="s">
        <v>5310</v>
      </c>
      <c r="F1123" s="25">
        <v>1</v>
      </c>
      <c r="G1123" s="30" t="s">
        <v>16</v>
      </c>
      <c r="H1123" s="30" t="s">
        <v>145</v>
      </c>
      <c r="I1123" s="203">
        <v>45224.649426354197</v>
      </c>
      <c r="J1123" s="121">
        <v>45259.645833333299</v>
      </c>
      <c r="K1123" s="121">
        <v>45224.649426354197</v>
      </c>
      <c r="L1123" s="203">
        <v>45259.645833333299</v>
      </c>
      <c r="M1123" s="204">
        <v>45225</v>
      </c>
      <c r="N1123" s="205" t="s">
        <v>10</v>
      </c>
      <c r="O1123" s="203" t="s">
        <v>25</v>
      </c>
      <c r="P1123" s="24"/>
      <c r="Q1123" s="160">
        <v>45239.416666666664</v>
      </c>
      <c r="R1123" s="160">
        <v>45245.739583333336</v>
      </c>
      <c r="S1123" s="161">
        <v>45380.5</v>
      </c>
      <c r="T1123" s="24"/>
      <c r="U1123" s="68">
        <f>Tabla1[[#This Row],[PPTO]]/(1+'Lista Datos'!$B$1)</f>
        <v>0</v>
      </c>
      <c r="V1123" s="67"/>
      <c r="W1123" s="193" t="s">
        <v>11</v>
      </c>
      <c r="X1123" s="127">
        <v>500000</v>
      </c>
      <c r="Y1123" s="104">
        <v>45434</v>
      </c>
      <c r="Z1123" s="154" t="s">
        <v>10</v>
      </c>
      <c r="AA1123" s="30" t="s">
        <v>177</v>
      </c>
      <c r="AB1123" s="30">
        <v>24</v>
      </c>
      <c r="AC1123" s="30"/>
      <c r="AD1123" s="30"/>
      <c r="AE1123" s="145">
        <f>Tabla1[[#This Row],[Cierre]]+Tabla1[[#This Row],[Vigencia Oferta (días)]]</f>
        <v>45259.645833333299</v>
      </c>
      <c r="AF1123" s="68"/>
      <c r="AG1123" s="157"/>
      <c r="AH1123" s="194">
        <f>Tabla1[[#This Row],[Unidades2]]*Tabla1[[#This Row],[Precio Unitario]]</f>
        <v>0</v>
      </c>
      <c r="AI1123" s="97" t="s">
        <v>270</v>
      </c>
      <c r="AJ1123" s="149"/>
      <c r="AK1123" s="149">
        <f>Tabla1[[#This Row],[Fecha Vigencia]]-AJ1123</f>
        <v>45259.645833333299</v>
      </c>
      <c r="AL1123" s="68"/>
      <c r="AM1123" s="91"/>
      <c r="AN1123" s="68"/>
      <c r="AO1123" s="218"/>
      <c r="AP1123" s="68"/>
      <c r="AQ1123" s="69"/>
      <c r="AR1123" s="68"/>
      <c r="AS1123" s="68"/>
      <c r="AT1123" s="68"/>
      <c r="AU1123" s="68"/>
      <c r="AV1123" s="68"/>
      <c r="AW1123" s="68"/>
      <c r="AX1123" s="68"/>
      <c r="AY1123" s="30"/>
      <c r="AZ1123" s="30"/>
      <c r="BA1123" s="30"/>
      <c r="BB1123" s="75"/>
    </row>
    <row r="1124" spans="1:54" x14ac:dyDescent="0.25">
      <c r="A1124" s="117" t="s">
        <v>5311</v>
      </c>
      <c r="B1124" s="118" t="s">
        <v>5312</v>
      </c>
      <c r="C1124" s="118" t="s">
        <v>5313</v>
      </c>
      <c r="D1124" s="119" t="s">
        <v>3921</v>
      </c>
      <c r="E1124" s="38" t="s">
        <v>5314</v>
      </c>
      <c r="F1124" s="39">
        <v>2</v>
      </c>
      <c r="G1124" s="118" t="s">
        <v>21</v>
      </c>
      <c r="H1124" s="118" t="s">
        <v>106</v>
      </c>
      <c r="I1124" s="206">
        <v>45224.642497569403</v>
      </c>
      <c r="J1124" s="121">
        <v>45230.666666666701</v>
      </c>
      <c r="K1124" s="121">
        <v>45224.642497569403</v>
      </c>
      <c r="L1124" s="206">
        <v>45230.666666666701</v>
      </c>
      <c r="M1124" s="211">
        <v>45225</v>
      </c>
      <c r="N1124" s="207" t="s">
        <v>10</v>
      </c>
      <c r="O1124" s="206" t="s">
        <v>27</v>
      </c>
      <c r="P1124" s="38"/>
      <c r="Q1124" s="121"/>
      <c r="R1124" s="121"/>
      <c r="S1124" s="19"/>
      <c r="T1124" s="38"/>
      <c r="U1124" s="65">
        <f>Tabla1[[#This Row],[PPTO]]/(1+'Lista Datos'!$B$1)</f>
        <v>0</v>
      </c>
      <c r="V1124" s="64"/>
      <c r="W1124" s="191"/>
      <c r="X1124" s="122"/>
      <c r="Y1124" s="122"/>
      <c r="Z1124" s="123"/>
      <c r="AA1124" s="118"/>
      <c r="AB1124" s="118"/>
      <c r="AC1124" s="118"/>
      <c r="AD1124" s="118"/>
      <c r="AE1124" s="145">
        <f>Tabla1[[#This Row],[Cierre]]+Tabla1[[#This Row],[Vigencia Oferta (días)]]</f>
        <v>45230.666666666701</v>
      </c>
      <c r="AF1124" s="65"/>
      <c r="AG1124" s="181"/>
      <c r="AH1124" s="192">
        <f>Tabla1[[#This Row],[Unidades2]]*Tabla1[[#This Row],[Precio Unitario]]</f>
        <v>0</v>
      </c>
      <c r="AI1124" s="126" t="s">
        <v>270</v>
      </c>
      <c r="AJ1124" s="149"/>
      <c r="AK1124" s="149">
        <f>Tabla1[[#This Row],[Fecha Vigencia]]-AJ1124</f>
        <v>45230.666666666701</v>
      </c>
      <c r="AL1124" s="65"/>
      <c r="AM1124" s="90"/>
      <c r="AN1124" s="65"/>
      <c r="AO1124" s="217"/>
      <c r="AP1124" s="65"/>
      <c r="AQ1124" s="66"/>
      <c r="AR1124" s="65"/>
      <c r="AS1124" s="65"/>
      <c r="AT1124" s="65"/>
      <c r="AU1124" s="65"/>
      <c r="AV1124" s="65"/>
      <c r="AW1124" s="65"/>
      <c r="AX1124" s="65"/>
      <c r="AY1124" s="118"/>
      <c r="AZ1124" s="118"/>
      <c r="BA1124" s="118"/>
      <c r="BB1124" s="124"/>
    </row>
    <row r="1125" spans="1:54" x14ac:dyDescent="0.25">
      <c r="A1125" s="153" t="s">
        <v>5315</v>
      </c>
      <c r="B1125" s="30" t="s">
        <v>5316</v>
      </c>
      <c r="C1125" s="30" t="s">
        <v>5317</v>
      </c>
      <c r="D1125" s="84" t="s">
        <v>2787</v>
      </c>
      <c r="E1125" s="24" t="s">
        <v>5318</v>
      </c>
      <c r="F1125" s="25">
        <v>1</v>
      </c>
      <c r="G1125" s="30" t="s">
        <v>17</v>
      </c>
      <c r="H1125" s="30" t="s">
        <v>213</v>
      </c>
      <c r="I1125" s="203">
        <v>45224.5633739236</v>
      </c>
      <c r="J1125" s="38">
        <v>45240.583333333299</v>
      </c>
      <c r="K1125" s="38">
        <v>45224.5633739236</v>
      </c>
      <c r="L1125" s="203">
        <v>45240.583333333299</v>
      </c>
      <c r="M1125" s="204">
        <v>45225</v>
      </c>
      <c r="N1125" s="205" t="s">
        <v>10</v>
      </c>
      <c r="O1125" s="203" t="s">
        <v>25</v>
      </c>
      <c r="P1125" s="24"/>
      <c r="Q1125" s="60"/>
      <c r="R1125" s="60"/>
      <c r="S1125" s="18"/>
      <c r="T1125" s="24"/>
      <c r="U1125" s="68">
        <f>Tabla1[[#This Row],[PPTO]]/(1+'Lista Datos'!$B$1)</f>
        <v>0</v>
      </c>
      <c r="V1125" s="67"/>
      <c r="W1125" s="193"/>
      <c r="X1125" s="127"/>
      <c r="Y1125" s="127"/>
      <c r="Z1125" s="154"/>
      <c r="AA1125" s="30"/>
      <c r="AB1125" s="30"/>
      <c r="AC1125" s="30"/>
      <c r="AD1125" s="30"/>
      <c r="AE1125" s="145">
        <f>Tabla1[[#This Row],[Cierre]]+Tabla1[[#This Row],[Vigencia Oferta (días)]]</f>
        <v>45240.583333333299</v>
      </c>
      <c r="AF1125" s="68"/>
      <c r="AG1125" s="157"/>
      <c r="AH1125" s="194">
        <f>Tabla1[[#This Row],[Unidades2]]*Tabla1[[#This Row],[Precio Unitario]]</f>
        <v>0</v>
      </c>
      <c r="AI1125" s="97" t="s">
        <v>270</v>
      </c>
      <c r="AJ1125" s="149"/>
      <c r="AK1125" s="149">
        <f>Tabla1[[#This Row],[Fecha Vigencia]]-AJ1125</f>
        <v>45240.583333333299</v>
      </c>
      <c r="AL1125" s="68"/>
      <c r="AM1125" s="91"/>
      <c r="AN1125" s="68"/>
      <c r="AO1125" s="218"/>
      <c r="AP1125" s="68"/>
      <c r="AQ1125" s="69"/>
      <c r="AR1125" s="68"/>
      <c r="AS1125" s="68"/>
      <c r="AT1125" s="68"/>
      <c r="AU1125" s="68"/>
      <c r="AV1125" s="68"/>
      <c r="AW1125" s="68"/>
      <c r="AX1125" s="68"/>
      <c r="AY1125" s="30"/>
      <c r="AZ1125" s="30"/>
      <c r="BA1125" s="30"/>
      <c r="BB1125" s="75"/>
    </row>
    <row r="1126" spans="1:54" x14ac:dyDescent="0.25">
      <c r="A1126" s="117" t="s">
        <v>5319</v>
      </c>
      <c r="B1126" s="118" t="s">
        <v>5320</v>
      </c>
      <c r="C1126" s="118" t="s">
        <v>5321</v>
      </c>
      <c r="D1126" s="119" t="s">
        <v>829</v>
      </c>
      <c r="E1126" s="38" t="s">
        <v>5322</v>
      </c>
      <c r="F1126" s="39">
        <v>5</v>
      </c>
      <c r="G1126" s="118" t="s">
        <v>21</v>
      </c>
      <c r="H1126" s="118" t="s">
        <v>106</v>
      </c>
      <c r="I1126" s="206">
        <v>45224.5217358796</v>
      </c>
      <c r="J1126" s="121">
        <v>45236.629861111098</v>
      </c>
      <c r="K1126" s="121">
        <v>45224.5217358796</v>
      </c>
      <c r="L1126" s="206">
        <v>45236.629861111098</v>
      </c>
      <c r="M1126" s="211">
        <v>45225</v>
      </c>
      <c r="N1126" s="207" t="s">
        <v>11</v>
      </c>
      <c r="O1126" s="206"/>
      <c r="P1126" s="38"/>
      <c r="Q1126" s="147">
        <v>45228.78402777778</v>
      </c>
      <c r="R1126" s="147">
        <v>45230.78402777778</v>
      </c>
      <c r="S1126" s="148">
        <v>45254.791666666664</v>
      </c>
      <c r="T1126" s="215">
        <v>8330000</v>
      </c>
      <c r="U1126" s="214">
        <f>Tabla1[[#This Row],[PPTO]]/(1+'Lista Datos'!$B$1)</f>
        <v>7000000</v>
      </c>
      <c r="V1126" s="64"/>
      <c r="W1126" s="191" t="s">
        <v>10</v>
      </c>
      <c r="X1126" s="122"/>
      <c r="Y1126" s="122"/>
      <c r="Z1126" s="123" t="s">
        <v>10</v>
      </c>
      <c r="AA1126" s="118" t="s">
        <v>512</v>
      </c>
      <c r="AB1126" s="118"/>
      <c r="AC1126" s="118"/>
      <c r="AD1126" s="118"/>
      <c r="AE1126" s="145">
        <f>Tabla1[[#This Row],[Cierre]]+Tabla1[[#This Row],[Vigencia Oferta (días)]]</f>
        <v>45236.629861111098</v>
      </c>
      <c r="AF1126" s="65">
        <v>5</v>
      </c>
      <c r="AG1126" s="90">
        <v>1188286</v>
      </c>
      <c r="AH1126" s="192">
        <f>Tabla1[[#This Row],[Unidades2]]*Tabla1[[#This Row],[Precio Unitario]]</f>
        <v>5941430</v>
      </c>
      <c r="AI1126" s="126" t="s">
        <v>44</v>
      </c>
      <c r="AJ1126" s="149">
        <v>45257</v>
      </c>
      <c r="AK1126" s="149">
        <f>Tabla1[[#This Row],[Fecha Vigencia]]-AJ1126</f>
        <v>-20.370138888902147</v>
      </c>
      <c r="AL1126" s="65" t="s">
        <v>582</v>
      </c>
      <c r="AM1126" s="90">
        <v>1056000</v>
      </c>
      <c r="AN1126" s="65"/>
      <c r="AO1126" s="217"/>
      <c r="AP1126" s="97" t="s">
        <v>292</v>
      </c>
      <c r="AQ1126" s="66"/>
      <c r="AR1126" s="65"/>
      <c r="AS1126" s="65"/>
      <c r="AT1126" s="65"/>
      <c r="AU1126" s="65"/>
      <c r="AV1126" s="65"/>
      <c r="AW1126" s="65"/>
      <c r="AX1126" s="65"/>
      <c r="AY1126" s="118"/>
      <c r="AZ1126" s="118"/>
      <c r="BA1126" s="118"/>
      <c r="BB1126" s="124"/>
    </row>
    <row r="1127" spans="1:54" x14ac:dyDescent="0.25">
      <c r="A1127" s="117" t="s">
        <v>5323</v>
      </c>
      <c r="B1127" s="118" t="s">
        <v>5324</v>
      </c>
      <c r="C1127" s="118" t="s">
        <v>5325</v>
      </c>
      <c r="D1127" s="119" t="s">
        <v>1552</v>
      </c>
      <c r="E1127" s="38" t="s">
        <v>5326</v>
      </c>
      <c r="F1127" s="39">
        <v>2</v>
      </c>
      <c r="G1127" s="118" t="s">
        <v>21</v>
      </c>
      <c r="H1127" s="118" t="s">
        <v>106</v>
      </c>
      <c r="I1127" s="206">
        <v>45225.397881944446</v>
      </c>
      <c r="J1127" s="38">
        <f>MONTH(Tabla1[[#This Row],[Publicación]])</f>
        <v>10</v>
      </c>
      <c r="K1127" s="38">
        <f>YEAR(Tabla1[[#This Row],[Publicación]])</f>
        <v>2023</v>
      </c>
      <c r="L1127" s="206">
        <v>45237.645833333336</v>
      </c>
      <c r="M1127" s="211">
        <v>45225</v>
      </c>
      <c r="N1127" s="207" t="s">
        <v>10</v>
      </c>
      <c r="O1127" s="206" t="s">
        <v>5327</v>
      </c>
      <c r="P1127" s="38"/>
      <c r="Q1127" s="147">
        <v>45229.791666666664</v>
      </c>
      <c r="R1127" s="147">
        <v>45232.84375</v>
      </c>
      <c r="S1127" s="148">
        <v>45259.8125</v>
      </c>
      <c r="T1127" s="38"/>
      <c r="U1127" s="65">
        <f>Tabla1[[#This Row],[PPTO]]/(1+'Lista Datos'!$B$1)</f>
        <v>0</v>
      </c>
      <c r="V1127" s="64"/>
      <c r="W1127" s="191" t="s">
        <v>10</v>
      </c>
      <c r="X1127" s="122"/>
      <c r="Y1127" s="122"/>
      <c r="Z1127" s="123" t="s">
        <v>10</v>
      </c>
      <c r="AA1127" s="118" t="s">
        <v>512</v>
      </c>
      <c r="AB1127" s="118"/>
      <c r="AC1127" s="118"/>
      <c r="AD1127" s="118"/>
      <c r="AE1127" s="145">
        <f>Tabla1[[#This Row],[Cierre]]+Tabla1[[#This Row],[Vigencia Oferta (días)]]</f>
        <v>45237.645833333336</v>
      </c>
      <c r="AF1127" s="65"/>
      <c r="AG1127" s="181"/>
      <c r="AH1127" s="192">
        <f>Tabla1[[#This Row],[Unidades2]]*Tabla1[[#This Row],[Precio Unitario]]</f>
        <v>0</v>
      </c>
      <c r="AI1127" s="126" t="s">
        <v>270</v>
      </c>
      <c r="AJ1127" s="149"/>
      <c r="AK1127" s="149">
        <f>Tabla1[[#This Row],[Fecha Vigencia]]-AJ1127</f>
        <v>45237.645833333336</v>
      </c>
      <c r="AL1127" s="65"/>
      <c r="AM1127" s="90"/>
      <c r="AN1127" s="65"/>
      <c r="AO1127" s="217"/>
      <c r="AP1127" s="65"/>
      <c r="AQ1127" s="66"/>
      <c r="AR1127" s="65"/>
      <c r="AS1127" s="65"/>
      <c r="AT1127" s="65"/>
      <c r="AU1127" s="65"/>
      <c r="AV1127" s="65"/>
      <c r="AW1127" s="65"/>
      <c r="AX1127" s="65"/>
      <c r="AY1127" s="118"/>
      <c r="AZ1127" s="118"/>
      <c r="BA1127" s="118"/>
      <c r="BB1127" s="124"/>
    </row>
    <row r="1128" spans="1:54" x14ac:dyDescent="0.25">
      <c r="A1128" s="117" t="s">
        <v>5328</v>
      </c>
      <c r="B1128" s="118" t="s">
        <v>5329</v>
      </c>
      <c r="C1128" s="118" t="s">
        <v>5330</v>
      </c>
      <c r="D1128" s="119" t="s">
        <v>5331</v>
      </c>
      <c r="E1128" s="38" t="s">
        <v>5332</v>
      </c>
      <c r="F1128" s="39">
        <v>1</v>
      </c>
      <c r="G1128" s="118" t="s">
        <v>18</v>
      </c>
      <c r="H1128" s="118" t="s">
        <v>213</v>
      </c>
      <c r="I1128" s="206">
        <v>45225.370810185188</v>
      </c>
      <c r="J1128" s="38">
        <f>MONTH(Tabla1[[#This Row],[Publicación]])</f>
        <v>10</v>
      </c>
      <c r="K1128" s="38">
        <f>YEAR(Tabla1[[#This Row],[Publicación]])</f>
        <v>2023</v>
      </c>
      <c r="L1128" s="206">
        <v>45237.625</v>
      </c>
      <c r="M1128" s="211">
        <v>45225</v>
      </c>
      <c r="N1128" s="207" t="s">
        <v>10</v>
      </c>
      <c r="O1128" s="206" t="s">
        <v>25</v>
      </c>
      <c r="P1128" s="38"/>
      <c r="Q1128" s="121"/>
      <c r="R1128" s="121"/>
      <c r="S1128" s="19"/>
      <c r="T1128" s="38"/>
      <c r="U1128" s="65">
        <f>Tabla1[[#This Row],[PPTO]]/(1+'Lista Datos'!$B$1)</f>
        <v>0</v>
      </c>
      <c r="V1128" s="64"/>
      <c r="W1128" s="191"/>
      <c r="X1128" s="122"/>
      <c r="Y1128" s="122"/>
      <c r="Z1128" s="123"/>
      <c r="AA1128" s="118"/>
      <c r="AB1128" s="118"/>
      <c r="AC1128" s="118"/>
      <c r="AD1128" s="118"/>
      <c r="AE1128" s="145">
        <f>Tabla1[[#This Row],[Cierre]]+Tabla1[[#This Row],[Vigencia Oferta (días)]]</f>
        <v>45237.625</v>
      </c>
      <c r="AF1128" s="65"/>
      <c r="AG1128" s="181"/>
      <c r="AH1128" s="192">
        <f>Tabla1[[#This Row],[Unidades2]]*Tabla1[[#This Row],[Precio Unitario]]</f>
        <v>0</v>
      </c>
      <c r="AI1128" s="126" t="s">
        <v>270</v>
      </c>
      <c r="AJ1128" s="149"/>
      <c r="AK1128" s="149">
        <f>Tabla1[[#This Row],[Fecha Vigencia]]-AJ1128</f>
        <v>45237.625</v>
      </c>
      <c r="AL1128" s="65"/>
      <c r="AM1128" s="90"/>
      <c r="AN1128" s="65"/>
      <c r="AO1128" s="217"/>
      <c r="AP1128" s="65"/>
      <c r="AQ1128" s="66"/>
      <c r="AR1128" s="65"/>
      <c r="AS1128" s="65"/>
      <c r="AT1128" s="65"/>
      <c r="AU1128" s="65"/>
      <c r="AV1128" s="65"/>
      <c r="AW1128" s="65"/>
      <c r="AX1128" s="65"/>
      <c r="AY1128" s="118"/>
      <c r="AZ1128" s="118"/>
      <c r="BA1128" s="118"/>
      <c r="BB1128" s="124"/>
    </row>
    <row r="1129" spans="1:54" x14ac:dyDescent="0.25">
      <c r="A1129" s="117" t="s">
        <v>5333</v>
      </c>
      <c r="B1129" s="118" t="s">
        <v>5334</v>
      </c>
      <c r="C1129" s="118" t="s">
        <v>5335</v>
      </c>
      <c r="D1129" s="119" t="s">
        <v>1008</v>
      </c>
      <c r="E1129" s="38" t="s">
        <v>5336</v>
      </c>
      <c r="F1129" s="39">
        <v>300</v>
      </c>
      <c r="G1129" s="118" t="s">
        <v>21</v>
      </c>
      <c r="H1129" s="118" t="s">
        <v>106</v>
      </c>
      <c r="I1129" s="206">
        <v>45225.450312499997</v>
      </c>
      <c r="J1129" s="38">
        <f>MONTH(Tabla1[[#This Row],[Publicación]])</f>
        <v>10</v>
      </c>
      <c r="K1129" s="38">
        <f>YEAR(Tabla1[[#This Row],[Publicación]])</f>
        <v>2023</v>
      </c>
      <c r="L1129" s="206">
        <v>45245.5</v>
      </c>
      <c r="M1129" s="211">
        <v>45225</v>
      </c>
      <c r="N1129" s="207" t="s">
        <v>10</v>
      </c>
      <c r="O1129" s="206"/>
      <c r="P1129" s="38"/>
      <c r="Q1129" s="147">
        <v>45235.503472222219</v>
      </c>
      <c r="R1129" s="147">
        <v>45240.503472222219</v>
      </c>
      <c r="S1129" s="148">
        <v>45335.5</v>
      </c>
      <c r="T1129" s="38"/>
      <c r="U1129" s="65">
        <f>Tabla1[[#This Row],[PPTO]]/(1+'Lista Datos'!$B$1)</f>
        <v>0</v>
      </c>
      <c r="V1129" s="64"/>
      <c r="W1129" s="191" t="s">
        <v>11</v>
      </c>
      <c r="X1129" s="122" t="s">
        <v>3659</v>
      </c>
      <c r="Y1129" s="149">
        <v>45335</v>
      </c>
      <c r="Z1129" s="123" t="s">
        <v>10</v>
      </c>
      <c r="AA1129" s="118" t="s">
        <v>177</v>
      </c>
      <c r="AB1129" s="118">
        <v>12</v>
      </c>
      <c r="AC1129" s="118"/>
      <c r="AD1129" s="118"/>
      <c r="AE1129" s="145">
        <f>Tabla1[[#This Row],[Cierre]]+Tabla1[[#This Row],[Vigencia Oferta (días)]]</f>
        <v>45245.5</v>
      </c>
      <c r="AF1129" s="65"/>
      <c r="AG1129" s="181"/>
      <c r="AH1129" s="192">
        <f>Tabla1[[#This Row],[Unidades2]]*Tabla1[[#This Row],[Precio Unitario]]</f>
        <v>0</v>
      </c>
      <c r="AI1129" s="126" t="s">
        <v>270</v>
      </c>
      <c r="AJ1129" s="149"/>
      <c r="AK1129" s="149">
        <f>Tabla1[[#This Row],[Fecha Vigencia]]-AJ1129</f>
        <v>45245.5</v>
      </c>
      <c r="AL1129" s="65"/>
      <c r="AM1129" s="90"/>
      <c r="AN1129" s="65"/>
      <c r="AO1129" s="217"/>
      <c r="AP1129" s="65"/>
      <c r="AQ1129" s="66"/>
      <c r="AR1129" s="65"/>
      <c r="AS1129" s="65"/>
      <c r="AT1129" s="65"/>
      <c r="AU1129" s="65"/>
      <c r="AV1129" s="65"/>
      <c r="AW1129" s="65"/>
      <c r="AX1129" s="65"/>
      <c r="AY1129" s="118"/>
      <c r="AZ1129" s="118"/>
      <c r="BA1129" s="118"/>
      <c r="BB1129" s="124"/>
    </row>
    <row r="1130" spans="1:54" x14ac:dyDescent="0.25">
      <c r="A1130" s="153" t="s">
        <v>5337</v>
      </c>
      <c r="B1130" s="30" t="s">
        <v>5338</v>
      </c>
      <c r="C1130" s="30" t="s">
        <v>5339</v>
      </c>
      <c r="D1130" s="84" t="s">
        <v>1124</v>
      </c>
      <c r="E1130" s="24" t="s">
        <v>5340</v>
      </c>
      <c r="F1130" s="25">
        <v>1</v>
      </c>
      <c r="G1130" s="30" t="s">
        <v>18</v>
      </c>
      <c r="H1130" s="30" t="s">
        <v>213</v>
      </c>
      <c r="I1130" s="203">
        <v>45227.434578009299</v>
      </c>
      <c r="J1130" s="38">
        <v>45236.65625</v>
      </c>
      <c r="K1130" s="38">
        <v>45227.434578009299</v>
      </c>
      <c r="L1130" s="203">
        <v>45236.65625</v>
      </c>
      <c r="M1130" s="204">
        <v>45229</v>
      </c>
      <c r="N1130" s="205" t="s">
        <v>10</v>
      </c>
      <c r="O1130" s="203" t="s">
        <v>28</v>
      </c>
      <c r="P1130" s="24"/>
      <c r="Q1130" s="60"/>
      <c r="R1130" s="60"/>
      <c r="S1130" s="18"/>
      <c r="T1130" s="24"/>
      <c r="U1130" s="68">
        <f>Tabla1[[#This Row],[PPTO]]/(1+'Lista Datos'!$B$1)</f>
        <v>0</v>
      </c>
      <c r="V1130" s="67"/>
      <c r="W1130" s="193"/>
      <c r="X1130" s="127"/>
      <c r="Y1130" s="127"/>
      <c r="Z1130" s="154"/>
      <c r="AA1130" s="30"/>
      <c r="AB1130" s="30"/>
      <c r="AC1130" s="30"/>
      <c r="AD1130" s="30"/>
      <c r="AE1130" s="145">
        <f>Tabla1[[#This Row],[Cierre]]+Tabla1[[#This Row],[Vigencia Oferta (días)]]</f>
        <v>45236.65625</v>
      </c>
      <c r="AF1130" s="68"/>
      <c r="AG1130" s="157"/>
      <c r="AH1130" s="194">
        <f>Tabla1[[#This Row],[Unidades2]]*Tabla1[[#This Row],[Precio Unitario]]</f>
        <v>0</v>
      </c>
      <c r="AI1130" s="97" t="s">
        <v>270</v>
      </c>
      <c r="AJ1130" s="149"/>
      <c r="AK1130" s="149">
        <f>Tabla1[[#This Row],[Fecha Vigencia]]-AJ1130</f>
        <v>45236.65625</v>
      </c>
      <c r="AL1130" s="68"/>
      <c r="AM1130" s="91"/>
      <c r="AN1130" s="68"/>
      <c r="AO1130" s="218"/>
      <c r="AP1130" s="68"/>
      <c r="AQ1130" s="69"/>
      <c r="AR1130" s="68"/>
      <c r="AS1130" s="68"/>
      <c r="AT1130" s="68"/>
      <c r="AU1130" s="68"/>
      <c r="AV1130" s="68"/>
      <c r="AW1130" s="68"/>
      <c r="AX1130" s="68"/>
      <c r="AY1130" s="30"/>
      <c r="AZ1130" s="30"/>
      <c r="BA1130" s="30"/>
      <c r="BB1130" s="75"/>
    </row>
    <row r="1131" spans="1:54" x14ac:dyDescent="0.25">
      <c r="A1131" s="117" t="s">
        <v>5341</v>
      </c>
      <c r="B1131" s="118" t="s">
        <v>5342</v>
      </c>
      <c r="C1131" s="118" t="s">
        <v>5343</v>
      </c>
      <c r="D1131" s="119" t="s">
        <v>5344</v>
      </c>
      <c r="E1131" s="38" t="s">
        <v>5345</v>
      </c>
      <c r="F1131" s="39">
        <v>4</v>
      </c>
      <c r="G1131" s="118" t="s">
        <v>21</v>
      </c>
      <c r="H1131" s="118" t="s">
        <v>106</v>
      </c>
      <c r="I1131" s="206">
        <v>45225.706917511598</v>
      </c>
      <c r="J1131" s="121">
        <v>45238.375</v>
      </c>
      <c r="K1131" s="121">
        <v>45225.706917511598</v>
      </c>
      <c r="L1131" s="206">
        <v>45238.375</v>
      </c>
      <c r="M1131" s="211">
        <v>45229</v>
      </c>
      <c r="N1131" s="207" t="s">
        <v>10</v>
      </c>
      <c r="O1131" s="206" t="s">
        <v>27</v>
      </c>
      <c r="P1131" s="38"/>
      <c r="Q1131" s="121"/>
      <c r="R1131" s="121"/>
      <c r="S1131" s="19"/>
      <c r="T1131" s="38"/>
      <c r="U1131" s="65">
        <f>Tabla1[[#This Row],[PPTO]]/(1+'Lista Datos'!$B$1)</f>
        <v>0</v>
      </c>
      <c r="V1131" s="64"/>
      <c r="W1131" s="191"/>
      <c r="X1131" s="122"/>
      <c r="Y1131" s="122"/>
      <c r="Z1131" s="123"/>
      <c r="AA1131" s="118"/>
      <c r="AB1131" s="118"/>
      <c r="AC1131" s="118"/>
      <c r="AD1131" s="118"/>
      <c r="AE1131" s="145">
        <f>Tabla1[[#This Row],[Cierre]]+Tabla1[[#This Row],[Vigencia Oferta (días)]]</f>
        <v>45238.375</v>
      </c>
      <c r="AF1131" s="65"/>
      <c r="AG1131" s="181"/>
      <c r="AH1131" s="192">
        <f>Tabla1[[#This Row],[Unidades2]]*Tabla1[[#This Row],[Precio Unitario]]</f>
        <v>0</v>
      </c>
      <c r="AI1131" s="126" t="s">
        <v>270</v>
      </c>
      <c r="AJ1131" s="149"/>
      <c r="AK1131" s="149">
        <f>Tabla1[[#This Row],[Fecha Vigencia]]-AJ1131</f>
        <v>45238.375</v>
      </c>
      <c r="AL1131" s="65"/>
      <c r="AM1131" s="90"/>
      <c r="AN1131" s="65"/>
      <c r="AO1131" s="217"/>
      <c r="AP1131" s="65"/>
      <c r="AQ1131" s="66"/>
      <c r="AR1131" s="65"/>
      <c r="AS1131" s="65"/>
      <c r="AT1131" s="65"/>
      <c r="AU1131" s="65"/>
      <c r="AV1131" s="65"/>
      <c r="AW1131" s="65"/>
      <c r="AX1131" s="65"/>
      <c r="AY1131" s="118"/>
      <c r="AZ1131" s="118"/>
      <c r="BA1131" s="118"/>
      <c r="BB1131" s="124"/>
    </row>
    <row r="1132" spans="1:54" x14ac:dyDescent="0.25">
      <c r="A1132" s="153" t="s">
        <v>5346</v>
      </c>
      <c r="B1132" s="30" t="s">
        <v>5347</v>
      </c>
      <c r="C1132" s="30" t="s">
        <v>5348</v>
      </c>
      <c r="D1132" s="84" t="s">
        <v>1375</v>
      </c>
      <c r="E1132" s="24" t="s">
        <v>5349</v>
      </c>
      <c r="F1132" s="25">
        <v>5</v>
      </c>
      <c r="G1132" s="30" t="s">
        <v>21</v>
      </c>
      <c r="H1132" s="30" t="s">
        <v>106</v>
      </c>
      <c r="I1132" s="203">
        <v>45225.665607835603</v>
      </c>
      <c r="J1132" s="38">
        <v>45233.375</v>
      </c>
      <c r="K1132" s="38">
        <v>45225.665607835603</v>
      </c>
      <c r="L1132" s="203">
        <v>45233.375</v>
      </c>
      <c r="M1132" s="204">
        <v>45229</v>
      </c>
      <c r="N1132" s="205" t="s">
        <v>10</v>
      </c>
      <c r="O1132" s="203" t="s">
        <v>27</v>
      </c>
      <c r="P1132" s="24"/>
      <c r="Q1132" s="60"/>
      <c r="R1132" s="60"/>
      <c r="S1132" s="18"/>
      <c r="T1132" s="24"/>
      <c r="U1132" s="68">
        <f>Tabla1[[#This Row],[PPTO]]/(1+'Lista Datos'!$B$1)</f>
        <v>0</v>
      </c>
      <c r="V1132" s="67"/>
      <c r="W1132" s="193"/>
      <c r="X1132" s="127"/>
      <c r="Y1132" s="127"/>
      <c r="Z1132" s="154"/>
      <c r="AA1132" s="30"/>
      <c r="AB1132" s="30"/>
      <c r="AC1132" s="30"/>
      <c r="AD1132" s="30"/>
      <c r="AE1132" s="145">
        <f>Tabla1[[#This Row],[Cierre]]+Tabla1[[#This Row],[Vigencia Oferta (días)]]</f>
        <v>45233.375</v>
      </c>
      <c r="AF1132" s="68"/>
      <c r="AG1132" s="157"/>
      <c r="AH1132" s="194">
        <f>Tabla1[[#This Row],[Unidades2]]*Tabla1[[#This Row],[Precio Unitario]]</f>
        <v>0</v>
      </c>
      <c r="AI1132" s="97" t="s">
        <v>270</v>
      </c>
      <c r="AJ1132" s="149"/>
      <c r="AK1132" s="149">
        <f>Tabla1[[#This Row],[Fecha Vigencia]]-AJ1132</f>
        <v>45233.375</v>
      </c>
      <c r="AL1132" s="68"/>
      <c r="AM1132" s="91"/>
      <c r="AN1132" s="68"/>
      <c r="AO1132" s="218"/>
      <c r="AP1132" s="68"/>
      <c r="AQ1132" s="69"/>
      <c r="AR1132" s="68"/>
      <c r="AS1132" s="68"/>
      <c r="AT1132" s="68"/>
      <c r="AU1132" s="68"/>
      <c r="AV1132" s="68"/>
      <c r="AW1132" s="68"/>
      <c r="AX1132" s="68"/>
      <c r="AY1132" s="30"/>
      <c r="AZ1132" s="30"/>
      <c r="BA1132" s="30"/>
      <c r="BB1132" s="75"/>
    </row>
    <row r="1133" spans="1:54" x14ac:dyDescent="0.25">
      <c r="A1133" s="117" t="s">
        <v>5350</v>
      </c>
      <c r="B1133" s="118" t="s">
        <v>5351</v>
      </c>
      <c r="C1133" s="118" t="s">
        <v>5352</v>
      </c>
      <c r="D1133" s="119" t="s">
        <v>3701</v>
      </c>
      <c r="E1133" s="38" t="s">
        <v>5353</v>
      </c>
      <c r="F1133" s="39">
        <v>10</v>
      </c>
      <c r="G1133" s="118" t="s">
        <v>14</v>
      </c>
      <c r="H1133" s="118" t="s">
        <v>1983</v>
      </c>
      <c r="I1133" s="206">
        <v>45225.482821180602</v>
      </c>
      <c r="J1133" s="121">
        <v>45237.463888888902</v>
      </c>
      <c r="K1133" s="121">
        <v>45225.482821180602</v>
      </c>
      <c r="L1133" s="206">
        <v>45237.463888888902</v>
      </c>
      <c r="M1133" s="211">
        <v>45229</v>
      </c>
      <c r="N1133" s="207" t="s">
        <v>10</v>
      </c>
      <c r="O1133" s="206" t="s">
        <v>25</v>
      </c>
      <c r="P1133" s="38"/>
      <c r="Q1133" s="147">
        <v>45230.830555555556</v>
      </c>
      <c r="R1133" s="147">
        <v>45232.830555555556</v>
      </c>
      <c r="S1133" s="148">
        <v>45240.464583333334</v>
      </c>
      <c r="T1133" s="215">
        <v>44077737</v>
      </c>
      <c r="U1133" s="214">
        <f>Tabla1[[#This Row],[PPTO]]/(1+'Lista Datos'!$B$1)</f>
        <v>37040115.12605042</v>
      </c>
      <c r="V1133" s="64"/>
      <c r="W1133" s="191" t="s">
        <v>10</v>
      </c>
      <c r="X1133" s="122"/>
      <c r="Y1133" s="122"/>
      <c r="Z1133" s="123" t="s">
        <v>10</v>
      </c>
      <c r="AA1133" s="118" t="s">
        <v>177</v>
      </c>
      <c r="AB1133" s="118">
        <v>11</v>
      </c>
      <c r="AC1133" s="118"/>
      <c r="AD1133" s="118"/>
      <c r="AE1133" s="145">
        <f>Tabla1[[#This Row],[Cierre]]+Tabla1[[#This Row],[Vigencia Oferta (días)]]</f>
        <v>45237.463888888902</v>
      </c>
      <c r="AF1133" s="65"/>
      <c r="AG1133" s="181"/>
      <c r="AH1133" s="192">
        <f>Tabla1[[#This Row],[Unidades2]]*Tabla1[[#This Row],[Precio Unitario]]</f>
        <v>0</v>
      </c>
      <c r="AI1133" s="126" t="s">
        <v>270</v>
      </c>
      <c r="AJ1133" s="149"/>
      <c r="AK1133" s="149">
        <f>Tabla1[[#This Row],[Fecha Vigencia]]-AJ1133</f>
        <v>45237.463888888902</v>
      </c>
      <c r="AL1133" s="65"/>
      <c r="AM1133" s="90"/>
      <c r="AN1133" s="65"/>
      <c r="AO1133" s="217"/>
      <c r="AP1133" s="65"/>
      <c r="AQ1133" s="66"/>
      <c r="AR1133" s="65"/>
      <c r="AS1133" s="65"/>
      <c r="AT1133" s="65"/>
      <c r="AU1133" s="65"/>
      <c r="AV1133" s="65"/>
      <c r="AW1133" s="65"/>
      <c r="AX1133" s="65"/>
      <c r="AY1133" s="118"/>
      <c r="AZ1133" s="118"/>
      <c r="BA1133" s="118"/>
      <c r="BB1133" s="124"/>
    </row>
    <row r="1134" spans="1:54" x14ac:dyDescent="0.25">
      <c r="A1134" s="117" t="s">
        <v>5354</v>
      </c>
      <c r="B1134" s="118" t="s">
        <v>5355</v>
      </c>
      <c r="C1134" s="118" t="s">
        <v>5356</v>
      </c>
      <c r="D1134" s="119" t="s">
        <v>113</v>
      </c>
      <c r="E1134" s="38" t="s">
        <v>5357</v>
      </c>
      <c r="F1134" s="39">
        <v>1</v>
      </c>
      <c r="G1134" s="118" t="s">
        <v>16</v>
      </c>
      <c r="H1134" s="118" t="s">
        <v>123</v>
      </c>
      <c r="I1134" s="206">
        <v>45225.698506562498</v>
      </c>
      <c r="J1134" s="38">
        <v>45236.666666666701</v>
      </c>
      <c r="K1134" s="38">
        <v>45225.698506562498</v>
      </c>
      <c r="L1134" s="206">
        <v>45236.666666666701</v>
      </c>
      <c r="M1134" s="211">
        <v>45229</v>
      </c>
      <c r="N1134" s="207" t="s">
        <v>10</v>
      </c>
      <c r="O1134" s="206" t="s">
        <v>25</v>
      </c>
      <c r="P1134" s="38"/>
      <c r="Q1134" s="147">
        <v>45229.708333333336</v>
      </c>
      <c r="R1134" s="147">
        <v>45230.708333333336</v>
      </c>
      <c r="S1134" s="148">
        <v>45302.708333333336</v>
      </c>
      <c r="T1134" s="215">
        <v>20000000</v>
      </c>
      <c r="U1134" s="214">
        <f>Tabla1[[#This Row],[PPTO]]/(1+'Lista Datos'!$B$1)</f>
        <v>16806722.68907563</v>
      </c>
      <c r="V1134" s="64"/>
      <c r="W1134" s="191" t="s">
        <v>10</v>
      </c>
      <c r="X1134" s="122"/>
      <c r="Y1134" s="122"/>
      <c r="Z1134" s="123" t="s">
        <v>10</v>
      </c>
      <c r="AA1134" s="118" t="s">
        <v>512</v>
      </c>
      <c r="AB1134" s="118"/>
      <c r="AC1134" s="118"/>
      <c r="AD1134" s="118"/>
      <c r="AE1134" s="145">
        <f>Tabla1[[#This Row],[Cierre]]+Tabla1[[#This Row],[Vigencia Oferta (días)]]</f>
        <v>45236.666666666701</v>
      </c>
      <c r="AF1134" s="65"/>
      <c r="AG1134" s="181"/>
      <c r="AH1134" s="192">
        <f>Tabla1[[#This Row],[Unidades2]]*Tabla1[[#This Row],[Precio Unitario]]</f>
        <v>0</v>
      </c>
      <c r="AI1134" s="126" t="s">
        <v>270</v>
      </c>
      <c r="AJ1134" s="149"/>
      <c r="AK1134" s="149">
        <f>Tabla1[[#This Row],[Fecha Vigencia]]-AJ1134</f>
        <v>45236.666666666701</v>
      </c>
      <c r="AL1134" s="65"/>
      <c r="AM1134" s="90"/>
      <c r="AN1134" s="65"/>
      <c r="AO1134" s="217"/>
      <c r="AP1134" s="65"/>
      <c r="AQ1134" s="66"/>
      <c r="AR1134" s="65"/>
      <c r="AS1134" s="65"/>
      <c r="AT1134" s="65"/>
      <c r="AU1134" s="65"/>
      <c r="AV1134" s="65"/>
      <c r="AW1134" s="65"/>
      <c r="AX1134" s="65"/>
      <c r="AY1134" s="118"/>
      <c r="AZ1134" s="118"/>
      <c r="BA1134" s="118"/>
      <c r="BB1134" s="124"/>
    </row>
    <row r="1135" spans="1:54" x14ac:dyDescent="0.25">
      <c r="A1135" s="153" t="s">
        <v>5358</v>
      </c>
      <c r="B1135" s="30" t="s">
        <v>5359</v>
      </c>
      <c r="C1135" s="30" t="s">
        <v>5359</v>
      </c>
      <c r="D1135" s="84" t="s">
        <v>5360</v>
      </c>
      <c r="E1135" s="24" t="s">
        <v>5361</v>
      </c>
      <c r="F1135" s="25">
        <v>2</v>
      </c>
      <c r="G1135" s="30" t="s">
        <v>21</v>
      </c>
      <c r="H1135" s="30" t="s">
        <v>106</v>
      </c>
      <c r="I1135" s="203">
        <v>45229.7277007292</v>
      </c>
      <c r="J1135" s="38">
        <v>45236.666666666701</v>
      </c>
      <c r="K1135" s="38">
        <v>45229.7277007292</v>
      </c>
      <c r="L1135" s="203">
        <v>45236.666666666701</v>
      </c>
      <c r="M1135" s="204">
        <v>45230</v>
      </c>
      <c r="N1135" s="205" t="s">
        <v>11</v>
      </c>
      <c r="O1135" s="203"/>
      <c r="P1135" s="24"/>
      <c r="Q1135" s="160">
        <v>45232.625</v>
      </c>
      <c r="R1135" s="60" t="s">
        <v>5362</v>
      </c>
      <c r="S1135" s="161">
        <v>45240.666666666664</v>
      </c>
      <c r="T1135" s="210">
        <v>2594200</v>
      </c>
      <c r="U1135" s="209">
        <f>Tabla1[[#This Row],[PPTO]]/(1+'Lista Datos'!$B$1)</f>
        <v>2180000</v>
      </c>
      <c r="V1135" s="67"/>
      <c r="W1135" s="193" t="s">
        <v>10</v>
      </c>
      <c r="X1135" s="127"/>
      <c r="Y1135" s="127"/>
      <c r="Z1135" s="154" t="s">
        <v>10</v>
      </c>
      <c r="AA1135" s="30" t="s">
        <v>512</v>
      </c>
      <c r="AB1135" s="30"/>
      <c r="AC1135" s="30"/>
      <c r="AD1135" s="30"/>
      <c r="AE1135" s="145">
        <f>Tabla1[[#This Row],[Cierre]]+Tabla1[[#This Row],[Vigencia Oferta (días)]]</f>
        <v>45236.666666666701</v>
      </c>
      <c r="AF1135" s="68">
        <v>2</v>
      </c>
      <c r="AG1135" s="228">
        <v>1001870</v>
      </c>
      <c r="AH1135" s="194">
        <f>Tabla1[[#This Row],[Unidades2]]*Tabla1[[#This Row],[Precio Unitario]]</f>
        <v>2003740</v>
      </c>
      <c r="AI1135" s="97" t="s">
        <v>44</v>
      </c>
      <c r="AJ1135" s="149">
        <v>45271</v>
      </c>
      <c r="AK1135" s="149">
        <f>Tabla1[[#This Row],[Fecha Vigencia]]-AJ1135</f>
        <v>-34.333333333299379</v>
      </c>
      <c r="AL1135" s="68" t="s">
        <v>115</v>
      </c>
      <c r="AM1135" s="91">
        <v>1001870</v>
      </c>
      <c r="AN1135" s="68"/>
      <c r="AO1135" s="218"/>
      <c r="AP1135" s="97" t="s">
        <v>292</v>
      </c>
      <c r="AQ1135" s="97" t="s">
        <v>107</v>
      </c>
      <c r="AR1135" s="97" t="s">
        <v>10</v>
      </c>
      <c r="AS1135" s="97"/>
      <c r="AT1135" s="97"/>
      <c r="AU1135" s="97" t="s">
        <v>5363</v>
      </c>
      <c r="AV1135" s="97" t="s">
        <v>5364</v>
      </c>
      <c r="AW1135" s="97" t="s">
        <v>108</v>
      </c>
      <c r="AX1135" s="97" t="s">
        <v>109</v>
      </c>
      <c r="AY1135" s="30"/>
      <c r="AZ1135" s="30"/>
      <c r="BA1135" s="30"/>
      <c r="BB1135" s="75"/>
    </row>
    <row r="1136" spans="1:54" x14ac:dyDescent="0.25">
      <c r="A1136" s="117" t="s">
        <v>5365</v>
      </c>
      <c r="B1136" s="118" t="s">
        <v>5366</v>
      </c>
      <c r="C1136" s="118" t="s">
        <v>5367</v>
      </c>
      <c r="D1136" s="119" t="s">
        <v>1354</v>
      </c>
      <c r="E1136" s="38" t="s">
        <v>5210</v>
      </c>
      <c r="F1136" s="39">
        <v>16</v>
      </c>
      <c r="G1136" s="118" t="s">
        <v>21</v>
      </c>
      <c r="H1136" s="118" t="s">
        <v>106</v>
      </c>
      <c r="I1136" s="206">
        <v>45229.724387534698</v>
      </c>
      <c r="J1136" s="121">
        <v>45237.629166666702</v>
      </c>
      <c r="K1136" s="121">
        <v>45229.724387534698</v>
      </c>
      <c r="L1136" s="206">
        <v>45237.629166666702</v>
      </c>
      <c r="M1136" s="211">
        <v>45230</v>
      </c>
      <c r="N1136" s="207" t="s">
        <v>10</v>
      </c>
      <c r="O1136" s="206" t="s">
        <v>27</v>
      </c>
      <c r="P1136" s="38"/>
      <c r="Q1136" s="121"/>
      <c r="R1136" s="121"/>
      <c r="S1136" s="19"/>
      <c r="T1136" s="38"/>
      <c r="U1136" s="65">
        <f>Tabla1[[#This Row],[PPTO]]/(1+'Lista Datos'!$B$1)</f>
        <v>0</v>
      </c>
      <c r="V1136" s="64"/>
      <c r="W1136" s="191"/>
      <c r="X1136" s="122"/>
      <c r="Y1136" s="122"/>
      <c r="Z1136" s="123"/>
      <c r="AA1136" s="118"/>
      <c r="AB1136" s="118"/>
      <c r="AC1136" s="118"/>
      <c r="AD1136" s="118"/>
      <c r="AE1136" s="145">
        <f>Tabla1[[#This Row],[Cierre]]+Tabla1[[#This Row],[Vigencia Oferta (días)]]</f>
        <v>45237.629166666702</v>
      </c>
      <c r="AF1136" s="65"/>
      <c r="AG1136" s="181"/>
      <c r="AH1136" s="192">
        <f>Tabla1[[#This Row],[Unidades2]]*Tabla1[[#This Row],[Precio Unitario]]</f>
        <v>0</v>
      </c>
      <c r="AI1136" s="126" t="s">
        <v>270</v>
      </c>
      <c r="AJ1136" s="149"/>
      <c r="AK1136" s="149">
        <f>Tabla1[[#This Row],[Fecha Vigencia]]-AJ1136</f>
        <v>45237.629166666702</v>
      </c>
      <c r="AL1136" s="65"/>
      <c r="AM1136" s="90"/>
      <c r="AN1136" s="65"/>
      <c r="AO1136" s="217"/>
      <c r="AP1136" s="65"/>
      <c r="AQ1136" s="66"/>
      <c r="AR1136" s="65"/>
      <c r="AS1136" s="65"/>
      <c r="AT1136" s="65"/>
      <c r="AU1136" s="65"/>
      <c r="AV1136" s="65"/>
      <c r="AW1136" s="65"/>
      <c r="AX1136" s="65"/>
      <c r="AY1136" s="118"/>
      <c r="AZ1136" s="118"/>
      <c r="BA1136" s="118"/>
      <c r="BB1136" s="124"/>
    </row>
    <row r="1137" spans="1:54" x14ac:dyDescent="0.25">
      <c r="A1137" s="117" t="s">
        <v>5368</v>
      </c>
      <c r="B1137" s="118" t="s">
        <v>5369</v>
      </c>
      <c r="C1137" s="118" t="s">
        <v>5370</v>
      </c>
      <c r="D1137" s="119" t="s">
        <v>1103</v>
      </c>
      <c r="E1137" s="38" t="s">
        <v>5371</v>
      </c>
      <c r="F1137" s="39">
        <v>1</v>
      </c>
      <c r="G1137" s="118" t="s">
        <v>18</v>
      </c>
      <c r="H1137" s="118" t="s">
        <v>213</v>
      </c>
      <c r="I1137" s="206">
        <v>45229.663879942098</v>
      </c>
      <c r="J1137" s="38">
        <v>45239.520833333299</v>
      </c>
      <c r="K1137" s="38">
        <v>45229.663879942098</v>
      </c>
      <c r="L1137" s="206">
        <v>45239.520833333299</v>
      </c>
      <c r="M1137" s="211">
        <v>45230</v>
      </c>
      <c r="N1137" s="207" t="s">
        <v>10</v>
      </c>
      <c r="O1137" s="206" t="s">
        <v>28</v>
      </c>
      <c r="P1137" s="38"/>
      <c r="Q1137" s="121"/>
      <c r="R1137" s="121"/>
      <c r="S1137" s="19"/>
      <c r="T1137" s="38"/>
      <c r="U1137" s="65">
        <f>Tabla1[[#This Row],[PPTO]]/(1+'Lista Datos'!$B$1)</f>
        <v>0</v>
      </c>
      <c r="V1137" s="64"/>
      <c r="W1137" s="191"/>
      <c r="X1137" s="122"/>
      <c r="Y1137" s="122"/>
      <c r="Z1137" s="123"/>
      <c r="AA1137" s="118"/>
      <c r="AB1137" s="118"/>
      <c r="AC1137" s="118"/>
      <c r="AD1137" s="118"/>
      <c r="AE1137" s="145">
        <f>Tabla1[[#This Row],[Cierre]]+Tabla1[[#This Row],[Vigencia Oferta (días)]]</f>
        <v>45239.520833333299</v>
      </c>
      <c r="AF1137" s="65"/>
      <c r="AG1137" s="181"/>
      <c r="AH1137" s="192">
        <f>Tabla1[[#This Row],[Unidades2]]*Tabla1[[#This Row],[Precio Unitario]]</f>
        <v>0</v>
      </c>
      <c r="AI1137" s="126" t="s">
        <v>270</v>
      </c>
      <c r="AJ1137" s="149"/>
      <c r="AK1137" s="149">
        <f>Tabla1[[#This Row],[Fecha Vigencia]]-AJ1137</f>
        <v>45239.520833333299</v>
      </c>
      <c r="AL1137" s="65"/>
      <c r="AM1137" s="90"/>
      <c r="AN1137" s="65"/>
      <c r="AO1137" s="217"/>
      <c r="AP1137" s="65"/>
      <c r="AQ1137" s="66"/>
      <c r="AR1137" s="65"/>
      <c r="AS1137" s="65"/>
      <c r="AT1137" s="65"/>
      <c r="AU1137" s="65"/>
      <c r="AV1137" s="65"/>
      <c r="AW1137" s="65"/>
      <c r="AX1137" s="65"/>
      <c r="AY1137" s="118"/>
      <c r="AZ1137" s="118"/>
      <c r="BA1137" s="118"/>
      <c r="BB1137" s="124"/>
    </row>
    <row r="1138" spans="1:54" ht="23.25" x14ac:dyDescent="0.25">
      <c r="A1138" s="153" t="s">
        <v>5372</v>
      </c>
      <c r="B1138" s="30" t="s">
        <v>5373</v>
      </c>
      <c r="C1138" s="30" t="s">
        <v>5373</v>
      </c>
      <c r="D1138" s="84" t="s">
        <v>2111</v>
      </c>
      <c r="E1138" s="24" t="s">
        <v>5374</v>
      </c>
      <c r="F1138" s="25">
        <v>2</v>
      </c>
      <c r="G1138" s="30" t="s">
        <v>21</v>
      </c>
      <c r="H1138" s="30" t="s">
        <v>106</v>
      </c>
      <c r="I1138" s="203">
        <v>45229.538271296296</v>
      </c>
      <c r="J1138" s="38">
        <v>45239.645833333299</v>
      </c>
      <c r="K1138" s="38">
        <v>45229.538271296296</v>
      </c>
      <c r="L1138" s="203">
        <v>45239.645833333299</v>
      </c>
      <c r="M1138" s="204">
        <v>45230</v>
      </c>
      <c r="N1138" s="205" t="s">
        <v>11</v>
      </c>
      <c r="O1138" s="203"/>
      <c r="P1138" s="24"/>
      <c r="Q1138" s="160">
        <v>45234.686111111114</v>
      </c>
      <c r="R1138" s="160">
        <v>45236.686111111114</v>
      </c>
      <c r="S1138" s="161">
        <v>45271.679166666669</v>
      </c>
      <c r="T1138" s="24"/>
      <c r="U1138" s="68">
        <f>Tabla1[[#This Row],[PPTO]]/(1+'Lista Datos'!$B$1)</f>
        <v>0</v>
      </c>
      <c r="V1138" s="67"/>
      <c r="W1138" s="193" t="s">
        <v>10</v>
      </c>
      <c r="X1138" s="127"/>
      <c r="Y1138" s="127"/>
      <c r="Z1138" s="154" t="s">
        <v>10</v>
      </c>
      <c r="AA1138" s="30" t="s">
        <v>512</v>
      </c>
      <c r="AB1138" s="30"/>
      <c r="AC1138" s="30"/>
      <c r="AD1138" s="30"/>
      <c r="AE1138" s="145">
        <f>Tabla1[[#This Row],[Cierre]]+Tabla1[[#This Row],[Vigencia Oferta (días)]]</f>
        <v>45239.645833333299</v>
      </c>
      <c r="AF1138" s="68">
        <v>2</v>
      </c>
      <c r="AG1138" s="91">
        <v>636978</v>
      </c>
      <c r="AH1138" s="194">
        <f>Tabla1[[#This Row],[Unidades2]]*Tabla1[[#This Row],[Precio Unitario]]</f>
        <v>1273956</v>
      </c>
      <c r="AI1138" s="97" t="s">
        <v>44</v>
      </c>
      <c r="AJ1138" s="149">
        <v>45254</v>
      </c>
      <c r="AK1138" s="149">
        <f>Tabla1[[#This Row],[Fecha Vigencia]]-AJ1138</f>
        <v>-14.354166666700621</v>
      </c>
      <c r="AL1138" s="68" t="s">
        <v>205</v>
      </c>
      <c r="AM1138" s="231">
        <v>477231</v>
      </c>
      <c r="AN1138" s="65"/>
      <c r="AO1138" s="65"/>
      <c r="AP1138" s="97" t="s">
        <v>292</v>
      </c>
      <c r="AQ1138" s="69"/>
      <c r="AR1138" s="68"/>
      <c r="AS1138" s="68"/>
      <c r="AT1138" s="68"/>
      <c r="AU1138" s="68"/>
      <c r="AV1138" s="68"/>
      <c r="AW1138" s="68"/>
      <c r="AX1138" s="68"/>
      <c r="AY1138" s="30"/>
      <c r="AZ1138" s="30"/>
      <c r="BA1138" s="30"/>
      <c r="BB1138" s="75"/>
    </row>
    <row r="1139" spans="1:54" x14ac:dyDescent="0.25">
      <c r="A1139" s="117" t="s">
        <v>5375</v>
      </c>
      <c r="B1139" s="118" t="s">
        <v>5376</v>
      </c>
      <c r="C1139" s="118" t="s">
        <v>5377</v>
      </c>
      <c r="D1139" s="119" t="s">
        <v>1736</v>
      </c>
      <c r="E1139" s="38" t="s">
        <v>5093</v>
      </c>
      <c r="F1139" s="39">
        <v>1</v>
      </c>
      <c r="G1139" s="118" t="s">
        <v>16</v>
      </c>
      <c r="H1139" s="118" t="s">
        <v>345</v>
      </c>
      <c r="I1139" s="206">
        <v>45229.459519641197</v>
      </c>
      <c r="J1139" s="121">
        <v>45239.525694444397</v>
      </c>
      <c r="K1139" s="121">
        <v>45229.459519641197</v>
      </c>
      <c r="L1139" s="206">
        <v>45239.525694444397</v>
      </c>
      <c r="M1139" s="211">
        <v>45230</v>
      </c>
      <c r="N1139" s="207" t="s">
        <v>10</v>
      </c>
      <c r="O1139" s="206" t="s">
        <v>25</v>
      </c>
      <c r="P1139" s="38"/>
      <c r="Q1139" s="121"/>
      <c r="R1139" s="121"/>
      <c r="S1139" s="19"/>
      <c r="T1139" s="38"/>
      <c r="U1139" s="65">
        <f>Tabla1[[#This Row],[PPTO]]/(1+'Lista Datos'!$B$1)</f>
        <v>0</v>
      </c>
      <c r="V1139" s="64"/>
      <c r="W1139" s="191"/>
      <c r="X1139" s="122"/>
      <c r="Y1139" s="122"/>
      <c r="Z1139" s="123"/>
      <c r="AA1139" s="118"/>
      <c r="AB1139" s="118"/>
      <c r="AC1139" s="118"/>
      <c r="AD1139" s="118"/>
      <c r="AE1139" s="145">
        <f>Tabla1[[#This Row],[Cierre]]+Tabla1[[#This Row],[Vigencia Oferta (días)]]</f>
        <v>45239.525694444397</v>
      </c>
      <c r="AF1139" s="65"/>
      <c r="AG1139" s="181"/>
      <c r="AH1139" s="192">
        <f>Tabla1[[#This Row],[Unidades2]]*Tabla1[[#This Row],[Precio Unitario]]</f>
        <v>0</v>
      </c>
      <c r="AI1139" s="126" t="s">
        <v>270</v>
      </c>
      <c r="AJ1139" s="149"/>
      <c r="AK1139" s="149">
        <f>Tabla1[[#This Row],[Fecha Vigencia]]-AJ1139</f>
        <v>45239.525694444397</v>
      </c>
      <c r="AL1139" s="65"/>
      <c r="AM1139" s="90"/>
      <c r="AN1139" s="65"/>
      <c r="AO1139" s="217"/>
      <c r="AP1139" s="65"/>
      <c r="AQ1139" s="66"/>
      <c r="AR1139" s="65"/>
      <c r="AS1139" s="65"/>
      <c r="AT1139" s="65"/>
      <c r="AU1139" s="65"/>
      <c r="AV1139" s="65"/>
      <c r="AW1139" s="65"/>
      <c r="AX1139" s="65"/>
      <c r="AY1139" s="118"/>
      <c r="AZ1139" s="118"/>
      <c r="BA1139" s="118"/>
      <c r="BB1139" s="124"/>
    </row>
    <row r="1140" spans="1:54" x14ac:dyDescent="0.25">
      <c r="A1140" s="153" t="s">
        <v>5378</v>
      </c>
      <c r="B1140" s="30" t="s">
        <v>5379</v>
      </c>
      <c r="C1140" s="30" t="s">
        <v>5380</v>
      </c>
      <c r="D1140" s="84" t="s">
        <v>4517</v>
      </c>
      <c r="E1140" s="24" t="s">
        <v>5381</v>
      </c>
      <c r="F1140" s="25">
        <v>1</v>
      </c>
      <c r="G1140" s="30" t="s">
        <v>21</v>
      </c>
      <c r="H1140" s="30" t="s">
        <v>106</v>
      </c>
      <c r="I1140" s="203">
        <v>45231.502450659696</v>
      </c>
      <c r="J1140" s="38">
        <v>45237.625</v>
      </c>
      <c r="K1140" s="38">
        <v>45231.502450659696</v>
      </c>
      <c r="L1140" s="203">
        <v>45237.625</v>
      </c>
      <c r="M1140" s="204">
        <v>45232</v>
      </c>
      <c r="N1140" s="205" t="s">
        <v>10</v>
      </c>
      <c r="O1140" s="203" t="s">
        <v>33</v>
      </c>
      <c r="P1140" s="24"/>
      <c r="Q1140" s="160">
        <v>45233.416666666664</v>
      </c>
      <c r="R1140" s="160">
        <v>45233.666666666664</v>
      </c>
      <c r="S1140" s="161">
        <v>45258.708333333336</v>
      </c>
      <c r="T1140" s="24"/>
      <c r="U1140" s="68">
        <f>Tabla1[[#This Row],[PPTO]]/(1+'Lista Datos'!$B$1)</f>
        <v>0</v>
      </c>
      <c r="V1140" s="67"/>
      <c r="W1140" s="193" t="s">
        <v>10</v>
      </c>
      <c r="X1140" s="127"/>
      <c r="Y1140" s="127"/>
      <c r="Z1140" s="154" t="s">
        <v>10</v>
      </c>
      <c r="AA1140" s="30" t="s">
        <v>512</v>
      </c>
      <c r="AB1140" s="30"/>
      <c r="AC1140" s="30"/>
      <c r="AD1140" s="30"/>
      <c r="AE1140" s="145">
        <f>Tabla1[[#This Row],[Cierre]]+Tabla1[[#This Row],[Vigencia Oferta (días)]]</f>
        <v>45237.625</v>
      </c>
      <c r="AF1140" s="68"/>
      <c r="AG1140" s="157"/>
      <c r="AH1140" s="194">
        <f>Tabla1[[#This Row],[Unidades2]]*Tabla1[[#This Row],[Precio Unitario]]</f>
        <v>0</v>
      </c>
      <c r="AI1140" s="97" t="s">
        <v>270</v>
      </c>
      <c r="AJ1140" s="149"/>
      <c r="AK1140" s="149">
        <f>Tabla1[[#This Row],[Fecha Vigencia]]-AJ1140</f>
        <v>45237.625</v>
      </c>
      <c r="AL1140" s="68"/>
      <c r="AM1140" s="91"/>
      <c r="AN1140" s="68"/>
      <c r="AO1140" s="218"/>
      <c r="AP1140" s="68"/>
      <c r="AQ1140" s="69"/>
      <c r="AR1140" s="68"/>
      <c r="AS1140" s="68"/>
      <c r="AT1140" s="68"/>
      <c r="AU1140" s="68"/>
      <c r="AV1140" s="68"/>
      <c r="AW1140" s="68"/>
      <c r="AX1140" s="68"/>
      <c r="AY1140" s="30"/>
      <c r="AZ1140" s="30"/>
      <c r="BA1140" s="30"/>
      <c r="BB1140" s="75"/>
    </row>
    <row r="1141" spans="1:54" x14ac:dyDescent="0.25">
      <c r="A1141" s="117" t="s">
        <v>5382</v>
      </c>
      <c r="B1141" s="118" t="s">
        <v>5383</v>
      </c>
      <c r="C1141" s="118" t="s">
        <v>5384</v>
      </c>
      <c r="D1141" s="119" t="s">
        <v>546</v>
      </c>
      <c r="E1141" s="38" t="s">
        <v>5385</v>
      </c>
      <c r="F1141" s="39">
        <v>3</v>
      </c>
      <c r="G1141" s="118" t="s">
        <v>21</v>
      </c>
      <c r="H1141" s="118" t="s">
        <v>106</v>
      </c>
      <c r="I1141" s="206">
        <v>45230.758359838001</v>
      </c>
      <c r="J1141" s="121">
        <v>45236.777777777803</v>
      </c>
      <c r="K1141" s="121">
        <v>45230.758359838001</v>
      </c>
      <c r="L1141" s="206">
        <v>45236.777777777803</v>
      </c>
      <c r="M1141" s="211">
        <v>45232</v>
      </c>
      <c r="N1141" s="207" t="s">
        <v>10</v>
      </c>
      <c r="O1141" s="206" t="s">
        <v>27</v>
      </c>
      <c r="P1141" s="38"/>
      <c r="Q1141" s="121"/>
      <c r="R1141" s="121"/>
      <c r="S1141" s="19"/>
      <c r="T1141" s="38"/>
      <c r="U1141" s="65">
        <f>Tabla1[[#This Row],[PPTO]]/(1+'Lista Datos'!$B$1)</f>
        <v>0</v>
      </c>
      <c r="V1141" s="64"/>
      <c r="W1141" s="191"/>
      <c r="X1141" s="122"/>
      <c r="Y1141" s="122"/>
      <c r="Z1141" s="123"/>
      <c r="AA1141" s="118"/>
      <c r="AB1141" s="118"/>
      <c r="AC1141" s="118"/>
      <c r="AD1141" s="118"/>
      <c r="AE1141" s="145">
        <f>Tabla1[[#This Row],[Cierre]]+Tabla1[[#This Row],[Vigencia Oferta (días)]]</f>
        <v>45236.777777777803</v>
      </c>
      <c r="AF1141" s="65"/>
      <c r="AG1141" s="181"/>
      <c r="AH1141" s="192">
        <f>Tabla1[[#This Row],[Unidades2]]*Tabla1[[#This Row],[Precio Unitario]]</f>
        <v>0</v>
      </c>
      <c r="AI1141" s="126" t="s">
        <v>270</v>
      </c>
      <c r="AJ1141" s="149"/>
      <c r="AK1141" s="149">
        <f>Tabla1[[#This Row],[Fecha Vigencia]]-AJ1141</f>
        <v>45236.777777777803</v>
      </c>
      <c r="AL1141" s="65"/>
      <c r="AM1141" s="90"/>
      <c r="AN1141" s="65"/>
      <c r="AO1141" s="217"/>
      <c r="AP1141" s="65"/>
      <c r="AQ1141" s="66"/>
      <c r="AR1141" s="65"/>
      <c r="AS1141" s="65"/>
      <c r="AT1141" s="65"/>
      <c r="AU1141" s="65"/>
      <c r="AV1141" s="65"/>
      <c r="AW1141" s="65"/>
      <c r="AX1141" s="65"/>
      <c r="AY1141" s="118"/>
      <c r="AZ1141" s="118"/>
      <c r="BA1141" s="118"/>
      <c r="BB1141" s="124"/>
    </row>
    <row r="1142" spans="1:54" x14ac:dyDescent="0.25">
      <c r="A1142" s="117" t="s">
        <v>5386</v>
      </c>
      <c r="B1142" s="118" t="s">
        <v>5387</v>
      </c>
      <c r="C1142" s="118" t="s">
        <v>5388</v>
      </c>
      <c r="D1142" s="119" t="s">
        <v>3038</v>
      </c>
      <c r="E1142" s="38" t="s">
        <v>5389</v>
      </c>
      <c r="F1142" s="39">
        <v>504</v>
      </c>
      <c r="G1142" s="118" t="s">
        <v>21</v>
      </c>
      <c r="H1142" s="118" t="s">
        <v>106</v>
      </c>
      <c r="I1142" s="206">
        <v>45232.714994062502</v>
      </c>
      <c r="J1142" s="38">
        <v>45254.5</v>
      </c>
      <c r="K1142" s="38">
        <v>45232.714994062502</v>
      </c>
      <c r="L1142" s="206">
        <v>45254.5</v>
      </c>
      <c r="M1142" s="211">
        <v>45233</v>
      </c>
      <c r="N1142" s="207" t="s">
        <v>11</v>
      </c>
      <c r="O1142" s="206"/>
      <c r="P1142" s="38"/>
      <c r="Q1142" s="147">
        <v>45240.625</v>
      </c>
      <c r="R1142" s="147">
        <v>45243.625</v>
      </c>
      <c r="S1142" s="148">
        <v>45286.625</v>
      </c>
      <c r="T1142" s="38"/>
      <c r="U1142" s="65">
        <f>Tabla1[[#This Row],[PPTO]]/(1+'Lista Datos'!$B$1)</f>
        <v>0</v>
      </c>
      <c r="V1142" s="64"/>
      <c r="W1142" s="191" t="s">
        <v>11</v>
      </c>
      <c r="X1142" s="122" t="s">
        <v>5390</v>
      </c>
      <c r="Y1142" s="149">
        <v>45436</v>
      </c>
      <c r="Z1142" s="123" t="s">
        <v>10</v>
      </c>
      <c r="AA1142" s="118" t="s">
        <v>177</v>
      </c>
      <c r="AB1142" s="118">
        <v>24</v>
      </c>
      <c r="AC1142" s="118"/>
      <c r="AD1142" s="118"/>
      <c r="AE1142" s="145">
        <f>Tabla1[[#This Row],[Cierre]]+Tabla1[[#This Row],[Vigencia Oferta (días)]]</f>
        <v>45254.5</v>
      </c>
      <c r="AF1142" s="65"/>
      <c r="AG1142" s="181"/>
      <c r="AH1142" s="192">
        <f>Tabla1[[#This Row],[Unidades2]]*Tabla1[[#This Row],[Precio Unitario]]</f>
        <v>0</v>
      </c>
      <c r="AI1142" s="126" t="s">
        <v>270</v>
      </c>
      <c r="AJ1142" s="149"/>
      <c r="AK1142" s="149">
        <f>Tabla1[[#This Row],[Fecha Vigencia]]-AJ1142</f>
        <v>45254.5</v>
      </c>
      <c r="AL1142" s="65"/>
      <c r="AM1142" s="90"/>
      <c r="AN1142" s="65"/>
      <c r="AO1142" s="217"/>
      <c r="AP1142" s="65"/>
      <c r="AQ1142" s="66"/>
      <c r="AR1142" s="65"/>
      <c r="AS1142" s="65"/>
      <c r="AT1142" s="65"/>
      <c r="AU1142" s="65"/>
      <c r="AV1142" s="65"/>
      <c r="AW1142" s="65"/>
      <c r="AX1142" s="65"/>
      <c r="AY1142" s="118"/>
      <c r="AZ1142" s="118"/>
      <c r="BA1142" s="118"/>
      <c r="BB1142" s="124"/>
    </row>
    <row r="1143" spans="1:54" x14ac:dyDescent="0.25">
      <c r="A1143" s="153" t="s">
        <v>5391</v>
      </c>
      <c r="B1143" s="30" t="s">
        <v>5392</v>
      </c>
      <c r="C1143" s="30" t="s">
        <v>5393</v>
      </c>
      <c r="D1143" s="84" t="s">
        <v>479</v>
      </c>
      <c r="E1143" s="24" t="s">
        <v>5394</v>
      </c>
      <c r="F1143" s="25">
        <v>1</v>
      </c>
      <c r="G1143" s="30" t="s">
        <v>18</v>
      </c>
      <c r="H1143" s="30" t="s">
        <v>213</v>
      </c>
      <c r="I1143" s="203">
        <v>45232.522879317097</v>
      </c>
      <c r="J1143" s="38">
        <v>45243.666666666701</v>
      </c>
      <c r="K1143" s="38">
        <v>45232.522879317097</v>
      </c>
      <c r="L1143" s="203">
        <v>45243.666666666701</v>
      </c>
      <c r="M1143" s="204">
        <v>45233</v>
      </c>
      <c r="N1143" s="205" t="s">
        <v>10</v>
      </c>
      <c r="O1143" s="203" t="s">
        <v>28</v>
      </c>
      <c r="P1143" s="24"/>
      <c r="Q1143" s="60"/>
      <c r="R1143" s="60"/>
      <c r="S1143" s="18"/>
      <c r="T1143" s="24"/>
      <c r="U1143" s="68">
        <f>Tabla1[[#This Row],[PPTO]]/(1+'Lista Datos'!$B$1)</f>
        <v>0</v>
      </c>
      <c r="V1143" s="67"/>
      <c r="W1143" s="193"/>
      <c r="X1143" s="127"/>
      <c r="Y1143" s="127"/>
      <c r="Z1143" s="154"/>
      <c r="AA1143" s="30"/>
      <c r="AB1143" s="30"/>
      <c r="AC1143" s="30"/>
      <c r="AD1143" s="30"/>
      <c r="AE1143" s="145">
        <f>Tabla1[[#This Row],[Cierre]]+Tabla1[[#This Row],[Vigencia Oferta (días)]]</f>
        <v>45243.666666666701</v>
      </c>
      <c r="AF1143" s="68"/>
      <c r="AG1143" s="157"/>
      <c r="AH1143" s="194">
        <f>Tabla1[[#This Row],[Unidades2]]*Tabla1[[#This Row],[Precio Unitario]]</f>
        <v>0</v>
      </c>
      <c r="AI1143" s="97" t="s">
        <v>270</v>
      </c>
      <c r="AJ1143" s="149"/>
      <c r="AK1143" s="149">
        <f>Tabla1[[#This Row],[Fecha Vigencia]]-AJ1143</f>
        <v>45243.666666666701</v>
      </c>
      <c r="AL1143" s="68"/>
      <c r="AM1143" s="91"/>
      <c r="AN1143" s="68"/>
      <c r="AO1143" s="218"/>
      <c r="AP1143" s="68"/>
      <c r="AQ1143" s="69"/>
      <c r="AR1143" s="68"/>
      <c r="AS1143" s="68"/>
      <c r="AT1143" s="68"/>
      <c r="AU1143" s="68"/>
      <c r="AV1143" s="68"/>
      <c r="AW1143" s="68"/>
      <c r="AX1143" s="68"/>
      <c r="AY1143" s="30"/>
      <c r="AZ1143" s="30"/>
      <c r="BA1143" s="30"/>
      <c r="BB1143" s="75"/>
    </row>
    <row r="1144" spans="1:54" x14ac:dyDescent="0.25">
      <c r="A1144" s="117" t="s">
        <v>5395</v>
      </c>
      <c r="B1144" s="118" t="s">
        <v>5396</v>
      </c>
      <c r="C1144" s="118" t="s">
        <v>3591</v>
      </c>
      <c r="D1144" s="119" t="s">
        <v>2947</v>
      </c>
      <c r="E1144" s="24" t="s">
        <v>5397</v>
      </c>
      <c r="F1144" s="39">
        <v>4</v>
      </c>
      <c r="G1144" s="118" t="s">
        <v>21</v>
      </c>
      <c r="H1144" s="118" t="s">
        <v>106</v>
      </c>
      <c r="I1144" s="206">
        <v>45232.4092769329</v>
      </c>
      <c r="J1144" s="121">
        <v>45238.5</v>
      </c>
      <c r="K1144" s="121">
        <v>45232.4092769329</v>
      </c>
      <c r="L1144" s="206">
        <v>45238.5</v>
      </c>
      <c r="M1144" s="211">
        <v>45233</v>
      </c>
      <c r="N1144" s="207" t="s">
        <v>10</v>
      </c>
      <c r="O1144" s="206" t="s">
        <v>27</v>
      </c>
      <c r="P1144" s="38"/>
      <c r="Q1144" s="121"/>
      <c r="R1144" s="121"/>
      <c r="S1144" s="19"/>
      <c r="T1144" s="38"/>
      <c r="U1144" s="65">
        <f>Tabla1[[#This Row],[PPTO]]/(1+'Lista Datos'!$B$1)</f>
        <v>0</v>
      </c>
      <c r="V1144" s="64"/>
      <c r="W1144" s="191"/>
      <c r="X1144" s="122"/>
      <c r="Y1144" s="122"/>
      <c r="Z1144" s="123"/>
      <c r="AA1144" s="118"/>
      <c r="AB1144" s="118"/>
      <c r="AC1144" s="118"/>
      <c r="AD1144" s="118"/>
      <c r="AE1144" s="145">
        <f>Tabla1[[#This Row],[Cierre]]+Tabla1[[#This Row],[Vigencia Oferta (días)]]</f>
        <v>45238.5</v>
      </c>
      <c r="AF1144" s="65"/>
      <c r="AG1144" s="181"/>
      <c r="AH1144" s="192">
        <f>Tabla1[[#This Row],[Unidades2]]*Tabla1[[#This Row],[Precio Unitario]]</f>
        <v>0</v>
      </c>
      <c r="AI1144" s="126" t="s">
        <v>270</v>
      </c>
      <c r="AJ1144" s="149"/>
      <c r="AK1144" s="149">
        <f>Tabla1[[#This Row],[Fecha Vigencia]]-AJ1144</f>
        <v>45238.5</v>
      </c>
      <c r="AL1144" s="65"/>
      <c r="AM1144" s="90"/>
      <c r="AN1144" s="65"/>
      <c r="AO1144" s="217"/>
      <c r="AP1144" s="65"/>
      <c r="AQ1144" s="66"/>
      <c r="AR1144" s="65"/>
      <c r="AS1144" s="65"/>
      <c r="AT1144" s="65"/>
      <c r="AU1144" s="65"/>
      <c r="AV1144" s="65"/>
      <c r="AW1144" s="65"/>
      <c r="AX1144" s="65"/>
      <c r="AY1144" s="118"/>
      <c r="AZ1144" s="118"/>
      <c r="BA1144" s="118"/>
      <c r="BB1144" s="124"/>
    </row>
    <row r="1145" spans="1:54" x14ac:dyDescent="0.25">
      <c r="A1145" s="117" t="s">
        <v>5398</v>
      </c>
      <c r="B1145" s="118" t="s">
        <v>5399</v>
      </c>
      <c r="C1145" s="118" t="s">
        <v>5400</v>
      </c>
      <c r="D1145" s="119" t="s">
        <v>5401</v>
      </c>
      <c r="E1145" s="38" t="s">
        <v>5402</v>
      </c>
      <c r="F1145" s="39">
        <v>1</v>
      </c>
      <c r="G1145" s="118" t="s">
        <v>16</v>
      </c>
      <c r="H1145" s="118" t="s">
        <v>520</v>
      </c>
      <c r="I1145" s="206">
        <v>45232.392149421299</v>
      </c>
      <c r="J1145" s="38">
        <v>45243.625694444403</v>
      </c>
      <c r="K1145" s="38">
        <v>45232.392149421299</v>
      </c>
      <c r="L1145" s="206">
        <v>45243.625694444403</v>
      </c>
      <c r="M1145" s="211">
        <v>45233</v>
      </c>
      <c r="N1145" s="207" t="s">
        <v>10</v>
      </c>
      <c r="O1145" s="206" t="s">
        <v>25</v>
      </c>
      <c r="P1145" s="38"/>
      <c r="Q1145" s="147">
        <v>45237.958333333336</v>
      </c>
      <c r="R1145" s="147">
        <v>45238.666666666664</v>
      </c>
      <c r="S1145" s="148">
        <v>45275.958333333336</v>
      </c>
      <c r="T1145" s="38"/>
      <c r="U1145" s="65">
        <f>Tabla1[[#This Row],[PPTO]]/(1+'Lista Datos'!$B$1)</f>
        <v>0</v>
      </c>
      <c r="V1145" s="64"/>
      <c r="W1145" s="191" t="s">
        <v>11</v>
      </c>
      <c r="X1145" s="122">
        <v>200000</v>
      </c>
      <c r="Y1145" s="149">
        <v>45382</v>
      </c>
      <c r="Z1145" s="123" t="s">
        <v>10</v>
      </c>
      <c r="AA1145" s="118" t="s">
        <v>177</v>
      </c>
      <c r="AB1145" s="118">
        <v>12</v>
      </c>
      <c r="AC1145" s="118"/>
      <c r="AD1145" s="118"/>
      <c r="AE1145" s="145">
        <f>Tabla1[[#This Row],[Cierre]]+Tabla1[[#This Row],[Vigencia Oferta (días)]]</f>
        <v>45243.625694444403</v>
      </c>
      <c r="AF1145" s="65"/>
      <c r="AG1145" s="181"/>
      <c r="AH1145" s="192">
        <f>Tabla1[[#This Row],[Unidades2]]*Tabla1[[#This Row],[Precio Unitario]]</f>
        <v>0</v>
      </c>
      <c r="AI1145" s="126" t="s">
        <v>270</v>
      </c>
      <c r="AJ1145" s="149"/>
      <c r="AK1145" s="149">
        <f>Tabla1[[#This Row],[Fecha Vigencia]]-AJ1145</f>
        <v>45243.625694444403</v>
      </c>
      <c r="AL1145" s="65"/>
      <c r="AM1145" s="90"/>
      <c r="AN1145" s="65"/>
      <c r="AO1145" s="217"/>
      <c r="AP1145" s="65"/>
      <c r="AQ1145" s="66"/>
      <c r="AR1145" s="65"/>
      <c r="AS1145" s="65"/>
      <c r="AT1145" s="65"/>
      <c r="AU1145" s="65"/>
      <c r="AV1145" s="65"/>
      <c r="AW1145" s="65"/>
      <c r="AX1145" s="65"/>
      <c r="AY1145" s="118"/>
      <c r="AZ1145" s="118"/>
      <c r="BA1145" s="118"/>
      <c r="BB1145" s="124"/>
    </row>
    <row r="1146" spans="1:54" x14ac:dyDescent="0.25">
      <c r="A1146" s="117" t="s">
        <v>5403</v>
      </c>
      <c r="B1146" s="118" t="s">
        <v>5404</v>
      </c>
      <c r="C1146" s="118" t="s">
        <v>5405</v>
      </c>
      <c r="D1146" s="119" t="s">
        <v>1729</v>
      </c>
      <c r="E1146" s="38" t="s">
        <v>5406</v>
      </c>
      <c r="F1146" s="39">
        <v>1</v>
      </c>
      <c r="G1146" s="118" t="s">
        <v>21</v>
      </c>
      <c r="H1146" s="118" t="s">
        <v>106</v>
      </c>
      <c r="I1146" s="206">
        <v>45233.610554050902</v>
      </c>
      <c r="J1146" s="38">
        <v>45243.708333333299</v>
      </c>
      <c r="K1146" s="38">
        <v>45233.610554050902</v>
      </c>
      <c r="L1146" s="206">
        <v>45243.708333333299</v>
      </c>
      <c r="M1146" s="211">
        <v>45236</v>
      </c>
      <c r="N1146" s="207" t="s">
        <v>10</v>
      </c>
      <c r="O1146" s="206" t="s">
        <v>25</v>
      </c>
      <c r="P1146" s="38"/>
      <c r="Q1146" s="121"/>
      <c r="R1146" s="121"/>
      <c r="S1146" s="19"/>
      <c r="T1146" s="38"/>
      <c r="U1146" s="65">
        <f>Tabla1[[#This Row],[PPTO]]/(1+'Lista Datos'!$B$1)</f>
        <v>0</v>
      </c>
      <c r="V1146" s="64"/>
      <c r="W1146" s="191"/>
      <c r="X1146" s="122"/>
      <c r="Y1146" s="122"/>
      <c r="Z1146" s="123"/>
      <c r="AA1146" s="118"/>
      <c r="AB1146" s="118"/>
      <c r="AC1146" s="118"/>
      <c r="AD1146" s="118"/>
      <c r="AE1146" s="145">
        <f>Tabla1[[#This Row],[Cierre]]+Tabla1[[#This Row],[Vigencia Oferta (días)]]</f>
        <v>45243.708333333299</v>
      </c>
      <c r="AF1146" s="65"/>
      <c r="AG1146" s="181"/>
      <c r="AH1146" s="192">
        <f>Tabla1[[#This Row],[Unidades2]]*Tabla1[[#This Row],[Precio Unitario]]</f>
        <v>0</v>
      </c>
      <c r="AI1146" s="126" t="s">
        <v>270</v>
      </c>
      <c r="AJ1146" s="149"/>
      <c r="AK1146" s="149">
        <f>Tabla1[[#This Row],[Fecha Vigencia]]-AJ1146</f>
        <v>45243.708333333299</v>
      </c>
      <c r="AL1146" s="65"/>
      <c r="AM1146" s="90"/>
      <c r="AN1146" s="65"/>
      <c r="AO1146" s="217"/>
      <c r="AP1146" s="65"/>
      <c r="AQ1146" s="66"/>
      <c r="AR1146" s="65"/>
      <c r="AS1146" s="65"/>
      <c r="AT1146" s="65"/>
      <c r="AU1146" s="65"/>
      <c r="AV1146" s="65"/>
      <c r="AW1146" s="65"/>
      <c r="AX1146" s="65"/>
      <c r="AY1146" s="118"/>
      <c r="AZ1146" s="118"/>
      <c r="BA1146" s="118"/>
      <c r="BB1146" s="124"/>
    </row>
    <row r="1147" spans="1:54" x14ac:dyDescent="0.25">
      <c r="A1147" s="153" t="s">
        <v>5407</v>
      </c>
      <c r="B1147" s="30" t="s">
        <v>5408</v>
      </c>
      <c r="C1147" s="30" t="s">
        <v>5409</v>
      </c>
      <c r="D1147" s="84" t="s">
        <v>160</v>
      </c>
      <c r="E1147" s="24" t="s">
        <v>5410</v>
      </c>
      <c r="F1147" s="25">
        <v>1</v>
      </c>
      <c r="G1147" s="30" t="s">
        <v>16</v>
      </c>
      <c r="H1147" s="30" t="s">
        <v>145</v>
      </c>
      <c r="I1147" s="203">
        <v>45233.537111724501</v>
      </c>
      <c r="J1147" s="38">
        <v>45240.625</v>
      </c>
      <c r="K1147" s="38">
        <v>45233.537111724501</v>
      </c>
      <c r="L1147" s="203">
        <v>45240.625</v>
      </c>
      <c r="M1147" s="204">
        <v>45236</v>
      </c>
      <c r="N1147" s="205" t="s">
        <v>10</v>
      </c>
      <c r="O1147" s="203" t="s">
        <v>34</v>
      </c>
      <c r="P1147" s="24"/>
      <c r="Q1147" s="60"/>
      <c r="R1147" s="60"/>
      <c r="S1147" s="18"/>
      <c r="T1147" s="24"/>
      <c r="U1147" s="68">
        <f>Tabla1[[#This Row],[PPTO]]/(1+'Lista Datos'!$B$1)</f>
        <v>0</v>
      </c>
      <c r="V1147" s="67"/>
      <c r="W1147" s="193"/>
      <c r="X1147" s="127"/>
      <c r="Y1147" s="127"/>
      <c r="Z1147" s="154"/>
      <c r="AA1147" s="30"/>
      <c r="AB1147" s="30"/>
      <c r="AC1147" s="30"/>
      <c r="AD1147" s="30"/>
      <c r="AE1147" s="145">
        <f>Tabla1[[#This Row],[Cierre]]+Tabla1[[#This Row],[Vigencia Oferta (días)]]</f>
        <v>45240.625</v>
      </c>
      <c r="AF1147" s="68"/>
      <c r="AG1147" s="157"/>
      <c r="AH1147" s="194">
        <f>Tabla1[[#This Row],[Unidades2]]*Tabla1[[#This Row],[Precio Unitario]]</f>
        <v>0</v>
      </c>
      <c r="AI1147" s="97" t="s">
        <v>270</v>
      </c>
      <c r="AJ1147" s="149"/>
      <c r="AK1147" s="149">
        <f>Tabla1[[#This Row],[Fecha Vigencia]]-AJ1147</f>
        <v>45240.625</v>
      </c>
      <c r="AL1147" s="68"/>
      <c r="AM1147" s="91"/>
      <c r="AN1147" s="68"/>
      <c r="AO1147" s="218"/>
      <c r="AP1147" s="68"/>
      <c r="AQ1147" s="69"/>
      <c r="AR1147" s="68"/>
      <c r="AS1147" s="68"/>
      <c r="AT1147" s="68"/>
      <c r="AU1147" s="68"/>
      <c r="AV1147" s="68"/>
      <c r="AW1147" s="68"/>
      <c r="AX1147" s="68"/>
      <c r="AY1147" s="30"/>
      <c r="AZ1147" s="30"/>
      <c r="BA1147" s="30"/>
      <c r="BB1147" s="75"/>
    </row>
    <row r="1148" spans="1:54" x14ac:dyDescent="0.25">
      <c r="A1148" s="153" t="s">
        <v>5411</v>
      </c>
      <c r="B1148" s="30" t="s">
        <v>5412</v>
      </c>
      <c r="C1148" s="30" t="s">
        <v>5413</v>
      </c>
      <c r="D1148" s="84" t="s">
        <v>3799</v>
      </c>
      <c r="E1148" s="24" t="s">
        <v>5414</v>
      </c>
      <c r="F1148" s="25">
        <v>40</v>
      </c>
      <c r="G1148" s="30" t="s">
        <v>14</v>
      </c>
      <c r="H1148" s="30" t="s">
        <v>520</v>
      </c>
      <c r="I1148" s="203">
        <v>45233.517567858798</v>
      </c>
      <c r="J1148" s="121">
        <v>45239.375694444403</v>
      </c>
      <c r="K1148" s="121">
        <v>45233.517567858798</v>
      </c>
      <c r="L1148" s="203">
        <v>45239.375694444403</v>
      </c>
      <c r="M1148" s="204">
        <v>45236</v>
      </c>
      <c r="N1148" s="205" t="s">
        <v>10</v>
      </c>
      <c r="O1148" s="203" t="s">
        <v>27</v>
      </c>
      <c r="P1148" s="24"/>
      <c r="Q1148" s="60"/>
      <c r="R1148" s="60"/>
      <c r="S1148" s="18"/>
      <c r="T1148" s="24"/>
      <c r="U1148" s="68">
        <f>Tabla1[[#This Row],[PPTO]]/(1+'Lista Datos'!$B$1)</f>
        <v>0</v>
      </c>
      <c r="V1148" s="67"/>
      <c r="W1148" s="193"/>
      <c r="X1148" s="127"/>
      <c r="Y1148" s="127"/>
      <c r="Z1148" s="154"/>
      <c r="AA1148" s="30"/>
      <c r="AB1148" s="30"/>
      <c r="AC1148" s="30"/>
      <c r="AD1148" s="30"/>
      <c r="AE1148" s="145">
        <f>Tabla1[[#This Row],[Cierre]]+Tabla1[[#This Row],[Vigencia Oferta (días)]]</f>
        <v>45239.375694444403</v>
      </c>
      <c r="AF1148" s="68"/>
      <c r="AG1148" s="157"/>
      <c r="AH1148" s="194">
        <f>Tabla1[[#This Row],[Unidades2]]*Tabla1[[#This Row],[Precio Unitario]]</f>
        <v>0</v>
      </c>
      <c r="AI1148" s="97" t="s">
        <v>270</v>
      </c>
      <c r="AJ1148" s="149"/>
      <c r="AK1148" s="149">
        <f>Tabla1[[#This Row],[Fecha Vigencia]]-AJ1148</f>
        <v>45239.375694444403</v>
      </c>
      <c r="AL1148" s="68"/>
      <c r="AM1148" s="91"/>
      <c r="AN1148" s="68"/>
      <c r="AO1148" s="218"/>
      <c r="AP1148" s="68"/>
      <c r="AQ1148" s="69"/>
      <c r="AR1148" s="68"/>
      <c r="AS1148" s="68"/>
      <c r="AT1148" s="68"/>
      <c r="AU1148" s="68"/>
      <c r="AV1148" s="68"/>
      <c r="AW1148" s="68"/>
      <c r="AX1148" s="68"/>
      <c r="AY1148" s="30"/>
      <c r="AZ1148" s="30"/>
      <c r="BA1148" s="30"/>
      <c r="BB1148" s="75"/>
    </row>
    <row r="1149" spans="1:54" x14ac:dyDescent="0.25">
      <c r="A1149" s="153" t="s">
        <v>5415</v>
      </c>
      <c r="B1149" s="30" t="s">
        <v>5178</v>
      </c>
      <c r="C1149" s="30" t="s">
        <v>5416</v>
      </c>
      <c r="D1149" s="84" t="s">
        <v>5417</v>
      </c>
      <c r="E1149" s="24" t="s">
        <v>5418</v>
      </c>
      <c r="F1149" s="25">
        <v>20</v>
      </c>
      <c r="G1149" s="30" t="s">
        <v>16</v>
      </c>
      <c r="H1149" s="30" t="s">
        <v>145</v>
      </c>
      <c r="I1149" s="203">
        <v>45236.728271330998</v>
      </c>
      <c r="J1149" s="38">
        <v>45243.631944444402</v>
      </c>
      <c r="K1149" s="38">
        <v>45236.728271330998</v>
      </c>
      <c r="L1149" s="203">
        <v>45243.631944444402</v>
      </c>
      <c r="M1149" s="204">
        <v>45237</v>
      </c>
      <c r="N1149" s="205" t="s">
        <v>11</v>
      </c>
      <c r="O1149" s="203"/>
      <c r="P1149" s="24"/>
      <c r="Q1149" s="60" t="s">
        <v>5419</v>
      </c>
      <c r="R1149" s="160">
        <v>45238.479166666664</v>
      </c>
      <c r="S1149" s="161">
        <v>45246.776388888888</v>
      </c>
      <c r="T1149" s="24"/>
      <c r="U1149" s="68">
        <f>Tabla1[[#This Row],[PPTO]]/(1+'Lista Datos'!$B$1)</f>
        <v>0</v>
      </c>
      <c r="V1149" s="67"/>
      <c r="W1149" s="193" t="s">
        <v>10</v>
      </c>
      <c r="X1149" s="127"/>
      <c r="Y1149" s="127"/>
      <c r="Z1149" s="154" t="s">
        <v>10</v>
      </c>
      <c r="AA1149" s="30" t="s">
        <v>512</v>
      </c>
      <c r="AB1149" s="30"/>
      <c r="AC1149" s="30"/>
      <c r="AD1149" s="30"/>
      <c r="AE1149" s="145">
        <f>Tabla1[[#This Row],[Cierre]]+Tabla1[[#This Row],[Vigencia Oferta (días)]]</f>
        <v>45243.631944444402</v>
      </c>
      <c r="AF1149" s="68"/>
      <c r="AG1149" s="157"/>
      <c r="AH1149" s="194">
        <f>Tabla1[[#This Row],[Unidades2]]*Tabla1[[#This Row],[Precio Unitario]]</f>
        <v>0</v>
      </c>
      <c r="AI1149" s="97" t="s">
        <v>44</v>
      </c>
      <c r="AJ1149" s="149">
        <v>45246</v>
      </c>
      <c r="AK1149" s="149">
        <f>Tabla1[[#This Row],[Fecha Vigencia]]-AJ1149</f>
        <v>-2.3680555555984029</v>
      </c>
      <c r="AL1149" s="68" t="s">
        <v>46</v>
      </c>
      <c r="AM1149" s="91" t="s">
        <v>5420</v>
      </c>
      <c r="AN1149" s="157"/>
      <c r="AO1149" s="218"/>
      <c r="AP1149" s="97" t="s">
        <v>292</v>
      </c>
      <c r="AQ1149" s="69"/>
      <c r="AR1149" s="68"/>
      <c r="AS1149" s="68"/>
      <c r="AT1149" s="68"/>
      <c r="AU1149" s="68"/>
      <c r="AV1149" s="68"/>
      <c r="AW1149" s="68"/>
      <c r="AX1149" s="68"/>
      <c r="AY1149" s="30"/>
      <c r="AZ1149" s="30"/>
      <c r="BA1149" s="30"/>
      <c r="BB1149" s="75"/>
    </row>
    <row r="1150" spans="1:54" x14ac:dyDescent="0.25">
      <c r="A1150" s="117" t="s">
        <v>5421</v>
      </c>
      <c r="B1150" s="118" t="s">
        <v>5422</v>
      </c>
      <c r="C1150" s="118" t="s">
        <v>5423</v>
      </c>
      <c r="D1150" s="119" t="s">
        <v>1802</v>
      </c>
      <c r="E1150" s="38" t="s">
        <v>5424</v>
      </c>
      <c r="F1150" s="39">
        <v>30</v>
      </c>
      <c r="G1150" s="118" t="s">
        <v>16</v>
      </c>
      <c r="H1150" s="118" t="s">
        <v>123</v>
      </c>
      <c r="I1150" s="206">
        <v>45236.6965277778</v>
      </c>
      <c r="J1150" s="121">
        <v>45257.666666666701</v>
      </c>
      <c r="K1150" s="121">
        <v>45236.6965277778</v>
      </c>
      <c r="L1150" s="206">
        <v>45257.666666666701</v>
      </c>
      <c r="M1150" s="211">
        <v>45237</v>
      </c>
      <c r="N1150" s="207" t="s">
        <v>10</v>
      </c>
      <c r="O1150" s="206" t="s">
        <v>25</v>
      </c>
      <c r="P1150" s="38"/>
      <c r="Q1150" s="147">
        <v>45241.999305555553</v>
      </c>
      <c r="R1150" s="147">
        <v>45246.729166666664</v>
      </c>
      <c r="S1150" s="148">
        <v>45295.6875</v>
      </c>
      <c r="T1150" s="215">
        <v>228908060</v>
      </c>
      <c r="U1150" s="214">
        <f>Tabla1[[#This Row],[PPTO]]/(1+'Lista Datos'!$B$1)</f>
        <v>192359714.2857143</v>
      </c>
      <c r="V1150" s="64"/>
      <c r="W1150" s="191" t="s">
        <v>11</v>
      </c>
      <c r="X1150" s="122">
        <v>200000</v>
      </c>
      <c r="Y1150" s="149">
        <v>45438</v>
      </c>
      <c r="Z1150" s="123" t="s">
        <v>2783</v>
      </c>
      <c r="AA1150" s="118" t="s">
        <v>177</v>
      </c>
      <c r="AB1150" s="118">
        <v>30</v>
      </c>
      <c r="AC1150" s="118"/>
      <c r="AD1150" s="118"/>
      <c r="AE1150" s="145">
        <f>Tabla1[[#This Row],[Cierre]]+Tabla1[[#This Row],[Vigencia Oferta (días)]]</f>
        <v>45257.666666666701</v>
      </c>
      <c r="AF1150" s="65"/>
      <c r="AG1150" s="181"/>
      <c r="AH1150" s="192">
        <f>Tabla1[[#This Row],[Unidades2]]*Tabla1[[#This Row],[Precio Unitario]]</f>
        <v>0</v>
      </c>
      <c r="AI1150" s="126" t="s">
        <v>270</v>
      </c>
      <c r="AJ1150" s="149"/>
      <c r="AK1150" s="149">
        <f>Tabla1[[#This Row],[Fecha Vigencia]]-AJ1150</f>
        <v>45257.666666666701</v>
      </c>
      <c r="AL1150" s="65"/>
      <c r="AM1150" s="90"/>
      <c r="AN1150" s="65"/>
      <c r="AO1150" s="217"/>
      <c r="AP1150" s="65"/>
      <c r="AQ1150" s="66"/>
      <c r="AR1150" s="65"/>
      <c r="AS1150" s="65"/>
      <c r="AT1150" s="65"/>
      <c r="AU1150" s="65"/>
      <c r="AV1150" s="65"/>
      <c r="AW1150" s="65"/>
      <c r="AX1150" s="65"/>
      <c r="AY1150" s="118"/>
      <c r="AZ1150" s="118"/>
      <c r="BA1150" s="118"/>
      <c r="BB1150" s="124"/>
    </row>
    <row r="1151" spans="1:54" x14ac:dyDescent="0.25">
      <c r="A1151" s="117" t="s">
        <v>5425</v>
      </c>
      <c r="B1151" s="118" t="s">
        <v>5426</v>
      </c>
      <c r="C1151" s="118" t="s">
        <v>5427</v>
      </c>
      <c r="D1151" s="119" t="s">
        <v>3921</v>
      </c>
      <c r="E1151" s="38" t="s">
        <v>5428</v>
      </c>
      <c r="F1151" s="39">
        <v>4</v>
      </c>
      <c r="G1151" s="118" t="s">
        <v>21</v>
      </c>
      <c r="H1151" s="118" t="s">
        <v>106</v>
      </c>
      <c r="I1151" s="206">
        <v>45236.645142013898</v>
      </c>
      <c r="J1151" s="38">
        <v>45243.625694444403</v>
      </c>
      <c r="K1151" s="38">
        <v>45236.645142013898</v>
      </c>
      <c r="L1151" s="206">
        <v>45243.625694444403</v>
      </c>
      <c r="M1151" s="211">
        <v>45237</v>
      </c>
      <c r="N1151" s="207" t="s">
        <v>10</v>
      </c>
      <c r="O1151" s="206" t="s">
        <v>27</v>
      </c>
      <c r="P1151" s="38"/>
      <c r="Q1151" s="121"/>
      <c r="R1151" s="121"/>
      <c r="S1151" s="19"/>
      <c r="T1151" s="38"/>
      <c r="U1151" s="65">
        <f>Tabla1[[#This Row],[PPTO]]/(1+'Lista Datos'!$B$1)</f>
        <v>0</v>
      </c>
      <c r="V1151" s="64"/>
      <c r="W1151" s="191"/>
      <c r="X1151" s="122"/>
      <c r="Y1151" s="122"/>
      <c r="Z1151" s="123"/>
      <c r="AA1151" s="118"/>
      <c r="AB1151" s="118"/>
      <c r="AC1151" s="118"/>
      <c r="AD1151" s="118"/>
      <c r="AE1151" s="145">
        <f>Tabla1[[#This Row],[Cierre]]+Tabla1[[#This Row],[Vigencia Oferta (días)]]</f>
        <v>45243.625694444403</v>
      </c>
      <c r="AF1151" s="65"/>
      <c r="AG1151" s="181"/>
      <c r="AH1151" s="192">
        <f>Tabla1[[#This Row],[Unidades2]]*Tabla1[[#This Row],[Precio Unitario]]</f>
        <v>0</v>
      </c>
      <c r="AI1151" s="126" t="s">
        <v>270</v>
      </c>
      <c r="AJ1151" s="149"/>
      <c r="AK1151" s="149">
        <f>Tabla1[[#This Row],[Fecha Vigencia]]-AJ1151</f>
        <v>45243.625694444403</v>
      </c>
      <c r="AL1151" s="65"/>
      <c r="AM1151" s="90"/>
      <c r="AN1151" s="65"/>
      <c r="AO1151" s="217"/>
      <c r="AP1151" s="65"/>
      <c r="AQ1151" s="66"/>
      <c r="AR1151" s="65"/>
      <c r="AS1151" s="65"/>
      <c r="AT1151" s="65"/>
      <c r="AU1151" s="65"/>
      <c r="AV1151" s="65"/>
      <c r="AW1151" s="65"/>
      <c r="AX1151" s="65"/>
      <c r="AY1151" s="118"/>
      <c r="AZ1151" s="118"/>
      <c r="BA1151" s="118"/>
      <c r="BB1151" s="124"/>
    </row>
    <row r="1152" spans="1:54" x14ac:dyDescent="0.25">
      <c r="A1152" s="153" t="s">
        <v>5429</v>
      </c>
      <c r="B1152" s="30" t="s">
        <v>5430</v>
      </c>
      <c r="C1152" s="30" t="s">
        <v>5430</v>
      </c>
      <c r="D1152" s="84" t="s">
        <v>5431</v>
      </c>
      <c r="E1152" s="24" t="s">
        <v>5432</v>
      </c>
      <c r="F1152" s="25">
        <v>9</v>
      </c>
      <c r="G1152" s="30" t="s">
        <v>21</v>
      </c>
      <c r="H1152" s="30" t="s">
        <v>106</v>
      </c>
      <c r="I1152" s="203">
        <v>45237.728519247699</v>
      </c>
      <c r="J1152" s="38">
        <v>45244.645833333299</v>
      </c>
      <c r="K1152" s="38">
        <v>45237.728519247699</v>
      </c>
      <c r="L1152" s="203">
        <v>45244.645833333299</v>
      </c>
      <c r="M1152" s="204">
        <v>45238</v>
      </c>
      <c r="N1152" s="205" t="s">
        <v>10</v>
      </c>
      <c r="O1152" s="203" t="s">
        <v>27</v>
      </c>
      <c r="P1152" s="24"/>
      <c r="Q1152" s="60"/>
      <c r="R1152" s="60"/>
      <c r="S1152" s="18"/>
      <c r="T1152" s="24"/>
      <c r="U1152" s="68">
        <f>Tabla1[[#This Row],[PPTO]]/(1+'Lista Datos'!$B$1)</f>
        <v>0</v>
      </c>
      <c r="V1152" s="67"/>
      <c r="W1152" s="193"/>
      <c r="X1152" s="127"/>
      <c r="Y1152" s="127"/>
      <c r="Z1152" s="154"/>
      <c r="AA1152" s="30"/>
      <c r="AB1152" s="30"/>
      <c r="AC1152" s="30"/>
      <c r="AD1152" s="30"/>
      <c r="AE1152" s="145">
        <f>Tabla1[[#This Row],[Cierre]]+Tabla1[[#This Row],[Vigencia Oferta (días)]]</f>
        <v>45244.645833333299</v>
      </c>
      <c r="AF1152" s="68"/>
      <c r="AG1152" s="157"/>
      <c r="AH1152" s="194">
        <f>Tabla1[[#This Row],[Unidades2]]*Tabla1[[#This Row],[Precio Unitario]]</f>
        <v>0</v>
      </c>
      <c r="AI1152" s="97" t="s">
        <v>270</v>
      </c>
      <c r="AJ1152" s="149"/>
      <c r="AK1152" s="149">
        <f>Tabla1[[#This Row],[Fecha Vigencia]]-AJ1152</f>
        <v>45244.645833333299</v>
      </c>
      <c r="AL1152" s="68"/>
      <c r="AM1152" s="91"/>
      <c r="AN1152" s="68"/>
      <c r="AO1152" s="218"/>
      <c r="AP1152" s="68"/>
      <c r="AQ1152" s="69"/>
      <c r="AR1152" s="68"/>
      <c r="AS1152" s="68"/>
      <c r="AT1152" s="68"/>
      <c r="AU1152" s="68"/>
      <c r="AV1152" s="68"/>
      <c r="AW1152" s="68"/>
      <c r="AX1152" s="68"/>
      <c r="AY1152" s="30"/>
      <c r="AZ1152" s="30"/>
      <c r="BA1152" s="30"/>
      <c r="BB1152" s="75"/>
    </row>
    <row r="1153" spans="1:54" x14ac:dyDescent="0.25">
      <c r="A1153" s="153" t="s">
        <v>5433</v>
      </c>
      <c r="B1153" s="30" t="s">
        <v>5434</v>
      </c>
      <c r="C1153" s="30" t="s">
        <v>4911</v>
      </c>
      <c r="D1153" s="84" t="s">
        <v>378</v>
      </c>
      <c r="E1153" s="24" t="s">
        <v>4912</v>
      </c>
      <c r="F1153" s="25">
        <v>1</v>
      </c>
      <c r="G1153" s="30" t="s">
        <v>18</v>
      </c>
      <c r="H1153" s="30" t="s">
        <v>213</v>
      </c>
      <c r="I1153" s="203">
        <v>45237.628715046303</v>
      </c>
      <c r="J1153" s="121">
        <v>45247.645833333299</v>
      </c>
      <c r="K1153" s="121">
        <v>45237.628715046303</v>
      </c>
      <c r="L1153" s="203">
        <v>45247.645833333299</v>
      </c>
      <c r="M1153" s="204">
        <v>45238</v>
      </c>
      <c r="N1153" s="205" t="s">
        <v>10</v>
      </c>
      <c r="O1153" s="203" t="s">
        <v>28</v>
      </c>
      <c r="P1153" s="24"/>
      <c r="Q1153" s="60"/>
      <c r="R1153" s="60"/>
      <c r="S1153" s="18"/>
      <c r="T1153" s="24"/>
      <c r="U1153" s="68">
        <f>Tabla1[[#This Row],[PPTO]]/(1+'Lista Datos'!$B$1)</f>
        <v>0</v>
      </c>
      <c r="V1153" s="67"/>
      <c r="W1153" s="193"/>
      <c r="X1153" s="127"/>
      <c r="Y1153" s="127"/>
      <c r="Z1153" s="154"/>
      <c r="AA1153" s="30"/>
      <c r="AB1153" s="30"/>
      <c r="AC1153" s="30"/>
      <c r="AD1153" s="30"/>
      <c r="AE1153" s="145">
        <f>Tabla1[[#This Row],[Cierre]]+Tabla1[[#This Row],[Vigencia Oferta (días)]]</f>
        <v>45247.645833333299</v>
      </c>
      <c r="AF1153" s="68"/>
      <c r="AG1153" s="157"/>
      <c r="AH1153" s="194">
        <f>Tabla1[[#This Row],[Unidades2]]*Tabla1[[#This Row],[Precio Unitario]]</f>
        <v>0</v>
      </c>
      <c r="AI1153" s="97" t="s">
        <v>270</v>
      </c>
      <c r="AJ1153" s="149"/>
      <c r="AK1153" s="149">
        <f>Tabla1[[#This Row],[Fecha Vigencia]]-AJ1153</f>
        <v>45247.645833333299</v>
      </c>
      <c r="AL1153" s="68"/>
      <c r="AM1153" s="91"/>
      <c r="AN1153" s="68"/>
      <c r="AO1153" s="218"/>
      <c r="AP1153" s="68"/>
      <c r="AQ1153" s="69"/>
      <c r="AR1153" s="68"/>
      <c r="AS1153" s="68"/>
      <c r="AT1153" s="68"/>
      <c r="AU1153" s="68"/>
      <c r="AV1153" s="68"/>
      <c r="AW1153" s="68"/>
      <c r="AX1153" s="68"/>
      <c r="AY1153" s="30"/>
      <c r="AZ1153" s="30"/>
      <c r="BA1153" s="30"/>
      <c r="BB1153" s="75"/>
    </row>
    <row r="1154" spans="1:54" x14ac:dyDescent="0.25">
      <c r="A1154" s="117" t="s">
        <v>5435</v>
      </c>
      <c r="B1154" s="118" t="s">
        <v>5436</v>
      </c>
      <c r="C1154" s="118" t="s">
        <v>5436</v>
      </c>
      <c r="D1154" s="119" t="s">
        <v>479</v>
      </c>
      <c r="E1154" s="38" t="s">
        <v>5437</v>
      </c>
      <c r="F1154" s="39">
        <v>35</v>
      </c>
      <c r="G1154" s="118" t="s">
        <v>21</v>
      </c>
      <c r="H1154" s="118" t="s">
        <v>106</v>
      </c>
      <c r="I1154" s="206">
        <v>45237.605189965303</v>
      </c>
      <c r="J1154" s="121">
        <v>45243.625</v>
      </c>
      <c r="K1154" s="121">
        <v>45237.605189965303</v>
      </c>
      <c r="L1154" s="206">
        <v>45243.625</v>
      </c>
      <c r="M1154" s="211">
        <v>45238</v>
      </c>
      <c r="N1154" s="207" t="s">
        <v>10</v>
      </c>
      <c r="O1154" s="206" t="s">
        <v>25</v>
      </c>
      <c r="P1154" s="38"/>
      <c r="Q1154" s="147">
        <v>45239.666666666664</v>
      </c>
      <c r="R1154" s="147">
        <v>45240.666666666664</v>
      </c>
      <c r="S1154" s="148">
        <v>45247.666666666664</v>
      </c>
      <c r="T1154" s="38"/>
      <c r="U1154" s="65">
        <f>Tabla1[[#This Row],[PPTO]]/(1+'Lista Datos'!$B$1)</f>
        <v>0</v>
      </c>
      <c r="V1154" s="64"/>
      <c r="W1154" s="191" t="s">
        <v>10</v>
      </c>
      <c r="X1154" s="122"/>
      <c r="Y1154" s="122"/>
      <c r="Z1154" s="123" t="s">
        <v>10</v>
      </c>
      <c r="AA1154" s="118" t="s">
        <v>512</v>
      </c>
      <c r="AB1154" s="118"/>
      <c r="AC1154" s="118"/>
      <c r="AD1154" s="118"/>
      <c r="AE1154" s="145">
        <f>Tabla1[[#This Row],[Cierre]]+Tabla1[[#This Row],[Vigencia Oferta (días)]]</f>
        <v>45243.625</v>
      </c>
      <c r="AF1154" s="65"/>
      <c r="AG1154" s="181"/>
      <c r="AH1154" s="192">
        <f>Tabla1[[#This Row],[Unidades2]]*Tabla1[[#This Row],[Precio Unitario]]</f>
        <v>0</v>
      </c>
      <c r="AI1154" s="126" t="s">
        <v>270</v>
      </c>
      <c r="AJ1154" s="149"/>
      <c r="AK1154" s="149">
        <f>Tabla1[[#This Row],[Fecha Vigencia]]-AJ1154</f>
        <v>45243.625</v>
      </c>
      <c r="AL1154" s="65"/>
      <c r="AM1154" s="90"/>
      <c r="AN1154" s="65"/>
      <c r="AO1154" s="217"/>
      <c r="AP1154" s="65"/>
      <c r="AQ1154" s="66"/>
      <c r="AR1154" s="65"/>
      <c r="AS1154" s="65"/>
      <c r="AT1154" s="65"/>
      <c r="AU1154" s="65"/>
      <c r="AV1154" s="65"/>
      <c r="AW1154" s="65"/>
      <c r="AX1154" s="65"/>
      <c r="AY1154" s="118"/>
      <c r="AZ1154" s="118"/>
      <c r="BA1154" s="118"/>
      <c r="BB1154" s="124"/>
    </row>
    <row r="1155" spans="1:54" x14ac:dyDescent="0.25">
      <c r="A1155" s="117" t="s">
        <v>5438</v>
      </c>
      <c r="B1155" s="118" t="s">
        <v>2654</v>
      </c>
      <c r="C1155" s="118" t="s">
        <v>5439</v>
      </c>
      <c r="D1155" s="119" t="s">
        <v>1690</v>
      </c>
      <c r="E1155" s="38" t="s">
        <v>5440</v>
      </c>
      <c r="F1155" s="39">
        <v>10</v>
      </c>
      <c r="G1155" s="118" t="s">
        <v>21</v>
      </c>
      <c r="H1155" s="118" t="s">
        <v>106</v>
      </c>
      <c r="I1155" s="206">
        <v>45237.566697569397</v>
      </c>
      <c r="J1155" s="121">
        <v>45247.557638888902</v>
      </c>
      <c r="K1155" s="121">
        <v>45237.566697569397</v>
      </c>
      <c r="L1155" s="206">
        <v>45247.557638888902</v>
      </c>
      <c r="M1155" s="211">
        <v>45238</v>
      </c>
      <c r="N1155" s="207" t="s">
        <v>10</v>
      </c>
      <c r="O1155" s="206" t="s">
        <v>27</v>
      </c>
      <c r="P1155" s="38"/>
      <c r="Q1155" s="121"/>
      <c r="R1155" s="121"/>
      <c r="S1155" s="19"/>
      <c r="T1155" s="38"/>
      <c r="U1155" s="65">
        <f>Tabla1[[#This Row],[PPTO]]/(1+'Lista Datos'!$B$1)</f>
        <v>0</v>
      </c>
      <c r="V1155" s="64"/>
      <c r="W1155" s="191"/>
      <c r="X1155" s="122"/>
      <c r="Y1155" s="122"/>
      <c r="Z1155" s="123"/>
      <c r="AA1155" s="118"/>
      <c r="AB1155" s="118"/>
      <c r="AC1155" s="118"/>
      <c r="AD1155" s="118"/>
      <c r="AE1155" s="145">
        <f>Tabla1[[#This Row],[Cierre]]+Tabla1[[#This Row],[Vigencia Oferta (días)]]</f>
        <v>45247.557638888902</v>
      </c>
      <c r="AF1155" s="65"/>
      <c r="AG1155" s="181"/>
      <c r="AH1155" s="192">
        <f>Tabla1[[#This Row],[Unidades2]]*Tabla1[[#This Row],[Precio Unitario]]</f>
        <v>0</v>
      </c>
      <c r="AI1155" s="126" t="s">
        <v>270</v>
      </c>
      <c r="AJ1155" s="149"/>
      <c r="AK1155" s="149">
        <f>Tabla1[[#This Row],[Fecha Vigencia]]-AJ1155</f>
        <v>45247.557638888902</v>
      </c>
      <c r="AL1155" s="65"/>
      <c r="AM1155" s="90"/>
      <c r="AN1155" s="65"/>
      <c r="AO1155" s="217"/>
      <c r="AP1155" s="65"/>
      <c r="AQ1155" s="66"/>
      <c r="AR1155" s="65"/>
      <c r="AS1155" s="65"/>
      <c r="AT1155" s="65"/>
      <c r="AU1155" s="65"/>
      <c r="AV1155" s="65"/>
      <c r="AW1155" s="65"/>
      <c r="AX1155" s="65"/>
      <c r="AY1155" s="118"/>
      <c r="AZ1155" s="118"/>
      <c r="BA1155" s="118"/>
      <c r="BB1155" s="124"/>
    </row>
    <row r="1156" spans="1:54" x14ac:dyDescent="0.25">
      <c r="A1156" s="117" t="s">
        <v>5441</v>
      </c>
      <c r="B1156" s="118" t="s">
        <v>5442</v>
      </c>
      <c r="C1156" s="118" t="s">
        <v>5443</v>
      </c>
      <c r="D1156" s="119" t="s">
        <v>4441</v>
      </c>
      <c r="E1156" s="38" t="s">
        <v>5444</v>
      </c>
      <c r="F1156" s="39">
        <v>8</v>
      </c>
      <c r="G1156" s="118" t="s">
        <v>21</v>
      </c>
      <c r="H1156" s="118" t="s">
        <v>106</v>
      </c>
      <c r="I1156" s="206">
        <v>45237.540364317101</v>
      </c>
      <c r="J1156" s="38">
        <v>45245.416666666701</v>
      </c>
      <c r="K1156" s="38">
        <v>45237.540364317101</v>
      </c>
      <c r="L1156" s="206">
        <v>45245.416666666701</v>
      </c>
      <c r="M1156" s="211">
        <v>45238</v>
      </c>
      <c r="N1156" s="207" t="s">
        <v>10</v>
      </c>
      <c r="O1156" s="206" t="s">
        <v>34</v>
      </c>
      <c r="P1156" s="38"/>
      <c r="Q1156" s="121"/>
      <c r="R1156" s="121"/>
      <c r="S1156" s="19"/>
      <c r="T1156" s="38"/>
      <c r="U1156" s="65">
        <f>Tabla1[[#This Row],[PPTO]]/(1+'Lista Datos'!$B$1)</f>
        <v>0</v>
      </c>
      <c r="V1156" s="64"/>
      <c r="W1156" s="191"/>
      <c r="X1156" s="122"/>
      <c r="Y1156" s="122"/>
      <c r="Z1156" s="123"/>
      <c r="AA1156" s="118"/>
      <c r="AB1156" s="118"/>
      <c r="AC1156" s="118"/>
      <c r="AD1156" s="118"/>
      <c r="AE1156" s="145">
        <f>Tabla1[[#This Row],[Cierre]]+Tabla1[[#This Row],[Vigencia Oferta (días)]]</f>
        <v>45245.416666666701</v>
      </c>
      <c r="AF1156" s="65"/>
      <c r="AG1156" s="181"/>
      <c r="AH1156" s="192">
        <f>Tabla1[[#This Row],[Unidades2]]*Tabla1[[#This Row],[Precio Unitario]]</f>
        <v>0</v>
      </c>
      <c r="AI1156" s="126" t="s">
        <v>270</v>
      </c>
      <c r="AJ1156" s="149"/>
      <c r="AK1156" s="149">
        <f>Tabla1[[#This Row],[Fecha Vigencia]]-AJ1156</f>
        <v>45245.416666666701</v>
      </c>
      <c r="AL1156" s="65"/>
      <c r="AM1156" s="90"/>
      <c r="AN1156" s="65"/>
      <c r="AO1156" s="217"/>
      <c r="AP1156" s="65"/>
      <c r="AQ1156" s="66"/>
      <c r="AR1156" s="65"/>
      <c r="AS1156" s="65"/>
      <c r="AT1156" s="65"/>
      <c r="AU1156" s="65"/>
      <c r="AV1156" s="65"/>
      <c r="AW1156" s="65"/>
      <c r="AX1156" s="65"/>
      <c r="AY1156" s="118"/>
      <c r="AZ1156" s="118"/>
      <c r="BA1156" s="118"/>
      <c r="BB1156" s="124"/>
    </row>
    <row r="1157" spans="1:54" x14ac:dyDescent="0.25">
      <c r="A1157" s="153" t="s">
        <v>5445</v>
      </c>
      <c r="B1157" s="30" t="s">
        <v>5446</v>
      </c>
      <c r="C1157" s="30" t="s">
        <v>5447</v>
      </c>
      <c r="D1157" s="84" t="s">
        <v>5417</v>
      </c>
      <c r="E1157" s="24" t="s">
        <v>5448</v>
      </c>
      <c r="F1157" s="25">
        <v>6</v>
      </c>
      <c r="G1157" s="30" t="s">
        <v>21</v>
      </c>
      <c r="H1157" s="30" t="s">
        <v>106</v>
      </c>
      <c r="I1157" s="203">
        <v>45238.625775960601</v>
      </c>
      <c r="J1157" s="38">
        <v>45246.5</v>
      </c>
      <c r="K1157" s="38">
        <v>45238.625775960601</v>
      </c>
      <c r="L1157" s="203">
        <v>45246.5</v>
      </c>
      <c r="M1157" s="204">
        <v>45239</v>
      </c>
      <c r="N1157" s="205" t="s">
        <v>10</v>
      </c>
      <c r="O1157" s="203" t="s">
        <v>33</v>
      </c>
      <c r="P1157" s="24"/>
      <c r="Q1157" s="60"/>
      <c r="R1157" s="60"/>
      <c r="S1157" s="18"/>
      <c r="T1157" s="24"/>
      <c r="U1157" s="68">
        <f>Tabla1[[#This Row],[PPTO]]/(1+'Lista Datos'!$B$1)</f>
        <v>0</v>
      </c>
      <c r="V1157" s="67"/>
      <c r="W1157" s="193"/>
      <c r="X1157" s="127"/>
      <c r="Y1157" s="127"/>
      <c r="Z1157" s="154"/>
      <c r="AA1157" s="30"/>
      <c r="AB1157" s="30"/>
      <c r="AC1157" s="30"/>
      <c r="AD1157" s="30"/>
      <c r="AE1157" s="145">
        <f>Tabla1[[#This Row],[Cierre]]+Tabla1[[#This Row],[Vigencia Oferta (días)]]</f>
        <v>45246.5</v>
      </c>
      <c r="AF1157" s="68"/>
      <c r="AG1157" s="157"/>
      <c r="AH1157" s="194">
        <f>Tabla1[[#This Row],[Unidades2]]*Tabla1[[#This Row],[Precio Unitario]]</f>
        <v>0</v>
      </c>
      <c r="AI1157" s="97" t="s">
        <v>270</v>
      </c>
      <c r="AJ1157" s="149"/>
      <c r="AK1157" s="149">
        <f>Tabla1[[#This Row],[Fecha Vigencia]]-AJ1157</f>
        <v>45246.5</v>
      </c>
      <c r="AL1157" s="68"/>
      <c r="AM1157" s="91"/>
      <c r="AN1157" s="68"/>
      <c r="AO1157" s="218"/>
      <c r="AP1157" s="68"/>
      <c r="AQ1157" s="69"/>
      <c r="AR1157" s="68"/>
      <c r="AS1157" s="68"/>
      <c r="AT1157" s="68"/>
      <c r="AU1157" s="68"/>
      <c r="AV1157" s="68"/>
      <c r="AW1157" s="68"/>
      <c r="AX1157" s="68"/>
      <c r="AY1157" s="30"/>
      <c r="AZ1157" s="30"/>
      <c r="BA1157" s="30"/>
      <c r="BB1157" s="75"/>
    </row>
    <row r="1158" spans="1:54" x14ac:dyDescent="0.25">
      <c r="A1158" s="117" t="s">
        <v>5449</v>
      </c>
      <c r="B1158" s="118" t="s">
        <v>5450</v>
      </c>
      <c r="C1158" s="118" t="s">
        <v>5451</v>
      </c>
      <c r="D1158" s="119" t="s">
        <v>1085</v>
      </c>
      <c r="E1158" s="38" t="s">
        <v>4819</v>
      </c>
      <c r="F1158" s="39">
        <v>2</v>
      </c>
      <c r="G1158" s="118" t="s">
        <v>21</v>
      </c>
      <c r="H1158" s="118" t="s">
        <v>106</v>
      </c>
      <c r="I1158" s="206">
        <v>45238.437416782399</v>
      </c>
      <c r="J1158" s="121">
        <v>45246.708333333299</v>
      </c>
      <c r="K1158" s="121">
        <v>45238.437416782399</v>
      </c>
      <c r="L1158" s="206">
        <v>45246.708333333299</v>
      </c>
      <c r="M1158" s="211">
        <v>45239</v>
      </c>
      <c r="N1158" s="207" t="s">
        <v>10</v>
      </c>
      <c r="O1158" s="206" t="s">
        <v>5006</v>
      </c>
      <c r="P1158" s="38"/>
      <c r="Q1158" s="147">
        <v>45240.590277777781</v>
      </c>
      <c r="R1158" s="147">
        <v>45244.5</v>
      </c>
      <c r="S1158" s="148">
        <v>45289.729166666664</v>
      </c>
      <c r="T1158" s="38"/>
      <c r="U1158" s="65">
        <f>Tabla1[[#This Row],[PPTO]]/(1+'Lista Datos'!$B$1)</f>
        <v>0</v>
      </c>
      <c r="V1158" s="64"/>
      <c r="W1158" s="191" t="s">
        <v>10</v>
      </c>
      <c r="X1158" s="122"/>
      <c r="Y1158" s="122"/>
      <c r="Z1158" s="123" t="s">
        <v>10</v>
      </c>
      <c r="AA1158" s="118" t="s">
        <v>512</v>
      </c>
      <c r="AB1158" s="118"/>
      <c r="AC1158" s="118"/>
      <c r="AD1158" s="118"/>
      <c r="AE1158" s="145">
        <f>Tabla1[[#This Row],[Cierre]]+Tabla1[[#This Row],[Vigencia Oferta (días)]]</f>
        <v>45246.708333333299</v>
      </c>
      <c r="AF1158" s="65"/>
      <c r="AG1158" s="181"/>
      <c r="AH1158" s="192">
        <f>Tabla1[[#This Row],[Unidades2]]*Tabla1[[#This Row],[Precio Unitario]]</f>
        <v>0</v>
      </c>
      <c r="AI1158" s="126" t="s">
        <v>270</v>
      </c>
      <c r="AJ1158" s="149"/>
      <c r="AK1158" s="149">
        <f>Tabla1[[#This Row],[Fecha Vigencia]]-AJ1158</f>
        <v>45246.708333333299</v>
      </c>
      <c r="AL1158" s="65"/>
      <c r="AM1158" s="90"/>
      <c r="AN1158" s="65"/>
      <c r="AO1158" s="217"/>
      <c r="AP1158" s="65"/>
      <c r="AQ1158" s="66"/>
      <c r="AR1158" s="65"/>
      <c r="AS1158" s="65"/>
      <c r="AT1158" s="65"/>
      <c r="AU1158" s="65"/>
      <c r="AV1158" s="65"/>
      <c r="AW1158" s="65"/>
      <c r="AX1158" s="65"/>
      <c r="AY1158" s="118"/>
      <c r="AZ1158" s="118"/>
      <c r="BA1158" s="118"/>
      <c r="BB1158" s="124"/>
    </row>
    <row r="1159" spans="1:54" x14ac:dyDescent="0.25">
      <c r="A1159" s="153" t="s">
        <v>5452</v>
      </c>
      <c r="B1159" s="30" t="s">
        <v>5453</v>
      </c>
      <c r="C1159" s="30" t="s">
        <v>5454</v>
      </c>
      <c r="D1159" s="84" t="s">
        <v>391</v>
      </c>
      <c r="E1159" s="24" t="s">
        <v>5455</v>
      </c>
      <c r="F1159" s="25">
        <v>1</v>
      </c>
      <c r="G1159" s="30" t="s">
        <v>3716</v>
      </c>
      <c r="H1159" s="30" t="s">
        <v>213</v>
      </c>
      <c r="I1159" s="203">
        <v>45239.735675694399</v>
      </c>
      <c r="J1159" s="38">
        <v>45247.513888888898</v>
      </c>
      <c r="K1159" s="38">
        <v>45239.735675694399</v>
      </c>
      <c r="L1159" s="203">
        <v>45247.513888888898</v>
      </c>
      <c r="M1159" s="204">
        <v>45240</v>
      </c>
      <c r="N1159" s="205" t="s">
        <v>10</v>
      </c>
      <c r="O1159" s="203" t="s">
        <v>28</v>
      </c>
      <c r="P1159" s="24"/>
      <c r="Q1159" s="60"/>
      <c r="R1159" s="60"/>
      <c r="S1159" s="18"/>
      <c r="T1159" s="24"/>
      <c r="U1159" s="68">
        <f>Tabla1[[#This Row],[PPTO]]/(1+'Lista Datos'!$B$1)</f>
        <v>0</v>
      </c>
      <c r="V1159" s="67"/>
      <c r="W1159" s="193"/>
      <c r="X1159" s="127"/>
      <c r="Y1159" s="127"/>
      <c r="Z1159" s="154"/>
      <c r="AA1159" s="30"/>
      <c r="AB1159" s="30"/>
      <c r="AC1159" s="30"/>
      <c r="AD1159" s="30"/>
      <c r="AE1159" s="145">
        <f>Tabla1[[#This Row],[Cierre]]+Tabla1[[#This Row],[Vigencia Oferta (días)]]</f>
        <v>45247.513888888898</v>
      </c>
      <c r="AF1159" s="68"/>
      <c r="AG1159" s="157"/>
      <c r="AH1159" s="194">
        <f>Tabla1[[#This Row],[Unidades2]]*Tabla1[[#This Row],[Precio Unitario]]</f>
        <v>0</v>
      </c>
      <c r="AI1159" s="97" t="s">
        <v>270</v>
      </c>
      <c r="AJ1159" s="149"/>
      <c r="AK1159" s="149">
        <f>Tabla1[[#This Row],[Fecha Vigencia]]-AJ1159</f>
        <v>45247.513888888898</v>
      </c>
      <c r="AL1159" s="68"/>
      <c r="AM1159" s="91"/>
      <c r="AN1159" s="68"/>
      <c r="AO1159" s="218"/>
      <c r="AP1159" s="68"/>
      <c r="AQ1159" s="69"/>
      <c r="AR1159" s="68"/>
      <c r="AS1159" s="68"/>
      <c r="AT1159" s="68"/>
      <c r="AU1159" s="68"/>
      <c r="AV1159" s="68"/>
      <c r="AW1159" s="68"/>
      <c r="AX1159" s="68"/>
      <c r="AY1159" s="30"/>
      <c r="AZ1159" s="30"/>
      <c r="BA1159" s="30"/>
      <c r="BB1159" s="75"/>
    </row>
    <row r="1160" spans="1:54" x14ac:dyDescent="0.25">
      <c r="A1160" s="117" t="s">
        <v>5456</v>
      </c>
      <c r="B1160" s="118" t="s">
        <v>5457</v>
      </c>
      <c r="C1160" s="118" t="s">
        <v>5458</v>
      </c>
      <c r="D1160" s="119" t="s">
        <v>391</v>
      </c>
      <c r="E1160" s="38" t="s">
        <v>5459</v>
      </c>
      <c r="F1160" s="39">
        <v>10</v>
      </c>
      <c r="G1160" s="118" t="s">
        <v>21</v>
      </c>
      <c r="H1160" s="118" t="s">
        <v>106</v>
      </c>
      <c r="I1160" s="206">
        <v>45239.734794328702</v>
      </c>
      <c r="J1160" s="121">
        <v>45244.75</v>
      </c>
      <c r="K1160" s="121">
        <v>45239.734794328702</v>
      </c>
      <c r="L1160" s="206">
        <v>45244.75</v>
      </c>
      <c r="M1160" s="211">
        <v>45240</v>
      </c>
      <c r="N1160" s="207" t="s">
        <v>10</v>
      </c>
      <c r="O1160" s="206" t="s">
        <v>27</v>
      </c>
      <c r="P1160" s="38"/>
      <c r="Q1160" s="121"/>
      <c r="R1160" s="121"/>
      <c r="S1160" s="19"/>
      <c r="T1160" s="38"/>
      <c r="U1160" s="65">
        <f>Tabla1[[#This Row],[PPTO]]/(1+'Lista Datos'!$B$1)</f>
        <v>0</v>
      </c>
      <c r="V1160" s="64"/>
      <c r="W1160" s="191"/>
      <c r="X1160" s="122"/>
      <c r="Y1160" s="122"/>
      <c r="Z1160" s="123"/>
      <c r="AA1160" s="118"/>
      <c r="AB1160" s="118"/>
      <c r="AC1160" s="118"/>
      <c r="AD1160" s="118"/>
      <c r="AE1160" s="145">
        <f>Tabla1[[#This Row],[Cierre]]+Tabla1[[#This Row],[Vigencia Oferta (días)]]</f>
        <v>45244.75</v>
      </c>
      <c r="AF1160" s="65"/>
      <c r="AG1160" s="181"/>
      <c r="AH1160" s="192">
        <f>Tabla1[[#This Row],[Unidades2]]*Tabla1[[#This Row],[Precio Unitario]]</f>
        <v>0</v>
      </c>
      <c r="AI1160" s="126" t="s">
        <v>270</v>
      </c>
      <c r="AJ1160" s="149"/>
      <c r="AK1160" s="149">
        <f>Tabla1[[#This Row],[Fecha Vigencia]]-AJ1160</f>
        <v>45244.75</v>
      </c>
      <c r="AL1160" s="65"/>
      <c r="AM1160" s="90"/>
      <c r="AN1160" s="65"/>
      <c r="AO1160" s="217"/>
      <c r="AP1160" s="65"/>
      <c r="AQ1160" s="66"/>
      <c r="AR1160" s="65"/>
      <c r="AS1160" s="65"/>
      <c r="AT1160" s="65"/>
      <c r="AU1160" s="65"/>
      <c r="AV1160" s="65"/>
      <c r="AW1160" s="65"/>
      <c r="AX1160" s="65"/>
      <c r="AY1160" s="118"/>
      <c r="AZ1160" s="118"/>
      <c r="BA1160" s="118"/>
      <c r="BB1160" s="124"/>
    </row>
    <row r="1161" spans="1:54" x14ac:dyDescent="0.25">
      <c r="A1161" s="117" t="s">
        <v>5460</v>
      </c>
      <c r="B1161" s="118" t="s">
        <v>2484</v>
      </c>
      <c r="C1161" s="118" t="s">
        <v>5461</v>
      </c>
      <c r="D1161" s="119" t="s">
        <v>5462</v>
      </c>
      <c r="E1161" s="38" t="s">
        <v>5463</v>
      </c>
      <c r="F1161" s="39">
        <v>1</v>
      </c>
      <c r="G1161" s="118" t="s">
        <v>16</v>
      </c>
      <c r="H1161" s="118" t="s">
        <v>1983</v>
      </c>
      <c r="I1161" s="206">
        <v>45239.676707557897</v>
      </c>
      <c r="J1161" s="121">
        <v>45250.631944444402</v>
      </c>
      <c r="K1161" s="121">
        <v>45239.676707557897</v>
      </c>
      <c r="L1161" s="206">
        <v>45250.631944444402</v>
      </c>
      <c r="M1161" s="211">
        <v>45240</v>
      </c>
      <c r="N1161" s="207" t="s">
        <v>11</v>
      </c>
      <c r="O1161" s="206"/>
      <c r="P1161" s="38"/>
      <c r="Q1161" s="147">
        <v>45245.708333333336</v>
      </c>
      <c r="R1161" s="147">
        <v>45246.708333333336</v>
      </c>
      <c r="S1161" s="148">
        <v>45260.708333333336</v>
      </c>
      <c r="T1161" s="38"/>
      <c r="U1161" s="65">
        <f>Tabla1[[#This Row],[PPTO]]/(1+'Lista Datos'!$B$1)</f>
        <v>0</v>
      </c>
      <c r="V1161" s="64"/>
      <c r="W1161" s="191" t="s">
        <v>10</v>
      </c>
      <c r="X1161" s="122"/>
      <c r="Y1161" s="122"/>
      <c r="Z1161" s="123" t="s">
        <v>10</v>
      </c>
      <c r="AA1161" s="118" t="s">
        <v>177</v>
      </c>
      <c r="AB1161" s="118">
        <v>12</v>
      </c>
      <c r="AC1161" s="118"/>
      <c r="AD1161" s="118"/>
      <c r="AE1161" s="145">
        <f>Tabla1[[#This Row],[Cierre]]+Tabla1[[#This Row],[Vigencia Oferta (días)]]</f>
        <v>45250.631944444402</v>
      </c>
      <c r="AF1161" s="65"/>
      <c r="AG1161" s="181"/>
      <c r="AH1161" s="192">
        <f>Tabla1[[#This Row],[Unidades2]]*Tabla1[[#This Row],[Precio Unitario]]</f>
        <v>0</v>
      </c>
      <c r="AI1161" s="126" t="s">
        <v>44</v>
      </c>
      <c r="AJ1161" s="149">
        <v>45257</v>
      </c>
      <c r="AK1161" s="149">
        <f>Tabla1[[#This Row],[Fecha Vigencia]]-AJ1161</f>
        <v>-6.3680555555984029</v>
      </c>
      <c r="AL1161" s="65" t="s">
        <v>115</v>
      </c>
      <c r="AM1161" s="90" t="s">
        <v>5464</v>
      </c>
      <c r="AN1161" s="181">
        <v>45257</v>
      </c>
      <c r="AO1161" s="217">
        <v>45623</v>
      </c>
      <c r="AP1161" s="65" t="s">
        <v>177</v>
      </c>
      <c r="AQ1161" s="66" t="s">
        <v>2487</v>
      </c>
      <c r="AR1161" s="65" t="s">
        <v>11</v>
      </c>
      <c r="AS1161" s="195">
        <v>0.05</v>
      </c>
      <c r="AT1161" s="181">
        <v>45714</v>
      </c>
      <c r="AU1161" s="97" t="s">
        <v>2488</v>
      </c>
      <c r="AV1161" s="97" t="s">
        <v>2489</v>
      </c>
      <c r="AW1161" s="97" t="s">
        <v>5465</v>
      </c>
      <c r="AX1161" s="97" t="s">
        <v>5466</v>
      </c>
      <c r="AY1161" s="118"/>
      <c r="AZ1161" s="118"/>
      <c r="BA1161" s="118"/>
      <c r="BB1161" s="124"/>
    </row>
    <row r="1162" spans="1:54" x14ac:dyDescent="0.25">
      <c r="A1162" s="153" t="s">
        <v>5467</v>
      </c>
      <c r="B1162" s="30" t="s">
        <v>5468</v>
      </c>
      <c r="C1162" s="30" t="s">
        <v>5469</v>
      </c>
      <c r="D1162" s="84" t="s">
        <v>425</v>
      </c>
      <c r="E1162" s="24" t="s">
        <v>5470</v>
      </c>
      <c r="F1162" s="25">
        <v>1</v>
      </c>
      <c r="G1162" s="30" t="s">
        <v>3716</v>
      </c>
      <c r="H1162" s="30" t="s">
        <v>213</v>
      </c>
      <c r="I1162" s="203">
        <v>45239.494234837999</v>
      </c>
      <c r="J1162" s="38">
        <v>45250.708333333299</v>
      </c>
      <c r="K1162" s="38">
        <v>45239.494234837999</v>
      </c>
      <c r="L1162" s="203">
        <v>45250.708333333299</v>
      </c>
      <c r="M1162" s="204">
        <v>45240</v>
      </c>
      <c r="N1162" s="205" t="s">
        <v>10</v>
      </c>
      <c r="O1162" s="203" t="s">
        <v>28</v>
      </c>
      <c r="P1162" s="24"/>
      <c r="Q1162" s="60"/>
      <c r="R1162" s="60"/>
      <c r="S1162" s="18"/>
      <c r="T1162" s="24"/>
      <c r="U1162" s="68">
        <f>Tabla1[[#This Row],[PPTO]]/(1+'Lista Datos'!$B$1)</f>
        <v>0</v>
      </c>
      <c r="V1162" s="67"/>
      <c r="W1162" s="193"/>
      <c r="X1162" s="127"/>
      <c r="Y1162" s="127"/>
      <c r="Z1162" s="154"/>
      <c r="AA1162" s="30"/>
      <c r="AB1162" s="30"/>
      <c r="AC1162" s="30"/>
      <c r="AD1162" s="30"/>
      <c r="AE1162" s="145">
        <f>Tabla1[[#This Row],[Cierre]]+Tabla1[[#This Row],[Vigencia Oferta (días)]]</f>
        <v>45250.708333333299</v>
      </c>
      <c r="AF1162" s="68"/>
      <c r="AG1162" s="157"/>
      <c r="AH1162" s="194">
        <f>Tabla1[[#This Row],[Unidades2]]*Tabla1[[#This Row],[Precio Unitario]]</f>
        <v>0</v>
      </c>
      <c r="AI1162" s="97" t="s">
        <v>270</v>
      </c>
      <c r="AJ1162" s="149"/>
      <c r="AK1162" s="149">
        <f>Tabla1[[#This Row],[Fecha Vigencia]]-AJ1162</f>
        <v>45250.708333333299</v>
      </c>
      <c r="AL1162" s="68"/>
      <c r="AM1162" s="91"/>
      <c r="AN1162" s="68"/>
      <c r="AO1162" s="218"/>
      <c r="AP1162" s="68"/>
      <c r="AQ1162" s="69"/>
      <c r="AR1162" s="68"/>
      <c r="AS1162" s="68"/>
      <c r="AT1162" s="68"/>
      <c r="AU1162" s="68"/>
      <c r="AV1162" s="68"/>
      <c r="AW1162" s="68"/>
      <c r="AX1162" s="68"/>
      <c r="AY1162" s="30"/>
      <c r="AZ1162" s="30"/>
      <c r="BA1162" s="30"/>
      <c r="BB1162" s="75"/>
    </row>
    <row r="1163" spans="1:54" x14ac:dyDescent="0.25">
      <c r="A1163" s="153" t="s">
        <v>5471</v>
      </c>
      <c r="B1163" s="30" t="s">
        <v>5472</v>
      </c>
      <c r="C1163" s="30" t="s">
        <v>5473</v>
      </c>
      <c r="D1163" s="84" t="s">
        <v>2141</v>
      </c>
      <c r="E1163" s="24" t="s">
        <v>5472</v>
      </c>
      <c r="F1163" s="25">
        <v>1</v>
      </c>
      <c r="G1163" s="30" t="s">
        <v>3716</v>
      </c>
      <c r="H1163" s="30" t="s">
        <v>213</v>
      </c>
      <c r="I1163" s="203">
        <v>45239.489437268501</v>
      </c>
      <c r="J1163" s="121">
        <v>45245.5</v>
      </c>
      <c r="K1163" s="121">
        <v>45239.489437268501</v>
      </c>
      <c r="L1163" s="203">
        <v>45245.5</v>
      </c>
      <c r="M1163" s="204">
        <v>45240</v>
      </c>
      <c r="N1163" s="205" t="s">
        <v>10</v>
      </c>
      <c r="O1163" s="203" t="s">
        <v>28</v>
      </c>
      <c r="P1163" s="24"/>
      <c r="Q1163" s="60"/>
      <c r="R1163" s="60"/>
      <c r="S1163" s="18"/>
      <c r="T1163" s="24"/>
      <c r="U1163" s="68">
        <f>Tabla1[[#This Row],[PPTO]]/(1+'Lista Datos'!$B$1)</f>
        <v>0</v>
      </c>
      <c r="V1163" s="67"/>
      <c r="W1163" s="193"/>
      <c r="X1163" s="127"/>
      <c r="Y1163" s="127"/>
      <c r="Z1163" s="154"/>
      <c r="AA1163" s="30"/>
      <c r="AB1163" s="30"/>
      <c r="AC1163" s="30"/>
      <c r="AD1163" s="30"/>
      <c r="AE1163" s="145">
        <f>Tabla1[[#This Row],[Cierre]]+Tabla1[[#This Row],[Vigencia Oferta (días)]]</f>
        <v>45245.5</v>
      </c>
      <c r="AF1163" s="68"/>
      <c r="AG1163" s="157"/>
      <c r="AH1163" s="194">
        <f>Tabla1[[#This Row],[Unidades2]]*Tabla1[[#This Row],[Precio Unitario]]</f>
        <v>0</v>
      </c>
      <c r="AI1163" s="97" t="s">
        <v>270</v>
      </c>
      <c r="AJ1163" s="149"/>
      <c r="AK1163" s="149">
        <f>Tabla1[[#This Row],[Fecha Vigencia]]-AJ1163</f>
        <v>45245.5</v>
      </c>
      <c r="AL1163" s="68"/>
      <c r="AM1163" s="91"/>
      <c r="AN1163" s="68"/>
      <c r="AO1163" s="218"/>
      <c r="AP1163" s="68"/>
      <c r="AQ1163" s="69"/>
      <c r="AR1163" s="68"/>
      <c r="AS1163" s="68"/>
      <c r="AT1163" s="68"/>
      <c r="AU1163" s="68"/>
      <c r="AV1163" s="68"/>
      <c r="AW1163" s="68"/>
      <c r="AX1163" s="68"/>
      <c r="AY1163" s="30"/>
      <c r="AZ1163" s="30"/>
      <c r="BA1163" s="30"/>
      <c r="BB1163" s="75"/>
    </row>
    <row r="1164" spans="1:54" x14ac:dyDescent="0.25">
      <c r="A1164" s="117" t="s">
        <v>5474</v>
      </c>
      <c r="B1164" s="118" t="s">
        <v>5475</v>
      </c>
      <c r="C1164" s="118" t="s">
        <v>5476</v>
      </c>
      <c r="D1164" s="119" t="s">
        <v>5477</v>
      </c>
      <c r="E1164" s="38" t="s">
        <v>5478</v>
      </c>
      <c r="F1164" s="39">
        <v>200</v>
      </c>
      <c r="G1164" s="118" t="s">
        <v>21</v>
      </c>
      <c r="H1164" s="118" t="s">
        <v>106</v>
      </c>
      <c r="I1164" s="206">
        <v>45239.447784062497</v>
      </c>
      <c r="J1164" s="121">
        <v>45250.625</v>
      </c>
      <c r="K1164" s="121">
        <v>45239.447784062497</v>
      </c>
      <c r="L1164" s="206">
        <v>45250.625</v>
      </c>
      <c r="M1164" s="211">
        <v>45240</v>
      </c>
      <c r="N1164" s="207" t="s">
        <v>10</v>
      </c>
      <c r="O1164" s="206" t="s">
        <v>27</v>
      </c>
      <c r="P1164" s="38"/>
      <c r="Q1164" s="147">
        <v>45243.5</v>
      </c>
      <c r="R1164" s="147">
        <v>45246.708333333336</v>
      </c>
      <c r="S1164" s="148">
        <v>45280.708333333336</v>
      </c>
      <c r="T1164" s="215">
        <v>40000000</v>
      </c>
      <c r="U1164" s="214">
        <f>Tabla1[[#This Row],[PPTO]]/(1+'Lista Datos'!$B$1)</f>
        <v>33613445.37815126</v>
      </c>
      <c r="V1164" s="64"/>
      <c r="W1164" s="191" t="s">
        <v>10</v>
      </c>
      <c r="X1164" s="122"/>
      <c r="Y1164" s="122"/>
      <c r="Z1164" s="123" t="s">
        <v>10</v>
      </c>
      <c r="AA1164" s="118" t="s">
        <v>177</v>
      </c>
      <c r="AB1164" s="118">
        <v>24</v>
      </c>
      <c r="AC1164" s="118"/>
      <c r="AD1164" s="118"/>
      <c r="AE1164" s="145">
        <f>Tabla1[[#This Row],[Cierre]]+Tabla1[[#This Row],[Vigencia Oferta (días)]]</f>
        <v>45250.625</v>
      </c>
      <c r="AF1164" s="65"/>
      <c r="AG1164" s="181"/>
      <c r="AH1164" s="192">
        <f>Tabla1[[#This Row],[Unidades2]]*Tabla1[[#This Row],[Precio Unitario]]</f>
        <v>0</v>
      </c>
      <c r="AI1164" s="126" t="s">
        <v>270</v>
      </c>
      <c r="AJ1164" s="149"/>
      <c r="AK1164" s="149">
        <f>Tabla1[[#This Row],[Fecha Vigencia]]-AJ1164</f>
        <v>45250.625</v>
      </c>
      <c r="AL1164" s="65"/>
      <c r="AM1164" s="90"/>
      <c r="AN1164" s="65"/>
      <c r="AO1164" s="217"/>
      <c r="AP1164" s="65"/>
      <c r="AQ1164" s="66"/>
      <c r="AR1164" s="65"/>
      <c r="AS1164" s="65"/>
      <c r="AT1164" s="65"/>
      <c r="AU1164" s="65"/>
      <c r="AV1164" s="65"/>
      <c r="AW1164" s="65"/>
      <c r="AX1164" s="65"/>
      <c r="AY1164" s="118"/>
      <c r="AZ1164" s="118"/>
      <c r="BA1164" s="118"/>
      <c r="BB1164" s="124"/>
    </row>
    <row r="1165" spans="1:54" x14ac:dyDescent="0.25">
      <c r="A1165" s="117" t="s">
        <v>5452</v>
      </c>
      <c r="B1165" s="118" t="s">
        <v>5453</v>
      </c>
      <c r="C1165" s="118" t="s">
        <v>5479</v>
      </c>
      <c r="D1165" s="119" t="s">
        <v>5480</v>
      </c>
      <c r="E1165" s="38" t="s">
        <v>5455</v>
      </c>
      <c r="F1165" s="39">
        <v>1</v>
      </c>
      <c r="G1165" s="118" t="s">
        <v>3716</v>
      </c>
      <c r="H1165" s="118" t="s">
        <v>213</v>
      </c>
      <c r="I1165" s="206">
        <v>45239.735671296294</v>
      </c>
      <c r="J1165" s="38">
        <f>MONTH(Tabla1[[#This Row],[Publicación]])</f>
        <v>11</v>
      </c>
      <c r="K1165" s="38">
        <f>YEAR(Tabla1[[#This Row],[Publicación]])</f>
        <v>2023</v>
      </c>
      <c r="L1165" s="206">
        <v>45247.513888888891</v>
      </c>
      <c r="M1165" s="211">
        <v>45240</v>
      </c>
      <c r="N1165" s="207" t="s">
        <v>10</v>
      </c>
      <c r="O1165" s="206" t="s">
        <v>28</v>
      </c>
      <c r="P1165" s="38"/>
      <c r="Q1165" s="121"/>
      <c r="R1165" s="121"/>
      <c r="S1165" s="19"/>
      <c r="T1165" s="38"/>
      <c r="U1165" s="65">
        <f>Tabla1[[#This Row],[PPTO]]/(1+'Lista Datos'!$B$1)</f>
        <v>0</v>
      </c>
      <c r="V1165" s="64"/>
      <c r="W1165" s="191"/>
      <c r="X1165" s="122"/>
      <c r="Y1165" s="122"/>
      <c r="Z1165" s="123"/>
      <c r="AA1165" s="118"/>
      <c r="AB1165" s="118"/>
      <c r="AC1165" s="118"/>
      <c r="AD1165" s="118"/>
      <c r="AE1165" s="145">
        <f>Tabla1[[#This Row],[Cierre]]+Tabla1[[#This Row],[Vigencia Oferta (días)]]</f>
        <v>45247.513888888891</v>
      </c>
      <c r="AF1165" s="65"/>
      <c r="AG1165" s="181"/>
      <c r="AH1165" s="192">
        <f>Tabla1[[#This Row],[Unidades2]]*Tabla1[[#This Row],[Precio Unitario]]</f>
        <v>0</v>
      </c>
      <c r="AI1165" s="126" t="s">
        <v>270</v>
      </c>
      <c r="AJ1165" s="149"/>
      <c r="AK1165" s="149">
        <f>Tabla1[[#This Row],[Fecha Vigencia]]-AJ1165</f>
        <v>45247.513888888891</v>
      </c>
      <c r="AL1165" s="65"/>
      <c r="AM1165" s="90"/>
      <c r="AN1165" s="65"/>
      <c r="AO1165" s="217"/>
      <c r="AP1165" s="65"/>
      <c r="AQ1165" s="66"/>
      <c r="AR1165" s="65"/>
      <c r="AS1165" s="65"/>
      <c r="AT1165" s="65"/>
      <c r="AU1165" s="65"/>
      <c r="AV1165" s="65"/>
      <c r="AW1165" s="65"/>
      <c r="AX1165" s="65"/>
      <c r="AY1165" s="118"/>
      <c r="AZ1165" s="118"/>
      <c r="BA1165" s="118"/>
      <c r="BB1165" s="124"/>
    </row>
    <row r="1166" spans="1:54" x14ac:dyDescent="0.25">
      <c r="A1166" s="117" t="s">
        <v>5481</v>
      </c>
      <c r="B1166" s="118" t="s">
        <v>5482</v>
      </c>
      <c r="C1166" s="118" t="s">
        <v>5483</v>
      </c>
      <c r="D1166" s="119" t="s">
        <v>5484</v>
      </c>
      <c r="E1166" s="38" t="s">
        <v>5485</v>
      </c>
      <c r="F1166" s="39">
        <v>1</v>
      </c>
      <c r="G1166" s="118" t="s">
        <v>14</v>
      </c>
      <c r="H1166" s="118" t="s">
        <v>533</v>
      </c>
      <c r="I1166" s="206">
        <v>45240.672633252303</v>
      </c>
      <c r="J1166" s="121">
        <v>45250.833333333299</v>
      </c>
      <c r="K1166" s="121">
        <v>45240.672633252303</v>
      </c>
      <c r="L1166" s="206">
        <v>45250.833333333299</v>
      </c>
      <c r="M1166" s="211">
        <v>45243</v>
      </c>
      <c r="N1166" s="207" t="s">
        <v>10</v>
      </c>
      <c r="O1166" s="206" t="s">
        <v>27</v>
      </c>
      <c r="P1166" s="38"/>
      <c r="Q1166" s="121"/>
      <c r="R1166" s="121"/>
      <c r="S1166" s="19"/>
      <c r="T1166" s="38"/>
      <c r="U1166" s="65">
        <f>Tabla1[[#This Row],[PPTO]]/(1+'Lista Datos'!$B$1)</f>
        <v>0</v>
      </c>
      <c r="V1166" s="64"/>
      <c r="W1166" s="191"/>
      <c r="X1166" s="122"/>
      <c r="Y1166" s="122"/>
      <c r="Z1166" s="123"/>
      <c r="AA1166" s="118"/>
      <c r="AB1166" s="118"/>
      <c r="AC1166" s="118"/>
      <c r="AD1166" s="118"/>
      <c r="AE1166" s="145">
        <f>Tabla1[[#This Row],[Cierre]]+Tabla1[[#This Row],[Vigencia Oferta (días)]]</f>
        <v>45250.833333333299</v>
      </c>
      <c r="AF1166" s="65"/>
      <c r="AG1166" s="181"/>
      <c r="AH1166" s="192">
        <f>Tabla1[[#This Row],[Unidades2]]*Tabla1[[#This Row],[Precio Unitario]]</f>
        <v>0</v>
      </c>
      <c r="AI1166" s="126" t="s">
        <v>270</v>
      </c>
      <c r="AJ1166" s="149"/>
      <c r="AK1166" s="149">
        <f>Tabla1[[#This Row],[Fecha Vigencia]]-AJ1166</f>
        <v>45250.833333333299</v>
      </c>
      <c r="AL1166" s="65"/>
      <c r="AM1166" s="90"/>
      <c r="AN1166" s="65"/>
      <c r="AO1166" s="217"/>
      <c r="AP1166" s="65"/>
      <c r="AQ1166" s="66"/>
      <c r="AR1166" s="65"/>
      <c r="AS1166" s="65"/>
      <c r="AT1166" s="65"/>
      <c r="AU1166" s="65"/>
      <c r="AV1166" s="65"/>
      <c r="AW1166" s="65"/>
      <c r="AX1166" s="65"/>
      <c r="AY1166" s="118"/>
      <c r="AZ1166" s="118"/>
      <c r="BA1166" s="118"/>
      <c r="BB1166" s="124"/>
    </row>
    <row r="1167" spans="1:54" x14ac:dyDescent="0.25">
      <c r="A1167" s="117" t="s">
        <v>5486</v>
      </c>
      <c r="B1167" s="118" t="s">
        <v>5487</v>
      </c>
      <c r="C1167" s="118" t="s">
        <v>5488</v>
      </c>
      <c r="D1167" s="119" t="s">
        <v>1909</v>
      </c>
      <c r="E1167" s="38" t="s">
        <v>5489</v>
      </c>
      <c r="F1167" s="39">
        <v>4</v>
      </c>
      <c r="G1167" s="118" t="s">
        <v>21</v>
      </c>
      <c r="H1167" s="118" t="s">
        <v>106</v>
      </c>
      <c r="I1167" s="206">
        <v>45240.539832604198</v>
      </c>
      <c r="J1167" s="38">
        <v>45245.645833333299</v>
      </c>
      <c r="K1167" s="38">
        <v>45240.539832604198</v>
      </c>
      <c r="L1167" s="206">
        <v>45245.645833333299</v>
      </c>
      <c r="M1167" s="211">
        <v>45243</v>
      </c>
      <c r="N1167" s="207" t="s">
        <v>10</v>
      </c>
      <c r="O1167" s="206" t="s">
        <v>25</v>
      </c>
      <c r="P1167" s="38"/>
      <c r="Q1167" s="147">
        <v>45243.625</v>
      </c>
      <c r="R1167" s="147">
        <v>45244.625</v>
      </c>
      <c r="S1167" s="148">
        <v>45286.697916666664</v>
      </c>
      <c r="T1167" s="38"/>
      <c r="U1167" s="65">
        <f>Tabla1[[#This Row],[PPTO]]/(1+'Lista Datos'!$B$1)</f>
        <v>0</v>
      </c>
      <c r="V1167" s="64"/>
      <c r="W1167" s="191" t="s">
        <v>10</v>
      </c>
      <c r="X1167" s="122"/>
      <c r="Y1167" s="122"/>
      <c r="Z1167" s="123" t="s">
        <v>10</v>
      </c>
      <c r="AA1167" s="118" t="s">
        <v>512</v>
      </c>
      <c r="AB1167" s="118"/>
      <c r="AC1167" s="118"/>
      <c r="AD1167" s="118"/>
      <c r="AE1167" s="145">
        <f>Tabla1[[#This Row],[Cierre]]+Tabla1[[#This Row],[Vigencia Oferta (días)]]</f>
        <v>45245.645833333299</v>
      </c>
      <c r="AF1167" s="65"/>
      <c r="AG1167" s="181"/>
      <c r="AH1167" s="192">
        <f>Tabla1[[#This Row],[Unidades2]]*Tabla1[[#This Row],[Precio Unitario]]</f>
        <v>0</v>
      </c>
      <c r="AI1167" s="126" t="s">
        <v>270</v>
      </c>
      <c r="AJ1167" s="149"/>
      <c r="AK1167" s="149">
        <f>Tabla1[[#This Row],[Fecha Vigencia]]-AJ1167</f>
        <v>45245.645833333299</v>
      </c>
      <c r="AL1167" s="65"/>
      <c r="AM1167" s="90"/>
      <c r="AN1167" s="65"/>
      <c r="AO1167" s="217"/>
      <c r="AP1167" s="65"/>
      <c r="AQ1167" s="66"/>
      <c r="AR1167" s="65"/>
      <c r="AS1167" s="65"/>
      <c r="AT1167" s="65"/>
      <c r="AU1167" s="65"/>
      <c r="AV1167" s="65"/>
      <c r="AW1167" s="65"/>
      <c r="AX1167" s="65"/>
      <c r="AY1167" s="118"/>
      <c r="AZ1167" s="118"/>
      <c r="BA1167" s="118"/>
      <c r="BB1167" s="124"/>
    </row>
    <row r="1168" spans="1:54" x14ac:dyDescent="0.25">
      <c r="A1168" s="117" t="s">
        <v>5490</v>
      </c>
      <c r="B1168" s="118" t="s">
        <v>5491</v>
      </c>
      <c r="C1168" s="118" t="s">
        <v>5492</v>
      </c>
      <c r="D1168" s="119" t="s">
        <v>5493</v>
      </c>
      <c r="E1168" s="38" t="s">
        <v>5494</v>
      </c>
      <c r="F1168" s="39" t="s">
        <v>5495</v>
      </c>
      <c r="G1168" s="118" t="s">
        <v>21</v>
      </c>
      <c r="H1168" s="118" t="s">
        <v>106</v>
      </c>
      <c r="I1168" s="206">
        <v>45243.638586192101</v>
      </c>
      <c r="J1168" s="38">
        <v>45250.708333333299</v>
      </c>
      <c r="K1168" s="38">
        <v>45243.638586192101</v>
      </c>
      <c r="L1168" s="206">
        <v>45250.708333333299</v>
      </c>
      <c r="M1168" s="211">
        <v>45244</v>
      </c>
      <c r="N1168" s="207" t="s">
        <v>11</v>
      </c>
      <c r="O1168" s="206"/>
      <c r="P1168" s="38"/>
      <c r="Q1168" s="147">
        <v>45245.708333333336</v>
      </c>
      <c r="R1168" s="147">
        <v>45247.708333333336</v>
      </c>
      <c r="S1168" s="148">
        <v>45260.708333333336</v>
      </c>
      <c r="T1168" s="38"/>
      <c r="U1168" s="65">
        <f>Tabla1[[#This Row],[PPTO]]/(1+'Lista Datos'!$B$1)</f>
        <v>0</v>
      </c>
      <c r="V1168" s="64"/>
      <c r="W1168" s="191" t="s">
        <v>10</v>
      </c>
      <c r="X1168" s="122"/>
      <c r="Y1168" s="122"/>
      <c r="Z1168" s="123" t="s">
        <v>10</v>
      </c>
      <c r="AA1168" s="118" t="s">
        <v>512</v>
      </c>
      <c r="AB1168" s="118"/>
      <c r="AC1168" s="118"/>
      <c r="AD1168" s="118"/>
      <c r="AE1168" s="145">
        <f>Tabla1[[#This Row],[Cierre]]+Tabla1[[#This Row],[Vigencia Oferta (días)]]</f>
        <v>45250.708333333299</v>
      </c>
      <c r="AF1168" s="65"/>
      <c r="AG1168" s="181"/>
      <c r="AH1168" s="192">
        <f>Tabla1[[#This Row],[Unidades2]]*Tabla1[[#This Row],[Precio Unitario]]</f>
        <v>0</v>
      </c>
      <c r="AI1168" s="126" t="s">
        <v>44</v>
      </c>
      <c r="AJ1168" s="149">
        <v>45271</v>
      </c>
      <c r="AK1168" s="149">
        <f>Tabla1[[#This Row],[Fecha Vigencia]]-AJ1168</f>
        <v>-20.291666666700621</v>
      </c>
      <c r="AL1168" s="65" t="s">
        <v>115</v>
      </c>
      <c r="AM1168" s="90">
        <v>529000</v>
      </c>
      <c r="AN1168" s="65"/>
      <c r="AO1168" s="217"/>
      <c r="AP1168" s="97" t="s">
        <v>292</v>
      </c>
      <c r="AQ1168" s="66" t="s">
        <v>1730</v>
      </c>
      <c r="AR1168" s="65" t="s">
        <v>10</v>
      </c>
      <c r="AS1168" s="65"/>
      <c r="AT1168" s="97"/>
      <c r="AU1168" s="97" t="s">
        <v>5496</v>
      </c>
      <c r="AV1168" s="97" t="s">
        <v>5497</v>
      </c>
      <c r="AW1168" s="97" t="s">
        <v>1731</v>
      </c>
      <c r="AX1168" s="97" t="s">
        <v>1732</v>
      </c>
      <c r="AY1168" s="118"/>
      <c r="AZ1168" s="118"/>
      <c r="BA1168" s="118"/>
      <c r="BB1168" s="124"/>
    </row>
    <row r="1169" spans="1:54" x14ac:dyDescent="0.25">
      <c r="A1169" s="117" t="s">
        <v>5498</v>
      </c>
      <c r="B1169" s="118" t="s">
        <v>5499</v>
      </c>
      <c r="C1169" s="118" t="s">
        <v>5499</v>
      </c>
      <c r="D1169" s="119" t="s">
        <v>897</v>
      </c>
      <c r="E1169" s="38" t="s">
        <v>5500</v>
      </c>
      <c r="F1169" s="39">
        <v>3</v>
      </c>
      <c r="G1169" s="118" t="s">
        <v>14</v>
      </c>
      <c r="H1169" s="118" t="s">
        <v>533</v>
      </c>
      <c r="I1169" s="206">
        <v>45243.637730636598</v>
      </c>
      <c r="J1169" s="38">
        <v>45250.691666666702</v>
      </c>
      <c r="K1169" s="38">
        <v>45243.637730636598</v>
      </c>
      <c r="L1169" s="206">
        <v>45250.691666666702</v>
      </c>
      <c r="M1169" s="211">
        <v>45244</v>
      </c>
      <c r="N1169" s="207" t="s">
        <v>10</v>
      </c>
      <c r="O1169" s="206" t="s">
        <v>27</v>
      </c>
      <c r="P1169" s="38"/>
      <c r="Q1169" s="121"/>
      <c r="R1169" s="121"/>
      <c r="S1169" s="19"/>
      <c r="T1169" s="38"/>
      <c r="U1169" s="65">
        <f>Tabla1[[#This Row],[PPTO]]/(1+'Lista Datos'!$B$1)</f>
        <v>0</v>
      </c>
      <c r="V1169" s="64"/>
      <c r="W1169" s="191"/>
      <c r="X1169" s="122"/>
      <c r="Y1169" s="122"/>
      <c r="Z1169" s="123"/>
      <c r="AA1169" s="118"/>
      <c r="AB1169" s="118"/>
      <c r="AC1169" s="118"/>
      <c r="AD1169" s="118"/>
      <c r="AE1169" s="145">
        <f>Tabla1[[#This Row],[Cierre]]+Tabla1[[#This Row],[Vigencia Oferta (días)]]</f>
        <v>45250.691666666702</v>
      </c>
      <c r="AF1169" s="65"/>
      <c r="AG1169" s="181"/>
      <c r="AH1169" s="192">
        <f>Tabla1[[#This Row],[Unidades2]]*Tabla1[[#This Row],[Precio Unitario]]</f>
        <v>0</v>
      </c>
      <c r="AI1169" s="126" t="s">
        <v>270</v>
      </c>
      <c r="AJ1169" s="149"/>
      <c r="AK1169" s="149">
        <f>Tabla1[[#This Row],[Fecha Vigencia]]-AJ1169</f>
        <v>45250.691666666702</v>
      </c>
      <c r="AL1169" s="65"/>
      <c r="AM1169" s="90"/>
      <c r="AN1169" s="65"/>
      <c r="AO1169" s="217"/>
      <c r="AP1169" s="65"/>
      <c r="AQ1169" s="66"/>
      <c r="AR1169" s="65"/>
      <c r="AS1169" s="65"/>
      <c r="AT1169" s="65"/>
      <c r="AU1169" s="65"/>
      <c r="AV1169" s="65"/>
      <c r="AW1169" s="65"/>
      <c r="AX1169" s="65"/>
      <c r="AY1169" s="118"/>
      <c r="AZ1169" s="118"/>
      <c r="BA1169" s="118"/>
      <c r="BB1169" s="124"/>
    </row>
    <row r="1170" spans="1:54" x14ac:dyDescent="0.25">
      <c r="A1170" s="153" t="s">
        <v>5501</v>
      </c>
      <c r="B1170" s="30" t="s">
        <v>1907</v>
      </c>
      <c r="C1170" s="30" t="s">
        <v>5502</v>
      </c>
      <c r="D1170" s="84" t="s">
        <v>1909</v>
      </c>
      <c r="E1170" s="24" t="s">
        <v>2666</v>
      </c>
      <c r="F1170" s="25">
        <v>1</v>
      </c>
      <c r="G1170" s="30" t="s">
        <v>20</v>
      </c>
      <c r="H1170" s="30" t="s">
        <v>5145</v>
      </c>
      <c r="I1170" s="203">
        <v>45243.594309918997</v>
      </c>
      <c r="J1170" s="38">
        <v>45273.7680555556</v>
      </c>
      <c r="K1170" s="38">
        <v>45243.594309918997</v>
      </c>
      <c r="L1170" s="203">
        <v>45273.7680555556</v>
      </c>
      <c r="M1170" s="204">
        <v>45244</v>
      </c>
      <c r="N1170" s="205" t="s">
        <v>10</v>
      </c>
      <c r="O1170" s="203" t="s">
        <v>26</v>
      </c>
      <c r="P1170" s="23" t="s">
        <v>11</v>
      </c>
      <c r="Q1170" s="160">
        <v>45258.74722222222</v>
      </c>
      <c r="R1170" s="160">
        <v>45268.74722222222</v>
      </c>
      <c r="S1170" s="161">
        <v>45334.768750000003</v>
      </c>
      <c r="T1170" s="24"/>
      <c r="U1170" s="68">
        <f>Tabla1[[#This Row],[PPTO]]/(1+'Lista Datos'!$B$1)</f>
        <v>0</v>
      </c>
      <c r="V1170" s="67"/>
      <c r="W1170" s="193" t="s">
        <v>11</v>
      </c>
      <c r="X1170" s="127">
        <v>2000000</v>
      </c>
      <c r="Y1170" s="104">
        <v>45423</v>
      </c>
      <c r="Z1170" s="154" t="s">
        <v>10</v>
      </c>
      <c r="AA1170" s="30" t="s">
        <v>177</v>
      </c>
      <c r="AB1170" s="30">
        <v>12</v>
      </c>
      <c r="AC1170" s="30"/>
      <c r="AD1170" s="30"/>
      <c r="AE1170" s="145">
        <f>Tabla1[[#This Row],[Cierre]]+Tabla1[[#This Row],[Vigencia Oferta (días)]]</f>
        <v>45273.7680555556</v>
      </c>
      <c r="AF1170" s="68"/>
      <c r="AG1170" s="157"/>
      <c r="AH1170" s="194">
        <f>Tabla1[[#This Row],[Unidades2]]*Tabla1[[#This Row],[Precio Unitario]]</f>
        <v>0</v>
      </c>
      <c r="AI1170" s="97" t="s">
        <v>270</v>
      </c>
      <c r="AJ1170" s="149"/>
      <c r="AK1170" s="149">
        <f>Tabla1[[#This Row],[Fecha Vigencia]]-AJ1170</f>
        <v>45273.7680555556</v>
      </c>
      <c r="AL1170" s="68"/>
      <c r="AM1170" s="91"/>
      <c r="AN1170" s="68"/>
      <c r="AO1170" s="218"/>
      <c r="AP1170" s="68"/>
      <c r="AQ1170" s="69"/>
      <c r="AR1170" s="68"/>
      <c r="AS1170" s="68"/>
      <c r="AT1170" s="68"/>
      <c r="AU1170" s="68"/>
      <c r="AV1170" s="68"/>
      <c r="AW1170" s="68"/>
      <c r="AX1170" s="68"/>
      <c r="AY1170" s="30"/>
      <c r="AZ1170" s="30"/>
      <c r="BA1170" s="30"/>
      <c r="BB1170" s="75"/>
    </row>
    <row r="1171" spans="1:54" x14ac:dyDescent="0.25">
      <c r="A1171" s="117" t="s">
        <v>5503</v>
      </c>
      <c r="B1171" s="118" t="s">
        <v>5504</v>
      </c>
      <c r="C1171" s="118" t="s">
        <v>5505</v>
      </c>
      <c r="D1171" s="119" t="s">
        <v>1448</v>
      </c>
      <c r="E1171" s="38" t="s">
        <v>5506</v>
      </c>
      <c r="F1171" s="39">
        <v>1</v>
      </c>
      <c r="G1171" s="118" t="s">
        <v>18</v>
      </c>
      <c r="H1171" s="118" t="s">
        <v>213</v>
      </c>
      <c r="I1171" s="206">
        <v>45243.498965706</v>
      </c>
      <c r="J1171" s="121">
        <v>45253.708333333299</v>
      </c>
      <c r="K1171" s="121">
        <v>45243.498965706</v>
      </c>
      <c r="L1171" s="206">
        <v>45253.708333333299</v>
      </c>
      <c r="M1171" s="211">
        <v>45244</v>
      </c>
      <c r="N1171" s="207" t="s">
        <v>10</v>
      </c>
      <c r="O1171" s="206" t="s">
        <v>28</v>
      </c>
      <c r="P1171" s="38"/>
      <c r="Q1171" s="121"/>
      <c r="R1171" s="121"/>
      <c r="S1171" s="19"/>
      <c r="T1171" s="38"/>
      <c r="U1171" s="65">
        <f>Tabla1[[#This Row],[PPTO]]/(1+'Lista Datos'!$B$1)</f>
        <v>0</v>
      </c>
      <c r="V1171" s="64"/>
      <c r="W1171" s="191"/>
      <c r="X1171" s="122"/>
      <c r="Y1171" s="122"/>
      <c r="Z1171" s="123"/>
      <c r="AA1171" s="118"/>
      <c r="AB1171" s="118"/>
      <c r="AC1171" s="118"/>
      <c r="AD1171" s="118"/>
      <c r="AE1171" s="145">
        <f>Tabla1[[#This Row],[Cierre]]+Tabla1[[#This Row],[Vigencia Oferta (días)]]</f>
        <v>45253.708333333299</v>
      </c>
      <c r="AF1171" s="65"/>
      <c r="AG1171" s="181"/>
      <c r="AH1171" s="192">
        <f>Tabla1[[#This Row],[Unidades2]]*Tabla1[[#This Row],[Precio Unitario]]</f>
        <v>0</v>
      </c>
      <c r="AI1171" s="126" t="s">
        <v>270</v>
      </c>
      <c r="AJ1171" s="149"/>
      <c r="AK1171" s="149">
        <f>Tabla1[[#This Row],[Fecha Vigencia]]-AJ1171</f>
        <v>45253.708333333299</v>
      </c>
      <c r="AL1171" s="65"/>
      <c r="AM1171" s="90"/>
      <c r="AN1171" s="65"/>
      <c r="AO1171" s="217"/>
      <c r="AP1171" s="65"/>
      <c r="AQ1171" s="66"/>
      <c r="AR1171" s="65"/>
      <c r="AS1171" s="65"/>
      <c r="AT1171" s="65"/>
      <c r="AU1171" s="65"/>
      <c r="AV1171" s="65"/>
      <c r="AW1171" s="65"/>
      <c r="AX1171" s="65"/>
      <c r="AY1171" s="118"/>
      <c r="AZ1171" s="118"/>
      <c r="BA1171" s="118"/>
      <c r="BB1171" s="124"/>
    </row>
    <row r="1172" spans="1:54" x14ac:dyDescent="0.25">
      <c r="A1172" s="153" t="s">
        <v>5507</v>
      </c>
      <c r="B1172" s="30" t="s">
        <v>5508</v>
      </c>
      <c r="C1172" s="30" t="s">
        <v>5508</v>
      </c>
      <c r="D1172" s="84" t="s">
        <v>175</v>
      </c>
      <c r="E1172" s="24" t="s">
        <v>5509</v>
      </c>
      <c r="F1172" s="25">
        <v>5</v>
      </c>
      <c r="G1172" s="30" t="s">
        <v>21</v>
      </c>
      <c r="H1172" s="30" t="s">
        <v>106</v>
      </c>
      <c r="I1172" s="203">
        <v>45243.4970462153</v>
      </c>
      <c r="J1172" s="38">
        <v>45250.625</v>
      </c>
      <c r="K1172" s="38">
        <v>45243.4970462153</v>
      </c>
      <c r="L1172" s="203">
        <v>45250.625</v>
      </c>
      <c r="M1172" s="204">
        <v>45244</v>
      </c>
      <c r="N1172" s="205" t="s">
        <v>10</v>
      </c>
      <c r="O1172" s="203" t="s">
        <v>27</v>
      </c>
      <c r="P1172" s="24"/>
      <c r="Q1172" s="60"/>
      <c r="R1172" s="60"/>
      <c r="S1172" s="18"/>
      <c r="T1172" s="24"/>
      <c r="U1172" s="68">
        <f>Tabla1[[#This Row],[PPTO]]/(1+'Lista Datos'!$B$1)</f>
        <v>0</v>
      </c>
      <c r="V1172" s="67"/>
      <c r="W1172" s="193"/>
      <c r="X1172" s="127"/>
      <c r="Y1172" s="127"/>
      <c r="Z1172" s="154"/>
      <c r="AA1172" s="30"/>
      <c r="AB1172" s="30"/>
      <c r="AC1172" s="30"/>
      <c r="AD1172" s="30"/>
      <c r="AE1172" s="145">
        <f>Tabla1[[#This Row],[Cierre]]+Tabla1[[#This Row],[Vigencia Oferta (días)]]</f>
        <v>45250.625</v>
      </c>
      <c r="AF1172" s="68"/>
      <c r="AG1172" s="157"/>
      <c r="AH1172" s="194">
        <f>Tabla1[[#This Row],[Unidades2]]*Tabla1[[#This Row],[Precio Unitario]]</f>
        <v>0</v>
      </c>
      <c r="AI1172" s="97" t="s">
        <v>270</v>
      </c>
      <c r="AJ1172" s="149"/>
      <c r="AK1172" s="149">
        <f>Tabla1[[#This Row],[Fecha Vigencia]]-AJ1172</f>
        <v>45250.625</v>
      </c>
      <c r="AL1172" s="68"/>
      <c r="AM1172" s="91"/>
      <c r="AN1172" s="68"/>
      <c r="AO1172" s="218"/>
      <c r="AP1172" s="68"/>
      <c r="AQ1172" s="69"/>
      <c r="AR1172" s="68"/>
      <c r="AS1172" s="68"/>
      <c r="AT1172" s="68"/>
      <c r="AU1172" s="68"/>
      <c r="AV1172" s="68"/>
      <c r="AW1172" s="68"/>
      <c r="AX1172" s="68"/>
      <c r="AY1172" s="30"/>
      <c r="AZ1172" s="30"/>
      <c r="BA1172" s="30"/>
      <c r="BB1172" s="75"/>
    </row>
    <row r="1173" spans="1:54" x14ac:dyDescent="0.25">
      <c r="A1173" s="153" t="s">
        <v>5510</v>
      </c>
      <c r="B1173" s="30" t="s">
        <v>5511</v>
      </c>
      <c r="C1173" s="30" t="s">
        <v>5512</v>
      </c>
      <c r="D1173" s="84" t="s">
        <v>5271</v>
      </c>
      <c r="E1173" s="24" t="s">
        <v>5513</v>
      </c>
      <c r="F1173" s="25">
        <v>1</v>
      </c>
      <c r="G1173" s="30" t="s">
        <v>20</v>
      </c>
      <c r="H1173" s="30" t="s">
        <v>5145</v>
      </c>
      <c r="I1173" s="203">
        <v>45243.392209803198</v>
      </c>
      <c r="J1173" s="121">
        <v>45251.5</v>
      </c>
      <c r="K1173" s="121">
        <v>45243.392209803198</v>
      </c>
      <c r="L1173" s="203">
        <v>45251.5</v>
      </c>
      <c r="M1173" s="204">
        <v>45244</v>
      </c>
      <c r="N1173" s="205" t="s">
        <v>10</v>
      </c>
      <c r="O1173" s="203" t="s">
        <v>5514</v>
      </c>
      <c r="P1173" s="24"/>
      <c r="Q1173" s="160">
        <v>45244.5</v>
      </c>
      <c r="R1173" s="160">
        <v>45245.666666666664</v>
      </c>
      <c r="S1173" s="161">
        <v>45252.625</v>
      </c>
      <c r="T1173" s="210">
        <v>6228528</v>
      </c>
      <c r="U1173" s="209">
        <f>Tabla1[[#This Row],[PPTO]]/(1+'Lista Datos'!$B$1)</f>
        <v>5234057.1428571427</v>
      </c>
      <c r="V1173" s="67"/>
      <c r="W1173" s="193" t="s">
        <v>11</v>
      </c>
      <c r="X1173" s="127">
        <v>350000</v>
      </c>
      <c r="Y1173" s="104">
        <v>45251</v>
      </c>
      <c r="Z1173" s="154" t="s">
        <v>10</v>
      </c>
      <c r="AA1173" s="30" t="s">
        <v>177</v>
      </c>
      <c r="AB1173" s="30">
        <v>2</v>
      </c>
      <c r="AC1173" s="30"/>
      <c r="AD1173" s="30"/>
      <c r="AE1173" s="145">
        <f>Tabla1[[#This Row],[Cierre]]+Tabla1[[#This Row],[Vigencia Oferta (días)]]</f>
        <v>45251.5</v>
      </c>
      <c r="AF1173" s="68"/>
      <c r="AG1173" s="157"/>
      <c r="AH1173" s="194">
        <f>Tabla1[[#This Row],[Unidades2]]*Tabla1[[#This Row],[Precio Unitario]]</f>
        <v>0</v>
      </c>
      <c r="AI1173" s="97" t="s">
        <v>5099</v>
      </c>
      <c r="AJ1173" s="149"/>
      <c r="AK1173" s="149">
        <f>Tabla1[[#This Row],[Fecha Vigencia]]-AJ1173</f>
        <v>45251.5</v>
      </c>
      <c r="AL1173" s="68"/>
      <c r="AM1173" s="91"/>
      <c r="AN1173" s="68"/>
      <c r="AO1173" s="218"/>
      <c r="AP1173" s="68"/>
      <c r="AQ1173" s="69"/>
      <c r="AR1173" s="68"/>
      <c r="AS1173" s="68"/>
      <c r="AT1173" s="68"/>
      <c r="AU1173" s="68"/>
      <c r="AV1173" s="68"/>
      <c r="AW1173" s="68"/>
      <c r="AX1173" s="68"/>
      <c r="AY1173" s="30"/>
      <c r="AZ1173" s="30"/>
      <c r="BA1173" s="30"/>
      <c r="BB1173" s="75"/>
    </row>
    <row r="1174" spans="1:54" x14ac:dyDescent="0.25">
      <c r="A1174" s="117" t="s">
        <v>5515</v>
      </c>
      <c r="B1174" s="118" t="s">
        <v>5516</v>
      </c>
      <c r="C1174" s="118" t="s">
        <v>5517</v>
      </c>
      <c r="D1174" s="119" t="s">
        <v>234</v>
      </c>
      <c r="E1174" s="38" t="s">
        <v>5518</v>
      </c>
      <c r="F1174" s="39">
        <v>1</v>
      </c>
      <c r="G1174" s="118" t="s">
        <v>21</v>
      </c>
      <c r="H1174" s="118" t="s">
        <v>106</v>
      </c>
      <c r="I1174" s="206">
        <v>45243.370759259298</v>
      </c>
      <c r="J1174" s="121">
        <v>45250.65625</v>
      </c>
      <c r="K1174" s="121">
        <v>45243.370759259298</v>
      </c>
      <c r="L1174" s="206">
        <v>45250.65625</v>
      </c>
      <c r="M1174" s="211">
        <v>45244</v>
      </c>
      <c r="N1174" s="207" t="s">
        <v>10</v>
      </c>
      <c r="O1174" s="206" t="s">
        <v>5327</v>
      </c>
      <c r="P1174" s="38"/>
      <c r="Q1174" s="147">
        <v>45245.5</v>
      </c>
      <c r="R1174" s="147">
        <v>45246.708333333336</v>
      </c>
      <c r="S1174" s="148">
        <v>45260.75</v>
      </c>
      <c r="T1174" s="38"/>
      <c r="U1174" s="65">
        <f>Tabla1[[#This Row],[PPTO]]/(1+'Lista Datos'!$B$1)</f>
        <v>0</v>
      </c>
      <c r="V1174" s="64"/>
      <c r="W1174" s="191" t="s">
        <v>10</v>
      </c>
      <c r="X1174" s="122"/>
      <c r="Y1174" s="122"/>
      <c r="Z1174" s="123" t="s">
        <v>10</v>
      </c>
      <c r="AA1174" s="118" t="s">
        <v>512</v>
      </c>
      <c r="AB1174" s="118"/>
      <c r="AC1174" s="118"/>
      <c r="AD1174" s="118"/>
      <c r="AE1174" s="145">
        <f>Tabla1[[#This Row],[Cierre]]+Tabla1[[#This Row],[Vigencia Oferta (días)]]</f>
        <v>45250.65625</v>
      </c>
      <c r="AF1174" s="65"/>
      <c r="AG1174" s="181"/>
      <c r="AH1174" s="192">
        <f>Tabla1[[#This Row],[Unidades2]]*Tabla1[[#This Row],[Precio Unitario]]</f>
        <v>0</v>
      </c>
      <c r="AI1174" s="126" t="s">
        <v>270</v>
      </c>
      <c r="AJ1174" s="149"/>
      <c r="AK1174" s="149">
        <f>Tabla1[[#This Row],[Fecha Vigencia]]-AJ1174</f>
        <v>45250.65625</v>
      </c>
      <c r="AL1174" s="65"/>
      <c r="AM1174" s="90"/>
      <c r="AN1174" s="65"/>
      <c r="AO1174" s="217"/>
      <c r="AP1174" s="65"/>
      <c r="AQ1174" s="66"/>
      <c r="AR1174" s="65"/>
      <c r="AS1174" s="65"/>
      <c r="AT1174" s="65"/>
      <c r="AU1174" s="65"/>
      <c r="AV1174" s="65"/>
      <c r="AW1174" s="65"/>
      <c r="AX1174" s="65"/>
      <c r="AY1174" s="118"/>
      <c r="AZ1174" s="118"/>
      <c r="BA1174" s="118"/>
      <c r="BB1174" s="124"/>
    </row>
    <row r="1175" spans="1:54" x14ac:dyDescent="0.25">
      <c r="A1175" s="117" t="s">
        <v>5519</v>
      </c>
      <c r="B1175" s="118" t="s">
        <v>5520</v>
      </c>
      <c r="C1175" s="118" t="s">
        <v>5521</v>
      </c>
      <c r="D1175" s="119" t="s">
        <v>5344</v>
      </c>
      <c r="E1175" s="38" t="s">
        <v>5522</v>
      </c>
      <c r="F1175" s="39">
        <v>1</v>
      </c>
      <c r="G1175" s="118" t="s">
        <v>18</v>
      </c>
      <c r="H1175" s="118" t="s">
        <v>213</v>
      </c>
      <c r="I1175" s="206">
        <v>45244.547215972198</v>
      </c>
      <c r="J1175" s="38">
        <v>45257.833333333299</v>
      </c>
      <c r="K1175" s="38">
        <v>45244.547215972198</v>
      </c>
      <c r="L1175" s="206">
        <v>45257.833333333299</v>
      </c>
      <c r="M1175" s="211">
        <v>45245</v>
      </c>
      <c r="N1175" s="207" t="s">
        <v>10</v>
      </c>
      <c r="O1175" s="206" t="s">
        <v>28</v>
      </c>
      <c r="P1175" s="38"/>
      <c r="Q1175" s="121"/>
      <c r="R1175" s="121"/>
      <c r="S1175" s="19"/>
      <c r="T1175" s="38"/>
      <c r="U1175" s="65">
        <f>Tabla1[[#This Row],[PPTO]]/(1+'Lista Datos'!$B$1)</f>
        <v>0</v>
      </c>
      <c r="V1175" s="64"/>
      <c r="W1175" s="191"/>
      <c r="X1175" s="122"/>
      <c r="Y1175" s="122"/>
      <c r="Z1175" s="123"/>
      <c r="AA1175" s="118"/>
      <c r="AB1175" s="118"/>
      <c r="AC1175" s="118"/>
      <c r="AD1175" s="118"/>
      <c r="AE1175" s="145">
        <f>Tabla1[[#This Row],[Cierre]]+Tabla1[[#This Row],[Vigencia Oferta (días)]]</f>
        <v>45257.833333333299</v>
      </c>
      <c r="AF1175" s="65"/>
      <c r="AG1175" s="181"/>
      <c r="AH1175" s="192">
        <f>Tabla1[[#This Row],[Unidades2]]*Tabla1[[#This Row],[Precio Unitario]]</f>
        <v>0</v>
      </c>
      <c r="AI1175" s="126" t="s">
        <v>270</v>
      </c>
      <c r="AJ1175" s="149"/>
      <c r="AK1175" s="149">
        <f>Tabla1[[#This Row],[Fecha Vigencia]]-AJ1175</f>
        <v>45257.833333333299</v>
      </c>
      <c r="AL1175" s="65"/>
      <c r="AM1175" s="90"/>
      <c r="AN1175" s="65"/>
      <c r="AO1175" s="217"/>
      <c r="AP1175" s="65"/>
      <c r="AQ1175" s="66"/>
      <c r="AR1175" s="65"/>
      <c r="AS1175" s="65"/>
      <c r="AT1175" s="65"/>
      <c r="AU1175" s="65"/>
      <c r="AV1175" s="65"/>
      <c r="AW1175" s="65"/>
      <c r="AX1175" s="65"/>
      <c r="AY1175" s="118"/>
      <c r="AZ1175" s="118"/>
      <c r="BA1175" s="118"/>
      <c r="BB1175" s="124"/>
    </row>
    <row r="1176" spans="1:54" x14ac:dyDescent="0.25">
      <c r="A1176" s="117" t="s">
        <v>5523</v>
      </c>
      <c r="B1176" s="118" t="s">
        <v>5524</v>
      </c>
      <c r="C1176" s="118" t="s">
        <v>5525</v>
      </c>
      <c r="D1176" s="119" t="s">
        <v>546</v>
      </c>
      <c r="E1176" s="38" t="s">
        <v>5526</v>
      </c>
      <c r="F1176" s="39">
        <v>17</v>
      </c>
      <c r="G1176" s="118" t="s">
        <v>21</v>
      </c>
      <c r="H1176" s="118" t="s">
        <v>106</v>
      </c>
      <c r="I1176" s="206">
        <v>45245.727228090298</v>
      </c>
      <c r="J1176" s="38">
        <v>45257.7319444444</v>
      </c>
      <c r="K1176" s="38">
        <v>45245.727228090298</v>
      </c>
      <c r="L1176" s="206">
        <v>45257.7319444444</v>
      </c>
      <c r="M1176" s="211">
        <v>45246</v>
      </c>
      <c r="N1176" s="207" t="s">
        <v>11</v>
      </c>
      <c r="O1176" s="206"/>
      <c r="P1176" s="38"/>
      <c r="Q1176" s="147">
        <v>45248.861111111109</v>
      </c>
      <c r="R1176" s="147">
        <v>45251.861111111109</v>
      </c>
      <c r="S1176" s="148">
        <v>45320.732638888891</v>
      </c>
      <c r="T1176" s="38"/>
      <c r="U1176" s="65">
        <f>Tabla1[[#This Row],[PPTO]]/(1+'Lista Datos'!$B$1)</f>
        <v>0</v>
      </c>
      <c r="V1176" s="64"/>
      <c r="W1176" s="191" t="s">
        <v>11</v>
      </c>
      <c r="X1176" s="122">
        <v>200000</v>
      </c>
      <c r="Y1176" s="149">
        <v>45377</v>
      </c>
      <c r="Z1176" s="123" t="s">
        <v>10</v>
      </c>
      <c r="AA1176" s="118" t="s">
        <v>512</v>
      </c>
      <c r="AB1176" s="118"/>
      <c r="AC1176" s="118"/>
      <c r="AD1176" s="118"/>
      <c r="AE1176" s="145">
        <f>Tabla1[[#This Row],[Cierre]]+Tabla1[[#This Row],[Vigencia Oferta (días)]]</f>
        <v>45257.7319444444</v>
      </c>
      <c r="AF1176" s="65"/>
      <c r="AG1176" s="181"/>
      <c r="AH1176" s="192">
        <f>Tabla1[[#This Row],[Unidades2]]*Tabla1[[#This Row],[Precio Unitario]]</f>
        <v>0</v>
      </c>
      <c r="AI1176" s="126" t="s">
        <v>270</v>
      </c>
      <c r="AJ1176" s="149"/>
      <c r="AK1176" s="149">
        <f>Tabla1[[#This Row],[Fecha Vigencia]]-AJ1176</f>
        <v>45257.7319444444</v>
      </c>
      <c r="AL1176" s="65"/>
      <c r="AM1176" s="90"/>
      <c r="AN1176" s="65"/>
      <c r="AO1176" s="217"/>
      <c r="AP1176" s="65"/>
      <c r="AQ1176" s="66"/>
      <c r="AR1176" s="65"/>
      <c r="AS1176" s="65"/>
      <c r="AT1176" s="65"/>
      <c r="AU1176" s="65"/>
      <c r="AV1176" s="65"/>
      <c r="AW1176" s="65"/>
      <c r="AX1176" s="65"/>
      <c r="AY1176" s="118"/>
      <c r="AZ1176" s="118"/>
      <c r="BA1176" s="118"/>
      <c r="BB1176" s="124"/>
    </row>
    <row r="1177" spans="1:54" x14ac:dyDescent="0.25">
      <c r="A1177" s="153" t="s">
        <v>5527</v>
      </c>
      <c r="B1177" s="30" t="s">
        <v>5528</v>
      </c>
      <c r="C1177" s="30" t="s">
        <v>5529</v>
      </c>
      <c r="D1177" s="84" t="s">
        <v>5530</v>
      </c>
      <c r="E1177" s="24" t="s">
        <v>5531</v>
      </c>
      <c r="F1177" s="25">
        <v>4</v>
      </c>
      <c r="G1177" s="30" t="s">
        <v>21</v>
      </c>
      <c r="H1177" s="30" t="s">
        <v>106</v>
      </c>
      <c r="I1177" s="203">
        <v>45245.673154942102</v>
      </c>
      <c r="J1177" s="38">
        <v>45252.5180555556</v>
      </c>
      <c r="K1177" s="38">
        <v>45245.673154942102</v>
      </c>
      <c r="L1177" s="203">
        <v>45252.5180555556</v>
      </c>
      <c r="M1177" s="204">
        <v>45246</v>
      </c>
      <c r="N1177" s="205" t="s">
        <v>10</v>
      </c>
      <c r="O1177" s="203" t="s">
        <v>27</v>
      </c>
      <c r="P1177" s="24"/>
      <c r="Q1177" s="60"/>
      <c r="R1177" s="60"/>
      <c r="S1177" s="18"/>
      <c r="T1177" s="24"/>
      <c r="U1177" s="68">
        <f>Tabla1[[#This Row],[PPTO]]/(1+'Lista Datos'!$B$1)</f>
        <v>0</v>
      </c>
      <c r="V1177" s="67"/>
      <c r="W1177" s="193"/>
      <c r="X1177" s="127"/>
      <c r="Y1177" s="127"/>
      <c r="Z1177" s="154"/>
      <c r="AA1177" s="30"/>
      <c r="AB1177" s="30"/>
      <c r="AC1177" s="30"/>
      <c r="AD1177" s="30"/>
      <c r="AE1177" s="145">
        <f>Tabla1[[#This Row],[Cierre]]+Tabla1[[#This Row],[Vigencia Oferta (días)]]</f>
        <v>45252.5180555556</v>
      </c>
      <c r="AF1177" s="68"/>
      <c r="AG1177" s="157"/>
      <c r="AH1177" s="194">
        <f>Tabla1[[#This Row],[Unidades2]]*Tabla1[[#This Row],[Precio Unitario]]</f>
        <v>0</v>
      </c>
      <c r="AI1177" s="97" t="s">
        <v>270</v>
      </c>
      <c r="AJ1177" s="149"/>
      <c r="AK1177" s="149">
        <f>Tabla1[[#This Row],[Fecha Vigencia]]-AJ1177</f>
        <v>45252.5180555556</v>
      </c>
      <c r="AL1177" s="68"/>
      <c r="AM1177" s="91"/>
      <c r="AN1177" s="68"/>
      <c r="AO1177" s="218"/>
      <c r="AP1177" s="68"/>
      <c r="AQ1177" s="69"/>
      <c r="AR1177" s="68"/>
      <c r="AS1177" s="68"/>
      <c r="AT1177" s="68"/>
      <c r="AU1177" s="68"/>
      <c r="AV1177" s="68"/>
      <c r="AW1177" s="68"/>
      <c r="AX1177" s="68"/>
      <c r="AY1177" s="30"/>
      <c r="AZ1177" s="30"/>
      <c r="BA1177" s="30"/>
      <c r="BB1177" s="75"/>
    </row>
    <row r="1178" spans="1:54" x14ac:dyDescent="0.25">
      <c r="A1178" s="153" t="s">
        <v>5532</v>
      </c>
      <c r="B1178" s="30" t="s">
        <v>5533</v>
      </c>
      <c r="C1178" s="30" t="s">
        <v>5534</v>
      </c>
      <c r="D1178" s="84" t="s">
        <v>2373</v>
      </c>
      <c r="E1178" s="24" t="s">
        <v>5535</v>
      </c>
      <c r="F1178" s="25">
        <v>1</v>
      </c>
      <c r="G1178" s="30" t="s">
        <v>14</v>
      </c>
      <c r="H1178" s="30" t="s">
        <v>145</v>
      </c>
      <c r="I1178" s="203">
        <v>45245.548137268503</v>
      </c>
      <c r="J1178" s="121">
        <v>45257.625</v>
      </c>
      <c r="K1178" s="121">
        <v>45245.548137268503</v>
      </c>
      <c r="L1178" s="203">
        <v>45257.625</v>
      </c>
      <c r="M1178" s="204">
        <v>45246</v>
      </c>
      <c r="N1178" s="205" t="s">
        <v>10</v>
      </c>
      <c r="O1178" s="203" t="s">
        <v>25</v>
      </c>
      <c r="P1178" s="24"/>
      <c r="Q1178" s="160">
        <v>45250.416666666664</v>
      </c>
      <c r="R1178" s="160">
        <v>45251.625</v>
      </c>
      <c r="S1178" s="161">
        <v>45317.625</v>
      </c>
      <c r="T1178" s="24"/>
      <c r="U1178" s="68">
        <f>Tabla1[[#This Row],[PPTO]]/(1+'Lista Datos'!$B$1)</f>
        <v>0</v>
      </c>
      <c r="V1178" s="67"/>
      <c r="W1178" s="193" t="s">
        <v>10</v>
      </c>
      <c r="X1178" s="127"/>
      <c r="Y1178" s="127"/>
      <c r="Z1178" s="154" t="s">
        <v>10</v>
      </c>
      <c r="AA1178" s="30" t="s">
        <v>177</v>
      </c>
      <c r="AB1178" s="30">
        <v>12</v>
      </c>
      <c r="AC1178" s="30"/>
      <c r="AD1178" s="30"/>
      <c r="AE1178" s="145">
        <f>Tabla1[[#This Row],[Cierre]]+Tabla1[[#This Row],[Vigencia Oferta (días)]]</f>
        <v>45257.625</v>
      </c>
      <c r="AF1178" s="68"/>
      <c r="AG1178" s="157"/>
      <c r="AH1178" s="194">
        <f>Tabla1[[#This Row],[Unidades2]]*Tabla1[[#This Row],[Precio Unitario]]</f>
        <v>0</v>
      </c>
      <c r="AI1178" s="97" t="s">
        <v>270</v>
      </c>
      <c r="AJ1178" s="149"/>
      <c r="AK1178" s="149">
        <f>Tabla1[[#This Row],[Fecha Vigencia]]-AJ1178</f>
        <v>45257.625</v>
      </c>
      <c r="AL1178" s="68"/>
      <c r="AM1178" s="91"/>
      <c r="AN1178" s="68"/>
      <c r="AO1178" s="218"/>
      <c r="AP1178" s="68"/>
      <c r="AQ1178" s="69"/>
      <c r="AR1178" s="68"/>
      <c r="AS1178" s="68"/>
      <c r="AT1178" s="68"/>
      <c r="AU1178" s="68"/>
      <c r="AV1178" s="68"/>
      <c r="AW1178" s="68"/>
      <c r="AX1178" s="68"/>
      <c r="AY1178" s="30"/>
      <c r="AZ1178" s="30"/>
      <c r="BA1178" s="30"/>
      <c r="BB1178" s="75"/>
    </row>
    <row r="1179" spans="1:54" x14ac:dyDescent="0.25">
      <c r="A1179" s="117" t="s">
        <v>5536</v>
      </c>
      <c r="B1179" s="118" t="s">
        <v>5537</v>
      </c>
      <c r="C1179" s="118" t="s">
        <v>5538</v>
      </c>
      <c r="D1179" s="119" t="s">
        <v>2200</v>
      </c>
      <c r="E1179" s="38" t="s">
        <v>5539</v>
      </c>
      <c r="F1179" s="39">
        <v>1</v>
      </c>
      <c r="G1179" s="118" t="s">
        <v>21</v>
      </c>
      <c r="H1179" s="118" t="s">
        <v>106</v>
      </c>
      <c r="I1179" s="206">
        <v>45245.447114699098</v>
      </c>
      <c r="J1179" s="121">
        <v>45257.625</v>
      </c>
      <c r="K1179" s="121">
        <v>45245.447114699098</v>
      </c>
      <c r="L1179" s="206">
        <v>45257.625</v>
      </c>
      <c r="M1179" s="211">
        <v>45246</v>
      </c>
      <c r="N1179" s="207" t="s">
        <v>10</v>
      </c>
      <c r="O1179" s="206" t="s">
        <v>27</v>
      </c>
      <c r="P1179" s="38"/>
      <c r="Q1179" s="121"/>
      <c r="R1179" s="121"/>
      <c r="S1179" s="19"/>
      <c r="T1179" s="38"/>
      <c r="U1179" s="65">
        <f>Tabla1[[#This Row],[PPTO]]/(1+'Lista Datos'!$B$1)</f>
        <v>0</v>
      </c>
      <c r="V1179" s="64"/>
      <c r="W1179" s="191"/>
      <c r="X1179" s="122"/>
      <c r="Y1179" s="122"/>
      <c r="Z1179" s="123"/>
      <c r="AA1179" s="118"/>
      <c r="AB1179" s="118"/>
      <c r="AC1179" s="118"/>
      <c r="AD1179" s="118"/>
      <c r="AE1179" s="145">
        <f>Tabla1[[#This Row],[Cierre]]+Tabla1[[#This Row],[Vigencia Oferta (días)]]</f>
        <v>45257.625</v>
      </c>
      <c r="AF1179" s="65"/>
      <c r="AG1179" s="181"/>
      <c r="AH1179" s="192">
        <f>Tabla1[[#This Row],[Unidades2]]*Tabla1[[#This Row],[Precio Unitario]]</f>
        <v>0</v>
      </c>
      <c r="AI1179" s="126" t="s">
        <v>270</v>
      </c>
      <c r="AJ1179" s="149"/>
      <c r="AK1179" s="149">
        <f>Tabla1[[#This Row],[Fecha Vigencia]]-AJ1179</f>
        <v>45257.625</v>
      </c>
      <c r="AL1179" s="65"/>
      <c r="AM1179" s="90"/>
      <c r="AN1179" s="65"/>
      <c r="AO1179" s="217"/>
      <c r="AP1179" s="65"/>
      <c r="AQ1179" s="66"/>
      <c r="AR1179" s="65"/>
      <c r="AS1179" s="65"/>
      <c r="AT1179" s="65"/>
      <c r="AU1179" s="65"/>
      <c r="AV1179" s="65"/>
      <c r="AW1179" s="65"/>
      <c r="AX1179" s="65"/>
      <c r="AY1179" s="118"/>
      <c r="AZ1179" s="118"/>
      <c r="BA1179" s="118"/>
      <c r="BB1179" s="124"/>
    </row>
    <row r="1180" spans="1:54" ht="23.25" x14ac:dyDescent="0.25">
      <c r="A1180" s="117" t="s">
        <v>5540</v>
      </c>
      <c r="B1180" s="118" t="s">
        <v>5541</v>
      </c>
      <c r="C1180" s="118" t="s">
        <v>5542</v>
      </c>
      <c r="D1180" s="119" t="s">
        <v>758</v>
      </c>
      <c r="E1180" s="38" t="s">
        <v>5543</v>
      </c>
      <c r="F1180" s="39">
        <v>1</v>
      </c>
      <c r="G1180" s="118" t="s">
        <v>21</v>
      </c>
      <c r="H1180" s="118" t="s">
        <v>106</v>
      </c>
      <c r="I1180" s="206">
        <v>45246.686497106501</v>
      </c>
      <c r="J1180" s="38">
        <v>45254.416666666701</v>
      </c>
      <c r="K1180" s="38">
        <v>45246.686497106501</v>
      </c>
      <c r="L1180" s="206">
        <v>45254.416666666701</v>
      </c>
      <c r="M1180" s="211">
        <v>45247</v>
      </c>
      <c r="N1180" s="207" t="s">
        <v>11</v>
      </c>
      <c r="O1180" s="206"/>
      <c r="P1180" s="38"/>
      <c r="Q1180" s="147">
        <v>45250.663888888892</v>
      </c>
      <c r="R1180" s="147">
        <v>45252.663888888892</v>
      </c>
      <c r="S1180" s="148">
        <v>45281.82916666667</v>
      </c>
      <c r="T1180" s="38"/>
      <c r="U1180" s="65">
        <f>Tabla1[[#This Row],[PPTO]]/(1+'Lista Datos'!$B$1)</f>
        <v>0</v>
      </c>
      <c r="V1180" s="64"/>
      <c r="W1180" s="191" t="s">
        <v>10</v>
      </c>
      <c r="X1180" s="122"/>
      <c r="Y1180" s="122"/>
      <c r="Z1180" s="123" t="s">
        <v>10</v>
      </c>
      <c r="AA1180" s="118" t="s">
        <v>512</v>
      </c>
      <c r="AB1180" s="118"/>
      <c r="AC1180" s="118"/>
      <c r="AD1180" s="118"/>
      <c r="AE1180" s="145">
        <f>Tabla1[[#This Row],[Cierre]]+Tabla1[[#This Row],[Vigencia Oferta (días)]]</f>
        <v>45254.416666666701</v>
      </c>
      <c r="AF1180" s="65">
        <v>1</v>
      </c>
      <c r="AG1180" s="231">
        <v>938244</v>
      </c>
      <c r="AH1180" s="192">
        <f>Tabla1[[#This Row],[Unidades2]]*Tabla1[[#This Row],[Precio Unitario]]</f>
        <v>938244</v>
      </c>
      <c r="AI1180" s="126" t="s">
        <v>44</v>
      </c>
      <c r="AJ1180" s="149">
        <v>45272</v>
      </c>
      <c r="AK1180" s="149">
        <f>Tabla1[[#This Row],[Fecha Vigencia]]-AJ1180</f>
        <v>-17.583333333299379</v>
      </c>
      <c r="AL1180" s="65" t="s">
        <v>46</v>
      </c>
      <c r="AM1180" s="90">
        <v>658970</v>
      </c>
      <c r="AN1180" s="65"/>
      <c r="AO1180" s="217"/>
      <c r="AP1180" s="65" t="s">
        <v>292</v>
      </c>
      <c r="AQ1180" s="66"/>
      <c r="AR1180" s="65"/>
      <c r="AS1180" s="65"/>
      <c r="AT1180" s="65"/>
      <c r="AU1180" s="65"/>
      <c r="AV1180" s="65"/>
      <c r="AW1180" s="65"/>
      <c r="AX1180" s="65"/>
      <c r="AY1180" s="118"/>
      <c r="AZ1180" s="118"/>
      <c r="BA1180" s="118"/>
      <c r="BB1180" s="124"/>
    </row>
    <row r="1181" spans="1:54" x14ac:dyDescent="0.25">
      <c r="A1181" s="117" t="s">
        <v>5544</v>
      </c>
      <c r="B1181" s="118" t="s">
        <v>5545</v>
      </c>
      <c r="C1181" s="118" t="s">
        <v>5546</v>
      </c>
      <c r="D1181" s="119" t="s">
        <v>3980</v>
      </c>
      <c r="E1181" s="38" t="s">
        <v>5545</v>
      </c>
      <c r="F1181" s="39">
        <v>12</v>
      </c>
      <c r="G1181" s="118" t="s">
        <v>20</v>
      </c>
      <c r="H1181" s="118" t="s">
        <v>5145</v>
      </c>
      <c r="I1181" s="206">
        <v>45246.6205154282</v>
      </c>
      <c r="J1181" s="38">
        <v>45266.5</v>
      </c>
      <c r="K1181" s="38">
        <v>45246.6205154282</v>
      </c>
      <c r="L1181" s="206">
        <v>45266.5</v>
      </c>
      <c r="M1181" s="211">
        <v>45247</v>
      </c>
      <c r="N1181" s="207" t="s">
        <v>10</v>
      </c>
      <c r="O1181" s="206" t="s">
        <v>5327</v>
      </c>
      <c r="P1181" s="237" t="s">
        <v>11</v>
      </c>
      <c r="Q1181" s="147">
        <v>45254.625</v>
      </c>
      <c r="R1181" s="147">
        <v>45260.645833333336</v>
      </c>
      <c r="S1181" s="148">
        <v>45274.791666666664</v>
      </c>
      <c r="T1181" s="215">
        <v>214200000</v>
      </c>
      <c r="U1181" s="214">
        <f>Tabla1[[#This Row],[PPTO]]/(1+'Lista Datos'!$B$1)</f>
        <v>180000000</v>
      </c>
      <c r="V1181" s="64"/>
      <c r="W1181" s="191" t="s">
        <v>11</v>
      </c>
      <c r="X1181" s="122">
        <v>500000</v>
      </c>
      <c r="Y1181" s="149">
        <v>45335</v>
      </c>
      <c r="Z1181" s="123" t="s">
        <v>10</v>
      </c>
      <c r="AA1181" s="118" t="s">
        <v>177</v>
      </c>
      <c r="AB1181" s="118">
        <v>12</v>
      </c>
      <c r="AC1181" s="118"/>
      <c r="AD1181" s="118"/>
      <c r="AE1181" s="145">
        <f>Tabla1[[#This Row],[Cierre]]+Tabla1[[#This Row],[Vigencia Oferta (días)]]</f>
        <v>45266.5</v>
      </c>
      <c r="AF1181" s="65"/>
      <c r="AG1181" s="181"/>
      <c r="AH1181" s="192">
        <f>Tabla1[[#This Row],[Unidades2]]*Tabla1[[#This Row],[Precio Unitario]]</f>
        <v>0</v>
      </c>
      <c r="AI1181" s="126" t="s">
        <v>270</v>
      </c>
      <c r="AJ1181" s="149"/>
      <c r="AK1181" s="149">
        <f>Tabla1[[#This Row],[Fecha Vigencia]]-AJ1181</f>
        <v>45266.5</v>
      </c>
      <c r="AL1181" s="65"/>
      <c r="AM1181" s="90"/>
      <c r="AN1181" s="65"/>
      <c r="AO1181" s="217"/>
      <c r="AP1181" s="65"/>
      <c r="AQ1181" s="66"/>
      <c r="AR1181" s="65"/>
      <c r="AS1181" s="65"/>
      <c r="AT1181" s="65"/>
      <c r="AU1181" s="65"/>
      <c r="AV1181" s="65"/>
      <c r="AW1181" s="65"/>
      <c r="AX1181" s="65"/>
      <c r="AY1181" s="118"/>
      <c r="AZ1181" s="118"/>
      <c r="BA1181" s="118"/>
      <c r="BB1181" s="124"/>
    </row>
    <row r="1182" spans="1:54" x14ac:dyDescent="0.25">
      <c r="A1182" s="117" t="s">
        <v>5547</v>
      </c>
      <c r="B1182" s="118" t="s">
        <v>5548</v>
      </c>
      <c r="C1182" s="118" t="s">
        <v>5549</v>
      </c>
      <c r="D1182" s="119" t="s">
        <v>1729</v>
      </c>
      <c r="E1182" s="38" t="s">
        <v>5550</v>
      </c>
      <c r="F1182" s="39">
        <v>120</v>
      </c>
      <c r="G1182" s="118" t="s">
        <v>21</v>
      </c>
      <c r="H1182" s="118" t="s">
        <v>106</v>
      </c>
      <c r="I1182" s="206">
        <v>45246.478598530099</v>
      </c>
      <c r="J1182" s="38">
        <v>45253.708333333299</v>
      </c>
      <c r="K1182" s="38">
        <v>45246.478598530099</v>
      </c>
      <c r="L1182" s="206">
        <v>45253.708333333299</v>
      </c>
      <c r="M1182" s="211">
        <v>45247</v>
      </c>
      <c r="N1182" s="207" t="s">
        <v>10</v>
      </c>
      <c r="O1182" s="206" t="s">
        <v>5302</v>
      </c>
      <c r="P1182" s="38"/>
      <c r="Q1182" s="147">
        <v>45250.708333333336</v>
      </c>
      <c r="R1182" s="147">
        <v>45251.708333333336</v>
      </c>
      <c r="S1182" s="148">
        <v>45275.708333333336</v>
      </c>
      <c r="T1182" s="38"/>
      <c r="U1182" s="65">
        <f>Tabla1[[#This Row],[PPTO]]/(1+'Lista Datos'!$B$1)</f>
        <v>0</v>
      </c>
      <c r="V1182" s="64"/>
      <c r="W1182" s="191" t="s">
        <v>10</v>
      </c>
      <c r="X1182" s="122"/>
      <c r="Y1182" s="122"/>
      <c r="Z1182" s="123" t="s">
        <v>10</v>
      </c>
      <c r="AA1182" s="118" t="s">
        <v>512</v>
      </c>
      <c r="AB1182" s="118"/>
      <c r="AC1182" s="118"/>
      <c r="AD1182" s="118"/>
      <c r="AE1182" s="145">
        <f>Tabla1[[#This Row],[Cierre]]+Tabla1[[#This Row],[Vigencia Oferta (días)]]</f>
        <v>45253.708333333299</v>
      </c>
      <c r="AF1182" s="65"/>
      <c r="AG1182" s="181"/>
      <c r="AH1182" s="192">
        <f>Tabla1[[#This Row],[Unidades2]]*Tabla1[[#This Row],[Precio Unitario]]</f>
        <v>0</v>
      </c>
      <c r="AI1182" s="126" t="s">
        <v>270</v>
      </c>
      <c r="AJ1182" s="149"/>
      <c r="AK1182" s="149">
        <f>Tabla1[[#This Row],[Fecha Vigencia]]-AJ1182</f>
        <v>45253.708333333299</v>
      </c>
      <c r="AL1182" s="65"/>
      <c r="AM1182" s="90"/>
      <c r="AN1182" s="65"/>
      <c r="AO1182" s="217"/>
      <c r="AP1182" s="65"/>
      <c r="AQ1182" s="66"/>
      <c r="AR1182" s="65"/>
      <c r="AS1182" s="65"/>
      <c r="AT1182" s="65"/>
      <c r="AU1182" s="65"/>
      <c r="AV1182" s="65"/>
      <c r="AW1182" s="65"/>
      <c r="AX1182" s="65"/>
      <c r="AY1182" s="118"/>
      <c r="AZ1182" s="118"/>
      <c r="BA1182" s="118"/>
      <c r="BB1182" s="124"/>
    </row>
    <row r="1183" spans="1:54" x14ac:dyDescent="0.25">
      <c r="A1183" s="153" t="s">
        <v>5551</v>
      </c>
      <c r="B1183" s="30" t="s">
        <v>5552</v>
      </c>
      <c r="C1183" s="30" t="s">
        <v>5553</v>
      </c>
      <c r="D1183" s="84" t="s">
        <v>391</v>
      </c>
      <c r="E1183" s="24" t="s">
        <v>5554</v>
      </c>
      <c r="F1183" s="25">
        <v>15</v>
      </c>
      <c r="G1183" s="30" t="s">
        <v>14</v>
      </c>
      <c r="H1183" s="30" t="s">
        <v>778</v>
      </c>
      <c r="I1183" s="203">
        <v>45250.730622719901</v>
      </c>
      <c r="J1183" s="38">
        <v>45257.625694444403</v>
      </c>
      <c r="K1183" s="38">
        <v>45250.730622719901</v>
      </c>
      <c r="L1183" s="203">
        <v>45257.625694444403</v>
      </c>
      <c r="M1183" s="204">
        <v>45251</v>
      </c>
      <c r="N1183" s="205" t="s">
        <v>10</v>
      </c>
      <c r="O1183" s="203" t="s">
        <v>27</v>
      </c>
      <c r="P1183" s="24"/>
      <c r="Q1183" s="60"/>
      <c r="R1183" s="60"/>
      <c r="S1183" s="18"/>
      <c r="T1183" s="24"/>
      <c r="U1183" s="68">
        <f>Tabla1[[#This Row],[PPTO]]/(1+'Lista Datos'!$B$1)</f>
        <v>0</v>
      </c>
      <c r="V1183" s="67"/>
      <c r="W1183" s="193"/>
      <c r="X1183" s="127"/>
      <c r="Y1183" s="127"/>
      <c r="Z1183" s="154"/>
      <c r="AA1183" s="30"/>
      <c r="AB1183" s="30"/>
      <c r="AC1183" s="30"/>
      <c r="AD1183" s="30"/>
      <c r="AE1183" s="145">
        <f>Tabla1[[#This Row],[Cierre]]+Tabla1[[#This Row],[Vigencia Oferta (días)]]</f>
        <v>45257.625694444403</v>
      </c>
      <c r="AF1183" s="68"/>
      <c r="AG1183" s="157"/>
      <c r="AH1183" s="194">
        <f>Tabla1[[#This Row],[Unidades2]]*Tabla1[[#This Row],[Precio Unitario]]</f>
        <v>0</v>
      </c>
      <c r="AI1183" s="97" t="s">
        <v>270</v>
      </c>
      <c r="AJ1183" s="149"/>
      <c r="AK1183" s="149">
        <f>Tabla1[[#This Row],[Fecha Vigencia]]-AJ1183</f>
        <v>45257.625694444403</v>
      </c>
      <c r="AL1183" s="68"/>
      <c r="AM1183" s="91"/>
      <c r="AN1183" s="68"/>
      <c r="AO1183" s="218"/>
      <c r="AP1183" s="68"/>
      <c r="AQ1183" s="69"/>
      <c r="AR1183" s="68"/>
      <c r="AS1183" s="68"/>
      <c r="AT1183" s="68"/>
      <c r="AU1183" s="68"/>
      <c r="AV1183" s="68"/>
      <c r="AW1183" s="68"/>
      <c r="AX1183" s="68"/>
      <c r="AY1183" s="30"/>
      <c r="AZ1183" s="30"/>
      <c r="BA1183" s="30"/>
      <c r="BB1183" s="75"/>
    </row>
    <row r="1184" spans="1:54" x14ac:dyDescent="0.25">
      <c r="A1184" s="153" t="s">
        <v>5555</v>
      </c>
      <c r="B1184" s="30" t="s">
        <v>5556</v>
      </c>
      <c r="C1184" s="30" t="s">
        <v>5557</v>
      </c>
      <c r="D1184" s="84" t="s">
        <v>3568</v>
      </c>
      <c r="E1184" s="24" t="s">
        <v>5245</v>
      </c>
      <c r="F1184" s="25">
        <v>3</v>
      </c>
      <c r="G1184" s="30" t="s">
        <v>21</v>
      </c>
      <c r="H1184" s="30" t="s">
        <v>106</v>
      </c>
      <c r="I1184" s="203">
        <v>45250.699105011598</v>
      </c>
      <c r="J1184" s="121">
        <v>45257.646527777797</v>
      </c>
      <c r="K1184" s="121">
        <v>45250.699105011598</v>
      </c>
      <c r="L1184" s="203">
        <v>45257.646527777797</v>
      </c>
      <c r="M1184" s="204">
        <v>45251</v>
      </c>
      <c r="N1184" s="205" t="s">
        <v>10</v>
      </c>
      <c r="O1184" s="203" t="s">
        <v>25</v>
      </c>
      <c r="P1184" s="24"/>
      <c r="Q1184" s="160">
        <v>45251.709722222222</v>
      </c>
      <c r="R1184" s="160">
        <v>45252.813194444447</v>
      </c>
      <c r="S1184" s="161">
        <v>45259.708333333336</v>
      </c>
      <c r="T1184" s="24"/>
      <c r="U1184" s="68">
        <f>Tabla1[[#This Row],[PPTO]]/(1+'Lista Datos'!$B$1)</f>
        <v>0</v>
      </c>
      <c r="V1184" s="67"/>
      <c r="W1184" s="193" t="s">
        <v>10</v>
      </c>
      <c r="X1184" s="127"/>
      <c r="Y1184" s="127"/>
      <c r="Z1184" s="154" t="s">
        <v>10</v>
      </c>
      <c r="AA1184" s="30" t="s">
        <v>512</v>
      </c>
      <c r="AB1184" s="30"/>
      <c r="AC1184" s="30" t="s">
        <v>10</v>
      </c>
      <c r="AD1184" s="30"/>
      <c r="AE1184" s="145">
        <f>Tabla1[[#This Row],[Cierre]]+Tabla1[[#This Row],[Vigencia Oferta (días)]]</f>
        <v>45257.646527777797</v>
      </c>
      <c r="AF1184" s="68"/>
      <c r="AG1184" s="157"/>
      <c r="AH1184" s="194">
        <f>Tabla1[[#This Row],[Unidades2]]*Tabla1[[#This Row],[Precio Unitario]]</f>
        <v>0</v>
      </c>
      <c r="AI1184" s="97" t="s">
        <v>270</v>
      </c>
      <c r="AJ1184" s="149"/>
      <c r="AK1184" s="149">
        <f>Tabla1[[#This Row],[Fecha Vigencia]]-AJ1184</f>
        <v>45257.646527777797</v>
      </c>
      <c r="AL1184" s="68"/>
      <c r="AM1184" s="91"/>
      <c r="AN1184" s="68"/>
      <c r="AO1184" s="218"/>
      <c r="AP1184" s="68"/>
      <c r="AQ1184" s="69"/>
      <c r="AR1184" s="68"/>
      <c r="AS1184" s="68"/>
      <c r="AT1184" s="68"/>
      <c r="AU1184" s="68"/>
      <c r="AV1184" s="68"/>
      <c r="AW1184" s="68"/>
      <c r="AX1184" s="68"/>
      <c r="AY1184" s="30"/>
      <c r="AZ1184" s="30"/>
      <c r="BA1184" s="30"/>
      <c r="BB1184" s="75"/>
    </row>
    <row r="1185" spans="1:54" x14ac:dyDescent="0.25">
      <c r="A1185" s="153" t="s">
        <v>5558</v>
      </c>
      <c r="B1185" s="30" t="s">
        <v>5559</v>
      </c>
      <c r="C1185" s="30" t="s">
        <v>4659</v>
      </c>
      <c r="D1185" s="84" t="s">
        <v>5560</v>
      </c>
      <c r="E1185" s="24" t="s">
        <v>5561</v>
      </c>
      <c r="F1185" s="25">
        <v>1</v>
      </c>
      <c r="G1185" s="30" t="s">
        <v>16</v>
      </c>
      <c r="H1185" s="30" t="s">
        <v>123</v>
      </c>
      <c r="I1185" s="203">
        <v>45250.66085</v>
      </c>
      <c r="J1185" s="121">
        <v>45279.666666666701</v>
      </c>
      <c r="K1185" s="121">
        <v>45250.66085</v>
      </c>
      <c r="L1185" s="203">
        <v>45279.666666666701</v>
      </c>
      <c r="M1185" s="204">
        <v>45251</v>
      </c>
      <c r="N1185" s="205"/>
      <c r="O1185" s="203"/>
      <c r="P1185" s="24"/>
      <c r="Q1185" s="160">
        <v>45258.708333333336</v>
      </c>
      <c r="R1185" s="160">
        <v>45265.708333333336</v>
      </c>
      <c r="S1185" s="161">
        <v>45364.708333333336</v>
      </c>
      <c r="T1185" s="24"/>
      <c r="U1185" s="68">
        <f>Tabla1[[#This Row],[PPTO]]/(1+'Lista Datos'!$B$1)</f>
        <v>0</v>
      </c>
      <c r="V1185" s="67"/>
      <c r="W1185" s="193" t="s">
        <v>11</v>
      </c>
      <c r="X1185" s="127" t="s">
        <v>4913</v>
      </c>
      <c r="Y1185" s="104">
        <v>45399</v>
      </c>
      <c r="Z1185" s="154" t="s">
        <v>11</v>
      </c>
      <c r="AA1185" s="30" t="s">
        <v>177</v>
      </c>
      <c r="AB1185" s="30">
        <v>24</v>
      </c>
      <c r="AC1185" s="30" t="s">
        <v>10</v>
      </c>
      <c r="AD1185" s="30"/>
      <c r="AE1185" s="145">
        <f>Tabla1[[#This Row],[Cierre]]+Tabla1[[#This Row],[Vigencia Oferta (días)]]</f>
        <v>45279.666666666701</v>
      </c>
      <c r="AF1185" s="68"/>
      <c r="AG1185" s="157"/>
      <c r="AH1185" s="194">
        <f>Tabla1[[#This Row],[Unidades2]]*Tabla1[[#This Row],[Precio Unitario]]</f>
        <v>0</v>
      </c>
      <c r="AI1185" s="97" t="s">
        <v>5099</v>
      </c>
      <c r="AJ1185" s="149"/>
      <c r="AK1185" s="149">
        <f>Tabla1[[#This Row],[Fecha Vigencia]]-AJ1185</f>
        <v>45279.666666666701</v>
      </c>
      <c r="AL1185" s="68"/>
      <c r="AM1185" s="91"/>
      <c r="AN1185" s="68"/>
      <c r="AO1185" s="218"/>
      <c r="AP1185" s="68"/>
      <c r="AQ1185" s="69"/>
      <c r="AR1185" s="68"/>
      <c r="AS1185" s="68"/>
      <c r="AT1185" s="68"/>
      <c r="AU1185" s="68"/>
      <c r="AV1185" s="68"/>
      <c r="AW1185" s="68"/>
      <c r="AX1185" s="68"/>
      <c r="AY1185" s="30"/>
      <c r="AZ1185" s="30"/>
      <c r="BA1185" s="30"/>
      <c r="BB1185" s="75"/>
    </row>
    <row r="1186" spans="1:54" x14ac:dyDescent="0.25">
      <c r="A1186" s="153" t="s">
        <v>5562</v>
      </c>
      <c r="B1186" s="30" t="s">
        <v>5563</v>
      </c>
      <c r="C1186" s="30" t="s">
        <v>5564</v>
      </c>
      <c r="D1186" s="84" t="s">
        <v>5565</v>
      </c>
      <c r="E1186" s="24" t="s">
        <v>5566</v>
      </c>
      <c r="F1186" s="25">
        <v>10</v>
      </c>
      <c r="G1186" s="30" t="s">
        <v>21</v>
      </c>
      <c r="H1186" s="30" t="s">
        <v>106</v>
      </c>
      <c r="I1186" s="203">
        <v>45250.636633564798</v>
      </c>
      <c r="J1186" s="121">
        <v>45257.779861111099</v>
      </c>
      <c r="K1186" s="121">
        <v>45250.636633564798</v>
      </c>
      <c r="L1186" s="203">
        <v>45257.779861111099</v>
      </c>
      <c r="M1186" s="204">
        <v>45251</v>
      </c>
      <c r="N1186" s="205" t="s">
        <v>10</v>
      </c>
      <c r="O1186" s="203" t="s">
        <v>27</v>
      </c>
      <c r="P1186" s="24"/>
      <c r="Q1186" s="60"/>
      <c r="R1186" s="60"/>
      <c r="S1186" s="18"/>
      <c r="T1186" s="24"/>
      <c r="U1186" s="68">
        <f>Tabla1[[#This Row],[PPTO]]/(1+'Lista Datos'!$B$1)</f>
        <v>0</v>
      </c>
      <c r="V1186" s="67"/>
      <c r="W1186" s="193"/>
      <c r="X1186" s="127"/>
      <c r="Y1186" s="127"/>
      <c r="Z1186" s="154"/>
      <c r="AA1186" s="30"/>
      <c r="AB1186" s="30"/>
      <c r="AC1186" s="30"/>
      <c r="AD1186" s="30"/>
      <c r="AE1186" s="145">
        <f>Tabla1[[#This Row],[Cierre]]+Tabla1[[#This Row],[Vigencia Oferta (días)]]</f>
        <v>45257.779861111099</v>
      </c>
      <c r="AF1186" s="68"/>
      <c r="AG1186" s="157"/>
      <c r="AH1186" s="194">
        <f>Tabla1[[#This Row],[Unidades2]]*Tabla1[[#This Row],[Precio Unitario]]</f>
        <v>0</v>
      </c>
      <c r="AI1186" s="97" t="s">
        <v>270</v>
      </c>
      <c r="AJ1186" s="149"/>
      <c r="AK1186" s="149">
        <f>Tabla1[[#This Row],[Fecha Vigencia]]-AJ1186</f>
        <v>45257.779861111099</v>
      </c>
      <c r="AL1186" s="68"/>
      <c r="AM1186" s="91"/>
      <c r="AN1186" s="68"/>
      <c r="AO1186" s="218"/>
      <c r="AP1186" s="68"/>
      <c r="AQ1186" s="69"/>
      <c r="AR1186" s="68"/>
      <c r="AS1186" s="68"/>
      <c r="AT1186" s="68"/>
      <c r="AU1186" s="68"/>
      <c r="AV1186" s="68"/>
      <c r="AW1186" s="68"/>
      <c r="AX1186" s="68"/>
      <c r="AY1186" s="30"/>
      <c r="AZ1186" s="30"/>
      <c r="BA1186" s="30"/>
      <c r="BB1186" s="75"/>
    </row>
    <row r="1187" spans="1:54" x14ac:dyDescent="0.25">
      <c r="A1187" s="117" t="s">
        <v>5567</v>
      </c>
      <c r="B1187" s="118" t="s">
        <v>5568</v>
      </c>
      <c r="C1187" s="118" t="s">
        <v>5569</v>
      </c>
      <c r="D1187" s="119" t="s">
        <v>5263</v>
      </c>
      <c r="E1187" s="38" t="s">
        <v>5570</v>
      </c>
      <c r="F1187" s="39">
        <v>3</v>
      </c>
      <c r="G1187" s="118" t="s">
        <v>14</v>
      </c>
      <c r="H1187" s="118" t="s">
        <v>778</v>
      </c>
      <c r="I1187" s="206">
        <v>45250.597770717599</v>
      </c>
      <c r="J1187" s="121">
        <v>45258.75</v>
      </c>
      <c r="K1187" s="121">
        <v>45250.597770717599</v>
      </c>
      <c r="L1187" s="206">
        <v>45258.75</v>
      </c>
      <c r="M1187" s="211">
        <v>45251</v>
      </c>
      <c r="N1187" s="207" t="s">
        <v>10</v>
      </c>
      <c r="O1187" s="206" t="s">
        <v>27</v>
      </c>
      <c r="P1187" s="38"/>
      <c r="Q1187" s="121"/>
      <c r="R1187" s="121"/>
      <c r="S1187" s="19"/>
      <c r="T1187" s="38"/>
      <c r="U1187" s="65">
        <f>Tabla1[[#This Row],[PPTO]]/(1+'Lista Datos'!$B$1)</f>
        <v>0</v>
      </c>
      <c r="V1187" s="64"/>
      <c r="W1187" s="191"/>
      <c r="X1187" s="122"/>
      <c r="Y1187" s="122"/>
      <c r="Z1187" s="123"/>
      <c r="AA1187" s="118"/>
      <c r="AB1187" s="118"/>
      <c r="AC1187" s="118"/>
      <c r="AD1187" s="118"/>
      <c r="AE1187" s="145">
        <f>Tabla1[[#This Row],[Cierre]]+Tabla1[[#This Row],[Vigencia Oferta (días)]]</f>
        <v>45258.75</v>
      </c>
      <c r="AF1187" s="65"/>
      <c r="AG1187" s="181"/>
      <c r="AH1187" s="192">
        <f>Tabla1[[#This Row],[Unidades2]]*Tabla1[[#This Row],[Precio Unitario]]</f>
        <v>0</v>
      </c>
      <c r="AI1187" s="126" t="s">
        <v>270</v>
      </c>
      <c r="AJ1187" s="149"/>
      <c r="AK1187" s="149">
        <f>Tabla1[[#This Row],[Fecha Vigencia]]-AJ1187</f>
        <v>45258.75</v>
      </c>
      <c r="AL1187" s="65"/>
      <c r="AM1187" s="90"/>
      <c r="AN1187" s="65"/>
      <c r="AO1187" s="217"/>
      <c r="AP1187" s="65"/>
      <c r="AQ1187" s="66"/>
      <c r="AR1187" s="65"/>
      <c r="AS1187" s="65"/>
      <c r="AT1187" s="65"/>
      <c r="AU1187" s="65"/>
      <c r="AV1187" s="65"/>
      <c r="AW1187" s="65"/>
      <c r="AX1187" s="65"/>
      <c r="AY1187" s="118"/>
      <c r="AZ1187" s="118"/>
      <c r="BA1187" s="118"/>
      <c r="BB1187" s="124"/>
    </row>
    <row r="1188" spans="1:54" x14ac:dyDescent="0.25">
      <c r="A1188" s="153" t="s">
        <v>5571</v>
      </c>
      <c r="B1188" s="30" t="s">
        <v>5572</v>
      </c>
      <c r="C1188" s="30" t="s">
        <v>5573</v>
      </c>
      <c r="D1188" s="84" t="s">
        <v>929</v>
      </c>
      <c r="E1188" s="24" t="s">
        <v>5574</v>
      </c>
      <c r="F1188" s="25">
        <v>10</v>
      </c>
      <c r="G1188" s="30" t="s">
        <v>21</v>
      </c>
      <c r="H1188" s="30" t="s">
        <v>106</v>
      </c>
      <c r="I1188" s="203">
        <v>45247.715269212997</v>
      </c>
      <c r="J1188" s="121">
        <v>45253.625</v>
      </c>
      <c r="K1188" s="121">
        <v>45247.715269212997</v>
      </c>
      <c r="L1188" s="203">
        <v>45253.625</v>
      </c>
      <c r="M1188" s="204">
        <v>45251</v>
      </c>
      <c r="N1188" s="205" t="s">
        <v>10</v>
      </c>
      <c r="O1188" s="203" t="s">
        <v>5302</v>
      </c>
      <c r="P1188" s="24"/>
      <c r="Q1188" s="60"/>
      <c r="R1188" s="60"/>
      <c r="S1188" s="18"/>
      <c r="T1188" s="24"/>
      <c r="U1188" s="68">
        <f>Tabla1[[#This Row],[PPTO]]/(1+'Lista Datos'!$B$1)</f>
        <v>0</v>
      </c>
      <c r="V1188" s="67"/>
      <c r="W1188" s="193"/>
      <c r="X1188" s="127"/>
      <c r="Y1188" s="127"/>
      <c r="Z1188" s="154"/>
      <c r="AA1188" s="30"/>
      <c r="AB1188" s="30"/>
      <c r="AC1188" s="30"/>
      <c r="AD1188" s="30"/>
      <c r="AE1188" s="145">
        <f>Tabla1[[#This Row],[Cierre]]+Tabla1[[#This Row],[Vigencia Oferta (días)]]</f>
        <v>45253.625</v>
      </c>
      <c r="AF1188" s="68"/>
      <c r="AG1188" s="157"/>
      <c r="AH1188" s="194">
        <f>Tabla1[[#This Row],[Unidades2]]*Tabla1[[#This Row],[Precio Unitario]]</f>
        <v>0</v>
      </c>
      <c r="AI1188" s="97" t="s">
        <v>270</v>
      </c>
      <c r="AJ1188" s="149"/>
      <c r="AK1188" s="149">
        <f>Tabla1[[#This Row],[Fecha Vigencia]]-AJ1188</f>
        <v>45253.625</v>
      </c>
      <c r="AL1188" s="68"/>
      <c r="AM1188" s="91"/>
      <c r="AN1188" s="68"/>
      <c r="AO1188" s="218"/>
      <c r="AP1188" s="68"/>
      <c r="AQ1188" s="69"/>
      <c r="AR1188" s="68"/>
      <c r="AS1188" s="68"/>
      <c r="AT1188" s="68"/>
      <c r="AU1188" s="68"/>
      <c r="AV1188" s="68"/>
      <c r="AW1188" s="68"/>
      <c r="AX1188" s="68"/>
      <c r="AY1188" s="30"/>
      <c r="AZ1188" s="30"/>
      <c r="BA1188" s="30"/>
      <c r="BB1188" s="75"/>
    </row>
    <row r="1189" spans="1:54" x14ac:dyDescent="0.25">
      <c r="A1189" s="117" t="s">
        <v>5575</v>
      </c>
      <c r="B1189" s="118" t="s">
        <v>5576</v>
      </c>
      <c r="C1189" s="118" t="s">
        <v>5577</v>
      </c>
      <c r="D1189" s="119" t="s">
        <v>3263</v>
      </c>
      <c r="E1189" s="38" t="s">
        <v>5578</v>
      </c>
      <c r="F1189" s="39">
        <v>72</v>
      </c>
      <c r="G1189" s="118" t="s">
        <v>21</v>
      </c>
      <c r="H1189" s="118" t="s">
        <v>106</v>
      </c>
      <c r="I1189" s="206">
        <v>45247.666033449103</v>
      </c>
      <c r="J1189" s="121">
        <v>45278.625</v>
      </c>
      <c r="K1189" s="121">
        <v>45247.666033449103</v>
      </c>
      <c r="L1189" s="206">
        <v>45278.625</v>
      </c>
      <c r="M1189" s="211">
        <v>45251</v>
      </c>
      <c r="N1189" s="207" t="s">
        <v>10</v>
      </c>
      <c r="O1189" s="206" t="s">
        <v>5327</v>
      </c>
      <c r="P1189" s="38"/>
      <c r="Q1189" s="121" t="s">
        <v>5579</v>
      </c>
      <c r="R1189" s="147">
        <v>45264.75</v>
      </c>
      <c r="S1189" s="148">
        <v>45293.633333333331</v>
      </c>
      <c r="T1189" s="38"/>
      <c r="U1189" s="65">
        <f>Tabla1[[#This Row],[PPTO]]/(1+'Lista Datos'!$B$1)</f>
        <v>0</v>
      </c>
      <c r="V1189" s="64"/>
      <c r="W1189" s="191" t="s">
        <v>11</v>
      </c>
      <c r="X1189" s="122">
        <v>500000</v>
      </c>
      <c r="Y1189" s="149">
        <v>45382</v>
      </c>
      <c r="Z1189" s="123" t="s">
        <v>10</v>
      </c>
      <c r="AA1189" s="118" t="s">
        <v>177</v>
      </c>
      <c r="AB1189" s="118">
        <v>24</v>
      </c>
      <c r="AC1189" s="118" t="s">
        <v>11</v>
      </c>
      <c r="AD1189" s="118"/>
      <c r="AE1189" s="145">
        <f>Tabla1[[#This Row],[Cierre]]+Tabla1[[#This Row],[Vigencia Oferta (días)]]</f>
        <v>45278.625</v>
      </c>
      <c r="AF1189" s="65"/>
      <c r="AG1189" s="181"/>
      <c r="AH1189" s="192">
        <f>Tabla1[[#This Row],[Unidades2]]*Tabla1[[#This Row],[Precio Unitario]]</f>
        <v>0</v>
      </c>
      <c r="AI1189" s="126" t="s">
        <v>5099</v>
      </c>
      <c r="AJ1189" s="149"/>
      <c r="AK1189" s="149">
        <f>Tabla1[[#This Row],[Fecha Vigencia]]-AJ1189</f>
        <v>45278.625</v>
      </c>
      <c r="AL1189" s="65"/>
      <c r="AM1189" s="90"/>
      <c r="AN1189" s="65"/>
      <c r="AO1189" s="217"/>
      <c r="AP1189" s="65"/>
      <c r="AQ1189" s="66"/>
      <c r="AR1189" s="65"/>
      <c r="AS1189" s="65"/>
      <c r="AT1189" s="65"/>
      <c r="AU1189" s="65"/>
      <c r="AV1189" s="65"/>
      <c r="AW1189" s="65"/>
      <c r="AX1189" s="65"/>
      <c r="AY1189" s="118"/>
      <c r="AZ1189" s="118"/>
      <c r="BA1189" s="118"/>
      <c r="BB1189" s="124"/>
    </row>
    <row r="1190" spans="1:54" x14ac:dyDescent="0.25">
      <c r="A1190" s="117" t="s">
        <v>5580</v>
      </c>
      <c r="B1190" s="118" t="s">
        <v>5581</v>
      </c>
      <c r="C1190" s="118" t="s">
        <v>5582</v>
      </c>
      <c r="D1190" s="119" t="s">
        <v>5583</v>
      </c>
      <c r="E1190" s="38" t="s">
        <v>5584</v>
      </c>
      <c r="F1190" s="39">
        <v>400</v>
      </c>
      <c r="G1190" s="118" t="s">
        <v>21</v>
      </c>
      <c r="H1190" s="118" t="s">
        <v>106</v>
      </c>
      <c r="I1190" s="206">
        <v>45247.464905474502</v>
      </c>
      <c r="J1190" s="38">
        <v>45253.520833333299</v>
      </c>
      <c r="K1190" s="38">
        <v>45247.464905474502</v>
      </c>
      <c r="L1190" s="206">
        <v>45253.520833333299</v>
      </c>
      <c r="M1190" s="211">
        <v>45251</v>
      </c>
      <c r="N1190" s="207" t="s">
        <v>10</v>
      </c>
      <c r="O1190" s="206" t="s">
        <v>25</v>
      </c>
      <c r="P1190" s="38"/>
      <c r="Q1190" s="147">
        <v>45251.46875</v>
      </c>
      <c r="R1190" s="147">
        <v>45252.5</v>
      </c>
      <c r="S1190" s="148">
        <v>45280.793749999997</v>
      </c>
      <c r="T1190" s="215">
        <v>5000000</v>
      </c>
      <c r="U1190" s="214">
        <f>Tabla1[[#This Row],[PPTO]]/(1+'Lista Datos'!$B$1)</f>
        <v>4201680.6722689075</v>
      </c>
      <c r="V1190" s="64"/>
      <c r="W1190" s="191" t="s">
        <v>10</v>
      </c>
      <c r="X1190" s="122"/>
      <c r="Y1190" s="122"/>
      <c r="Z1190" s="123" t="s">
        <v>10</v>
      </c>
      <c r="AA1190" s="118" t="s">
        <v>512</v>
      </c>
      <c r="AB1190" s="118"/>
      <c r="AC1190" s="118" t="s">
        <v>10</v>
      </c>
      <c r="AD1190" s="118"/>
      <c r="AE1190" s="145">
        <f>Tabla1[[#This Row],[Cierre]]+Tabla1[[#This Row],[Vigencia Oferta (días)]]</f>
        <v>45253.520833333299</v>
      </c>
      <c r="AF1190" s="65"/>
      <c r="AG1190" s="181"/>
      <c r="AH1190" s="192">
        <f>Tabla1[[#This Row],[Unidades2]]*Tabla1[[#This Row],[Precio Unitario]]</f>
        <v>0</v>
      </c>
      <c r="AI1190" s="126" t="s">
        <v>270</v>
      </c>
      <c r="AJ1190" s="149"/>
      <c r="AK1190" s="149">
        <f>Tabla1[[#This Row],[Fecha Vigencia]]-AJ1190</f>
        <v>45253.520833333299</v>
      </c>
      <c r="AL1190" s="65"/>
      <c r="AM1190" s="90"/>
      <c r="AN1190" s="65"/>
      <c r="AO1190" s="217"/>
      <c r="AP1190" s="65"/>
      <c r="AQ1190" s="66"/>
      <c r="AR1190" s="65"/>
      <c r="AS1190" s="65"/>
      <c r="AT1190" s="65"/>
      <c r="AU1190" s="65"/>
      <c r="AV1190" s="65"/>
      <c r="AW1190" s="65"/>
      <c r="AX1190" s="65"/>
      <c r="AY1190" s="118"/>
      <c r="AZ1190" s="118"/>
      <c r="BA1190" s="118"/>
      <c r="BB1190" s="124"/>
    </row>
    <row r="1191" spans="1:54" x14ac:dyDescent="0.25">
      <c r="A1191" s="117" t="s">
        <v>5585</v>
      </c>
      <c r="B1191" s="118" t="s">
        <v>5586</v>
      </c>
      <c r="C1191" s="118" t="s">
        <v>5587</v>
      </c>
      <c r="D1191" s="119" t="s">
        <v>1472</v>
      </c>
      <c r="E1191" s="38" t="s">
        <v>5210</v>
      </c>
      <c r="F1191" s="39">
        <v>25</v>
      </c>
      <c r="G1191" s="118" t="s">
        <v>21</v>
      </c>
      <c r="H1191" s="118" t="s">
        <v>106</v>
      </c>
      <c r="I1191" s="206">
        <v>45247.442257291703</v>
      </c>
      <c r="J1191" s="38">
        <v>45258.554861111101</v>
      </c>
      <c r="K1191" s="38">
        <v>45247.442257291703</v>
      </c>
      <c r="L1191" s="206">
        <v>45258.554861111101</v>
      </c>
      <c r="M1191" s="211">
        <v>45251</v>
      </c>
      <c r="N1191" s="207" t="s">
        <v>10</v>
      </c>
      <c r="O1191" s="206" t="s">
        <v>5588</v>
      </c>
      <c r="P1191" s="38"/>
      <c r="Q1191" s="147">
        <v>45252.554861111108</v>
      </c>
      <c r="R1191" s="147">
        <v>45253.554861111108</v>
      </c>
      <c r="S1191" s="148">
        <v>45260.554861111108</v>
      </c>
      <c r="T1191" s="38"/>
      <c r="U1191" s="65">
        <f>Tabla1[[#This Row],[PPTO]]/(1+'Lista Datos'!$B$1)</f>
        <v>0</v>
      </c>
      <c r="V1191" s="64"/>
      <c r="W1191" s="191" t="s">
        <v>10</v>
      </c>
      <c r="X1191" s="122"/>
      <c r="Y1191" s="122"/>
      <c r="Z1191" s="123" t="s">
        <v>10</v>
      </c>
      <c r="AA1191" s="118" t="s">
        <v>512</v>
      </c>
      <c r="AB1191" s="118"/>
      <c r="AC1191" s="118" t="s">
        <v>10</v>
      </c>
      <c r="AD1191" s="118"/>
      <c r="AE1191" s="145">
        <f>Tabla1[[#This Row],[Cierre]]+Tabla1[[#This Row],[Vigencia Oferta (días)]]</f>
        <v>45258.554861111101</v>
      </c>
      <c r="AF1191" s="65"/>
      <c r="AG1191" s="181"/>
      <c r="AH1191" s="192">
        <f>Tabla1[[#This Row],[Unidades2]]*Tabla1[[#This Row],[Precio Unitario]]</f>
        <v>0</v>
      </c>
      <c r="AI1191" s="126" t="s">
        <v>270</v>
      </c>
      <c r="AJ1191" s="149"/>
      <c r="AK1191" s="149">
        <f>Tabla1[[#This Row],[Fecha Vigencia]]-AJ1191</f>
        <v>45258.554861111101</v>
      </c>
      <c r="AL1191" s="65"/>
      <c r="AM1191" s="90"/>
      <c r="AN1191" s="65"/>
      <c r="AO1191" s="217"/>
      <c r="AP1191" s="65"/>
      <c r="AQ1191" s="66"/>
      <c r="AR1191" s="65"/>
      <c r="AS1191" s="65"/>
      <c r="AT1191" s="65"/>
      <c r="AU1191" s="65"/>
      <c r="AV1191" s="65"/>
      <c r="AW1191" s="65"/>
      <c r="AX1191" s="65"/>
      <c r="AY1191" s="118"/>
      <c r="AZ1191" s="118"/>
      <c r="BA1191" s="118"/>
      <c r="BB1191" s="124"/>
    </row>
    <row r="1192" spans="1:54" x14ac:dyDescent="0.25">
      <c r="A1192" s="153" t="s">
        <v>5589</v>
      </c>
      <c r="B1192" s="30" t="s">
        <v>5590</v>
      </c>
      <c r="C1192" s="30" t="s">
        <v>5591</v>
      </c>
      <c r="D1192" s="84" t="s">
        <v>1243</v>
      </c>
      <c r="E1192" s="24" t="s">
        <v>5592</v>
      </c>
      <c r="F1192" s="25">
        <v>1</v>
      </c>
      <c r="G1192" s="30" t="s">
        <v>16</v>
      </c>
      <c r="H1192" s="30" t="s">
        <v>1983</v>
      </c>
      <c r="I1192" s="203">
        <v>45251.720815011598</v>
      </c>
      <c r="J1192" s="38">
        <v>45257.628472222197</v>
      </c>
      <c r="K1192" s="38">
        <v>45251.720815011598</v>
      </c>
      <c r="L1192" s="203">
        <v>45257.628472222197</v>
      </c>
      <c r="M1192" s="204">
        <v>45252</v>
      </c>
      <c r="N1192" s="205" t="s">
        <v>11</v>
      </c>
      <c r="O1192" s="203"/>
      <c r="P1192" s="24"/>
      <c r="Q1192" s="160">
        <v>45252.916666666664</v>
      </c>
      <c r="R1192" s="160">
        <v>45253.916666666664</v>
      </c>
      <c r="S1192" s="161">
        <v>45286.833333333336</v>
      </c>
      <c r="T1192" s="210">
        <v>7000000</v>
      </c>
      <c r="U1192" s="209">
        <f>Tabla1[[#This Row],[PPTO]]/(1+'Lista Datos'!$B$1)</f>
        <v>5882352.9411764713</v>
      </c>
      <c r="V1192" s="67"/>
      <c r="W1192" s="193" t="s">
        <v>10</v>
      </c>
      <c r="X1192" s="127"/>
      <c r="Y1192" s="127"/>
      <c r="Z1192" s="154" t="s">
        <v>10</v>
      </c>
      <c r="AA1192" s="30" t="s">
        <v>177</v>
      </c>
      <c r="AB1192" s="30">
        <v>12</v>
      </c>
      <c r="AC1192" s="30"/>
      <c r="AD1192" s="30"/>
      <c r="AE1192" s="145">
        <f>Tabla1[[#This Row],[Cierre]]+Tabla1[[#This Row],[Vigencia Oferta (días)]]</f>
        <v>45257.628472222197</v>
      </c>
      <c r="AF1192" s="68"/>
      <c r="AG1192" s="157"/>
      <c r="AH1192" s="194">
        <f>Tabla1[[#This Row],[Unidades2]]*Tabla1[[#This Row],[Precio Unitario]]</f>
        <v>0</v>
      </c>
      <c r="AI1192" s="97" t="s">
        <v>270</v>
      </c>
      <c r="AJ1192" s="149"/>
      <c r="AK1192" s="149">
        <f>Tabla1[[#This Row],[Fecha Vigencia]]-AJ1192</f>
        <v>45257.628472222197</v>
      </c>
      <c r="AL1192" s="68"/>
      <c r="AM1192" s="91"/>
      <c r="AN1192" s="68"/>
      <c r="AO1192" s="218"/>
      <c r="AP1192" s="68"/>
      <c r="AQ1192" s="69"/>
      <c r="AR1192" s="68"/>
      <c r="AS1192" s="68"/>
      <c r="AT1192" s="68"/>
      <c r="AU1192" s="68"/>
      <c r="AV1192" s="68"/>
      <c r="AW1192" s="68"/>
      <c r="AX1192" s="68"/>
      <c r="AY1192" s="30"/>
      <c r="AZ1192" s="30"/>
      <c r="BA1192" s="30"/>
      <c r="BB1192" s="75"/>
    </row>
    <row r="1193" spans="1:54" x14ac:dyDescent="0.25">
      <c r="A1193" s="153" t="s">
        <v>5593</v>
      </c>
      <c r="B1193" s="30" t="s">
        <v>5594</v>
      </c>
      <c r="C1193" s="30" t="s">
        <v>5595</v>
      </c>
      <c r="D1193" s="84" t="s">
        <v>5417</v>
      </c>
      <c r="E1193" s="24" t="s">
        <v>5596</v>
      </c>
      <c r="F1193" s="25">
        <v>500</v>
      </c>
      <c r="G1193" s="30" t="s">
        <v>21</v>
      </c>
      <c r="H1193" s="30" t="s">
        <v>106</v>
      </c>
      <c r="I1193" s="203">
        <v>45251.6852651273</v>
      </c>
      <c r="J1193" s="121">
        <v>45257.745138888902</v>
      </c>
      <c r="K1193" s="121">
        <v>45251.6852651273</v>
      </c>
      <c r="L1193" s="203">
        <v>45257.745138888902</v>
      </c>
      <c r="M1193" s="204">
        <v>45252</v>
      </c>
      <c r="N1193" s="205" t="s">
        <v>10</v>
      </c>
      <c r="O1193" s="203" t="s">
        <v>25</v>
      </c>
      <c r="P1193" s="24"/>
      <c r="Q1193" s="160">
        <v>45254.828472222223</v>
      </c>
      <c r="R1193" s="160">
        <v>45255.828472222223</v>
      </c>
      <c r="S1193" s="161">
        <v>45260.745833333334</v>
      </c>
      <c r="T1193" s="24"/>
      <c r="U1193" s="68">
        <f>Tabla1[[#This Row],[PPTO]]/(1+'Lista Datos'!$B$1)</f>
        <v>0</v>
      </c>
      <c r="V1193" s="67"/>
      <c r="W1193" s="193" t="s">
        <v>10</v>
      </c>
      <c r="X1193" s="127"/>
      <c r="Y1193" s="127"/>
      <c r="Z1193" s="154" t="s">
        <v>10</v>
      </c>
      <c r="AA1193" s="30" t="s">
        <v>512</v>
      </c>
      <c r="AB1193" s="30"/>
      <c r="AC1193" s="30"/>
      <c r="AD1193" s="30"/>
      <c r="AE1193" s="145">
        <f>Tabla1[[#This Row],[Cierre]]+Tabla1[[#This Row],[Vigencia Oferta (días)]]</f>
        <v>45257.745138888902</v>
      </c>
      <c r="AF1193" s="68"/>
      <c r="AG1193" s="157"/>
      <c r="AH1193" s="194">
        <f>Tabla1[[#This Row],[Unidades2]]*Tabla1[[#This Row],[Precio Unitario]]</f>
        <v>0</v>
      </c>
      <c r="AI1193" s="97" t="s">
        <v>270</v>
      </c>
      <c r="AJ1193" s="149"/>
      <c r="AK1193" s="149">
        <f>Tabla1[[#This Row],[Fecha Vigencia]]-AJ1193</f>
        <v>45257.745138888902</v>
      </c>
      <c r="AL1193" s="68"/>
      <c r="AM1193" s="91"/>
      <c r="AN1193" s="68"/>
      <c r="AO1193" s="218"/>
      <c r="AP1193" s="68"/>
      <c r="AQ1193" s="69"/>
      <c r="AR1193" s="68"/>
      <c r="AS1193" s="68"/>
      <c r="AT1193" s="68"/>
      <c r="AU1193" s="68"/>
      <c r="AV1193" s="68"/>
      <c r="AW1193" s="68"/>
      <c r="AX1193" s="68"/>
      <c r="AY1193" s="30"/>
      <c r="AZ1193" s="30"/>
      <c r="BA1193" s="30"/>
      <c r="BB1193" s="75"/>
    </row>
    <row r="1194" spans="1:54" x14ac:dyDescent="0.25">
      <c r="A1194" s="117" t="s">
        <v>5597</v>
      </c>
      <c r="B1194" s="118" t="s">
        <v>5598</v>
      </c>
      <c r="C1194" s="118" t="s">
        <v>5599</v>
      </c>
      <c r="D1194" s="119" t="s">
        <v>3128</v>
      </c>
      <c r="E1194" s="38" t="s">
        <v>5600</v>
      </c>
      <c r="F1194" s="39">
        <v>2</v>
      </c>
      <c r="G1194" s="118" t="s">
        <v>21</v>
      </c>
      <c r="H1194" s="118" t="s">
        <v>106</v>
      </c>
      <c r="I1194" s="206">
        <v>45251.576479976902</v>
      </c>
      <c r="J1194" s="121">
        <v>45257.625</v>
      </c>
      <c r="K1194" s="121">
        <v>45251.576479976902</v>
      </c>
      <c r="L1194" s="206">
        <v>45257.625</v>
      </c>
      <c r="M1194" s="211">
        <v>45252</v>
      </c>
      <c r="N1194" s="207" t="s">
        <v>10</v>
      </c>
      <c r="O1194" s="206" t="s">
        <v>25</v>
      </c>
      <c r="P1194" s="38"/>
      <c r="Q1194" s="147">
        <v>45252.729166666664</v>
      </c>
      <c r="R1194" s="121" t="s">
        <v>5601</v>
      </c>
      <c r="S1194" s="148">
        <v>45271.729166666664</v>
      </c>
      <c r="T1194" s="38"/>
      <c r="U1194" s="65">
        <f>Tabla1[[#This Row],[PPTO]]/(1+'Lista Datos'!$B$1)</f>
        <v>0</v>
      </c>
      <c r="V1194" s="64"/>
      <c r="W1194" s="191" t="s">
        <v>10</v>
      </c>
      <c r="X1194" s="122"/>
      <c r="Y1194" s="122"/>
      <c r="Z1194" s="123" t="s">
        <v>10</v>
      </c>
      <c r="AA1194" s="118" t="s">
        <v>512</v>
      </c>
      <c r="AB1194" s="118"/>
      <c r="AC1194" s="118"/>
      <c r="AD1194" s="118"/>
      <c r="AE1194" s="145">
        <f>Tabla1[[#This Row],[Cierre]]+Tabla1[[#This Row],[Vigencia Oferta (días)]]</f>
        <v>45257.625</v>
      </c>
      <c r="AF1194" s="65"/>
      <c r="AG1194" s="181"/>
      <c r="AH1194" s="192">
        <f>Tabla1[[#This Row],[Unidades2]]*Tabla1[[#This Row],[Precio Unitario]]</f>
        <v>0</v>
      </c>
      <c r="AI1194" s="126" t="s">
        <v>270</v>
      </c>
      <c r="AJ1194" s="149"/>
      <c r="AK1194" s="149">
        <f>Tabla1[[#This Row],[Fecha Vigencia]]-AJ1194</f>
        <v>45257.625</v>
      </c>
      <c r="AL1194" s="65"/>
      <c r="AM1194" s="90"/>
      <c r="AN1194" s="65"/>
      <c r="AO1194" s="217"/>
      <c r="AP1194" s="65"/>
      <c r="AQ1194" s="66"/>
      <c r="AR1194" s="65"/>
      <c r="AS1194" s="65"/>
      <c r="AT1194" s="65"/>
      <c r="AU1194" s="65"/>
      <c r="AV1194" s="65"/>
      <c r="AW1194" s="65"/>
      <c r="AX1194" s="65"/>
      <c r="AY1194" s="118"/>
      <c r="AZ1194" s="118"/>
      <c r="BA1194" s="118"/>
      <c r="BB1194" s="124"/>
    </row>
    <row r="1195" spans="1:54" x14ac:dyDescent="0.25">
      <c r="A1195" s="117" t="s">
        <v>5602</v>
      </c>
      <c r="B1195" s="118" t="s">
        <v>5603</v>
      </c>
      <c r="C1195" s="118" t="s">
        <v>5604</v>
      </c>
      <c r="D1195" s="119" t="s">
        <v>5605</v>
      </c>
      <c r="E1195" s="38" t="s">
        <v>5606</v>
      </c>
      <c r="F1195" s="39">
        <v>5400</v>
      </c>
      <c r="G1195" s="118" t="s">
        <v>16</v>
      </c>
      <c r="H1195" s="118" t="s">
        <v>123</v>
      </c>
      <c r="I1195" s="206">
        <v>45251.397198726903</v>
      </c>
      <c r="J1195" s="38">
        <v>45259.625694444403</v>
      </c>
      <c r="K1195" s="38">
        <v>45251.397198726903</v>
      </c>
      <c r="L1195" s="206">
        <v>45259.625694444403</v>
      </c>
      <c r="M1195" s="211">
        <v>45252</v>
      </c>
      <c r="N1195" s="207" t="s">
        <v>10</v>
      </c>
      <c r="O1195" s="206" t="s">
        <v>25</v>
      </c>
      <c r="P1195" s="38"/>
      <c r="Q1195" s="147">
        <v>45254.666666666664</v>
      </c>
      <c r="R1195" s="147">
        <v>45257.667361111111</v>
      </c>
      <c r="S1195" s="148">
        <v>45278.791666666664</v>
      </c>
      <c r="T1195" s="215">
        <v>63953604</v>
      </c>
      <c r="U1195" s="214">
        <f>Tabla1[[#This Row],[PPTO]]/(1+'Lista Datos'!$B$1)</f>
        <v>53742524.369747899</v>
      </c>
      <c r="V1195" s="64"/>
      <c r="W1195" s="191" t="s">
        <v>10</v>
      </c>
      <c r="X1195" s="122"/>
      <c r="Y1195" s="122"/>
      <c r="Z1195" s="123" t="s">
        <v>10</v>
      </c>
      <c r="AA1195" s="118" t="s">
        <v>177</v>
      </c>
      <c r="AB1195" s="118">
        <v>36</v>
      </c>
      <c r="AC1195" s="118"/>
      <c r="AD1195" s="118"/>
      <c r="AE1195" s="145">
        <f>Tabla1[[#This Row],[Cierre]]+Tabla1[[#This Row],[Vigencia Oferta (días)]]</f>
        <v>45259.625694444403</v>
      </c>
      <c r="AF1195" s="65"/>
      <c r="AG1195" s="181"/>
      <c r="AH1195" s="192">
        <f>Tabla1[[#This Row],[Unidades2]]*Tabla1[[#This Row],[Precio Unitario]]</f>
        <v>0</v>
      </c>
      <c r="AI1195" s="126" t="s">
        <v>270</v>
      </c>
      <c r="AJ1195" s="149"/>
      <c r="AK1195" s="149">
        <f>Tabla1[[#This Row],[Fecha Vigencia]]-AJ1195</f>
        <v>45259.625694444403</v>
      </c>
      <c r="AL1195" s="65"/>
      <c r="AM1195" s="90"/>
      <c r="AN1195" s="65"/>
      <c r="AO1195" s="217"/>
      <c r="AP1195" s="65"/>
      <c r="AQ1195" s="66"/>
      <c r="AR1195" s="65"/>
      <c r="AS1195" s="65"/>
      <c r="AT1195" s="65"/>
      <c r="AU1195" s="65"/>
      <c r="AV1195" s="65"/>
      <c r="AW1195" s="65"/>
      <c r="AX1195" s="65"/>
      <c r="AY1195" s="118"/>
      <c r="AZ1195" s="118"/>
      <c r="BA1195" s="118"/>
      <c r="BB1195" s="124"/>
    </row>
    <row r="1196" spans="1:54" x14ac:dyDescent="0.25">
      <c r="A1196" s="153" t="s">
        <v>5607</v>
      </c>
      <c r="B1196" s="30" t="s">
        <v>5608</v>
      </c>
      <c r="C1196" s="30" t="s">
        <v>3119</v>
      </c>
      <c r="D1196" s="84" t="s">
        <v>291</v>
      </c>
      <c r="E1196" s="24" t="s">
        <v>3119</v>
      </c>
      <c r="F1196" s="25">
        <v>1</v>
      </c>
      <c r="G1196" s="30" t="s">
        <v>16</v>
      </c>
      <c r="H1196" s="30" t="s">
        <v>145</v>
      </c>
      <c r="I1196" s="203">
        <v>45252.678421562501</v>
      </c>
      <c r="J1196" s="38">
        <v>45259.75</v>
      </c>
      <c r="K1196" s="38">
        <v>45252.678421562501</v>
      </c>
      <c r="L1196" s="203">
        <v>45259.75</v>
      </c>
      <c r="M1196" s="204">
        <v>45253</v>
      </c>
      <c r="N1196" s="205" t="s">
        <v>10</v>
      </c>
      <c r="O1196" s="203" t="s">
        <v>5609</v>
      </c>
      <c r="P1196" s="24"/>
      <c r="Q1196" s="60"/>
      <c r="R1196" s="60"/>
      <c r="S1196" s="18"/>
      <c r="T1196" s="24"/>
      <c r="U1196" s="68">
        <f>Tabla1[[#This Row],[PPTO]]/(1+'Lista Datos'!$B$1)</f>
        <v>0</v>
      </c>
      <c r="V1196" s="67"/>
      <c r="W1196" s="193"/>
      <c r="X1196" s="127"/>
      <c r="Y1196" s="127"/>
      <c r="Z1196" s="154"/>
      <c r="AA1196" s="30"/>
      <c r="AB1196" s="30"/>
      <c r="AC1196" s="30"/>
      <c r="AD1196" s="30"/>
      <c r="AE1196" s="145">
        <f>Tabla1[[#This Row],[Cierre]]+Tabla1[[#This Row],[Vigencia Oferta (días)]]</f>
        <v>45259.75</v>
      </c>
      <c r="AF1196" s="68"/>
      <c r="AG1196" s="157"/>
      <c r="AH1196" s="194">
        <f>Tabla1[[#This Row],[Unidades2]]*Tabla1[[#This Row],[Precio Unitario]]</f>
        <v>0</v>
      </c>
      <c r="AI1196" s="97" t="s">
        <v>5099</v>
      </c>
      <c r="AJ1196" s="149"/>
      <c r="AK1196" s="149">
        <f>Tabla1[[#This Row],[Fecha Vigencia]]-AJ1196</f>
        <v>45259.75</v>
      </c>
      <c r="AL1196" s="68"/>
      <c r="AM1196" s="91"/>
      <c r="AN1196" s="68"/>
      <c r="AO1196" s="218"/>
      <c r="AP1196" s="68"/>
      <c r="AQ1196" s="69"/>
      <c r="AR1196" s="68"/>
      <c r="AS1196" s="68"/>
      <c r="AT1196" s="68"/>
      <c r="AU1196" s="68"/>
      <c r="AV1196" s="68"/>
      <c r="AW1196" s="68"/>
      <c r="AX1196" s="68"/>
      <c r="AY1196" s="30"/>
      <c r="AZ1196" s="30"/>
      <c r="BA1196" s="30"/>
      <c r="BB1196" s="75"/>
    </row>
    <row r="1197" spans="1:54" x14ac:dyDescent="0.25">
      <c r="A1197" s="153" t="s">
        <v>5610</v>
      </c>
      <c r="B1197" s="30" t="s">
        <v>5611</v>
      </c>
      <c r="C1197" s="30" t="s">
        <v>5612</v>
      </c>
      <c r="D1197" s="84" t="s">
        <v>5613</v>
      </c>
      <c r="E1197" s="24" t="s">
        <v>5614</v>
      </c>
      <c r="F1197" s="25">
        <v>1</v>
      </c>
      <c r="G1197" s="30" t="s">
        <v>21</v>
      </c>
      <c r="H1197" s="30" t="s">
        <v>106</v>
      </c>
      <c r="I1197" s="203">
        <v>45252.671661111097</v>
      </c>
      <c r="J1197" s="121">
        <v>45257.831944444399</v>
      </c>
      <c r="K1197" s="121">
        <v>45252.671661111097</v>
      </c>
      <c r="L1197" s="203">
        <v>45257.831944444399</v>
      </c>
      <c r="M1197" s="204">
        <v>45253</v>
      </c>
      <c r="N1197" s="205" t="s">
        <v>10</v>
      </c>
      <c r="O1197" s="203" t="s">
        <v>25</v>
      </c>
      <c r="P1197" s="24"/>
      <c r="Q1197" s="160">
        <v>45255.831250000003</v>
      </c>
      <c r="R1197" s="160">
        <v>45256.831250000003</v>
      </c>
      <c r="S1197" s="161">
        <v>45274.679166666669</v>
      </c>
      <c r="T1197" s="24"/>
      <c r="U1197" s="68">
        <f>Tabla1[[#This Row],[PPTO]]/(1+'Lista Datos'!$B$1)</f>
        <v>0</v>
      </c>
      <c r="V1197" s="67"/>
      <c r="W1197" s="193" t="s">
        <v>10</v>
      </c>
      <c r="X1197" s="127"/>
      <c r="Y1197" s="127"/>
      <c r="Z1197" s="154" t="s">
        <v>10</v>
      </c>
      <c r="AA1197" s="30" t="s">
        <v>512</v>
      </c>
      <c r="AB1197" s="30"/>
      <c r="AC1197" s="30"/>
      <c r="AD1197" s="30"/>
      <c r="AE1197" s="145">
        <f>Tabla1[[#This Row],[Cierre]]+Tabla1[[#This Row],[Vigencia Oferta (días)]]</f>
        <v>45257.831944444399</v>
      </c>
      <c r="AF1197" s="68"/>
      <c r="AG1197" s="157"/>
      <c r="AH1197" s="194">
        <f>Tabla1[[#This Row],[Unidades2]]*Tabla1[[#This Row],[Precio Unitario]]</f>
        <v>0</v>
      </c>
      <c r="AI1197" s="97" t="s">
        <v>270</v>
      </c>
      <c r="AJ1197" s="149"/>
      <c r="AK1197" s="149">
        <f>Tabla1[[#This Row],[Fecha Vigencia]]-AJ1197</f>
        <v>45257.831944444399</v>
      </c>
      <c r="AL1197" s="68"/>
      <c r="AM1197" s="91"/>
      <c r="AN1197" s="68"/>
      <c r="AO1197" s="218"/>
      <c r="AP1197" s="68"/>
      <c r="AQ1197" s="69"/>
      <c r="AR1197" s="68"/>
      <c r="AS1197" s="68"/>
      <c r="AT1197" s="68"/>
      <c r="AU1197" s="68"/>
      <c r="AV1197" s="68"/>
      <c r="AW1197" s="68"/>
      <c r="AX1197" s="68"/>
      <c r="AY1197" s="30"/>
      <c r="AZ1197" s="30"/>
      <c r="BA1197" s="30"/>
      <c r="BB1197" s="75"/>
    </row>
    <row r="1198" spans="1:54" x14ac:dyDescent="0.25">
      <c r="A1198" s="153" t="s">
        <v>5615</v>
      </c>
      <c r="B1198" s="30" t="s">
        <v>5616</v>
      </c>
      <c r="C1198" s="30" t="s">
        <v>5617</v>
      </c>
      <c r="D1198" s="84" t="s">
        <v>5618</v>
      </c>
      <c r="E1198" s="24" t="s">
        <v>5619</v>
      </c>
      <c r="F1198" s="25">
        <v>1</v>
      </c>
      <c r="G1198" s="30" t="s">
        <v>21</v>
      </c>
      <c r="H1198" s="30" t="s">
        <v>106</v>
      </c>
      <c r="I1198" s="203">
        <v>45252.361548148103</v>
      </c>
      <c r="J1198" s="121">
        <v>45257.625</v>
      </c>
      <c r="K1198" s="121">
        <v>45252.361548148103</v>
      </c>
      <c r="L1198" s="203">
        <v>45257.625</v>
      </c>
      <c r="M1198" s="204">
        <v>45253</v>
      </c>
      <c r="N1198" s="205" t="s">
        <v>10</v>
      </c>
      <c r="O1198" s="203" t="s">
        <v>27</v>
      </c>
      <c r="P1198" s="24"/>
      <c r="Q1198" s="60"/>
      <c r="R1198" s="60"/>
      <c r="S1198" s="18"/>
      <c r="T1198" s="24"/>
      <c r="U1198" s="68">
        <f>Tabla1[[#This Row],[PPTO]]/(1+'Lista Datos'!$B$1)</f>
        <v>0</v>
      </c>
      <c r="V1198" s="67"/>
      <c r="W1198" s="193"/>
      <c r="X1198" s="127"/>
      <c r="Y1198" s="127"/>
      <c r="Z1198" s="154"/>
      <c r="AA1198" s="30"/>
      <c r="AB1198" s="30"/>
      <c r="AC1198" s="30"/>
      <c r="AD1198" s="30"/>
      <c r="AE1198" s="145">
        <f>Tabla1[[#This Row],[Cierre]]+Tabla1[[#This Row],[Vigencia Oferta (días)]]</f>
        <v>45257.625</v>
      </c>
      <c r="AF1198" s="68"/>
      <c r="AG1198" s="157"/>
      <c r="AH1198" s="194">
        <f>Tabla1[[#This Row],[Unidades2]]*Tabla1[[#This Row],[Precio Unitario]]</f>
        <v>0</v>
      </c>
      <c r="AI1198" s="97" t="s">
        <v>270</v>
      </c>
      <c r="AJ1198" s="149"/>
      <c r="AK1198" s="149">
        <f>Tabla1[[#This Row],[Fecha Vigencia]]-AJ1198</f>
        <v>45257.625</v>
      </c>
      <c r="AL1198" s="68"/>
      <c r="AM1198" s="91"/>
      <c r="AN1198" s="68"/>
      <c r="AO1198" s="218"/>
      <c r="AP1198" s="68"/>
      <c r="AQ1198" s="69"/>
      <c r="AR1198" s="68"/>
      <c r="AS1198" s="68"/>
      <c r="AT1198" s="68"/>
      <c r="AU1198" s="68"/>
      <c r="AV1198" s="68"/>
      <c r="AW1198" s="68"/>
      <c r="AX1198" s="68"/>
      <c r="AY1198" s="30"/>
      <c r="AZ1198" s="30"/>
      <c r="BA1198" s="30"/>
      <c r="BB1198" s="75"/>
    </row>
    <row r="1199" spans="1:54" x14ac:dyDescent="0.25">
      <c r="A1199" s="117" t="s">
        <v>5620</v>
      </c>
      <c r="B1199" s="118" t="s">
        <v>5621</v>
      </c>
      <c r="C1199" s="118" t="s">
        <v>5622</v>
      </c>
      <c r="D1199" s="119" t="s">
        <v>2456</v>
      </c>
      <c r="E1199" s="38" t="s">
        <v>5623</v>
      </c>
      <c r="F1199" s="39">
        <v>25</v>
      </c>
      <c r="G1199" s="118" t="s">
        <v>14</v>
      </c>
      <c r="H1199" s="118" t="s">
        <v>533</v>
      </c>
      <c r="I1199" s="206">
        <v>45252.339894016201</v>
      </c>
      <c r="J1199" s="121">
        <v>45264.626388888901</v>
      </c>
      <c r="K1199" s="121">
        <v>45252.339894016201</v>
      </c>
      <c r="L1199" s="206">
        <v>45264.626388888901</v>
      </c>
      <c r="M1199" s="211">
        <v>45253</v>
      </c>
      <c r="N1199" s="207" t="s">
        <v>10</v>
      </c>
      <c r="O1199" s="206" t="s">
        <v>25</v>
      </c>
      <c r="P1199" s="38"/>
      <c r="Q1199" s="147">
        <v>45257.50277777778</v>
      </c>
      <c r="R1199" s="147">
        <v>45259.50277777778</v>
      </c>
      <c r="S1199" s="148">
        <v>45279.627083333333</v>
      </c>
      <c r="T1199" s="230">
        <v>17000000</v>
      </c>
      <c r="U1199" s="231">
        <f>Tabla1[[#This Row],[PPTO]]/(1+'Lista Datos'!$B$1)</f>
        <v>14285714.285714285</v>
      </c>
      <c r="V1199" s="64"/>
      <c r="W1199" s="191" t="s">
        <v>10</v>
      </c>
      <c r="X1199" s="122"/>
      <c r="Y1199" s="122"/>
      <c r="Z1199" s="123" t="s">
        <v>10</v>
      </c>
      <c r="AA1199" s="118" t="s">
        <v>512</v>
      </c>
      <c r="AB1199" s="118"/>
      <c r="AC1199" s="118"/>
      <c r="AD1199" s="118"/>
      <c r="AE1199" s="145">
        <f>Tabla1[[#This Row],[Cierre]]+Tabla1[[#This Row],[Vigencia Oferta (días)]]</f>
        <v>45264.626388888901</v>
      </c>
      <c r="AF1199" s="65"/>
      <c r="AG1199" s="181"/>
      <c r="AH1199" s="192">
        <f>Tabla1[[#This Row],[Unidades2]]*Tabla1[[#This Row],[Precio Unitario]]</f>
        <v>0</v>
      </c>
      <c r="AI1199" s="126" t="s">
        <v>270</v>
      </c>
      <c r="AJ1199" s="149"/>
      <c r="AK1199" s="149">
        <f>Tabla1[[#This Row],[Fecha Vigencia]]-AJ1199</f>
        <v>45264.626388888901</v>
      </c>
      <c r="AL1199" s="65"/>
      <c r="AM1199" s="90"/>
      <c r="AN1199" s="65"/>
      <c r="AO1199" s="217"/>
      <c r="AP1199" s="65"/>
      <c r="AQ1199" s="66"/>
      <c r="AR1199" s="65"/>
      <c r="AS1199" s="65"/>
      <c r="AT1199" s="65"/>
      <c r="AU1199" s="65"/>
      <c r="AV1199" s="65"/>
      <c r="AW1199" s="65"/>
      <c r="AX1199" s="65"/>
      <c r="AY1199" s="118"/>
      <c r="AZ1199" s="118"/>
      <c r="BA1199" s="118"/>
      <c r="BB1199" s="124"/>
    </row>
    <row r="1200" spans="1:54" x14ac:dyDescent="0.25">
      <c r="A1200" s="117" t="s">
        <v>5624</v>
      </c>
      <c r="B1200" s="118" t="s">
        <v>5625</v>
      </c>
      <c r="C1200" s="118" t="s">
        <v>5626</v>
      </c>
      <c r="D1200" s="119" t="s">
        <v>615</v>
      </c>
      <c r="E1200" s="38" t="s">
        <v>5627</v>
      </c>
      <c r="F1200" s="39">
        <v>1</v>
      </c>
      <c r="G1200" s="118" t="s">
        <v>16</v>
      </c>
      <c r="H1200" s="118" t="s">
        <v>145</v>
      </c>
      <c r="I1200" s="206">
        <v>45253.785682210597</v>
      </c>
      <c r="J1200" s="38">
        <v>45260.416666666701</v>
      </c>
      <c r="K1200" s="38">
        <v>45253.785682210597</v>
      </c>
      <c r="L1200" s="206">
        <v>45260.416666666701</v>
      </c>
      <c r="M1200" s="211">
        <v>45254</v>
      </c>
      <c r="N1200" s="207" t="s">
        <v>10</v>
      </c>
      <c r="O1200" s="206" t="s">
        <v>25</v>
      </c>
      <c r="P1200" s="38"/>
      <c r="Q1200" s="147">
        <v>45257.625</v>
      </c>
      <c r="R1200" s="147">
        <v>45258.625</v>
      </c>
      <c r="S1200" s="148">
        <v>45289.708333333336</v>
      </c>
      <c r="T1200" s="38"/>
      <c r="U1200" s="65">
        <f>Tabla1[[#This Row],[PPTO]]/(1+'Lista Datos'!$B$1)</f>
        <v>0</v>
      </c>
      <c r="V1200" s="64"/>
      <c r="W1200" s="191" t="s">
        <v>10</v>
      </c>
      <c r="X1200" s="122"/>
      <c r="Y1200" s="122"/>
      <c r="Z1200" s="123" t="s">
        <v>10</v>
      </c>
      <c r="AA1200" s="118" t="s">
        <v>177</v>
      </c>
      <c r="AB1200" s="118">
        <v>12</v>
      </c>
      <c r="AC1200" s="118"/>
      <c r="AD1200" s="118"/>
      <c r="AE1200" s="145">
        <f>Tabla1[[#This Row],[Cierre]]+Tabla1[[#This Row],[Vigencia Oferta (días)]]</f>
        <v>45260.416666666701</v>
      </c>
      <c r="AF1200" s="65"/>
      <c r="AG1200" s="181"/>
      <c r="AH1200" s="192">
        <f>Tabla1[[#This Row],[Unidades2]]*Tabla1[[#This Row],[Precio Unitario]]</f>
        <v>0</v>
      </c>
      <c r="AI1200" s="126" t="s">
        <v>270</v>
      </c>
      <c r="AJ1200" s="149"/>
      <c r="AK1200" s="149">
        <f>Tabla1[[#This Row],[Fecha Vigencia]]-AJ1200</f>
        <v>45260.416666666701</v>
      </c>
      <c r="AL1200" s="65"/>
      <c r="AM1200" s="90"/>
      <c r="AN1200" s="65"/>
      <c r="AO1200" s="217"/>
      <c r="AP1200" s="65"/>
      <c r="AQ1200" s="66"/>
      <c r="AR1200" s="65"/>
      <c r="AS1200" s="65"/>
      <c r="AT1200" s="65"/>
      <c r="AU1200" s="65"/>
      <c r="AV1200" s="65"/>
      <c r="AW1200" s="65"/>
      <c r="AX1200" s="65"/>
      <c r="AY1200" s="118"/>
      <c r="AZ1200" s="118"/>
      <c r="BA1200" s="118"/>
      <c r="BB1200" s="124"/>
    </row>
    <row r="1201" spans="1:54" x14ac:dyDescent="0.25">
      <c r="A1201" s="153" t="s">
        <v>5628</v>
      </c>
      <c r="B1201" s="30" t="s">
        <v>5511</v>
      </c>
      <c r="C1201" s="30" t="s">
        <v>5629</v>
      </c>
      <c r="D1201" s="84" t="s">
        <v>5271</v>
      </c>
      <c r="E1201" s="24" t="s">
        <v>5630</v>
      </c>
      <c r="F1201" s="25">
        <v>1</v>
      </c>
      <c r="G1201" s="30" t="s">
        <v>20</v>
      </c>
      <c r="H1201" s="30" t="s">
        <v>5145</v>
      </c>
      <c r="I1201" s="203">
        <v>45253.733889814801</v>
      </c>
      <c r="J1201" s="38">
        <v>45259.5</v>
      </c>
      <c r="K1201" s="38">
        <v>45253.733889814801</v>
      </c>
      <c r="L1201" s="203">
        <v>45259.5</v>
      </c>
      <c r="M1201" s="204">
        <v>45254</v>
      </c>
      <c r="N1201" s="205" t="s">
        <v>10</v>
      </c>
      <c r="O1201" s="203" t="s">
        <v>5588</v>
      </c>
      <c r="P1201" s="24"/>
      <c r="Q1201" s="160">
        <v>45257.5</v>
      </c>
      <c r="R1201" s="160">
        <v>45258.520833333336</v>
      </c>
      <c r="S1201" s="161">
        <v>45260.708333333336</v>
      </c>
      <c r="T1201" s="210">
        <v>6228528</v>
      </c>
      <c r="U1201" s="209">
        <f>Tabla1[[#This Row],[PPTO]]/(1+'Lista Datos'!$B$1)</f>
        <v>5234057.1428571427</v>
      </c>
      <c r="V1201" s="67"/>
      <c r="W1201" s="193" t="s">
        <v>11</v>
      </c>
      <c r="X1201" s="127">
        <v>350000</v>
      </c>
      <c r="Y1201" s="104">
        <v>45267</v>
      </c>
      <c r="Z1201" s="154" t="s">
        <v>10</v>
      </c>
      <c r="AA1201" s="30" t="s">
        <v>177</v>
      </c>
      <c r="AB1201" s="30">
        <v>2</v>
      </c>
      <c r="AC1201" s="30"/>
      <c r="AD1201" s="30"/>
      <c r="AE1201" s="145">
        <f>Tabla1[[#This Row],[Cierre]]+Tabla1[[#This Row],[Vigencia Oferta (días)]]</f>
        <v>45259.5</v>
      </c>
      <c r="AF1201" s="68"/>
      <c r="AG1201" s="157"/>
      <c r="AH1201" s="194">
        <f>Tabla1[[#This Row],[Unidades2]]*Tabla1[[#This Row],[Precio Unitario]]</f>
        <v>0</v>
      </c>
      <c r="AI1201" s="97" t="s">
        <v>5099</v>
      </c>
      <c r="AJ1201" s="149"/>
      <c r="AK1201" s="149">
        <f>Tabla1[[#This Row],[Fecha Vigencia]]-AJ1201</f>
        <v>45259.5</v>
      </c>
      <c r="AL1201" s="68"/>
      <c r="AM1201" s="91"/>
      <c r="AN1201" s="68"/>
      <c r="AO1201" s="218"/>
      <c r="AP1201" s="68"/>
      <c r="AQ1201" s="69"/>
      <c r="AR1201" s="68"/>
      <c r="AS1201" s="68"/>
      <c r="AT1201" s="68"/>
      <c r="AU1201" s="68"/>
      <c r="AV1201" s="68"/>
      <c r="AW1201" s="68"/>
      <c r="AX1201" s="68"/>
      <c r="AY1201" s="30"/>
      <c r="AZ1201" s="30"/>
      <c r="BA1201" s="30"/>
      <c r="BB1201" s="75"/>
    </row>
    <row r="1202" spans="1:54" x14ac:dyDescent="0.25">
      <c r="A1202" s="153" t="s">
        <v>5631</v>
      </c>
      <c r="B1202" s="30" t="s">
        <v>5632</v>
      </c>
      <c r="C1202" s="30" t="s">
        <v>5633</v>
      </c>
      <c r="D1202" s="84" t="s">
        <v>5634</v>
      </c>
      <c r="E1202" s="24" t="s">
        <v>5635</v>
      </c>
      <c r="F1202" s="25">
        <v>5</v>
      </c>
      <c r="G1202" s="30" t="s">
        <v>21</v>
      </c>
      <c r="H1202" s="30" t="s">
        <v>106</v>
      </c>
      <c r="I1202" s="203">
        <v>45253.687038923599</v>
      </c>
      <c r="J1202" s="121">
        <v>45259.75</v>
      </c>
      <c r="K1202" s="121">
        <v>45253.687038923599</v>
      </c>
      <c r="L1202" s="203">
        <v>45259.75</v>
      </c>
      <c r="M1202" s="204">
        <v>45254</v>
      </c>
      <c r="N1202" s="205" t="s">
        <v>10</v>
      </c>
      <c r="O1202" s="203" t="s">
        <v>5588</v>
      </c>
      <c r="P1202" s="24"/>
      <c r="Q1202" s="160">
        <v>45256.8125</v>
      </c>
      <c r="R1202" s="160">
        <v>45257.8125</v>
      </c>
      <c r="S1202" s="161">
        <v>45261.708333333336</v>
      </c>
      <c r="T1202" s="24"/>
      <c r="U1202" s="68">
        <f>Tabla1[[#This Row],[PPTO]]/(1+'Lista Datos'!$B$1)</f>
        <v>0</v>
      </c>
      <c r="V1202" s="67"/>
      <c r="W1202" s="193" t="s">
        <v>10</v>
      </c>
      <c r="X1202" s="127"/>
      <c r="Y1202" s="127"/>
      <c r="Z1202" s="154" t="s">
        <v>10</v>
      </c>
      <c r="AA1202" s="30" t="s">
        <v>177</v>
      </c>
      <c r="AB1202" s="30">
        <v>5</v>
      </c>
      <c r="AC1202" s="30"/>
      <c r="AD1202" s="30"/>
      <c r="AE1202" s="145">
        <f>Tabla1[[#This Row],[Cierre]]+Tabla1[[#This Row],[Vigencia Oferta (días)]]</f>
        <v>45259.75</v>
      </c>
      <c r="AF1202" s="68"/>
      <c r="AG1202" s="157"/>
      <c r="AH1202" s="194">
        <f>Tabla1[[#This Row],[Unidades2]]*Tabla1[[#This Row],[Precio Unitario]]</f>
        <v>0</v>
      </c>
      <c r="AI1202" s="97" t="s">
        <v>5099</v>
      </c>
      <c r="AJ1202" s="149"/>
      <c r="AK1202" s="149">
        <f>Tabla1[[#This Row],[Fecha Vigencia]]-AJ1202</f>
        <v>45259.75</v>
      </c>
      <c r="AL1202" s="68"/>
      <c r="AM1202" s="91"/>
      <c r="AN1202" s="68"/>
      <c r="AO1202" s="218"/>
      <c r="AP1202" s="68"/>
      <c r="AQ1202" s="69"/>
      <c r="AR1202" s="68"/>
      <c r="AS1202" s="68"/>
      <c r="AT1202" s="68"/>
      <c r="AU1202" s="68"/>
      <c r="AV1202" s="68"/>
      <c r="AW1202" s="68"/>
      <c r="AX1202" s="68"/>
      <c r="AY1202" s="30"/>
      <c r="AZ1202" s="30"/>
      <c r="BA1202" s="30"/>
      <c r="BB1202" s="75"/>
    </row>
    <row r="1203" spans="1:54" x14ac:dyDescent="0.25">
      <c r="A1203" s="153" t="s">
        <v>5636</v>
      </c>
      <c r="B1203" s="30" t="s">
        <v>5637</v>
      </c>
      <c r="C1203" s="30" t="s">
        <v>5638</v>
      </c>
      <c r="D1203" s="84" t="s">
        <v>4655</v>
      </c>
      <c r="E1203" s="24" t="s">
        <v>5639</v>
      </c>
      <c r="F1203" s="25">
        <v>1</v>
      </c>
      <c r="G1203" s="30" t="s">
        <v>14</v>
      </c>
      <c r="H1203" s="30" t="s">
        <v>345</v>
      </c>
      <c r="I1203" s="203">
        <v>45253.622222222199</v>
      </c>
      <c r="J1203" s="121">
        <v>45260.708333333299</v>
      </c>
      <c r="K1203" s="121">
        <v>45253.622222222199</v>
      </c>
      <c r="L1203" s="203">
        <v>45260.708333333299</v>
      </c>
      <c r="M1203" s="204">
        <v>45254</v>
      </c>
      <c r="N1203" s="205" t="s">
        <v>10</v>
      </c>
      <c r="O1203" s="203" t="s">
        <v>27</v>
      </c>
      <c r="P1203" s="24"/>
      <c r="Q1203" s="60"/>
      <c r="R1203" s="60"/>
      <c r="S1203" s="18"/>
      <c r="T1203" s="24"/>
      <c r="U1203" s="68">
        <f>Tabla1[[#This Row],[PPTO]]/(1+'Lista Datos'!$B$1)</f>
        <v>0</v>
      </c>
      <c r="V1203" s="67"/>
      <c r="W1203" s="193"/>
      <c r="X1203" s="127"/>
      <c r="Y1203" s="127"/>
      <c r="Z1203" s="154"/>
      <c r="AA1203" s="30"/>
      <c r="AB1203" s="30"/>
      <c r="AC1203" s="30"/>
      <c r="AD1203" s="30"/>
      <c r="AE1203" s="145">
        <f>Tabla1[[#This Row],[Cierre]]+Tabla1[[#This Row],[Vigencia Oferta (días)]]</f>
        <v>45260.708333333299</v>
      </c>
      <c r="AF1203" s="68"/>
      <c r="AG1203" s="157"/>
      <c r="AH1203" s="194">
        <f>Tabla1[[#This Row],[Unidades2]]*Tabla1[[#This Row],[Precio Unitario]]</f>
        <v>0</v>
      </c>
      <c r="AI1203" s="97" t="s">
        <v>5099</v>
      </c>
      <c r="AJ1203" s="149"/>
      <c r="AK1203" s="149">
        <f>Tabla1[[#This Row],[Fecha Vigencia]]-AJ1203</f>
        <v>45260.708333333299</v>
      </c>
      <c r="AL1203" s="68"/>
      <c r="AM1203" s="91"/>
      <c r="AN1203" s="68"/>
      <c r="AO1203" s="218"/>
      <c r="AP1203" s="68"/>
      <c r="AQ1203" s="69"/>
      <c r="AR1203" s="68"/>
      <c r="AS1203" s="68"/>
      <c r="AT1203" s="68"/>
      <c r="AU1203" s="68"/>
      <c r="AV1203" s="68"/>
      <c r="AW1203" s="68"/>
      <c r="AX1203" s="68"/>
      <c r="AY1203" s="30"/>
      <c r="AZ1203" s="30"/>
      <c r="BA1203" s="30"/>
      <c r="BB1203" s="75"/>
    </row>
    <row r="1204" spans="1:54" x14ac:dyDescent="0.25">
      <c r="A1204" s="153" t="s">
        <v>5640</v>
      </c>
      <c r="B1204" s="30" t="s">
        <v>5641</v>
      </c>
      <c r="C1204" s="30" t="s">
        <v>5642</v>
      </c>
      <c r="D1204" s="84" t="s">
        <v>3620</v>
      </c>
      <c r="E1204" s="24" t="s">
        <v>5643</v>
      </c>
      <c r="F1204" s="25">
        <v>5</v>
      </c>
      <c r="G1204" s="30" t="s">
        <v>21</v>
      </c>
      <c r="H1204" s="30" t="s">
        <v>106</v>
      </c>
      <c r="I1204" s="203">
        <v>45256.8782397338</v>
      </c>
      <c r="J1204" s="38">
        <v>45267.416666666701</v>
      </c>
      <c r="K1204" s="38">
        <v>45256.8782397338</v>
      </c>
      <c r="L1204" s="203">
        <v>45267.416666666701</v>
      </c>
      <c r="M1204" s="204">
        <v>45257</v>
      </c>
      <c r="N1204" s="205" t="s">
        <v>10</v>
      </c>
      <c r="O1204" s="203" t="s">
        <v>5006</v>
      </c>
      <c r="P1204" s="236" t="s">
        <v>11</v>
      </c>
      <c r="Q1204" s="160">
        <v>45259.458333333336</v>
      </c>
      <c r="R1204" s="160">
        <v>45259.75</v>
      </c>
      <c r="S1204" s="161">
        <v>45274.625</v>
      </c>
      <c r="T1204" s="210">
        <v>8000000</v>
      </c>
      <c r="U1204" s="209">
        <f>Tabla1[[#This Row],[PPTO]]/(1+'Lista Datos'!$B$1)</f>
        <v>6722689.0756302522</v>
      </c>
      <c r="V1204" s="67"/>
      <c r="W1204" s="193" t="s">
        <v>10</v>
      </c>
      <c r="X1204" s="127"/>
      <c r="Y1204" s="127"/>
      <c r="Z1204" s="154" t="s">
        <v>10</v>
      </c>
      <c r="AA1204" s="30" t="s">
        <v>512</v>
      </c>
      <c r="AB1204" s="30"/>
      <c r="AC1204" s="30"/>
      <c r="AD1204" s="30"/>
      <c r="AE1204" s="145">
        <f>Tabla1[[#This Row],[Cierre]]+Tabla1[[#This Row],[Vigencia Oferta (días)]]</f>
        <v>45267.416666666701</v>
      </c>
      <c r="AF1204" s="68"/>
      <c r="AG1204" s="157"/>
      <c r="AH1204" s="194">
        <f>Tabla1[[#This Row],[Unidades2]]*Tabla1[[#This Row],[Precio Unitario]]</f>
        <v>0</v>
      </c>
      <c r="AI1204" s="97" t="s">
        <v>270</v>
      </c>
      <c r="AJ1204" s="149"/>
      <c r="AK1204" s="149">
        <f>Tabla1[[#This Row],[Fecha Vigencia]]-AJ1204</f>
        <v>45267.416666666701</v>
      </c>
      <c r="AL1204" s="68"/>
      <c r="AM1204" s="91"/>
      <c r="AN1204" s="68"/>
      <c r="AO1204" s="218"/>
      <c r="AP1204" s="68"/>
      <c r="AQ1204" s="69"/>
      <c r="AR1204" s="68"/>
      <c r="AS1204" s="68"/>
      <c r="AT1204" s="68"/>
      <c r="AU1204" s="68"/>
      <c r="AV1204" s="68"/>
      <c r="AW1204" s="68"/>
      <c r="AX1204" s="68"/>
      <c r="AY1204" s="30"/>
      <c r="AZ1204" s="30"/>
      <c r="BA1204" s="30"/>
      <c r="BB1204" s="75"/>
    </row>
    <row r="1205" spans="1:54" x14ac:dyDescent="0.25">
      <c r="A1205" s="117" t="s">
        <v>5644</v>
      </c>
      <c r="B1205" s="118" t="s">
        <v>5645</v>
      </c>
      <c r="C1205" s="118" t="s">
        <v>5646</v>
      </c>
      <c r="D1205" s="119" t="s">
        <v>245</v>
      </c>
      <c r="E1205" s="38" t="s">
        <v>5647</v>
      </c>
      <c r="F1205" s="39">
        <v>4</v>
      </c>
      <c r="G1205" s="118" t="s">
        <v>21</v>
      </c>
      <c r="H1205" s="118" t="s">
        <v>106</v>
      </c>
      <c r="I1205" s="206">
        <v>45254.6657898958</v>
      </c>
      <c r="J1205" s="121">
        <v>45264.625</v>
      </c>
      <c r="K1205" s="121">
        <v>45254.6657898958</v>
      </c>
      <c r="L1205" s="206">
        <v>45264.625</v>
      </c>
      <c r="M1205" s="211">
        <v>45257</v>
      </c>
      <c r="N1205" s="207" t="s">
        <v>11</v>
      </c>
      <c r="O1205" s="206"/>
      <c r="P1205" s="38"/>
      <c r="Q1205" s="147">
        <v>45258.75</v>
      </c>
      <c r="R1205" s="147">
        <v>45260.75</v>
      </c>
      <c r="S1205" s="148">
        <v>45286.75</v>
      </c>
      <c r="T1205" s="38"/>
      <c r="U1205" s="65">
        <f>Tabla1[[#This Row],[PPTO]]/(1+'Lista Datos'!$B$1)</f>
        <v>0</v>
      </c>
      <c r="V1205" s="64"/>
      <c r="W1205" s="191" t="s">
        <v>10</v>
      </c>
      <c r="X1205" s="122"/>
      <c r="Y1205" s="122"/>
      <c r="Z1205" s="123" t="s">
        <v>10</v>
      </c>
      <c r="AA1205" s="118" t="s">
        <v>512</v>
      </c>
      <c r="AB1205" s="118"/>
      <c r="AC1205" s="118"/>
      <c r="AD1205" s="118"/>
      <c r="AE1205" s="145">
        <f>Tabla1[[#This Row],[Cierre]]+Tabla1[[#This Row],[Vigencia Oferta (días)]]</f>
        <v>45264.625</v>
      </c>
      <c r="AF1205" s="65"/>
      <c r="AG1205" s="181"/>
      <c r="AH1205" s="192">
        <f>Tabla1[[#This Row],[Unidades2]]*Tabla1[[#This Row],[Precio Unitario]]</f>
        <v>0</v>
      </c>
      <c r="AI1205" s="126" t="s">
        <v>270</v>
      </c>
      <c r="AJ1205" s="149"/>
      <c r="AK1205" s="149">
        <f>Tabla1[[#This Row],[Fecha Vigencia]]-AJ1205</f>
        <v>45264.625</v>
      </c>
      <c r="AL1205" s="65"/>
      <c r="AM1205" s="90"/>
      <c r="AN1205" s="65"/>
      <c r="AO1205" s="217"/>
      <c r="AP1205" s="65"/>
      <c r="AQ1205" s="66"/>
      <c r="AR1205" s="65"/>
      <c r="AS1205" s="65"/>
      <c r="AT1205" s="65"/>
      <c r="AU1205" s="65"/>
      <c r="AV1205" s="65"/>
      <c r="AW1205" s="65"/>
      <c r="AX1205" s="65"/>
      <c r="AY1205" s="118"/>
      <c r="AZ1205" s="118"/>
      <c r="BA1205" s="118"/>
      <c r="BB1205" s="124"/>
    </row>
    <row r="1206" spans="1:54" x14ac:dyDescent="0.25">
      <c r="A1206" s="153" t="s">
        <v>5648</v>
      </c>
      <c r="B1206" s="30" t="s">
        <v>5649</v>
      </c>
      <c r="C1206" s="30" t="s">
        <v>5650</v>
      </c>
      <c r="D1206" s="84" t="s">
        <v>738</v>
      </c>
      <c r="E1206" s="24" t="s">
        <v>4251</v>
      </c>
      <c r="F1206" s="25">
        <v>43</v>
      </c>
      <c r="G1206" s="30" t="s">
        <v>21</v>
      </c>
      <c r="H1206" s="30" t="s">
        <v>106</v>
      </c>
      <c r="I1206" s="203">
        <v>45254.608945520798</v>
      </c>
      <c r="J1206" s="38">
        <v>45259.416666666701</v>
      </c>
      <c r="K1206" s="38">
        <v>45254.608945520798</v>
      </c>
      <c r="L1206" s="203">
        <v>45259.416666666701</v>
      </c>
      <c r="M1206" s="204">
        <v>45257</v>
      </c>
      <c r="N1206" s="205" t="s">
        <v>10</v>
      </c>
      <c r="O1206" s="203" t="s">
        <v>5588</v>
      </c>
      <c r="P1206" s="24"/>
      <c r="Q1206" s="160">
        <v>45256.958333333336</v>
      </c>
      <c r="R1206" s="160">
        <v>45257.75</v>
      </c>
      <c r="S1206" s="161">
        <v>45261.666666666664</v>
      </c>
      <c r="T1206" s="24"/>
      <c r="U1206" s="68">
        <f>Tabla1[[#This Row],[PPTO]]/(1+'Lista Datos'!$B$1)</f>
        <v>0</v>
      </c>
      <c r="V1206" s="67"/>
      <c r="W1206" s="193" t="s">
        <v>10</v>
      </c>
      <c r="X1206" s="127"/>
      <c r="Y1206" s="127"/>
      <c r="Z1206" s="154" t="s">
        <v>10</v>
      </c>
      <c r="AA1206" s="30" t="s">
        <v>512</v>
      </c>
      <c r="AB1206" s="30"/>
      <c r="AC1206" s="30"/>
      <c r="AD1206" s="30"/>
      <c r="AE1206" s="145">
        <f>Tabla1[[#This Row],[Cierre]]+Tabla1[[#This Row],[Vigencia Oferta (días)]]</f>
        <v>45259.416666666701</v>
      </c>
      <c r="AF1206" s="68"/>
      <c r="AG1206" s="157"/>
      <c r="AH1206" s="194">
        <f>Tabla1[[#This Row],[Unidades2]]*Tabla1[[#This Row],[Precio Unitario]]</f>
        <v>0</v>
      </c>
      <c r="AI1206" s="97" t="s">
        <v>5099</v>
      </c>
      <c r="AJ1206" s="149"/>
      <c r="AK1206" s="149">
        <f>Tabla1[[#This Row],[Fecha Vigencia]]-AJ1206</f>
        <v>45259.416666666701</v>
      </c>
      <c r="AL1206" s="68"/>
      <c r="AM1206" s="91"/>
      <c r="AN1206" s="68"/>
      <c r="AO1206" s="218"/>
      <c r="AP1206" s="68"/>
      <c r="AQ1206" s="69"/>
      <c r="AR1206" s="68"/>
      <c r="AS1206" s="68"/>
      <c r="AT1206" s="68"/>
      <c r="AU1206" s="68"/>
      <c r="AV1206" s="68"/>
      <c r="AW1206" s="68"/>
      <c r="AX1206" s="68"/>
      <c r="AY1206" s="30"/>
      <c r="AZ1206" s="30"/>
      <c r="BA1206" s="30"/>
      <c r="BB1206" s="75"/>
    </row>
    <row r="1207" spans="1:54" x14ac:dyDescent="0.25">
      <c r="A1207" s="117" t="s">
        <v>5651</v>
      </c>
      <c r="B1207" s="118" t="s">
        <v>5652</v>
      </c>
      <c r="C1207" s="118" t="s">
        <v>5653</v>
      </c>
      <c r="D1207" s="119" t="s">
        <v>190</v>
      </c>
      <c r="E1207" s="38" t="s">
        <v>5654</v>
      </c>
      <c r="F1207" s="39">
        <v>1</v>
      </c>
      <c r="G1207" s="118" t="s">
        <v>21</v>
      </c>
      <c r="H1207" s="118" t="s">
        <v>106</v>
      </c>
      <c r="I1207" s="206">
        <v>45254.508186689804</v>
      </c>
      <c r="J1207" s="121">
        <v>45265.625</v>
      </c>
      <c r="K1207" s="121">
        <v>45254.508186689804</v>
      </c>
      <c r="L1207" s="206">
        <v>45265.625</v>
      </c>
      <c r="M1207" s="211">
        <v>45257</v>
      </c>
      <c r="N1207" s="207" t="s">
        <v>10</v>
      </c>
      <c r="O1207" s="206" t="s">
        <v>28</v>
      </c>
      <c r="P1207" s="38"/>
      <c r="Q1207" s="121"/>
      <c r="R1207" s="121"/>
      <c r="S1207" s="19"/>
      <c r="T1207" s="38"/>
      <c r="U1207" s="65">
        <f>Tabla1[[#This Row],[PPTO]]/(1+'Lista Datos'!$B$1)</f>
        <v>0</v>
      </c>
      <c r="V1207" s="64"/>
      <c r="W1207" s="191"/>
      <c r="X1207" s="122"/>
      <c r="Y1207" s="122"/>
      <c r="Z1207" s="123"/>
      <c r="AA1207" s="118"/>
      <c r="AB1207" s="118"/>
      <c r="AC1207" s="118"/>
      <c r="AD1207" s="118"/>
      <c r="AE1207" s="145">
        <f>Tabla1[[#This Row],[Cierre]]+Tabla1[[#This Row],[Vigencia Oferta (días)]]</f>
        <v>45265.625</v>
      </c>
      <c r="AF1207" s="65"/>
      <c r="AG1207" s="181"/>
      <c r="AH1207" s="192">
        <f>Tabla1[[#This Row],[Unidades2]]*Tabla1[[#This Row],[Precio Unitario]]</f>
        <v>0</v>
      </c>
      <c r="AI1207" s="126" t="s">
        <v>270</v>
      </c>
      <c r="AJ1207" s="149"/>
      <c r="AK1207" s="149">
        <f>Tabla1[[#This Row],[Fecha Vigencia]]-AJ1207</f>
        <v>45265.625</v>
      </c>
      <c r="AL1207" s="65"/>
      <c r="AM1207" s="90"/>
      <c r="AN1207" s="65"/>
      <c r="AO1207" s="217"/>
      <c r="AP1207" s="65"/>
      <c r="AQ1207" s="66"/>
      <c r="AR1207" s="65"/>
      <c r="AS1207" s="65"/>
      <c r="AT1207" s="65"/>
      <c r="AU1207" s="65"/>
      <c r="AV1207" s="65"/>
      <c r="AW1207" s="65"/>
      <c r="AX1207" s="65"/>
      <c r="AY1207" s="118"/>
      <c r="AZ1207" s="118"/>
      <c r="BA1207" s="118"/>
      <c r="BB1207" s="124"/>
    </row>
    <row r="1208" spans="1:54" x14ac:dyDescent="0.25">
      <c r="A1208" s="153" t="s">
        <v>5655</v>
      </c>
      <c r="B1208" s="30" t="s">
        <v>5656</v>
      </c>
      <c r="C1208" s="30" t="s">
        <v>5657</v>
      </c>
      <c r="D1208" s="84" t="s">
        <v>2084</v>
      </c>
      <c r="E1208" s="24" t="s">
        <v>5658</v>
      </c>
      <c r="F1208" s="25">
        <v>1</v>
      </c>
      <c r="G1208" s="30" t="s">
        <v>16</v>
      </c>
      <c r="H1208" s="30" t="s">
        <v>123</v>
      </c>
      <c r="I1208" s="203">
        <v>45257.766628206002</v>
      </c>
      <c r="J1208" s="38">
        <v>45264.625694444403</v>
      </c>
      <c r="K1208" s="38">
        <v>45257.766628206002</v>
      </c>
      <c r="L1208" s="203">
        <v>45264.625694444403</v>
      </c>
      <c r="M1208" s="204">
        <v>45258</v>
      </c>
      <c r="N1208" s="205" t="s">
        <v>10</v>
      </c>
      <c r="O1208" s="203" t="s">
        <v>27</v>
      </c>
      <c r="P1208" s="24"/>
      <c r="Q1208" s="60"/>
      <c r="R1208" s="60"/>
      <c r="S1208" s="18"/>
      <c r="T1208" s="24"/>
      <c r="U1208" s="68">
        <f>Tabla1[[#This Row],[PPTO]]/(1+'Lista Datos'!$B$1)</f>
        <v>0</v>
      </c>
      <c r="V1208" s="67"/>
      <c r="W1208" s="193"/>
      <c r="X1208" s="127"/>
      <c r="Y1208" s="127"/>
      <c r="Z1208" s="154"/>
      <c r="AA1208" s="30"/>
      <c r="AB1208" s="30"/>
      <c r="AC1208" s="30"/>
      <c r="AD1208" s="30"/>
      <c r="AE1208" s="145">
        <f>Tabla1[[#This Row],[Cierre]]+Tabla1[[#This Row],[Vigencia Oferta (días)]]</f>
        <v>45264.625694444403</v>
      </c>
      <c r="AF1208" s="68"/>
      <c r="AG1208" s="157"/>
      <c r="AH1208" s="194">
        <f>Tabla1[[#This Row],[Unidades2]]*Tabla1[[#This Row],[Precio Unitario]]</f>
        <v>0</v>
      </c>
      <c r="AI1208" s="97" t="s">
        <v>270</v>
      </c>
      <c r="AJ1208" s="149"/>
      <c r="AK1208" s="149">
        <f>Tabla1[[#This Row],[Fecha Vigencia]]-AJ1208</f>
        <v>45264.625694444403</v>
      </c>
      <c r="AL1208" s="68"/>
      <c r="AM1208" s="91"/>
      <c r="AN1208" s="68"/>
      <c r="AO1208" s="218"/>
      <c r="AP1208" s="68"/>
      <c r="AQ1208" s="69"/>
      <c r="AR1208" s="68"/>
      <c r="AS1208" s="68"/>
      <c r="AT1208" s="68"/>
      <c r="AU1208" s="68"/>
      <c r="AV1208" s="68"/>
      <c r="AW1208" s="68"/>
      <c r="AX1208" s="68"/>
      <c r="AY1208" s="30"/>
      <c r="AZ1208" s="30"/>
      <c r="BA1208" s="30"/>
      <c r="BB1208" s="75"/>
    </row>
    <row r="1209" spans="1:54" x14ac:dyDescent="0.25">
      <c r="A1209" s="117" t="s">
        <v>5659</v>
      </c>
      <c r="B1209" s="118" t="s">
        <v>5660</v>
      </c>
      <c r="C1209" s="118" t="s">
        <v>5661</v>
      </c>
      <c r="D1209" s="119" t="s">
        <v>823</v>
      </c>
      <c r="E1209" s="38" t="s">
        <v>5662</v>
      </c>
      <c r="F1209" s="39">
        <v>5</v>
      </c>
      <c r="G1209" s="118" t="s">
        <v>14</v>
      </c>
      <c r="H1209" s="118"/>
      <c r="I1209" s="206">
        <v>45257.737308483796</v>
      </c>
      <c r="J1209" s="121">
        <v>45264.625694444403</v>
      </c>
      <c r="K1209" s="121">
        <v>45257.737308483796</v>
      </c>
      <c r="L1209" s="206">
        <v>45264.625694444403</v>
      </c>
      <c r="M1209" s="211">
        <v>45258</v>
      </c>
      <c r="N1209" s="207" t="s">
        <v>10</v>
      </c>
      <c r="O1209" s="206" t="s">
        <v>27</v>
      </c>
      <c r="P1209" s="38"/>
      <c r="Q1209" s="121"/>
      <c r="R1209" s="121"/>
      <c r="S1209" s="19"/>
      <c r="T1209" s="38"/>
      <c r="U1209" s="65">
        <f>Tabla1[[#This Row],[PPTO]]/(1+'Lista Datos'!$B$1)</f>
        <v>0</v>
      </c>
      <c r="V1209" s="64"/>
      <c r="W1209" s="191"/>
      <c r="X1209" s="122"/>
      <c r="Y1209" s="122"/>
      <c r="Z1209" s="123"/>
      <c r="AA1209" s="118"/>
      <c r="AB1209" s="118"/>
      <c r="AC1209" s="118"/>
      <c r="AD1209" s="118"/>
      <c r="AE1209" s="145">
        <f>Tabla1[[#This Row],[Cierre]]+Tabla1[[#This Row],[Vigencia Oferta (días)]]</f>
        <v>45264.625694444403</v>
      </c>
      <c r="AF1209" s="65"/>
      <c r="AG1209" s="181"/>
      <c r="AH1209" s="192">
        <f>Tabla1[[#This Row],[Unidades2]]*Tabla1[[#This Row],[Precio Unitario]]</f>
        <v>0</v>
      </c>
      <c r="AI1209" s="126" t="s">
        <v>270</v>
      </c>
      <c r="AJ1209" s="149"/>
      <c r="AK1209" s="149">
        <f>Tabla1[[#This Row],[Fecha Vigencia]]-AJ1209</f>
        <v>45264.625694444403</v>
      </c>
      <c r="AL1209" s="65"/>
      <c r="AM1209" s="90"/>
      <c r="AN1209" s="65"/>
      <c r="AO1209" s="217"/>
      <c r="AP1209" s="65"/>
      <c r="AQ1209" s="66"/>
      <c r="AR1209" s="65"/>
      <c r="AS1209" s="65"/>
      <c r="AT1209" s="65"/>
      <c r="AU1209" s="65"/>
      <c r="AV1209" s="65"/>
      <c r="AW1209" s="65"/>
      <c r="AX1209" s="65"/>
      <c r="AY1209" s="118"/>
      <c r="AZ1209" s="118"/>
      <c r="BA1209" s="118"/>
      <c r="BB1209" s="124"/>
    </row>
    <row r="1210" spans="1:54" x14ac:dyDescent="0.25">
      <c r="A1210" s="153" t="s">
        <v>5663</v>
      </c>
      <c r="B1210" s="30" t="s">
        <v>5664</v>
      </c>
      <c r="C1210" s="30" t="s">
        <v>5664</v>
      </c>
      <c r="D1210" s="84" t="s">
        <v>3545</v>
      </c>
      <c r="E1210" s="24" t="s">
        <v>5664</v>
      </c>
      <c r="F1210" s="25">
        <v>10</v>
      </c>
      <c r="G1210" s="30" t="s">
        <v>21</v>
      </c>
      <c r="H1210" s="30" t="s">
        <v>106</v>
      </c>
      <c r="I1210" s="203">
        <v>45257.723282951403</v>
      </c>
      <c r="J1210" s="38">
        <v>45264.708333333299</v>
      </c>
      <c r="K1210" s="38">
        <v>45257.723282951403</v>
      </c>
      <c r="L1210" s="203">
        <v>45264.708333333299</v>
      </c>
      <c r="M1210" s="204">
        <v>45258</v>
      </c>
      <c r="N1210" s="205" t="s">
        <v>10</v>
      </c>
      <c r="O1210" s="203" t="s">
        <v>5327</v>
      </c>
      <c r="P1210" s="24"/>
      <c r="Q1210" s="160">
        <v>45258.708333333336</v>
      </c>
      <c r="R1210" s="160">
        <v>45259.708333333336</v>
      </c>
      <c r="S1210" s="161">
        <v>45271.354166666664</v>
      </c>
      <c r="T1210" s="210">
        <v>4500000</v>
      </c>
      <c r="U1210" s="209">
        <f>Tabla1[[#This Row],[PPTO]]/(1+'Lista Datos'!$B$1)</f>
        <v>3781512.6050420171</v>
      </c>
      <c r="V1210" s="67"/>
      <c r="W1210" s="193" t="s">
        <v>10</v>
      </c>
      <c r="X1210" s="127"/>
      <c r="Y1210" s="127"/>
      <c r="Z1210" s="154" t="s">
        <v>10</v>
      </c>
      <c r="AA1210" s="30" t="s">
        <v>512</v>
      </c>
      <c r="AB1210" s="30"/>
      <c r="AC1210" s="30"/>
      <c r="AD1210" s="30"/>
      <c r="AE1210" s="145">
        <f>Tabla1[[#This Row],[Cierre]]+Tabla1[[#This Row],[Vigencia Oferta (días)]]</f>
        <v>45264.708333333299</v>
      </c>
      <c r="AF1210" s="68"/>
      <c r="AG1210" s="157"/>
      <c r="AH1210" s="194">
        <f>Tabla1[[#This Row],[Unidades2]]*Tabla1[[#This Row],[Precio Unitario]]</f>
        <v>0</v>
      </c>
      <c r="AI1210" s="97" t="s">
        <v>270</v>
      </c>
      <c r="AJ1210" s="149"/>
      <c r="AK1210" s="149">
        <f>Tabla1[[#This Row],[Fecha Vigencia]]-AJ1210</f>
        <v>45264.708333333299</v>
      </c>
      <c r="AL1210" s="68"/>
      <c r="AM1210" s="91"/>
      <c r="AN1210" s="68"/>
      <c r="AO1210" s="218"/>
      <c r="AP1210" s="68"/>
      <c r="AQ1210" s="69"/>
      <c r="AR1210" s="68"/>
      <c r="AS1210" s="68"/>
      <c r="AT1210" s="68"/>
      <c r="AU1210" s="68"/>
      <c r="AV1210" s="68"/>
      <c r="AW1210" s="68"/>
      <c r="AX1210" s="68"/>
      <c r="AY1210" s="30"/>
      <c r="AZ1210" s="30"/>
      <c r="BA1210" s="30"/>
      <c r="BB1210" s="75"/>
    </row>
    <row r="1211" spans="1:54" x14ac:dyDescent="0.25">
      <c r="A1211" s="153" t="s">
        <v>5665</v>
      </c>
      <c r="B1211" s="30" t="s">
        <v>5376</v>
      </c>
      <c r="C1211" s="30" t="s">
        <v>5377</v>
      </c>
      <c r="D1211" s="84" t="s">
        <v>1736</v>
      </c>
      <c r="E1211" s="24" t="s">
        <v>5093</v>
      </c>
      <c r="F1211" s="25">
        <v>1</v>
      </c>
      <c r="G1211" s="30" t="s">
        <v>16</v>
      </c>
      <c r="H1211" s="30" t="s">
        <v>345</v>
      </c>
      <c r="I1211" s="203">
        <v>45257.705453703697</v>
      </c>
      <c r="J1211" s="121">
        <v>45264.629166666702</v>
      </c>
      <c r="K1211" s="121">
        <v>45257.705453703697</v>
      </c>
      <c r="L1211" s="203">
        <v>45264.629166666702</v>
      </c>
      <c r="M1211" s="204">
        <v>45258</v>
      </c>
      <c r="N1211" s="205" t="s">
        <v>10</v>
      </c>
      <c r="O1211" s="203" t="s">
        <v>25</v>
      </c>
      <c r="P1211" s="24"/>
      <c r="Q1211" s="160">
        <v>45260.847222222219</v>
      </c>
      <c r="R1211" s="160">
        <v>45261.472222222219</v>
      </c>
      <c r="S1211" s="161">
        <v>45275.421527777777</v>
      </c>
      <c r="T1211" s="210">
        <v>9000000</v>
      </c>
      <c r="U1211" s="209">
        <f>Tabla1[[#This Row],[PPTO]]/(1+'Lista Datos'!$B$1)</f>
        <v>7563025.2100840341</v>
      </c>
      <c r="V1211" s="67"/>
      <c r="W1211" s="193" t="s">
        <v>10</v>
      </c>
      <c r="X1211" s="127"/>
      <c r="Y1211" s="127"/>
      <c r="Z1211" s="154" t="s">
        <v>10</v>
      </c>
      <c r="AA1211" s="30" t="s">
        <v>177</v>
      </c>
      <c r="AB1211" s="30">
        <v>12</v>
      </c>
      <c r="AC1211" s="30"/>
      <c r="AD1211" s="30"/>
      <c r="AE1211" s="145">
        <f>Tabla1[[#This Row],[Cierre]]+Tabla1[[#This Row],[Vigencia Oferta (días)]]</f>
        <v>45264.629166666702</v>
      </c>
      <c r="AF1211" s="68"/>
      <c r="AG1211" s="157"/>
      <c r="AH1211" s="194">
        <f>Tabla1[[#This Row],[Unidades2]]*Tabla1[[#This Row],[Precio Unitario]]</f>
        <v>0</v>
      </c>
      <c r="AI1211" s="97" t="s">
        <v>270</v>
      </c>
      <c r="AJ1211" s="149"/>
      <c r="AK1211" s="149">
        <f>Tabla1[[#This Row],[Fecha Vigencia]]-AJ1211</f>
        <v>45264.629166666702</v>
      </c>
      <c r="AL1211" s="68"/>
      <c r="AM1211" s="91"/>
      <c r="AN1211" s="68"/>
      <c r="AO1211" s="218"/>
      <c r="AP1211" s="68"/>
      <c r="AQ1211" s="69"/>
      <c r="AR1211" s="68"/>
      <c r="AS1211" s="68"/>
      <c r="AT1211" s="68"/>
      <c r="AU1211" s="68"/>
      <c r="AV1211" s="68"/>
      <c r="AW1211" s="68"/>
      <c r="AX1211" s="68"/>
      <c r="AY1211" s="30"/>
      <c r="AZ1211" s="30"/>
      <c r="BA1211" s="30"/>
      <c r="BB1211" s="75"/>
    </row>
    <row r="1212" spans="1:54" x14ac:dyDescent="0.25">
      <c r="A1212" s="153" t="s">
        <v>5666</v>
      </c>
      <c r="B1212" s="30" t="s">
        <v>5667</v>
      </c>
      <c r="C1212" s="30" t="s">
        <v>5668</v>
      </c>
      <c r="D1212" s="84" t="s">
        <v>2822</v>
      </c>
      <c r="E1212" s="24" t="s">
        <v>5669</v>
      </c>
      <c r="F1212" s="25">
        <v>1</v>
      </c>
      <c r="G1212" s="30" t="s">
        <v>17</v>
      </c>
      <c r="H1212" s="30" t="s">
        <v>213</v>
      </c>
      <c r="I1212" s="203">
        <v>45257.664230173599</v>
      </c>
      <c r="J1212" s="121">
        <v>45267.791666666701</v>
      </c>
      <c r="K1212" s="121">
        <v>45257.664230173599</v>
      </c>
      <c r="L1212" s="203">
        <v>45267.791666666701</v>
      </c>
      <c r="M1212" s="204">
        <v>45258</v>
      </c>
      <c r="N1212" s="205" t="s">
        <v>10</v>
      </c>
      <c r="O1212" s="203" t="s">
        <v>25</v>
      </c>
      <c r="P1212" s="24"/>
      <c r="Q1212" s="160">
        <v>45262.791666666664</v>
      </c>
      <c r="R1212" s="160">
        <v>45264.791666666664</v>
      </c>
      <c r="S1212" s="161">
        <v>45348.791666666664</v>
      </c>
      <c r="T1212" s="210">
        <v>261432231</v>
      </c>
      <c r="U1212" s="209">
        <f>Tabla1[[#This Row],[PPTO]]/(1+'Lista Datos'!$B$1)</f>
        <v>219690950.42016807</v>
      </c>
      <c r="V1212" s="67"/>
      <c r="W1212" s="193" t="s">
        <v>11</v>
      </c>
      <c r="X1212" s="127">
        <v>200000</v>
      </c>
      <c r="Y1212" s="104">
        <v>45362</v>
      </c>
      <c r="Z1212" s="154" t="s">
        <v>2783</v>
      </c>
      <c r="AA1212" s="30" t="s">
        <v>512</v>
      </c>
      <c r="AB1212" s="30"/>
      <c r="AC1212" s="30"/>
      <c r="AD1212" s="30"/>
      <c r="AE1212" s="145">
        <f>Tabla1[[#This Row],[Cierre]]+Tabla1[[#This Row],[Vigencia Oferta (días)]]</f>
        <v>45267.791666666701</v>
      </c>
      <c r="AF1212" s="68"/>
      <c r="AG1212" s="157"/>
      <c r="AH1212" s="194">
        <f>Tabla1[[#This Row],[Unidades2]]*Tabla1[[#This Row],[Precio Unitario]]</f>
        <v>0</v>
      </c>
      <c r="AI1212" s="97" t="s">
        <v>270</v>
      </c>
      <c r="AJ1212" s="149"/>
      <c r="AK1212" s="149">
        <f>Tabla1[[#This Row],[Fecha Vigencia]]-AJ1212</f>
        <v>45267.791666666701</v>
      </c>
      <c r="AL1212" s="68"/>
      <c r="AM1212" s="91"/>
      <c r="AN1212" s="68"/>
      <c r="AO1212" s="218"/>
      <c r="AP1212" s="68"/>
      <c r="AQ1212" s="69"/>
      <c r="AR1212" s="68"/>
      <c r="AS1212" s="68"/>
      <c r="AT1212" s="68"/>
      <c r="AU1212" s="68"/>
      <c r="AV1212" s="68"/>
      <c r="AW1212" s="68"/>
      <c r="AX1212" s="68"/>
      <c r="AY1212" s="30"/>
      <c r="AZ1212" s="30"/>
      <c r="BA1212" s="30"/>
      <c r="BB1212" s="75"/>
    </row>
    <row r="1213" spans="1:54" x14ac:dyDescent="0.25">
      <c r="A1213" s="153" t="s">
        <v>5670</v>
      </c>
      <c r="B1213" s="30" t="s">
        <v>2546</v>
      </c>
      <c r="C1213" s="30" t="s">
        <v>2546</v>
      </c>
      <c r="D1213" s="84" t="s">
        <v>5671</v>
      </c>
      <c r="E1213" s="24" t="s">
        <v>5672</v>
      </c>
      <c r="F1213" s="25">
        <v>1</v>
      </c>
      <c r="G1213" s="30" t="s">
        <v>16</v>
      </c>
      <c r="H1213" s="30" t="s">
        <v>123</v>
      </c>
      <c r="I1213" s="203">
        <v>45257.608532175902</v>
      </c>
      <c r="J1213" s="121">
        <v>45264.632638888899</v>
      </c>
      <c r="K1213" s="121">
        <v>45257.608532175902</v>
      </c>
      <c r="L1213" s="203">
        <v>45264.632638888899</v>
      </c>
      <c r="M1213" s="204">
        <v>45258</v>
      </c>
      <c r="N1213" s="205" t="s">
        <v>10</v>
      </c>
      <c r="O1213" s="203" t="s">
        <v>25</v>
      </c>
      <c r="P1213" s="24"/>
      <c r="Q1213" s="60"/>
      <c r="R1213" s="60"/>
      <c r="S1213" s="18"/>
      <c r="T1213" s="24"/>
      <c r="U1213" s="68">
        <f>Tabla1[[#This Row],[PPTO]]/(1+'Lista Datos'!$B$1)</f>
        <v>0</v>
      </c>
      <c r="V1213" s="67"/>
      <c r="W1213" s="193"/>
      <c r="X1213" s="127"/>
      <c r="Y1213" s="127"/>
      <c r="Z1213" s="154"/>
      <c r="AA1213" s="30"/>
      <c r="AB1213" s="30"/>
      <c r="AC1213" s="30"/>
      <c r="AD1213" s="30"/>
      <c r="AE1213" s="145">
        <f>Tabla1[[#This Row],[Cierre]]+Tabla1[[#This Row],[Vigencia Oferta (días)]]</f>
        <v>45264.632638888899</v>
      </c>
      <c r="AF1213" s="68"/>
      <c r="AG1213" s="157"/>
      <c r="AH1213" s="194">
        <f>Tabla1[[#This Row],[Unidades2]]*Tabla1[[#This Row],[Precio Unitario]]</f>
        <v>0</v>
      </c>
      <c r="AI1213" s="97" t="s">
        <v>270</v>
      </c>
      <c r="AJ1213" s="149"/>
      <c r="AK1213" s="149">
        <f>Tabla1[[#This Row],[Fecha Vigencia]]-AJ1213</f>
        <v>45264.632638888899</v>
      </c>
      <c r="AL1213" s="68"/>
      <c r="AM1213" s="91"/>
      <c r="AN1213" s="68"/>
      <c r="AO1213" s="218"/>
      <c r="AP1213" s="68"/>
      <c r="AQ1213" s="69"/>
      <c r="AR1213" s="68"/>
      <c r="AS1213" s="68"/>
      <c r="AT1213" s="68"/>
      <c r="AU1213" s="68"/>
      <c r="AV1213" s="68"/>
      <c r="AW1213" s="68"/>
      <c r="AX1213" s="68"/>
      <c r="AY1213" s="30"/>
      <c r="AZ1213" s="30"/>
      <c r="BA1213" s="30"/>
      <c r="BB1213" s="75"/>
    </row>
    <row r="1214" spans="1:54" x14ac:dyDescent="0.25">
      <c r="A1214" s="153" t="s">
        <v>5673</v>
      </c>
      <c r="B1214" s="30" t="s">
        <v>5245</v>
      </c>
      <c r="C1214" s="30" t="s">
        <v>5674</v>
      </c>
      <c r="D1214" s="84" t="s">
        <v>5583</v>
      </c>
      <c r="E1214" s="24" t="s">
        <v>5675</v>
      </c>
      <c r="F1214" s="25">
        <v>2</v>
      </c>
      <c r="G1214" s="30" t="s">
        <v>21</v>
      </c>
      <c r="H1214" s="30" t="s">
        <v>106</v>
      </c>
      <c r="I1214" s="203">
        <v>45257.562656053196</v>
      </c>
      <c r="J1214" s="121">
        <v>45264.645833333299</v>
      </c>
      <c r="K1214" s="121">
        <v>45257.562656053196</v>
      </c>
      <c r="L1214" s="203">
        <v>45264.645833333299</v>
      </c>
      <c r="M1214" s="204">
        <v>45258</v>
      </c>
      <c r="N1214" s="205" t="s">
        <v>11</v>
      </c>
      <c r="O1214" s="203"/>
      <c r="P1214" s="24"/>
      <c r="Q1214" s="160">
        <v>45258.666666666664</v>
      </c>
      <c r="R1214" s="160">
        <v>45259.416666666664</v>
      </c>
      <c r="S1214" s="161">
        <v>45280.747916666667</v>
      </c>
      <c r="T1214" s="24"/>
      <c r="U1214" s="68">
        <f>Tabla1[[#This Row],[PPTO]]/(1+'Lista Datos'!$B$1)</f>
        <v>0</v>
      </c>
      <c r="V1214" s="67"/>
      <c r="W1214" s="193" t="s">
        <v>10</v>
      </c>
      <c r="X1214" s="127"/>
      <c r="Y1214" s="127"/>
      <c r="Z1214" s="154" t="s">
        <v>10</v>
      </c>
      <c r="AA1214" s="30" t="s">
        <v>512</v>
      </c>
      <c r="AB1214" s="30"/>
      <c r="AC1214" s="30"/>
      <c r="AD1214" s="30"/>
      <c r="AE1214" s="145">
        <f>Tabla1[[#This Row],[Cierre]]+Tabla1[[#This Row],[Vigencia Oferta (días)]]</f>
        <v>45264.645833333299</v>
      </c>
      <c r="AF1214" s="68"/>
      <c r="AG1214" s="157"/>
      <c r="AH1214" s="194">
        <f>Tabla1[[#This Row],[Unidades2]]*Tabla1[[#This Row],[Precio Unitario]]</f>
        <v>0</v>
      </c>
      <c r="AI1214" s="97" t="s">
        <v>270</v>
      </c>
      <c r="AJ1214" s="149"/>
      <c r="AK1214" s="149">
        <f>Tabla1[[#This Row],[Fecha Vigencia]]-AJ1214</f>
        <v>45264.645833333299</v>
      </c>
      <c r="AL1214" s="68"/>
      <c r="AM1214" s="91"/>
      <c r="AN1214" s="68"/>
      <c r="AO1214" s="218"/>
      <c r="AP1214" s="68"/>
      <c r="AQ1214" s="69"/>
      <c r="AR1214" s="68"/>
      <c r="AS1214" s="68"/>
      <c r="AT1214" s="68"/>
      <c r="AU1214" s="68"/>
      <c r="AV1214" s="68"/>
      <c r="AW1214" s="68"/>
      <c r="AX1214" s="68"/>
      <c r="AY1214" s="30"/>
      <c r="AZ1214" s="30"/>
      <c r="BA1214" s="30"/>
      <c r="BB1214" s="75"/>
    </row>
    <row r="1215" spans="1:54" x14ac:dyDescent="0.25">
      <c r="A1215" s="153" t="s">
        <v>5676</v>
      </c>
      <c r="B1215" s="30" t="s">
        <v>5677</v>
      </c>
      <c r="C1215" s="30" t="s">
        <v>5678</v>
      </c>
      <c r="D1215" s="84" t="s">
        <v>994</v>
      </c>
      <c r="E1215" s="24" t="s">
        <v>5679</v>
      </c>
      <c r="F1215" s="25">
        <v>36</v>
      </c>
      <c r="G1215" s="30" t="s">
        <v>21</v>
      </c>
      <c r="H1215" s="30" t="s">
        <v>106</v>
      </c>
      <c r="I1215" s="203">
        <v>45257.446450347197</v>
      </c>
      <c r="J1215" s="121">
        <v>45267.625</v>
      </c>
      <c r="K1215" s="121">
        <v>45257.446450347197</v>
      </c>
      <c r="L1215" s="203">
        <v>45267.625</v>
      </c>
      <c r="M1215" s="204">
        <v>45258</v>
      </c>
      <c r="N1215" s="205" t="s">
        <v>10</v>
      </c>
      <c r="O1215" s="203" t="s">
        <v>27</v>
      </c>
      <c r="P1215" s="24"/>
      <c r="Q1215" s="60"/>
      <c r="R1215" s="60"/>
      <c r="S1215" s="18"/>
      <c r="T1215" s="24"/>
      <c r="U1215" s="68">
        <f>Tabla1[[#This Row],[PPTO]]/(1+'Lista Datos'!$B$1)</f>
        <v>0</v>
      </c>
      <c r="V1215" s="67"/>
      <c r="W1215" s="193"/>
      <c r="X1215" s="127"/>
      <c r="Y1215" s="127"/>
      <c r="Z1215" s="154"/>
      <c r="AA1215" s="30" t="s">
        <v>177</v>
      </c>
      <c r="AB1215" s="30">
        <v>12</v>
      </c>
      <c r="AC1215" s="30"/>
      <c r="AD1215" s="30"/>
      <c r="AE1215" s="145">
        <f>Tabla1[[#This Row],[Cierre]]+Tabla1[[#This Row],[Vigencia Oferta (días)]]</f>
        <v>45267.625</v>
      </c>
      <c r="AF1215" s="68"/>
      <c r="AG1215" s="157"/>
      <c r="AH1215" s="194">
        <f>Tabla1[[#This Row],[Unidades2]]*Tabla1[[#This Row],[Precio Unitario]]</f>
        <v>0</v>
      </c>
      <c r="AI1215" s="97" t="s">
        <v>270</v>
      </c>
      <c r="AJ1215" s="149"/>
      <c r="AK1215" s="149">
        <f>Tabla1[[#This Row],[Fecha Vigencia]]-AJ1215</f>
        <v>45267.625</v>
      </c>
      <c r="AL1215" s="68"/>
      <c r="AM1215" s="91"/>
      <c r="AN1215" s="68"/>
      <c r="AO1215" s="218"/>
      <c r="AP1215" s="68"/>
      <c r="AQ1215" s="69"/>
      <c r="AR1215" s="68"/>
      <c r="AS1215" s="68"/>
      <c r="AT1215" s="68"/>
      <c r="AU1215" s="68"/>
      <c r="AV1215" s="68"/>
      <c r="AW1215" s="68"/>
      <c r="AX1215" s="68"/>
      <c r="AY1215" s="30"/>
      <c r="AZ1215" s="30"/>
      <c r="BA1215" s="30"/>
      <c r="BB1215" s="75"/>
    </row>
    <row r="1216" spans="1:54" x14ac:dyDescent="0.25">
      <c r="A1216" s="117" t="s">
        <v>5680</v>
      </c>
      <c r="B1216" s="118" t="s">
        <v>5681</v>
      </c>
      <c r="C1216" s="118" t="s">
        <v>5682</v>
      </c>
      <c r="D1216" s="119" t="s">
        <v>405</v>
      </c>
      <c r="E1216" s="38" t="s">
        <v>5683</v>
      </c>
      <c r="F1216" s="39" t="s">
        <v>5684</v>
      </c>
      <c r="G1216" s="118" t="s">
        <v>21</v>
      </c>
      <c r="H1216" s="118" t="s">
        <v>106</v>
      </c>
      <c r="I1216" s="206">
        <v>45257.3893854977</v>
      </c>
      <c r="J1216" s="121">
        <v>45265.6027777778</v>
      </c>
      <c r="K1216" s="121">
        <v>45257.3893854977</v>
      </c>
      <c r="L1216" s="206">
        <v>45265.6027777778</v>
      </c>
      <c r="M1216" s="211">
        <v>45258</v>
      </c>
      <c r="N1216" s="207" t="s">
        <v>10</v>
      </c>
      <c r="O1216" s="206" t="s">
        <v>35</v>
      </c>
      <c r="P1216" s="236" t="s">
        <v>11</v>
      </c>
      <c r="Q1216" s="147">
        <v>45260.626388888886</v>
      </c>
      <c r="R1216" s="147">
        <v>45261.626388888886</v>
      </c>
      <c r="S1216" s="148">
        <v>45279.603472222225</v>
      </c>
      <c r="T1216" s="215">
        <v>35677152</v>
      </c>
      <c r="U1216" s="214">
        <f>Tabla1[[#This Row],[PPTO]]/(1+'Lista Datos'!$B$1)</f>
        <v>29980800</v>
      </c>
      <c r="V1216" s="64"/>
      <c r="W1216" s="191" t="s">
        <v>10</v>
      </c>
      <c r="X1216" s="122"/>
      <c r="Y1216" s="122"/>
      <c r="Z1216" s="123" t="s">
        <v>10</v>
      </c>
      <c r="AA1216" s="118" t="s">
        <v>512</v>
      </c>
      <c r="AB1216" s="118"/>
      <c r="AC1216" s="118"/>
      <c r="AD1216" s="118"/>
      <c r="AE1216" s="145">
        <f>Tabla1[[#This Row],[Cierre]]+Tabla1[[#This Row],[Vigencia Oferta (días)]]</f>
        <v>45265.6027777778</v>
      </c>
      <c r="AF1216" s="65"/>
      <c r="AG1216" s="181"/>
      <c r="AH1216" s="192">
        <f>Tabla1[[#This Row],[Unidades2]]*Tabla1[[#This Row],[Precio Unitario]]</f>
        <v>0</v>
      </c>
      <c r="AI1216" s="126" t="s">
        <v>270</v>
      </c>
      <c r="AJ1216" s="149"/>
      <c r="AK1216" s="149">
        <f>Tabla1[[#This Row],[Fecha Vigencia]]-AJ1216</f>
        <v>45265.6027777778</v>
      </c>
      <c r="AL1216" s="65"/>
      <c r="AM1216" s="90"/>
      <c r="AN1216" s="65"/>
      <c r="AO1216" s="217"/>
      <c r="AP1216" s="65"/>
      <c r="AQ1216" s="66"/>
      <c r="AR1216" s="65"/>
      <c r="AS1216" s="65"/>
      <c r="AT1216" s="65"/>
      <c r="AU1216" s="65"/>
      <c r="AV1216" s="65"/>
      <c r="AW1216" s="65"/>
      <c r="AX1216" s="65"/>
      <c r="AY1216" s="118"/>
      <c r="AZ1216" s="118"/>
      <c r="BA1216" s="118"/>
      <c r="BB1216" s="124"/>
    </row>
    <row r="1217" spans="1:54" x14ac:dyDescent="0.25">
      <c r="A1217" s="153" t="s">
        <v>5685</v>
      </c>
      <c r="B1217" s="30" t="s">
        <v>5686</v>
      </c>
      <c r="C1217" s="30" t="s">
        <v>5687</v>
      </c>
      <c r="D1217" s="84" t="s">
        <v>4810</v>
      </c>
      <c r="E1217" s="24" t="s">
        <v>5688</v>
      </c>
      <c r="F1217" s="25">
        <v>1</v>
      </c>
      <c r="G1217" s="30" t="s">
        <v>16</v>
      </c>
      <c r="H1217" s="30" t="s">
        <v>1983</v>
      </c>
      <c r="I1217" s="203">
        <v>45258.795072303197</v>
      </c>
      <c r="J1217" s="38">
        <v>45271.666666666701</v>
      </c>
      <c r="K1217" s="38">
        <v>45258.795072303197</v>
      </c>
      <c r="L1217" s="203">
        <v>45271.666666666701</v>
      </c>
      <c r="M1217" s="204">
        <v>45259</v>
      </c>
      <c r="N1217" s="205" t="s">
        <v>10</v>
      </c>
      <c r="O1217" s="203" t="s">
        <v>5302</v>
      </c>
      <c r="P1217" s="24"/>
      <c r="Q1217" s="60"/>
      <c r="R1217" s="60"/>
      <c r="S1217" s="18"/>
      <c r="T1217" s="24"/>
      <c r="U1217" s="68">
        <f>Tabla1[[#This Row],[PPTO]]/(1+'Lista Datos'!$B$1)</f>
        <v>0</v>
      </c>
      <c r="V1217" s="67"/>
      <c r="W1217" s="193"/>
      <c r="X1217" s="127"/>
      <c r="Y1217" s="127"/>
      <c r="Z1217" s="154"/>
      <c r="AA1217" s="30"/>
      <c r="AB1217" s="30"/>
      <c r="AC1217" s="30"/>
      <c r="AD1217" s="30"/>
      <c r="AE1217" s="145">
        <f>Tabla1[[#This Row],[Cierre]]+Tabla1[[#This Row],[Vigencia Oferta (días)]]</f>
        <v>45271.666666666701</v>
      </c>
      <c r="AF1217" s="68"/>
      <c r="AG1217" s="157"/>
      <c r="AH1217" s="194">
        <f>Tabla1[[#This Row],[Unidades2]]*Tabla1[[#This Row],[Precio Unitario]]</f>
        <v>0</v>
      </c>
      <c r="AI1217" s="97" t="s">
        <v>270</v>
      </c>
      <c r="AJ1217" s="149"/>
      <c r="AK1217" s="149">
        <f>Tabla1[[#This Row],[Fecha Vigencia]]-AJ1217</f>
        <v>45271.666666666701</v>
      </c>
      <c r="AL1217" s="68"/>
      <c r="AM1217" s="91"/>
      <c r="AN1217" s="68"/>
      <c r="AO1217" s="218"/>
      <c r="AP1217" s="68"/>
      <c r="AQ1217" s="69"/>
      <c r="AR1217" s="68"/>
      <c r="AS1217" s="68"/>
      <c r="AT1217" s="68"/>
      <c r="AU1217" s="68"/>
      <c r="AV1217" s="68"/>
      <c r="AW1217" s="68"/>
      <c r="AX1217" s="68"/>
      <c r="AY1217" s="30"/>
      <c r="AZ1217" s="30"/>
      <c r="BA1217" s="30"/>
      <c r="BB1217" s="75"/>
    </row>
    <row r="1218" spans="1:54" x14ac:dyDescent="0.25">
      <c r="A1218" s="117" t="s">
        <v>5689</v>
      </c>
      <c r="B1218" s="118" t="s">
        <v>5690</v>
      </c>
      <c r="C1218" s="118" t="s">
        <v>5690</v>
      </c>
      <c r="D1218" s="119" t="s">
        <v>1836</v>
      </c>
      <c r="E1218" s="38" t="s">
        <v>5691</v>
      </c>
      <c r="F1218" s="39">
        <v>10</v>
      </c>
      <c r="G1218" s="118" t="s">
        <v>16</v>
      </c>
      <c r="H1218" s="118" t="s">
        <v>1596</v>
      </c>
      <c r="I1218" s="206">
        <v>45258.443247916701</v>
      </c>
      <c r="J1218" s="121">
        <v>45271.666666666701</v>
      </c>
      <c r="K1218" s="121">
        <v>45258.443247916701</v>
      </c>
      <c r="L1218" s="206">
        <v>45271.666666666701</v>
      </c>
      <c r="M1218" s="211">
        <v>45259</v>
      </c>
      <c r="N1218" s="207" t="s">
        <v>10</v>
      </c>
      <c r="O1218" s="206" t="s">
        <v>25</v>
      </c>
      <c r="P1218" s="38"/>
      <c r="Q1218" s="147">
        <v>45259.729166666664</v>
      </c>
      <c r="R1218" s="147">
        <v>45260.729166666664</v>
      </c>
      <c r="S1218" s="148">
        <v>45412.729166666664</v>
      </c>
      <c r="T1218" s="230">
        <v>16065000</v>
      </c>
      <c r="U1218" s="231">
        <f>Tabla1[[#This Row],[PPTO]]/(1+'Lista Datos'!$B$1)</f>
        <v>13500000</v>
      </c>
      <c r="V1218" s="64"/>
      <c r="W1218" s="191" t="s">
        <v>10</v>
      </c>
      <c r="X1218" s="122"/>
      <c r="Y1218" s="122"/>
      <c r="Z1218" s="123" t="s">
        <v>10</v>
      </c>
      <c r="AA1218" s="118" t="s">
        <v>512</v>
      </c>
      <c r="AB1218" s="118"/>
      <c r="AC1218" s="118"/>
      <c r="AD1218" s="118"/>
      <c r="AE1218" s="145">
        <f>Tabla1[[#This Row],[Cierre]]+Tabla1[[#This Row],[Vigencia Oferta (días)]]</f>
        <v>45271.666666666701</v>
      </c>
      <c r="AF1218" s="65"/>
      <c r="AG1218" s="181"/>
      <c r="AH1218" s="192">
        <f>Tabla1[[#This Row],[Unidades2]]*Tabla1[[#This Row],[Precio Unitario]]</f>
        <v>0</v>
      </c>
      <c r="AI1218" s="126" t="s">
        <v>270</v>
      </c>
      <c r="AJ1218" s="149"/>
      <c r="AK1218" s="149">
        <f>Tabla1[[#This Row],[Fecha Vigencia]]-AJ1218</f>
        <v>45271.666666666701</v>
      </c>
      <c r="AL1218" s="65"/>
      <c r="AM1218" s="90"/>
      <c r="AN1218" s="65"/>
      <c r="AO1218" s="217"/>
      <c r="AP1218" s="65"/>
      <c r="AQ1218" s="66"/>
      <c r="AR1218" s="65"/>
      <c r="AS1218" s="65"/>
      <c r="AT1218" s="65"/>
      <c r="AU1218" s="65"/>
      <c r="AV1218" s="65"/>
      <c r="AW1218" s="65"/>
      <c r="AX1218" s="65"/>
      <c r="AY1218" s="118"/>
      <c r="AZ1218" s="118"/>
      <c r="BA1218" s="118"/>
      <c r="BB1218" s="124"/>
    </row>
    <row r="1219" spans="1:54" x14ac:dyDescent="0.25">
      <c r="A1219" s="117" t="s">
        <v>5692</v>
      </c>
      <c r="B1219" s="118" t="s">
        <v>5693</v>
      </c>
      <c r="C1219" s="118" t="s">
        <v>5694</v>
      </c>
      <c r="D1219" s="119" t="s">
        <v>1183</v>
      </c>
      <c r="E1219" s="38" t="s">
        <v>5695</v>
      </c>
      <c r="F1219" s="39">
        <v>1</v>
      </c>
      <c r="G1219" s="118" t="s">
        <v>21</v>
      </c>
      <c r="H1219" s="118" t="s">
        <v>106</v>
      </c>
      <c r="I1219" s="206">
        <v>45259.739966701403</v>
      </c>
      <c r="J1219" s="38">
        <v>45266.708333333299</v>
      </c>
      <c r="K1219" s="38">
        <v>45259.739966701403</v>
      </c>
      <c r="L1219" s="206">
        <v>45266.708333333299</v>
      </c>
      <c r="M1219" s="211">
        <v>45260</v>
      </c>
      <c r="N1219" s="207" t="s">
        <v>11</v>
      </c>
      <c r="O1219" s="206"/>
      <c r="P1219" s="237" t="s">
        <v>11</v>
      </c>
      <c r="Q1219" s="147">
        <v>45262.75</v>
      </c>
      <c r="R1219" s="147">
        <v>45264.666666666664</v>
      </c>
      <c r="S1219" s="148">
        <v>45287.625</v>
      </c>
      <c r="T1219" s="38"/>
      <c r="U1219" s="65">
        <f>Tabla1[[#This Row],[PPTO]]/(1+'Lista Datos'!$B$1)</f>
        <v>0</v>
      </c>
      <c r="V1219" s="64"/>
      <c r="W1219" s="191" t="s">
        <v>10</v>
      </c>
      <c r="X1219" s="122"/>
      <c r="Y1219" s="122"/>
      <c r="Z1219" s="123" t="s">
        <v>10</v>
      </c>
      <c r="AA1219" s="118" t="s">
        <v>512</v>
      </c>
      <c r="AB1219" s="118"/>
      <c r="AC1219" s="118"/>
      <c r="AD1219" s="118"/>
      <c r="AE1219" s="145">
        <f>Tabla1[[#This Row],[Cierre]]+Tabla1[[#This Row],[Vigencia Oferta (días)]]</f>
        <v>45266.708333333299</v>
      </c>
      <c r="AF1219" s="65"/>
      <c r="AG1219" s="181"/>
      <c r="AH1219" s="192">
        <f>Tabla1[[#This Row],[Unidades2]]*Tabla1[[#This Row],[Precio Unitario]]</f>
        <v>0</v>
      </c>
      <c r="AI1219" s="126" t="s">
        <v>270</v>
      </c>
      <c r="AJ1219" s="149"/>
      <c r="AK1219" s="149">
        <f>Tabla1[[#This Row],[Fecha Vigencia]]-AJ1219</f>
        <v>45266.708333333299</v>
      </c>
      <c r="AL1219" s="65"/>
      <c r="AM1219" s="90"/>
      <c r="AN1219" s="65"/>
      <c r="AO1219" s="217"/>
      <c r="AP1219" s="65"/>
      <c r="AQ1219" s="66"/>
      <c r="AR1219" s="65"/>
      <c r="AS1219" s="65"/>
      <c r="AT1219" s="65"/>
      <c r="AU1219" s="65"/>
      <c r="AV1219" s="65"/>
      <c r="AW1219" s="65"/>
      <c r="AX1219" s="65"/>
      <c r="AY1219" s="118"/>
      <c r="AZ1219" s="118"/>
      <c r="BA1219" s="118"/>
      <c r="BB1219" s="124"/>
    </row>
    <row r="1220" spans="1:54" x14ac:dyDescent="0.25">
      <c r="A1220" s="153" t="s">
        <v>5696</v>
      </c>
      <c r="B1220" s="30" t="s">
        <v>5697</v>
      </c>
      <c r="C1220" s="30" t="s">
        <v>5698</v>
      </c>
      <c r="D1220" s="84" t="s">
        <v>479</v>
      </c>
      <c r="E1220" s="24" t="s">
        <v>5699</v>
      </c>
      <c r="F1220" s="25">
        <v>34</v>
      </c>
      <c r="G1220" s="30" t="s">
        <v>21</v>
      </c>
      <c r="H1220" s="30" t="s">
        <v>106</v>
      </c>
      <c r="I1220" s="203">
        <v>45259.650074305602</v>
      </c>
      <c r="J1220" s="38">
        <v>45264.625</v>
      </c>
      <c r="K1220" s="38">
        <v>45259.650074305602</v>
      </c>
      <c r="L1220" s="203">
        <v>45264.625</v>
      </c>
      <c r="M1220" s="204">
        <v>45260</v>
      </c>
      <c r="N1220" s="205" t="s">
        <v>10</v>
      </c>
      <c r="O1220" s="203" t="s">
        <v>27</v>
      </c>
      <c r="P1220" s="24"/>
      <c r="Q1220" s="60"/>
      <c r="R1220" s="60"/>
      <c r="S1220" s="18"/>
      <c r="T1220" s="24"/>
      <c r="U1220" s="68">
        <f>Tabla1[[#This Row],[PPTO]]/(1+'Lista Datos'!$B$1)</f>
        <v>0</v>
      </c>
      <c r="V1220" s="67"/>
      <c r="W1220" s="193"/>
      <c r="X1220" s="127"/>
      <c r="Y1220" s="127"/>
      <c r="Z1220" s="154"/>
      <c r="AA1220" s="30"/>
      <c r="AB1220" s="30"/>
      <c r="AC1220" s="30"/>
      <c r="AD1220" s="30"/>
      <c r="AE1220" s="145">
        <f>Tabla1[[#This Row],[Cierre]]+Tabla1[[#This Row],[Vigencia Oferta (días)]]</f>
        <v>45264.625</v>
      </c>
      <c r="AF1220" s="68"/>
      <c r="AG1220" s="157"/>
      <c r="AH1220" s="194">
        <f>Tabla1[[#This Row],[Unidades2]]*Tabla1[[#This Row],[Precio Unitario]]</f>
        <v>0</v>
      </c>
      <c r="AI1220" s="97" t="s">
        <v>270</v>
      </c>
      <c r="AJ1220" s="149"/>
      <c r="AK1220" s="149">
        <f>Tabla1[[#This Row],[Fecha Vigencia]]-AJ1220</f>
        <v>45264.625</v>
      </c>
      <c r="AL1220" s="68"/>
      <c r="AM1220" s="91"/>
      <c r="AN1220" s="68"/>
      <c r="AO1220" s="218"/>
      <c r="AP1220" s="68"/>
      <c r="AQ1220" s="69"/>
      <c r="AR1220" s="68"/>
      <c r="AS1220" s="68"/>
      <c r="AT1220" s="68"/>
      <c r="AU1220" s="68"/>
      <c r="AV1220" s="68"/>
      <c r="AW1220" s="68"/>
      <c r="AX1220" s="68"/>
      <c r="AY1220" s="30"/>
      <c r="AZ1220" s="30"/>
      <c r="BA1220" s="30"/>
      <c r="BB1220" s="75"/>
    </row>
    <row r="1221" spans="1:54" x14ac:dyDescent="0.25">
      <c r="A1221" s="153" t="s">
        <v>5700</v>
      </c>
      <c r="B1221" s="30" t="s">
        <v>5701</v>
      </c>
      <c r="C1221" s="30" t="s">
        <v>5702</v>
      </c>
      <c r="D1221" s="84" t="s">
        <v>5417</v>
      </c>
      <c r="E1221" s="24" t="s">
        <v>5448</v>
      </c>
      <c r="F1221" s="25">
        <v>1</v>
      </c>
      <c r="G1221" s="30" t="s">
        <v>21</v>
      </c>
      <c r="H1221" s="30" t="s">
        <v>106</v>
      </c>
      <c r="I1221" s="203">
        <v>45259.635952511599</v>
      </c>
      <c r="J1221" s="121">
        <v>45265.375</v>
      </c>
      <c r="K1221" s="121">
        <v>45259.635952511599</v>
      </c>
      <c r="L1221" s="203">
        <v>45265.375</v>
      </c>
      <c r="M1221" s="204">
        <v>45260</v>
      </c>
      <c r="N1221" s="205" t="s">
        <v>10</v>
      </c>
      <c r="O1221" s="203" t="s">
        <v>5327</v>
      </c>
      <c r="P1221" s="24"/>
      <c r="Q1221" s="160">
        <v>45261.354166666664</v>
      </c>
      <c r="R1221" s="160">
        <v>45261.666666666664</v>
      </c>
      <c r="S1221" s="161">
        <v>45267.645833333336</v>
      </c>
      <c r="T1221" s="24"/>
      <c r="U1221" s="68">
        <f>Tabla1[[#This Row],[PPTO]]/(1+'Lista Datos'!$B$1)</f>
        <v>0</v>
      </c>
      <c r="V1221" s="67"/>
      <c r="W1221" s="193" t="s">
        <v>10</v>
      </c>
      <c r="X1221" s="127"/>
      <c r="Y1221" s="127"/>
      <c r="Z1221" s="154" t="s">
        <v>10</v>
      </c>
      <c r="AA1221" s="30" t="s">
        <v>512</v>
      </c>
      <c r="AB1221" s="30"/>
      <c r="AC1221" s="30"/>
      <c r="AD1221" s="30"/>
      <c r="AE1221" s="145">
        <f>Tabla1[[#This Row],[Cierre]]+Tabla1[[#This Row],[Vigencia Oferta (días)]]</f>
        <v>45265.375</v>
      </c>
      <c r="AF1221" s="68"/>
      <c r="AG1221" s="157"/>
      <c r="AH1221" s="194">
        <f>Tabla1[[#This Row],[Unidades2]]*Tabla1[[#This Row],[Precio Unitario]]</f>
        <v>0</v>
      </c>
      <c r="AI1221" s="97" t="s">
        <v>270</v>
      </c>
      <c r="AJ1221" s="149"/>
      <c r="AK1221" s="149">
        <f>Tabla1[[#This Row],[Fecha Vigencia]]-AJ1221</f>
        <v>45265.375</v>
      </c>
      <c r="AL1221" s="68"/>
      <c r="AM1221" s="91"/>
      <c r="AN1221" s="68"/>
      <c r="AO1221" s="218"/>
      <c r="AP1221" s="68"/>
      <c r="AQ1221" s="69"/>
      <c r="AR1221" s="68"/>
      <c r="AS1221" s="68"/>
      <c r="AT1221" s="68"/>
      <c r="AU1221" s="68"/>
      <c r="AV1221" s="68"/>
      <c r="AW1221" s="68"/>
      <c r="AX1221" s="68"/>
      <c r="AY1221" s="30"/>
      <c r="AZ1221" s="30"/>
      <c r="BA1221" s="30"/>
      <c r="BB1221" s="75"/>
    </row>
    <row r="1222" spans="1:54" x14ac:dyDescent="0.25">
      <c r="A1222" s="153" t="s">
        <v>5703</v>
      </c>
      <c r="B1222" s="30" t="s">
        <v>5704</v>
      </c>
      <c r="C1222" s="30" t="s">
        <v>5705</v>
      </c>
      <c r="D1222" s="84" t="s">
        <v>3587</v>
      </c>
      <c r="E1222" s="24" t="s">
        <v>5706</v>
      </c>
      <c r="F1222" s="25">
        <v>1</v>
      </c>
      <c r="G1222" s="30" t="s">
        <v>18</v>
      </c>
      <c r="H1222" s="30" t="s">
        <v>213</v>
      </c>
      <c r="I1222" s="203">
        <v>45259.478059606503</v>
      </c>
      <c r="J1222" s="121">
        <v>45272.708333333299</v>
      </c>
      <c r="K1222" s="121">
        <v>45259.478059606503</v>
      </c>
      <c r="L1222" s="203">
        <v>45272.708333333299</v>
      </c>
      <c r="M1222" s="204">
        <v>45260</v>
      </c>
      <c r="N1222" s="205" t="s">
        <v>10</v>
      </c>
      <c r="O1222" s="203" t="s">
        <v>28</v>
      </c>
      <c r="P1222" s="24"/>
      <c r="Q1222" s="60"/>
      <c r="R1222" s="60"/>
      <c r="S1222" s="18"/>
      <c r="T1222" s="24"/>
      <c r="U1222" s="68">
        <f>Tabla1[[#This Row],[PPTO]]/(1+'Lista Datos'!$B$1)</f>
        <v>0</v>
      </c>
      <c r="V1222" s="67"/>
      <c r="W1222" s="193"/>
      <c r="X1222" s="127"/>
      <c r="Y1222" s="127"/>
      <c r="Z1222" s="154"/>
      <c r="AA1222" s="30"/>
      <c r="AB1222" s="30"/>
      <c r="AC1222" s="30"/>
      <c r="AD1222" s="30"/>
      <c r="AE1222" s="145">
        <f>Tabla1[[#This Row],[Cierre]]+Tabla1[[#This Row],[Vigencia Oferta (días)]]</f>
        <v>45272.708333333299</v>
      </c>
      <c r="AF1222" s="68"/>
      <c r="AG1222" s="157"/>
      <c r="AH1222" s="194">
        <f>Tabla1[[#This Row],[Unidades2]]*Tabla1[[#This Row],[Precio Unitario]]</f>
        <v>0</v>
      </c>
      <c r="AI1222" s="97" t="s">
        <v>270</v>
      </c>
      <c r="AJ1222" s="149"/>
      <c r="AK1222" s="149">
        <f>Tabla1[[#This Row],[Fecha Vigencia]]-AJ1222</f>
        <v>45272.708333333299</v>
      </c>
      <c r="AL1222" s="68"/>
      <c r="AM1222" s="91"/>
      <c r="AN1222" s="68"/>
      <c r="AO1222" s="218"/>
      <c r="AP1222" s="68"/>
      <c r="AQ1222" s="69"/>
      <c r="AR1222" s="68"/>
      <c r="AS1222" s="68"/>
      <c r="AT1222" s="68"/>
      <c r="AU1222" s="68"/>
      <c r="AV1222" s="68"/>
      <c r="AW1222" s="68"/>
      <c r="AX1222" s="68"/>
      <c r="AY1222" s="30"/>
      <c r="AZ1222" s="30"/>
      <c r="BA1222" s="30"/>
      <c r="BB1222" s="75"/>
    </row>
    <row r="1223" spans="1:54" x14ac:dyDescent="0.25">
      <c r="A1223" s="117" t="s">
        <v>5707</v>
      </c>
      <c r="B1223" s="118" t="s">
        <v>5708</v>
      </c>
      <c r="C1223" s="118" t="s">
        <v>5709</v>
      </c>
      <c r="D1223" s="119" t="s">
        <v>5710</v>
      </c>
      <c r="E1223" s="38" t="s">
        <v>5711</v>
      </c>
      <c r="F1223" s="39">
        <v>1</v>
      </c>
      <c r="G1223" s="118" t="s">
        <v>16</v>
      </c>
      <c r="H1223" s="118" t="s">
        <v>533</v>
      </c>
      <c r="I1223" s="206">
        <v>45259.457226585597</v>
      </c>
      <c r="J1223" s="121">
        <v>45272.416666666701</v>
      </c>
      <c r="K1223" s="121">
        <v>45259.457226585597</v>
      </c>
      <c r="L1223" s="206">
        <v>45272.416666666701</v>
      </c>
      <c r="M1223" s="211">
        <v>45260</v>
      </c>
      <c r="N1223" s="207" t="s">
        <v>10</v>
      </c>
      <c r="O1223" s="206" t="s">
        <v>25</v>
      </c>
      <c r="P1223" s="38"/>
      <c r="Q1223" s="147">
        <v>45265.609722222223</v>
      </c>
      <c r="R1223" s="147">
        <v>45266.609722222223</v>
      </c>
      <c r="S1223" s="148">
        <v>45280.77847222222</v>
      </c>
      <c r="T1223" s="38"/>
      <c r="U1223" s="65">
        <f>Tabla1[[#This Row],[PPTO]]/(1+'Lista Datos'!$B$1)</f>
        <v>0</v>
      </c>
      <c r="V1223" s="64"/>
      <c r="W1223" s="191" t="s">
        <v>10</v>
      </c>
      <c r="X1223" s="122"/>
      <c r="Y1223" s="122"/>
      <c r="Z1223" s="123" t="s">
        <v>10</v>
      </c>
      <c r="AA1223" s="118" t="s">
        <v>177</v>
      </c>
      <c r="AB1223" s="118"/>
      <c r="AC1223" s="118"/>
      <c r="AD1223" s="118"/>
      <c r="AE1223" s="145">
        <f>Tabla1[[#This Row],[Cierre]]+Tabla1[[#This Row],[Vigencia Oferta (días)]]</f>
        <v>45272.416666666701</v>
      </c>
      <c r="AF1223" s="65"/>
      <c r="AG1223" s="181"/>
      <c r="AH1223" s="192">
        <f>Tabla1[[#This Row],[Unidades2]]*Tabla1[[#This Row],[Precio Unitario]]</f>
        <v>0</v>
      </c>
      <c r="AI1223" s="126" t="s">
        <v>270</v>
      </c>
      <c r="AJ1223" s="149"/>
      <c r="AK1223" s="149">
        <f>Tabla1[[#This Row],[Fecha Vigencia]]-AJ1223</f>
        <v>45272.416666666701</v>
      </c>
      <c r="AL1223" s="65"/>
      <c r="AM1223" s="90"/>
      <c r="AN1223" s="65"/>
      <c r="AO1223" s="217"/>
      <c r="AP1223" s="65"/>
      <c r="AQ1223" s="66"/>
      <c r="AR1223" s="65"/>
      <c r="AS1223" s="65"/>
      <c r="AT1223" s="65"/>
      <c r="AU1223" s="65"/>
      <c r="AV1223" s="65"/>
      <c r="AW1223" s="65"/>
      <c r="AX1223" s="65"/>
      <c r="AY1223" s="118"/>
      <c r="AZ1223" s="118"/>
      <c r="BA1223" s="118"/>
      <c r="BB1223" s="124"/>
    </row>
    <row r="1224" spans="1:54" x14ac:dyDescent="0.25">
      <c r="A1224" s="117" t="s">
        <v>5712</v>
      </c>
      <c r="B1224" s="118" t="s">
        <v>5713</v>
      </c>
      <c r="C1224" s="118" t="s">
        <v>5714</v>
      </c>
      <c r="D1224" s="119" t="s">
        <v>3109</v>
      </c>
      <c r="E1224" s="38" t="s">
        <v>5714</v>
      </c>
      <c r="F1224" s="39">
        <v>4</v>
      </c>
      <c r="G1224" s="118" t="s">
        <v>21</v>
      </c>
      <c r="H1224" s="118" t="s">
        <v>106</v>
      </c>
      <c r="I1224" s="206">
        <v>45257.422881944447</v>
      </c>
      <c r="J1224" s="38">
        <f>MONTH(Tabla1[[#This Row],[Publicación]])</f>
        <v>11</v>
      </c>
      <c r="K1224" s="38">
        <f>YEAR(Tabla1[[#This Row],[Publicación]])</f>
        <v>2023</v>
      </c>
      <c r="L1224" s="206">
        <v>45264.708333333336</v>
      </c>
      <c r="M1224" s="211">
        <v>45261</v>
      </c>
      <c r="N1224" s="207" t="s">
        <v>10</v>
      </c>
      <c r="O1224" s="206" t="s">
        <v>5327</v>
      </c>
      <c r="P1224" s="38"/>
      <c r="Q1224" s="147">
        <v>45260.654861111114</v>
      </c>
      <c r="R1224" s="147">
        <v>45261.666666666664</v>
      </c>
      <c r="S1224" s="148">
        <v>45275.708333333336</v>
      </c>
      <c r="T1224" s="215">
        <v>3000000</v>
      </c>
      <c r="U1224" s="214">
        <f>Tabla1[[#This Row],[PPTO]]/(1+'Lista Datos'!$B$1)</f>
        <v>2521008.4033613447</v>
      </c>
      <c r="V1224" s="64"/>
      <c r="W1224" s="191" t="s">
        <v>10</v>
      </c>
      <c r="X1224" s="122"/>
      <c r="Y1224" s="122"/>
      <c r="Z1224" s="123" t="s">
        <v>10</v>
      </c>
      <c r="AA1224" s="118" t="s">
        <v>512</v>
      </c>
      <c r="AB1224" s="118"/>
      <c r="AC1224" s="118"/>
      <c r="AD1224" s="118"/>
      <c r="AE1224" s="145">
        <f>Tabla1[[#This Row],[Cierre]]+Tabla1[[#This Row],[Vigencia Oferta (días)]]</f>
        <v>45264.708333333336</v>
      </c>
      <c r="AF1224" s="65"/>
      <c r="AG1224" s="181"/>
      <c r="AH1224" s="192">
        <f>Tabla1[[#This Row],[Unidades2]]*Tabla1[[#This Row],[Precio Unitario]]</f>
        <v>0</v>
      </c>
      <c r="AI1224" s="126" t="s">
        <v>270</v>
      </c>
      <c r="AJ1224" s="149"/>
      <c r="AK1224" s="149">
        <f>Tabla1[[#This Row],[Fecha Vigencia]]-AJ1224</f>
        <v>45264.708333333336</v>
      </c>
      <c r="AL1224" s="65"/>
      <c r="AM1224" s="90"/>
      <c r="AN1224" s="65"/>
      <c r="AO1224" s="217"/>
      <c r="AP1224" s="65"/>
      <c r="AQ1224" s="66"/>
      <c r="AR1224" s="65"/>
      <c r="AS1224" s="65"/>
      <c r="AT1224" s="65"/>
      <c r="AU1224" s="65"/>
      <c r="AV1224" s="65"/>
      <c r="AW1224" s="65"/>
      <c r="AX1224" s="65"/>
      <c r="AY1224" s="118"/>
      <c r="AZ1224" s="118"/>
      <c r="BA1224" s="118"/>
      <c r="BB1224" s="124"/>
    </row>
    <row r="1225" spans="1:54" x14ac:dyDescent="0.25">
      <c r="A1225" s="117" t="s">
        <v>5715</v>
      </c>
      <c r="B1225" s="118" t="s">
        <v>4984</v>
      </c>
      <c r="C1225" s="118" t="s">
        <v>5716</v>
      </c>
      <c r="D1225" s="119" t="s">
        <v>198</v>
      </c>
      <c r="E1225" s="38" t="s">
        <v>4987</v>
      </c>
      <c r="F1225" s="39">
        <v>1</v>
      </c>
      <c r="G1225" s="118" t="s">
        <v>18</v>
      </c>
      <c r="H1225" s="118" t="s">
        <v>213</v>
      </c>
      <c r="I1225" s="206">
        <v>45258.744606481479</v>
      </c>
      <c r="J1225" s="38">
        <f>MONTH(Tabla1[[#This Row],[Publicación]])</f>
        <v>11</v>
      </c>
      <c r="K1225" s="38">
        <f>YEAR(Tabla1[[#This Row],[Publicación]])</f>
        <v>2023</v>
      </c>
      <c r="L1225" s="206">
        <v>45288.75</v>
      </c>
      <c r="M1225" s="211">
        <v>45261</v>
      </c>
      <c r="N1225" s="207" t="s">
        <v>10</v>
      </c>
      <c r="O1225" s="206" t="s">
        <v>28</v>
      </c>
      <c r="P1225" s="38"/>
      <c r="Q1225" s="147">
        <v>45272.5</v>
      </c>
      <c r="R1225" s="147">
        <v>45279.5</v>
      </c>
      <c r="S1225" s="148">
        <v>45379.42083333333</v>
      </c>
      <c r="T1225" s="215">
        <v>476830000</v>
      </c>
      <c r="U1225" s="214">
        <f>Tabla1[[#This Row],[PPTO]]/(1+'Lista Datos'!$B$1)</f>
        <v>400697478.99159664</v>
      </c>
      <c r="V1225" s="64"/>
      <c r="W1225" s="191" t="s">
        <v>11</v>
      </c>
      <c r="X1225" s="122" t="s">
        <v>3659</v>
      </c>
      <c r="Y1225" s="149">
        <v>45439</v>
      </c>
      <c r="Z1225" s="123" t="s">
        <v>2783</v>
      </c>
      <c r="AA1225" s="118" t="s">
        <v>177</v>
      </c>
      <c r="AB1225" s="118"/>
      <c r="AC1225" s="118"/>
      <c r="AD1225" s="118"/>
      <c r="AE1225" s="145">
        <f>Tabla1[[#This Row],[Cierre]]+Tabla1[[#This Row],[Vigencia Oferta (días)]]</f>
        <v>45288.75</v>
      </c>
      <c r="AF1225" s="65"/>
      <c r="AG1225" s="181"/>
      <c r="AH1225" s="192">
        <f>Tabla1[[#This Row],[Unidades2]]*Tabla1[[#This Row],[Precio Unitario]]</f>
        <v>0</v>
      </c>
      <c r="AI1225" s="126" t="s">
        <v>5099</v>
      </c>
      <c r="AJ1225" s="149"/>
      <c r="AK1225" s="149">
        <f>Tabla1[[#This Row],[Fecha Vigencia]]-AJ1225</f>
        <v>45288.75</v>
      </c>
      <c r="AL1225" s="65"/>
      <c r="AM1225" s="90"/>
      <c r="AN1225" s="65"/>
      <c r="AO1225" s="217"/>
      <c r="AP1225" s="65"/>
      <c r="AQ1225" s="66"/>
      <c r="AR1225" s="65"/>
      <c r="AS1225" s="65"/>
      <c r="AT1225" s="65"/>
      <c r="AU1225" s="65"/>
      <c r="AV1225" s="65"/>
      <c r="AW1225" s="65"/>
      <c r="AX1225" s="65"/>
      <c r="AY1225" s="118"/>
      <c r="AZ1225" s="118"/>
      <c r="BA1225" s="118"/>
      <c r="BB1225" s="124"/>
    </row>
    <row r="1226" spans="1:54" x14ac:dyDescent="0.25">
      <c r="A1226" s="153" t="s">
        <v>5717</v>
      </c>
      <c r="B1226" s="30" t="s">
        <v>5718</v>
      </c>
      <c r="C1226" s="30" t="s">
        <v>5719</v>
      </c>
      <c r="D1226" s="84" t="s">
        <v>5720</v>
      </c>
      <c r="E1226" s="24" t="s">
        <v>5721</v>
      </c>
      <c r="F1226" s="25">
        <v>1</v>
      </c>
      <c r="G1226" s="30" t="s">
        <v>18</v>
      </c>
      <c r="H1226" s="30" t="s">
        <v>213</v>
      </c>
      <c r="I1226" s="203">
        <v>45260.746221527799</v>
      </c>
      <c r="J1226" s="121">
        <v>45272.645833333299</v>
      </c>
      <c r="K1226" s="121">
        <v>45260.746221527799</v>
      </c>
      <c r="L1226" s="203">
        <v>45272.645833333299</v>
      </c>
      <c r="M1226" s="204">
        <v>45261</v>
      </c>
      <c r="N1226" s="205" t="s">
        <v>10</v>
      </c>
      <c r="O1226" s="203" t="s">
        <v>28</v>
      </c>
      <c r="P1226" s="24"/>
      <c r="Q1226" s="60"/>
      <c r="R1226" s="60"/>
      <c r="S1226" s="18"/>
      <c r="T1226" s="24"/>
      <c r="U1226" s="68">
        <f>Tabla1[[#This Row],[PPTO]]/(1+'Lista Datos'!$B$1)</f>
        <v>0</v>
      </c>
      <c r="V1226" s="67"/>
      <c r="W1226" s="193"/>
      <c r="X1226" s="127"/>
      <c r="Y1226" s="127"/>
      <c r="Z1226" s="154"/>
      <c r="AA1226" s="30"/>
      <c r="AB1226" s="30"/>
      <c r="AC1226" s="30"/>
      <c r="AD1226" s="30"/>
      <c r="AE1226" s="145">
        <f>Tabla1[[#This Row],[Cierre]]+Tabla1[[#This Row],[Vigencia Oferta (días)]]</f>
        <v>45272.645833333299</v>
      </c>
      <c r="AF1226" s="68"/>
      <c r="AG1226" s="157"/>
      <c r="AH1226" s="194">
        <f>Tabla1[[#This Row],[Unidades2]]*Tabla1[[#This Row],[Precio Unitario]]</f>
        <v>0</v>
      </c>
      <c r="AI1226" s="97" t="s">
        <v>270</v>
      </c>
      <c r="AJ1226" s="149"/>
      <c r="AK1226" s="149">
        <f>Tabla1[[#This Row],[Fecha Vigencia]]-AJ1226</f>
        <v>45272.645833333299</v>
      </c>
      <c r="AL1226" s="68"/>
      <c r="AM1226" s="91"/>
      <c r="AN1226" s="68"/>
      <c r="AO1226" s="218"/>
      <c r="AP1226" s="68"/>
      <c r="AQ1226" s="69"/>
      <c r="AR1226" s="68"/>
      <c r="AS1226" s="68"/>
      <c r="AT1226" s="68"/>
      <c r="AU1226" s="68"/>
      <c r="AV1226" s="68"/>
      <c r="AW1226" s="68"/>
      <c r="AX1226" s="68"/>
      <c r="AY1226" s="30"/>
      <c r="AZ1226" s="30"/>
      <c r="BA1226" s="30"/>
      <c r="BB1226" s="75"/>
    </row>
    <row r="1227" spans="1:54" x14ac:dyDescent="0.25">
      <c r="A1227" s="117" t="s">
        <v>5722</v>
      </c>
      <c r="B1227" s="118" t="s">
        <v>5723</v>
      </c>
      <c r="C1227" s="118" t="s">
        <v>5724</v>
      </c>
      <c r="D1227" s="119" t="s">
        <v>5291</v>
      </c>
      <c r="E1227" s="38" t="s">
        <v>5725</v>
      </c>
      <c r="F1227" s="39">
        <v>9</v>
      </c>
      <c r="G1227" s="118" t="s">
        <v>21</v>
      </c>
      <c r="H1227" s="118" t="s">
        <v>106</v>
      </c>
      <c r="I1227" s="206">
        <v>45262.573458911997</v>
      </c>
      <c r="J1227" s="38">
        <v>45271.708333333299</v>
      </c>
      <c r="K1227" s="38">
        <v>45262.573458911997</v>
      </c>
      <c r="L1227" s="206">
        <v>45271.708333333299</v>
      </c>
      <c r="M1227" s="211">
        <v>45264</v>
      </c>
      <c r="N1227" s="207" t="s">
        <v>10</v>
      </c>
      <c r="O1227" s="206" t="s">
        <v>27</v>
      </c>
      <c r="P1227" s="38"/>
      <c r="Q1227" s="121"/>
      <c r="R1227" s="121"/>
      <c r="S1227" s="19"/>
      <c r="T1227" s="38"/>
      <c r="U1227" s="65">
        <f>Tabla1[[#This Row],[PPTO]]/(1+'Lista Datos'!$B$1)</f>
        <v>0</v>
      </c>
      <c r="V1227" s="64"/>
      <c r="W1227" s="191"/>
      <c r="X1227" s="122"/>
      <c r="Y1227" s="122"/>
      <c r="Z1227" s="123"/>
      <c r="AA1227" s="118"/>
      <c r="AB1227" s="118"/>
      <c r="AC1227" s="118"/>
      <c r="AD1227" s="118"/>
      <c r="AE1227" s="145">
        <f>Tabla1[[#This Row],[Cierre]]+Tabla1[[#This Row],[Vigencia Oferta (días)]]</f>
        <v>45271.708333333299</v>
      </c>
      <c r="AF1227" s="65"/>
      <c r="AG1227" s="181"/>
      <c r="AH1227" s="192">
        <f>Tabla1[[#This Row],[Unidades2]]*Tabla1[[#This Row],[Precio Unitario]]</f>
        <v>0</v>
      </c>
      <c r="AI1227" s="126" t="s">
        <v>270</v>
      </c>
      <c r="AJ1227" s="149"/>
      <c r="AK1227" s="149">
        <f>Tabla1[[#This Row],[Fecha Vigencia]]-AJ1227</f>
        <v>45271.708333333299</v>
      </c>
      <c r="AL1227" s="65"/>
      <c r="AM1227" s="90"/>
      <c r="AN1227" s="65"/>
      <c r="AO1227" s="217"/>
      <c r="AP1227" s="65"/>
      <c r="AQ1227" s="66"/>
      <c r="AR1227" s="65"/>
      <c r="AS1227" s="65"/>
      <c r="AT1227" s="65"/>
      <c r="AU1227" s="65"/>
      <c r="AV1227" s="65"/>
      <c r="AW1227" s="65"/>
      <c r="AX1227" s="65"/>
      <c r="AY1227" s="118"/>
      <c r="AZ1227" s="118"/>
      <c r="BA1227" s="118"/>
      <c r="BB1227" s="124"/>
    </row>
    <row r="1228" spans="1:54" x14ac:dyDescent="0.25">
      <c r="A1228" s="153" t="s">
        <v>5726</v>
      </c>
      <c r="B1228" s="30" t="s">
        <v>5727</v>
      </c>
      <c r="C1228" s="30" t="s">
        <v>5728</v>
      </c>
      <c r="D1228" s="84" t="s">
        <v>378</v>
      </c>
      <c r="E1228" s="24" t="s">
        <v>5729</v>
      </c>
      <c r="F1228" s="25">
        <v>3</v>
      </c>
      <c r="G1228" s="30" t="s">
        <v>21</v>
      </c>
      <c r="H1228" s="30" t="s">
        <v>106</v>
      </c>
      <c r="I1228" s="203">
        <v>45262.384484756898</v>
      </c>
      <c r="J1228" s="38">
        <v>45267.792361111096</v>
      </c>
      <c r="K1228" s="38">
        <v>45262.384484756898</v>
      </c>
      <c r="L1228" s="203">
        <v>45267.792361111096</v>
      </c>
      <c r="M1228" s="204">
        <v>45264</v>
      </c>
      <c r="N1228" s="205" t="s">
        <v>10</v>
      </c>
      <c r="O1228" s="203" t="s">
        <v>27</v>
      </c>
      <c r="P1228" s="24"/>
      <c r="Q1228" s="60"/>
      <c r="R1228" s="60"/>
      <c r="S1228" s="18"/>
      <c r="T1228" s="24"/>
      <c r="U1228" s="68">
        <f>Tabla1[[#This Row],[PPTO]]/(1+'Lista Datos'!$B$1)</f>
        <v>0</v>
      </c>
      <c r="V1228" s="67"/>
      <c r="W1228" s="193"/>
      <c r="X1228" s="127"/>
      <c r="Y1228" s="127"/>
      <c r="Z1228" s="154"/>
      <c r="AA1228" s="30"/>
      <c r="AB1228" s="30"/>
      <c r="AC1228" s="30"/>
      <c r="AD1228" s="30"/>
      <c r="AE1228" s="145">
        <f>Tabla1[[#This Row],[Cierre]]+Tabla1[[#This Row],[Vigencia Oferta (días)]]</f>
        <v>45267.792361111096</v>
      </c>
      <c r="AF1228" s="68"/>
      <c r="AG1228" s="157"/>
      <c r="AH1228" s="194">
        <f>Tabla1[[#This Row],[Unidades2]]*Tabla1[[#This Row],[Precio Unitario]]</f>
        <v>0</v>
      </c>
      <c r="AI1228" s="97" t="s">
        <v>270</v>
      </c>
      <c r="AJ1228" s="149"/>
      <c r="AK1228" s="149">
        <f>Tabla1[[#This Row],[Fecha Vigencia]]-AJ1228</f>
        <v>45267.792361111096</v>
      </c>
      <c r="AL1228" s="68"/>
      <c r="AM1228" s="91"/>
      <c r="AN1228" s="68"/>
      <c r="AO1228" s="218"/>
      <c r="AP1228" s="68"/>
      <c r="AQ1228" s="69"/>
      <c r="AR1228" s="68"/>
      <c r="AS1228" s="68"/>
      <c r="AT1228" s="68"/>
      <c r="AU1228" s="68"/>
      <c r="AV1228" s="68"/>
      <c r="AW1228" s="68"/>
      <c r="AX1228" s="68"/>
      <c r="AY1228" s="30"/>
      <c r="AZ1228" s="30"/>
      <c r="BA1228" s="30"/>
      <c r="BB1228" s="75"/>
    </row>
    <row r="1229" spans="1:54" x14ac:dyDescent="0.25">
      <c r="A1229" s="117" t="s">
        <v>5730</v>
      </c>
      <c r="B1229" s="118" t="s">
        <v>5731</v>
      </c>
      <c r="C1229" s="118" t="s">
        <v>5732</v>
      </c>
      <c r="D1229" s="119" t="s">
        <v>770</v>
      </c>
      <c r="E1229" s="38" t="s">
        <v>5733</v>
      </c>
      <c r="F1229" s="39">
        <v>1</v>
      </c>
      <c r="G1229" s="118" t="s">
        <v>16</v>
      </c>
      <c r="H1229" s="118" t="s">
        <v>520</v>
      </c>
      <c r="I1229" s="206">
        <v>45261.579375381902</v>
      </c>
      <c r="J1229" s="121">
        <v>45281.784722222197</v>
      </c>
      <c r="K1229" s="121">
        <v>45261.579375381902</v>
      </c>
      <c r="L1229" s="206">
        <v>45281.784722222197</v>
      </c>
      <c r="M1229" s="211">
        <v>45264</v>
      </c>
      <c r="N1229" s="207"/>
      <c r="O1229" s="206"/>
      <c r="P1229" s="38"/>
      <c r="Q1229" s="147">
        <v>45267.567361111112</v>
      </c>
      <c r="R1229" s="147">
        <v>45279.567361111112</v>
      </c>
      <c r="S1229" s="148">
        <v>45314.785416666666</v>
      </c>
      <c r="T1229" s="38"/>
      <c r="U1229" s="65">
        <f>Tabla1[[#This Row],[PPTO]]/(1+'Lista Datos'!$B$1)</f>
        <v>0</v>
      </c>
      <c r="V1229" s="64"/>
      <c r="W1229" s="191" t="s">
        <v>11</v>
      </c>
      <c r="X1229" s="122" t="s">
        <v>5734</v>
      </c>
      <c r="Y1229" s="149">
        <v>45414</v>
      </c>
      <c r="Z1229" s="123" t="s">
        <v>10</v>
      </c>
      <c r="AA1229" s="118" t="s">
        <v>177</v>
      </c>
      <c r="AB1229" s="118">
        <v>36</v>
      </c>
      <c r="AC1229" s="118"/>
      <c r="AD1229" s="118"/>
      <c r="AE1229" s="145">
        <f>Tabla1[[#This Row],[Cierre]]+Tabla1[[#This Row],[Vigencia Oferta (días)]]</f>
        <v>45281.784722222197</v>
      </c>
      <c r="AF1229" s="65"/>
      <c r="AG1229" s="181"/>
      <c r="AH1229" s="192">
        <f>Tabla1[[#This Row],[Unidades2]]*Tabla1[[#This Row],[Precio Unitario]]</f>
        <v>0</v>
      </c>
      <c r="AI1229" s="126" t="s">
        <v>5099</v>
      </c>
      <c r="AJ1229" s="149"/>
      <c r="AK1229" s="149">
        <f>Tabla1[[#This Row],[Fecha Vigencia]]-AJ1229</f>
        <v>45281.784722222197</v>
      </c>
      <c r="AL1229" s="65"/>
      <c r="AM1229" s="90"/>
      <c r="AN1229" s="65"/>
      <c r="AO1229" s="217"/>
      <c r="AP1229" s="65"/>
      <c r="AQ1229" s="66"/>
      <c r="AR1229" s="65"/>
      <c r="AS1229" s="65"/>
      <c r="AT1229" s="65"/>
      <c r="AU1229" s="65"/>
      <c r="AV1229" s="65"/>
      <c r="AW1229" s="65"/>
      <c r="AX1229" s="65"/>
      <c r="AY1229" s="118"/>
      <c r="AZ1229" s="118"/>
      <c r="BA1229" s="118"/>
      <c r="BB1229" s="124"/>
    </row>
    <row r="1230" spans="1:54" x14ac:dyDescent="0.25">
      <c r="A1230" s="117" t="s">
        <v>5735</v>
      </c>
      <c r="B1230" s="118" t="s">
        <v>5736</v>
      </c>
      <c r="C1230" s="118" t="s">
        <v>5737</v>
      </c>
      <c r="D1230" s="119" t="s">
        <v>5263</v>
      </c>
      <c r="E1230" s="38" t="s">
        <v>5738</v>
      </c>
      <c r="F1230" s="39">
        <v>6</v>
      </c>
      <c r="G1230" s="118" t="s">
        <v>21</v>
      </c>
      <c r="H1230" s="118" t="s">
        <v>106</v>
      </c>
      <c r="I1230" s="206">
        <v>45261.408665590301</v>
      </c>
      <c r="J1230" s="38">
        <v>45267.791666666701</v>
      </c>
      <c r="K1230" s="38">
        <v>45261.408665590301</v>
      </c>
      <c r="L1230" s="206">
        <v>45267.791666666701</v>
      </c>
      <c r="M1230" s="211">
        <v>45264</v>
      </c>
      <c r="N1230" s="207" t="s">
        <v>10</v>
      </c>
      <c r="O1230" s="206" t="s">
        <v>5327</v>
      </c>
      <c r="P1230" s="38"/>
      <c r="Q1230" s="147">
        <v>45264.375</v>
      </c>
      <c r="R1230" s="147">
        <v>45265.666666666664</v>
      </c>
      <c r="S1230" s="148">
        <v>45275.604166666664</v>
      </c>
      <c r="T1230" s="38"/>
      <c r="U1230" s="65">
        <f>Tabla1[[#This Row],[PPTO]]/(1+'Lista Datos'!$B$1)</f>
        <v>0</v>
      </c>
      <c r="V1230" s="64"/>
      <c r="W1230" s="191" t="s">
        <v>10</v>
      </c>
      <c r="X1230" s="122"/>
      <c r="Y1230" s="122"/>
      <c r="Z1230" s="123" t="s">
        <v>10</v>
      </c>
      <c r="AA1230" s="118" t="s">
        <v>512</v>
      </c>
      <c r="AB1230" s="118"/>
      <c r="AC1230" s="118"/>
      <c r="AD1230" s="118"/>
      <c r="AE1230" s="145">
        <f>Tabla1[[#This Row],[Cierre]]+Tabla1[[#This Row],[Vigencia Oferta (días)]]</f>
        <v>45267.791666666701</v>
      </c>
      <c r="AF1230" s="65"/>
      <c r="AG1230" s="181"/>
      <c r="AH1230" s="192">
        <f>Tabla1[[#This Row],[Unidades2]]*Tabla1[[#This Row],[Precio Unitario]]</f>
        <v>0</v>
      </c>
      <c r="AI1230" s="126" t="s">
        <v>270</v>
      </c>
      <c r="AJ1230" s="149"/>
      <c r="AK1230" s="149">
        <f>Tabla1[[#This Row],[Fecha Vigencia]]-AJ1230</f>
        <v>45267.791666666701</v>
      </c>
      <c r="AL1230" s="65"/>
      <c r="AM1230" s="90"/>
      <c r="AN1230" s="65"/>
      <c r="AO1230" s="217"/>
      <c r="AP1230" s="65"/>
      <c r="AQ1230" s="66"/>
      <c r="AR1230" s="65"/>
      <c r="AS1230" s="65"/>
      <c r="AT1230" s="65"/>
      <c r="AU1230" s="65"/>
      <c r="AV1230" s="65"/>
      <c r="AW1230" s="65"/>
      <c r="AX1230" s="65"/>
      <c r="AY1230" s="118"/>
      <c r="AZ1230" s="118"/>
      <c r="BA1230" s="118"/>
      <c r="BB1230" s="124"/>
    </row>
    <row r="1231" spans="1:54" x14ac:dyDescent="0.25">
      <c r="A1231" s="117" t="s">
        <v>5739</v>
      </c>
      <c r="B1231" s="118" t="s">
        <v>5740</v>
      </c>
      <c r="C1231" s="118" t="s">
        <v>5741</v>
      </c>
      <c r="D1231" s="119" t="s">
        <v>2377</v>
      </c>
      <c r="E1231" s="38" t="s">
        <v>5742</v>
      </c>
      <c r="F1231" s="39">
        <v>2</v>
      </c>
      <c r="G1231" s="118" t="s">
        <v>21</v>
      </c>
      <c r="H1231" s="118" t="s">
        <v>106</v>
      </c>
      <c r="I1231" s="206">
        <v>45264.721973460597</v>
      </c>
      <c r="J1231" s="38">
        <v>45272.631944444402</v>
      </c>
      <c r="K1231" s="38">
        <v>45264.721973460597</v>
      </c>
      <c r="L1231" s="206">
        <v>45272.631944444402</v>
      </c>
      <c r="M1231" s="211">
        <v>45265</v>
      </c>
      <c r="N1231" s="207" t="s">
        <v>10</v>
      </c>
      <c r="O1231" s="206" t="s">
        <v>25</v>
      </c>
      <c r="P1231" s="38"/>
      <c r="Q1231" s="147">
        <v>45266.625</v>
      </c>
      <c r="R1231" s="147">
        <v>45271.625</v>
      </c>
      <c r="S1231" s="148">
        <v>45293.708333333336</v>
      </c>
      <c r="T1231" s="38"/>
      <c r="U1231" s="65">
        <f>Tabla1[[#This Row],[PPTO]]/(1+'Lista Datos'!$B$1)</f>
        <v>0</v>
      </c>
      <c r="V1231" s="64"/>
      <c r="W1231" s="191" t="s">
        <v>10</v>
      </c>
      <c r="X1231" s="122"/>
      <c r="Y1231" s="122"/>
      <c r="Z1231" s="123" t="s">
        <v>10</v>
      </c>
      <c r="AA1231" s="118" t="s">
        <v>512</v>
      </c>
      <c r="AB1231" s="118"/>
      <c r="AC1231" s="118"/>
      <c r="AD1231" s="118"/>
      <c r="AE1231" s="145">
        <f>Tabla1[[#This Row],[Cierre]]+Tabla1[[#This Row],[Vigencia Oferta (días)]]</f>
        <v>45272.631944444402</v>
      </c>
      <c r="AF1231" s="65"/>
      <c r="AG1231" s="181"/>
      <c r="AH1231" s="192">
        <f>Tabla1[[#This Row],[Unidades2]]*Tabla1[[#This Row],[Precio Unitario]]</f>
        <v>0</v>
      </c>
      <c r="AI1231" s="126" t="s">
        <v>270</v>
      </c>
      <c r="AJ1231" s="149"/>
      <c r="AK1231" s="149">
        <f>Tabla1[[#This Row],[Fecha Vigencia]]-AJ1231</f>
        <v>45272.631944444402</v>
      </c>
      <c r="AL1231" s="65"/>
      <c r="AM1231" s="90"/>
      <c r="AN1231" s="65"/>
      <c r="AO1231" s="217"/>
      <c r="AP1231" s="65"/>
      <c r="AQ1231" s="66"/>
      <c r="AR1231" s="65"/>
      <c r="AS1231" s="65"/>
      <c r="AT1231" s="65"/>
      <c r="AU1231" s="65"/>
      <c r="AV1231" s="65"/>
      <c r="AW1231" s="65"/>
      <c r="AX1231" s="65"/>
      <c r="AY1231" s="118"/>
      <c r="AZ1231" s="118"/>
      <c r="BA1231" s="118"/>
      <c r="BB1231" s="124"/>
    </row>
    <row r="1232" spans="1:54" x14ac:dyDescent="0.25">
      <c r="A1232" s="153" t="s">
        <v>5743</v>
      </c>
      <c r="B1232" s="30" t="s">
        <v>5744</v>
      </c>
      <c r="C1232" s="30" t="s">
        <v>5745</v>
      </c>
      <c r="D1232" s="84" t="s">
        <v>3207</v>
      </c>
      <c r="E1232" s="24" t="s">
        <v>5746</v>
      </c>
      <c r="F1232" s="25">
        <v>18</v>
      </c>
      <c r="G1232" s="30" t="s">
        <v>16</v>
      </c>
      <c r="H1232" s="30" t="s">
        <v>145</v>
      </c>
      <c r="I1232" s="203">
        <v>45264.656165312503</v>
      </c>
      <c r="J1232" s="38">
        <v>45279.645833333299</v>
      </c>
      <c r="K1232" s="38">
        <v>45264.656165312503</v>
      </c>
      <c r="L1232" s="203">
        <v>45279.645833333299</v>
      </c>
      <c r="M1232" s="204">
        <v>45265</v>
      </c>
      <c r="N1232" s="205" t="s">
        <v>11</v>
      </c>
      <c r="O1232" s="203"/>
      <c r="P1232" s="24"/>
      <c r="Q1232" s="160">
        <v>45272.416666666664</v>
      </c>
      <c r="R1232" s="160">
        <v>45275.75</v>
      </c>
      <c r="S1232" s="161">
        <v>45341.708333333336</v>
      </c>
      <c r="T1232" s="24"/>
      <c r="U1232" s="68">
        <f>Tabla1[[#This Row],[PPTO]]/(1+'Lista Datos'!$B$1)</f>
        <v>0</v>
      </c>
      <c r="V1232" s="67"/>
      <c r="W1232" s="193" t="s">
        <v>10</v>
      </c>
      <c r="X1232" s="127"/>
      <c r="Y1232" s="127"/>
      <c r="Z1232" s="154" t="s">
        <v>11</v>
      </c>
      <c r="AA1232" s="30" t="s">
        <v>177</v>
      </c>
      <c r="AB1232" s="30">
        <v>18</v>
      </c>
      <c r="AC1232" s="30"/>
      <c r="AD1232" s="30"/>
      <c r="AE1232" s="145">
        <f>Tabla1[[#This Row],[Cierre]]+Tabla1[[#This Row],[Vigencia Oferta (días)]]</f>
        <v>45279.645833333299</v>
      </c>
      <c r="AF1232" s="68"/>
      <c r="AG1232" s="157"/>
      <c r="AH1232" s="194">
        <f>Tabla1[[#This Row],[Unidades2]]*Tabla1[[#This Row],[Precio Unitario]]</f>
        <v>0</v>
      </c>
      <c r="AI1232" s="97" t="s">
        <v>5099</v>
      </c>
      <c r="AJ1232" s="149"/>
      <c r="AK1232" s="149">
        <f>Tabla1[[#This Row],[Fecha Vigencia]]-AJ1232</f>
        <v>45279.645833333299</v>
      </c>
      <c r="AL1232" s="68"/>
      <c r="AM1232" s="91"/>
      <c r="AN1232" s="68"/>
      <c r="AO1232" s="218"/>
      <c r="AP1232" s="68"/>
      <c r="AQ1232" s="69"/>
      <c r="AR1232" s="68"/>
      <c r="AS1232" s="68"/>
      <c r="AT1232" s="68"/>
      <c r="AU1232" s="68"/>
      <c r="AV1232" s="68"/>
      <c r="AW1232" s="68"/>
      <c r="AX1232" s="68"/>
      <c r="AY1232" s="30"/>
      <c r="AZ1232" s="30"/>
      <c r="BA1232" s="30"/>
      <c r="BB1232" s="75"/>
    </row>
    <row r="1233" spans="1:54" x14ac:dyDescent="0.25">
      <c r="A1233" s="117" t="s">
        <v>5747</v>
      </c>
      <c r="B1233" s="118" t="s">
        <v>5748</v>
      </c>
      <c r="C1233" s="118" t="s">
        <v>5749</v>
      </c>
      <c r="D1233" s="119" t="s">
        <v>2695</v>
      </c>
      <c r="E1233" s="38" t="s">
        <v>5750</v>
      </c>
      <c r="F1233" s="39">
        <v>1</v>
      </c>
      <c r="G1233" s="118" t="s">
        <v>21</v>
      </c>
      <c r="H1233" s="118" t="s">
        <v>106</v>
      </c>
      <c r="I1233" s="206">
        <v>45264.5216657407</v>
      </c>
      <c r="J1233" s="121">
        <v>45271.666666666701</v>
      </c>
      <c r="K1233" s="121">
        <v>45264.5216657407</v>
      </c>
      <c r="L1233" s="206">
        <v>45271.666666666701</v>
      </c>
      <c r="M1233" s="211">
        <v>45265</v>
      </c>
      <c r="N1233" s="207" t="s">
        <v>10</v>
      </c>
      <c r="O1233" s="206" t="s">
        <v>28</v>
      </c>
      <c r="P1233" s="38"/>
      <c r="Q1233" s="121"/>
      <c r="R1233" s="121"/>
      <c r="S1233" s="19"/>
      <c r="T1233" s="38"/>
      <c r="U1233" s="65">
        <f>Tabla1[[#This Row],[PPTO]]/(1+'Lista Datos'!$B$1)</f>
        <v>0</v>
      </c>
      <c r="V1233" s="64"/>
      <c r="W1233" s="191"/>
      <c r="X1233" s="122"/>
      <c r="Y1233" s="122"/>
      <c r="Z1233" s="123"/>
      <c r="AA1233" s="118"/>
      <c r="AB1233" s="118"/>
      <c r="AC1233" s="118"/>
      <c r="AD1233" s="118"/>
      <c r="AE1233" s="145">
        <f>Tabla1[[#This Row],[Cierre]]+Tabla1[[#This Row],[Vigencia Oferta (días)]]</f>
        <v>45271.666666666701</v>
      </c>
      <c r="AF1233" s="65"/>
      <c r="AG1233" s="181"/>
      <c r="AH1233" s="192">
        <f>Tabla1[[#This Row],[Unidades2]]*Tabla1[[#This Row],[Precio Unitario]]</f>
        <v>0</v>
      </c>
      <c r="AI1233" s="126" t="s">
        <v>270</v>
      </c>
      <c r="AJ1233" s="149"/>
      <c r="AK1233" s="149">
        <f>Tabla1[[#This Row],[Fecha Vigencia]]-AJ1233</f>
        <v>45271.666666666701</v>
      </c>
      <c r="AL1233" s="65"/>
      <c r="AM1233" s="90"/>
      <c r="AN1233" s="65"/>
      <c r="AO1233" s="217"/>
      <c r="AP1233" s="65"/>
      <c r="AQ1233" s="66"/>
      <c r="AR1233" s="65"/>
      <c r="AS1233" s="65"/>
      <c r="AT1233" s="65"/>
      <c r="AU1233" s="65"/>
      <c r="AV1233" s="65"/>
      <c r="AW1233" s="65"/>
      <c r="AX1233" s="65"/>
      <c r="AY1233" s="118"/>
      <c r="AZ1233" s="118"/>
      <c r="BA1233" s="118"/>
      <c r="BB1233" s="124"/>
    </row>
    <row r="1234" spans="1:54" x14ac:dyDescent="0.25">
      <c r="A1234" s="117" t="s">
        <v>5751</v>
      </c>
      <c r="B1234" s="118" t="s">
        <v>5369</v>
      </c>
      <c r="C1234" s="118" t="s">
        <v>5370</v>
      </c>
      <c r="D1234" s="119" t="s">
        <v>1103</v>
      </c>
      <c r="E1234" s="38" t="s">
        <v>5371</v>
      </c>
      <c r="F1234" s="39">
        <v>1</v>
      </c>
      <c r="G1234" s="118" t="s">
        <v>18</v>
      </c>
      <c r="H1234" s="118" t="s">
        <v>213</v>
      </c>
      <c r="I1234" s="206">
        <v>45264.457072303201</v>
      </c>
      <c r="J1234" s="38">
        <v>45274.5</v>
      </c>
      <c r="K1234" s="38">
        <v>45264.457072303201</v>
      </c>
      <c r="L1234" s="206">
        <v>45274.5</v>
      </c>
      <c r="M1234" s="211">
        <v>45265</v>
      </c>
      <c r="N1234" s="207" t="s">
        <v>10</v>
      </c>
      <c r="O1234" s="206" t="s">
        <v>28</v>
      </c>
      <c r="P1234" s="38"/>
      <c r="Q1234" s="121"/>
      <c r="R1234" s="121"/>
      <c r="S1234" s="19"/>
      <c r="T1234" s="38"/>
      <c r="U1234" s="65">
        <f>Tabla1[[#This Row],[PPTO]]/(1+'Lista Datos'!$B$1)</f>
        <v>0</v>
      </c>
      <c r="V1234" s="64"/>
      <c r="W1234" s="191"/>
      <c r="X1234" s="122"/>
      <c r="Y1234" s="122"/>
      <c r="Z1234" s="123"/>
      <c r="AA1234" s="118"/>
      <c r="AB1234" s="118"/>
      <c r="AC1234" s="118"/>
      <c r="AD1234" s="118"/>
      <c r="AE1234" s="145">
        <f>Tabla1[[#This Row],[Cierre]]+Tabla1[[#This Row],[Vigencia Oferta (días)]]</f>
        <v>45274.5</v>
      </c>
      <c r="AF1234" s="65"/>
      <c r="AG1234" s="181"/>
      <c r="AH1234" s="192">
        <f>Tabla1[[#This Row],[Unidades2]]*Tabla1[[#This Row],[Precio Unitario]]</f>
        <v>0</v>
      </c>
      <c r="AI1234" s="126" t="s">
        <v>5099</v>
      </c>
      <c r="AJ1234" s="149"/>
      <c r="AK1234" s="149">
        <f>Tabla1[[#This Row],[Fecha Vigencia]]-AJ1234</f>
        <v>45274.5</v>
      </c>
      <c r="AL1234" s="65"/>
      <c r="AM1234" s="90"/>
      <c r="AN1234" s="65"/>
      <c r="AO1234" s="217"/>
      <c r="AP1234" s="65"/>
      <c r="AQ1234" s="66"/>
      <c r="AR1234" s="65"/>
      <c r="AS1234" s="65"/>
      <c r="AT1234" s="65"/>
      <c r="AU1234" s="65"/>
      <c r="AV1234" s="65"/>
      <c r="AW1234" s="65"/>
      <c r="AX1234" s="65"/>
      <c r="AY1234" s="118"/>
      <c r="AZ1234" s="118"/>
      <c r="BA1234" s="118"/>
      <c r="BB1234" s="124"/>
    </row>
    <row r="1235" spans="1:54" x14ac:dyDescent="0.25">
      <c r="A1235" s="117" t="s">
        <v>5752</v>
      </c>
      <c r="B1235" s="118" t="s">
        <v>5753</v>
      </c>
      <c r="C1235" s="118" t="s">
        <v>5754</v>
      </c>
      <c r="D1235" s="119" t="s">
        <v>3242</v>
      </c>
      <c r="E1235" s="38" t="s">
        <v>5755</v>
      </c>
      <c r="F1235" s="39">
        <v>1</v>
      </c>
      <c r="G1235" s="118" t="s">
        <v>18</v>
      </c>
      <c r="H1235" s="118" t="s">
        <v>213</v>
      </c>
      <c r="I1235" s="206">
        <v>45264.417365312504</v>
      </c>
      <c r="J1235" s="38">
        <v>45286.625694444403</v>
      </c>
      <c r="K1235" s="38">
        <v>45264.417365312504</v>
      </c>
      <c r="L1235" s="206">
        <v>45286.625694444403</v>
      </c>
      <c r="M1235" s="211">
        <v>45265</v>
      </c>
      <c r="N1235" s="207" t="s">
        <v>10</v>
      </c>
      <c r="O1235" s="206" t="s">
        <v>28</v>
      </c>
      <c r="P1235" s="38"/>
      <c r="Q1235" s="121"/>
      <c r="R1235" s="121"/>
      <c r="S1235" s="19"/>
      <c r="T1235" s="38"/>
      <c r="U1235" s="65">
        <f>Tabla1[[#This Row],[PPTO]]/(1+'Lista Datos'!$B$1)</f>
        <v>0</v>
      </c>
      <c r="V1235" s="64"/>
      <c r="W1235" s="191"/>
      <c r="X1235" s="122"/>
      <c r="Y1235" s="122"/>
      <c r="Z1235" s="123"/>
      <c r="AA1235" s="118"/>
      <c r="AB1235" s="118"/>
      <c r="AC1235" s="118"/>
      <c r="AD1235" s="118"/>
      <c r="AE1235" s="145">
        <f>Tabla1[[#This Row],[Cierre]]+Tabla1[[#This Row],[Vigencia Oferta (días)]]</f>
        <v>45286.625694444403</v>
      </c>
      <c r="AF1235" s="65"/>
      <c r="AG1235" s="181"/>
      <c r="AH1235" s="192">
        <f>Tabla1[[#This Row],[Unidades2]]*Tabla1[[#This Row],[Precio Unitario]]</f>
        <v>0</v>
      </c>
      <c r="AI1235" s="126" t="s">
        <v>5099</v>
      </c>
      <c r="AJ1235" s="149"/>
      <c r="AK1235" s="149">
        <f>Tabla1[[#This Row],[Fecha Vigencia]]-AJ1235</f>
        <v>45286.625694444403</v>
      </c>
      <c r="AL1235" s="65"/>
      <c r="AM1235" s="90"/>
      <c r="AN1235" s="65"/>
      <c r="AO1235" s="217"/>
      <c r="AP1235" s="65"/>
      <c r="AQ1235" s="66"/>
      <c r="AR1235" s="65"/>
      <c r="AS1235" s="65"/>
      <c r="AT1235" s="65"/>
      <c r="AU1235" s="65"/>
      <c r="AV1235" s="65"/>
      <c r="AW1235" s="65"/>
      <c r="AX1235" s="65"/>
      <c r="AY1235" s="118"/>
      <c r="AZ1235" s="118"/>
      <c r="BA1235" s="118"/>
      <c r="BB1235" s="124"/>
    </row>
    <row r="1236" spans="1:54" x14ac:dyDescent="0.25">
      <c r="A1236" s="153" t="s">
        <v>5756</v>
      </c>
      <c r="B1236" s="30" t="s">
        <v>5757</v>
      </c>
      <c r="C1236" s="30" t="s">
        <v>5758</v>
      </c>
      <c r="D1236" s="84" t="s">
        <v>1354</v>
      </c>
      <c r="E1236" s="24" t="s">
        <v>5210</v>
      </c>
      <c r="F1236" s="25">
        <v>8</v>
      </c>
      <c r="G1236" s="30" t="s">
        <v>21</v>
      </c>
      <c r="H1236" s="30" t="s">
        <v>106</v>
      </c>
      <c r="I1236" s="203">
        <v>45266.726510532397</v>
      </c>
      <c r="J1236" s="38">
        <v>45275.729166666701</v>
      </c>
      <c r="K1236" s="38">
        <v>45266.726510532397</v>
      </c>
      <c r="L1236" s="203">
        <v>45275.729166666701</v>
      </c>
      <c r="M1236" s="204">
        <v>45267</v>
      </c>
      <c r="N1236" s="205" t="s">
        <v>10</v>
      </c>
      <c r="O1236" s="203" t="s">
        <v>27</v>
      </c>
      <c r="P1236" s="24"/>
      <c r="Q1236" s="60"/>
      <c r="R1236" s="60"/>
      <c r="S1236" s="18"/>
      <c r="T1236" s="24"/>
      <c r="U1236" s="68">
        <f>Tabla1[[#This Row],[PPTO]]/(1+'Lista Datos'!$B$1)</f>
        <v>0</v>
      </c>
      <c r="V1236" s="67"/>
      <c r="W1236" s="193"/>
      <c r="X1236" s="127"/>
      <c r="Y1236" s="127"/>
      <c r="Z1236" s="154"/>
      <c r="AA1236" s="30"/>
      <c r="AB1236" s="30"/>
      <c r="AC1236" s="30"/>
      <c r="AD1236" s="30"/>
      <c r="AE1236" s="145">
        <f>Tabla1[[#This Row],[Cierre]]+Tabla1[[#This Row],[Vigencia Oferta (días)]]</f>
        <v>45275.729166666701</v>
      </c>
      <c r="AF1236" s="68"/>
      <c r="AG1236" s="157"/>
      <c r="AH1236" s="194">
        <f>Tabla1[[#This Row],[Unidades2]]*Tabla1[[#This Row],[Precio Unitario]]</f>
        <v>0</v>
      </c>
      <c r="AI1236" s="97" t="s">
        <v>5099</v>
      </c>
      <c r="AJ1236" s="149"/>
      <c r="AK1236" s="149">
        <f>Tabla1[[#This Row],[Fecha Vigencia]]-AJ1236</f>
        <v>45275.729166666701</v>
      </c>
      <c r="AL1236" s="68"/>
      <c r="AM1236" s="91"/>
      <c r="AN1236" s="68"/>
      <c r="AO1236" s="218"/>
      <c r="AP1236" s="68"/>
      <c r="AQ1236" s="69"/>
      <c r="AR1236" s="68"/>
      <c r="AS1236" s="68"/>
      <c r="AT1236" s="68"/>
      <c r="AU1236" s="68"/>
      <c r="AV1236" s="68"/>
      <c r="AW1236" s="68"/>
      <c r="AX1236" s="68"/>
      <c r="AY1236" s="30"/>
      <c r="AZ1236" s="30"/>
      <c r="BA1236" s="30"/>
      <c r="BB1236" s="75"/>
    </row>
    <row r="1237" spans="1:54" x14ac:dyDescent="0.25">
      <c r="A1237" s="153" t="s">
        <v>5759</v>
      </c>
      <c r="B1237" s="30" t="s">
        <v>410</v>
      </c>
      <c r="C1237" s="30" t="s">
        <v>5760</v>
      </c>
      <c r="D1237" s="84" t="s">
        <v>5761</v>
      </c>
      <c r="E1237" s="24" t="s">
        <v>5762</v>
      </c>
      <c r="F1237" s="25">
        <v>1</v>
      </c>
      <c r="G1237" s="30" t="s">
        <v>16</v>
      </c>
      <c r="H1237" s="30" t="s">
        <v>123</v>
      </c>
      <c r="I1237" s="203">
        <v>45266.696915046297</v>
      </c>
      <c r="J1237" s="121">
        <v>45272.640972222202</v>
      </c>
      <c r="K1237" s="121">
        <v>45266.696915046297</v>
      </c>
      <c r="L1237" s="203">
        <v>45272.640972222202</v>
      </c>
      <c r="M1237" s="204">
        <v>45267</v>
      </c>
      <c r="N1237" s="205" t="s">
        <v>10</v>
      </c>
      <c r="O1237" s="203" t="s">
        <v>33</v>
      </c>
      <c r="P1237" s="24"/>
      <c r="Q1237" s="60"/>
      <c r="R1237" s="60"/>
      <c r="S1237" s="18"/>
      <c r="T1237" s="24"/>
      <c r="U1237" s="68">
        <f>Tabla1[[#This Row],[PPTO]]/(1+'Lista Datos'!$B$1)</f>
        <v>0</v>
      </c>
      <c r="V1237" s="67"/>
      <c r="W1237" s="193"/>
      <c r="X1237" s="127"/>
      <c r="Y1237" s="127"/>
      <c r="Z1237" s="154"/>
      <c r="AA1237" s="30"/>
      <c r="AB1237" s="30"/>
      <c r="AC1237" s="30"/>
      <c r="AD1237" s="30"/>
      <c r="AE1237" s="145">
        <f>Tabla1[[#This Row],[Cierre]]+Tabla1[[#This Row],[Vigencia Oferta (días)]]</f>
        <v>45272.640972222202</v>
      </c>
      <c r="AF1237" s="68"/>
      <c r="AG1237" s="157"/>
      <c r="AH1237" s="194">
        <f>Tabla1[[#This Row],[Unidades2]]*Tabla1[[#This Row],[Precio Unitario]]</f>
        <v>0</v>
      </c>
      <c r="AI1237" s="97" t="s">
        <v>270</v>
      </c>
      <c r="AJ1237" s="149"/>
      <c r="AK1237" s="149">
        <f>Tabla1[[#This Row],[Fecha Vigencia]]-AJ1237</f>
        <v>45272.640972222202</v>
      </c>
      <c r="AL1237" s="68"/>
      <c r="AM1237" s="91"/>
      <c r="AN1237" s="68"/>
      <c r="AO1237" s="218"/>
      <c r="AP1237" s="68"/>
      <c r="AQ1237" s="69"/>
      <c r="AR1237" s="68"/>
      <c r="AS1237" s="68"/>
      <c r="AT1237" s="68"/>
      <c r="AU1237" s="68"/>
      <c r="AV1237" s="68"/>
      <c r="AW1237" s="68"/>
      <c r="AX1237" s="68"/>
      <c r="AY1237" s="30"/>
      <c r="AZ1237" s="30"/>
      <c r="BA1237" s="30"/>
      <c r="BB1237" s="75"/>
    </row>
    <row r="1238" spans="1:54" x14ac:dyDescent="0.25">
      <c r="A1238" s="153" t="s">
        <v>5763</v>
      </c>
      <c r="B1238" s="30" t="s">
        <v>5764</v>
      </c>
      <c r="C1238" s="30" t="s">
        <v>5765</v>
      </c>
      <c r="D1238" s="84" t="s">
        <v>5766</v>
      </c>
      <c r="E1238" s="24" t="s">
        <v>5767</v>
      </c>
      <c r="F1238" s="25">
        <v>2</v>
      </c>
      <c r="G1238" s="30" t="s">
        <v>21</v>
      </c>
      <c r="H1238" s="30" t="s">
        <v>106</v>
      </c>
      <c r="I1238" s="203">
        <v>45266.690215509298</v>
      </c>
      <c r="J1238" s="121">
        <v>45273.375</v>
      </c>
      <c r="K1238" s="121">
        <v>45266.690215509298</v>
      </c>
      <c r="L1238" s="203">
        <v>45273.375</v>
      </c>
      <c r="M1238" s="204">
        <v>45267</v>
      </c>
      <c r="N1238" s="205" t="s">
        <v>10</v>
      </c>
      <c r="O1238" s="203" t="s">
        <v>25</v>
      </c>
      <c r="P1238" s="24"/>
      <c r="Q1238" s="160">
        <v>45271.333333333336</v>
      </c>
      <c r="R1238" s="160">
        <v>45271.708333333336</v>
      </c>
      <c r="S1238" s="161">
        <v>45279.708333333336</v>
      </c>
      <c r="T1238" s="24"/>
      <c r="U1238" s="68">
        <f>Tabla1[[#This Row],[PPTO]]/(1+'Lista Datos'!$B$1)</f>
        <v>0</v>
      </c>
      <c r="V1238" s="67"/>
      <c r="W1238" s="193" t="s">
        <v>11</v>
      </c>
      <c r="X1238" s="127">
        <v>200000</v>
      </c>
      <c r="Y1238" s="104">
        <v>45400</v>
      </c>
      <c r="Z1238" s="154" t="s">
        <v>10</v>
      </c>
      <c r="AA1238" s="30" t="s">
        <v>512</v>
      </c>
      <c r="AB1238" s="30"/>
      <c r="AC1238" s="30"/>
      <c r="AD1238" s="30"/>
      <c r="AE1238" s="145">
        <f>Tabla1[[#This Row],[Cierre]]+Tabla1[[#This Row],[Vigencia Oferta (días)]]</f>
        <v>45273.375</v>
      </c>
      <c r="AF1238" s="68"/>
      <c r="AG1238" s="157"/>
      <c r="AH1238" s="194">
        <f>Tabla1[[#This Row],[Unidades2]]*Tabla1[[#This Row],[Precio Unitario]]</f>
        <v>0</v>
      </c>
      <c r="AI1238" s="97" t="s">
        <v>270</v>
      </c>
      <c r="AJ1238" s="149"/>
      <c r="AK1238" s="149">
        <f>Tabla1[[#This Row],[Fecha Vigencia]]-AJ1238</f>
        <v>45273.375</v>
      </c>
      <c r="AL1238" s="68"/>
      <c r="AM1238" s="91"/>
      <c r="AN1238" s="68"/>
      <c r="AO1238" s="218"/>
      <c r="AP1238" s="68"/>
      <c r="AQ1238" s="69"/>
      <c r="AR1238" s="68"/>
      <c r="AS1238" s="68"/>
      <c r="AT1238" s="68"/>
      <c r="AU1238" s="68"/>
      <c r="AV1238" s="68"/>
      <c r="AW1238" s="68"/>
      <c r="AX1238" s="68"/>
      <c r="AY1238" s="30"/>
      <c r="AZ1238" s="30"/>
      <c r="BA1238" s="30"/>
      <c r="BB1238" s="75"/>
    </row>
    <row r="1239" spans="1:54" x14ac:dyDescent="0.25">
      <c r="A1239" s="153" t="s">
        <v>5768</v>
      </c>
      <c r="B1239" s="30" t="s">
        <v>2560</v>
      </c>
      <c r="C1239" s="30" t="s">
        <v>2560</v>
      </c>
      <c r="D1239" s="84" t="s">
        <v>2815</v>
      </c>
      <c r="E1239" s="24" t="s">
        <v>5769</v>
      </c>
      <c r="F1239" s="25">
        <v>24</v>
      </c>
      <c r="G1239" s="30" t="s">
        <v>16</v>
      </c>
      <c r="H1239" s="30" t="s">
        <v>123</v>
      </c>
      <c r="I1239" s="203">
        <v>45266.609608911996</v>
      </c>
      <c r="J1239" s="121">
        <v>45286.666666666701</v>
      </c>
      <c r="K1239" s="121">
        <v>45266.609608911996</v>
      </c>
      <c r="L1239" s="203">
        <v>45286.666666666701</v>
      </c>
      <c r="M1239" s="204">
        <v>45267</v>
      </c>
      <c r="N1239" s="205" t="s">
        <v>10</v>
      </c>
      <c r="O1239" s="203" t="s">
        <v>33</v>
      </c>
      <c r="P1239" s="24"/>
      <c r="Q1239" s="60"/>
      <c r="R1239" s="60"/>
      <c r="S1239" s="18"/>
      <c r="T1239" s="24"/>
      <c r="U1239" s="68">
        <f>Tabla1[[#This Row],[PPTO]]/(1+'Lista Datos'!$B$1)</f>
        <v>0</v>
      </c>
      <c r="V1239" s="67"/>
      <c r="W1239" s="193"/>
      <c r="X1239" s="127"/>
      <c r="Y1239" s="127"/>
      <c r="Z1239" s="154"/>
      <c r="AA1239" s="30"/>
      <c r="AB1239" s="30"/>
      <c r="AC1239" s="30"/>
      <c r="AD1239" s="30"/>
      <c r="AE1239" s="145">
        <f>Tabla1[[#This Row],[Cierre]]+Tabla1[[#This Row],[Vigencia Oferta (días)]]</f>
        <v>45286.666666666701</v>
      </c>
      <c r="AF1239" s="68"/>
      <c r="AG1239" s="157"/>
      <c r="AH1239" s="194">
        <f>Tabla1[[#This Row],[Unidades2]]*Tabla1[[#This Row],[Precio Unitario]]</f>
        <v>0</v>
      </c>
      <c r="AI1239" s="97" t="s">
        <v>5099</v>
      </c>
      <c r="AJ1239" s="149"/>
      <c r="AK1239" s="149">
        <f>Tabla1[[#This Row],[Fecha Vigencia]]-AJ1239</f>
        <v>45286.666666666701</v>
      </c>
      <c r="AL1239" s="68"/>
      <c r="AM1239" s="91"/>
      <c r="AN1239" s="68"/>
      <c r="AO1239" s="218"/>
      <c r="AP1239" s="68"/>
      <c r="AQ1239" s="69"/>
      <c r="AR1239" s="68"/>
      <c r="AS1239" s="68"/>
      <c r="AT1239" s="68"/>
      <c r="AU1239" s="68"/>
      <c r="AV1239" s="68"/>
      <c r="AW1239" s="68"/>
      <c r="AX1239" s="68"/>
      <c r="AY1239" s="30"/>
      <c r="AZ1239" s="30"/>
      <c r="BA1239" s="30"/>
      <c r="BB1239" s="75"/>
    </row>
    <row r="1240" spans="1:54" x14ac:dyDescent="0.25">
      <c r="A1240" s="153" t="s">
        <v>5770</v>
      </c>
      <c r="B1240" s="30" t="s">
        <v>5771</v>
      </c>
      <c r="C1240" s="30" t="s">
        <v>5772</v>
      </c>
      <c r="D1240" s="84" t="s">
        <v>3592</v>
      </c>
      <c r="E1240" s="24" t="s">
        <v>5773</v>
      </c>
      <c r="F1240" s="25">
        <v>7</v>
      </c>
      <c r="G1240" s="30" t="s">
        <v>21</v>
      </c>
      <c r="H1240" s="30" t="s">
        <v>106</v>
      </c>
      <c r="I1240" s="203">
        <v>45265.725627893502</v>
      </c>
      <c r="J1240" s="121">
        <v>45271.625694444403</v>
      </c>
      <c r="K1240" s="121">
        <v>45265.725627893502</v>
      </c>
      <c r="L1240" s="203">
        <v>45271.625694444403</v>
      </c>
      <c r="M1240" s="204">
        <v>45267</v>
      </c>
      <c r="N1240" s="205" t="s">
        <v>10</v>
      </c>
      <c r="O1240" s="203" t="s">
        <v>25</v>
      </c>
      <c r="P1240" s="24"/>
      <c r="Q1240" s="160">
        <v>45267.583333333336</v>
      </c>
      <c r="R1240" s="160">
        <v>45268.708333333336</v>
      </c>
      <c r="S1240" s="161">
        <v>45282.75</v>
      </c>
      <c r="T1240" s="210">
        <v>61769000</v>
      </c>
      <c r="U1240" s="209">
        <f>Tabla1[[#This Row],[PPTO]]/(1+'Lista Datos'!$B$1)</f>
        <v>51906722.689075634</v>
      </c>
      <c r="V1240" s="67"/>
      <c r="W1240" s="193" t="s">
        <v>10</v>
      </c>
      <c r="X1240" s="127"/>
      <c r="Y1240" s="127"/>
      <c r="Z1240" s="154" t="s">
        <v>10</v>
      </c>
      <c r="AA1240" s="30" t="s">
        <v>177</v>
      </c>
      <c r="AB1240" s="30">
        <v>12</v>
      </c>
      <c r="AC1240" s="30"/>
      <c r="AD1240" s="30"/>
      <c r="AE1240" s="145">
        <f>Tabla1[[#This Row],[Cierre]]+Tabla1[[#This Row],[Vigencia Oferta (días)]]</f>
        <v>45271.625694444403</v>
      </c>
      <c r="AF1240" s="68"/>
      <c r="AG1240" s="157"/>
      <c r="AH1240" s="194">
        <f>Tabla1[[#This Row],[Unidades2]]*Tabla1[[#This Row],[Precio Unitario]]</f>
        <v>0</v>
      </c>
      <c r="AI1240" s="97" t="s">
        <v>270</v>
      </c>
      <c r="AJ1240" s="149"/>
      <c r="AK1240" s="149">
        <f>Tabla1[[#This Row],[Fecha Vigencia]]-AJ1240</f>
        <v>45271.625694444403</v>
      </c>
      <c r="AL1240" s="68"/>
      <c r="AM1240" s="91"/>
      <c r="AN1240" s="68"/>
      <c r="AO1240" s="218"/>
      <c r="AP1240" s="68"/>
      <c r="AQ1240" s="69"/>
      <c r="AR1240" s="68"/>
      <c r="AS1240" s="68"/>
      <c r="AT1240" s="68"/>
      <c r="AU1240" s="68"/>
      <c r="AV1240" s="68"/>
      <c r="AW1240" s="68"/>
      <c r="AX1240" s="68"/>
      <c r="AY1240" s="30"/>
      <c r="AZ1240" s="30"/>
      <c r="BA1240" s="30"/>
      <c r="BB1240" s="75"/>
    </row>
    <row r="1241" spans="1:54" x14ac:dyDescent="0.25">
      <c r="A1241" s="117" t="s">
        <v>5774</v>
      </c>
      <c r="B1241" s="118" t="s">
        <v>5775</v>
      </c>
      <c r="C1241" s="118" t="s">
        <v>5776</v>
      </c>
      <c r="D1241" s="119" t="s">
        <v>955</v>
      </c>
      <c r="E1241" s="38" t="s">
        <v>5777</v>
      </c>
      <c r="F1241" s="39">
        <v>80</v>
      </c>
      <c r="G1241" s="118" t="s">
        <v>21</v>
      </c>
      <c r="H1241" s="118" t="s">
        <v>106</v>
      </c>
      <c r="I1241" s="206">
        <v>45265.700168020798</v>
      </c>
      <c r="J1241" s="121">
        <v>45275.416666666701</v>
      </c>
      <c r="K1241" s="121">
        <v>45265.700168020798</v>
      </c>
      <c r="L1241" s="206">
        <v>45275.416666666701</v>
      </c>
      <c r="M1241" s="211">
        <v>45267</v>
      </c>
      <c r="N1241" s="207"/>
      <c r="O1241" s="206"/>
      <c r="P1241" s="38"/>
      <c r="Q1241" s="147">
        <v>45267.416666666664</v>
      </c>
      <c r="R1241" s="147">
        <v>45272.71875</v>
      </c>
      <c r="S1241" s="148">
        <v>45341.784722222219</v>
      </c>
      <c r="T1241" s="215">
        <v>52000000</v>
      </c>
      <c r="U1241" s="214">
        <f>Tabla1[[#This Row],[PPTO]]/(1+'Lista Datos'!$B$1)</f>
        <v>43697478.991596639</v>
      </c>
      <c r="V1241" s="64"/>
      <c r="W1241" s="191" t="s">
        <v>10</v>
      </c>
      <c r="X1241" s="122"/>
      <c r="Y1241" s="122"/>
      <c r="Z1241" s="123" t="s">
        <v>10</v>
      </c>
      <c r="AA1241" s="118" t="s">
        <v>512</v>
      </c>
      <c r="AB1241" s="118"/>
      <c r="AC1241" s="118"/>
      <c r="AD1241" s="118"/>
      <c r="AE1241" s="145">
        <f>Tabla1[[#This Row],[Cierre]]+Tabla1[[#This Row],[Vigencia Oferta (días)]]</f>
        <v>45275.416666666701</v>
      </c>
      <c r="AF1241" s="65"/>
      <c r="AG1241" s="181"/>
      <c r="AH1241" s="192">
        <f>Tabla1[[#This Row],[Unidades2]]*Tabla1[[#This Row],[Precio Unitario]]</f>
        <v>0</v>
      </c>
      <c r="AI1241" s="126" t="s">
        <v>5099</v>
      </c>
      <c r="AJ1241" s="149"/>
      <c r="AK1241" s="149">
        <f>Tabla1[[#This Row],[Fecha Vigencia]]-AJ1241</f>
        <v>45275.416666666701</v>
      </c>
      <c r="AL1241" s="65"/>
      <c r="AM1241" s="90"/>
      <c r="AN1241" s="65"/>
      <c r="AO1241" s="217"/>
      <c r="AP1241" s="65"/>
      <c r="AQ1241" s="66"/>
      <c r="AR1241" s="65"/>
      <c r="AS1241" s="65"/>
      <c r="AT1241" s="65"/>
      <c r="AU1241" s="65"/>
      <c r="AV1241" s="65"/>
      <c r="AW1241" s="65"/>
      <c r="AX1241" s="65"/>
      <c r="AY1241" s="118"/>
      <c r="AZ1241" s="118"/>
      <c r="BA1241" s="118"/>
      <c r="BB1241" s="124"/>
    </row>
    <row r="1242" spans="1:54" x14ac:dyDescent="0.25">
      <c r="A1242" s="117" t="s">
        <v>5778</v>
      </c>
      <c r="B1242" s="118" t="s">
        <v>1453</v>
      </c>
      <c r="C1242" s="118" t="s">
        <v>5779</v>
      </c>
      <c r="D1242" s="119" t="s">
        <v>752</v>
      </c>
      <c r="E1242" s="38" t="s">
        <v>5780</v>
      </c>
      <c r="F1242" s="39">
        <v>1</v>
      </c>
      <c r="G1242" s="118" t="s">
        <v>20</v>
      </c>
      <c r="H1242" s="118" t="s">
        <v>5145</v>
      </c>
      <c r="I1242" s="206">
        <v>45265.703935185185</v>
      </c>
      <c r="J1242" s="38">
        <f>MONTH(Tabla1[[#This Row],[Publicación]])</f>
        <v>12</v>
      </c>
      <c r="K1242" s="38">
        <f>YEAR(Tabla1[[#This Row],[Publicación]])</f>
        <v>2023</v>
      </c>
      <c r="L1242" s="206">
        <v>45273.416666666664</v>
      </c>
      <c r="M1242" s="211">
        <v>45271</v>
      </c>
      <c r="N1242" s="207" t="s">
        <v>10</v>
      </c>
      <c r="O1242" s="206" t="s">
        <v>25</v>
      </c>
      <c r="P1242" s="38"/>
      <c r="Q1242" s="147">
        <v>45271.416666666664</v>
      </c>
      <c r="R1242" s="147">
        <v>45271.423611111109</v>
      </c>
      <c r="S1242" s="148">
        <v>45288.666666666664</v>
      </c>
      <c r="T1242" s="38"/>
      <c r="U1242" s="65">
        <f>Tabla1[[#This Row],[PPTO]]/(1+'Lista Datos'!$B$1)</f>
        <v>0</v>
      </c>
      <c r="V1242" s="64"/>
      <c r="W1242" s="191" t="s">
        <v>10</v>
      </c>
      <c r="X1242" s="122"/>
      <c r="Y1242" s="122"/>
      <c r="Z1242" s="123" t="s">
        <v>10</v>
      </c>
      <c r="AA1242" s="118" t="s">
        <v>177</v>
      </c>
      <c r="AB1242" s="118">
        <v>12</v>
      </c>
      <c r="AC1242" s="118"/>
      <c r="AD1242" s="118"/>
      <c r="AE1242" s="145">
        <f>Tabla1[[#This Row],[Cierre]]+Tabla1[[#This Row],[Vigencia Oferta (días)]]</f>
        <v>45273.416666666664</v>
      </c>
      <c r="AF1242" s="65"/>
      <c r="AG1242" s="181"/>
      <c r="AH1242" s="192">
        <f>Tabla1[[#This Row],[Unidades2]]*Tabla1[[#This Row],[Precio Unitario]]</f>
        <v>0</v>
      </c>
      <c r="AI1242" s="126" t="s">
        <v>270</v>
      </c>
      <c r="AJ1242" s="149"/>
      <c r="AK1242" s="149">
        <f>Tabla1[[#This Row],[Fecha Vigencia]]-AJ1242</f>
        <v>45273.416666666664</v>
      </c>
      <c r="AL1242" s="65"/>
      <c r="AM1242" s="90"/>
      <c r="AN1242" s="65"/>
      <c r="AO1242" s="217"/>
      <c r="AP1242" s="65"/>
      <c r="AQ1242" s="66"/>
      <c r="AR1242" s="65"/>
      <c r="AS1242" s="65"/>
      <c r="AT1242" s="65"/>
      <c r="AU1242" s="65"/>
      <c r="AV1242" s="65"/>
      <c r="AW1242" s="65"/>
      <c r="AX1242" s="65"/>
      <c r="AY1242" s="118"/>
      <c r="AZ1242" s="118"/>
      <c r="BA1242" s="118"/>
      <c r="BB1242" s="124"/>
    </row>
    <row r="1243" spans="1:54" x14ac:dyDescent="0.25">
      <c r="A1243" s="117" t="s">
        <v>5781</v>
      </c>
      <c r="B1243" s="118" t="s">
        <v>5782</v>
      </c>
      <c r="C1243" s="118" t="s">
        <v>5783</v>
      </c>
      <c r="D1243" s="119" t="s">
        <v>3757</v>
      </c>
      <c r="E1243" s="38" t="s">
        <v>5784</v>
      </c>
      <c r="F1243" s="39">
        <v>1</v>
      </c>
      <c r="G1243" s="118" t="s">
        <v>16</v>
      </c>
      <c r="H1243" s="118" t="s">
        <v>123</v>
      </c>
      <c r="I1243" s="206">
        <v>45270.878038310198</v>
      </c>
      <c r="J1243" s="38">
        <v>45275.767361111102</v>
      </c>
      <c r="K1243" s="38">
        <v>45270.878038310198</v>
      </c>
      <c r="L1243" s="206">
        <v>45275.767361111102</v>
      </c>
      <c r="M1243" s="211">
        <v>45271</v>
      </c>
      <c r="N1243" s="207" t="s">
        <v>10</v>
      </c>
      <c r="O1243" s="206" t="s">
        <v>33</v>
      </c>
      <c r="P1243" s="38"/>
      <c r="Q1243" s="121"/>
      <c r="R1243" s="121"/>
      <c r="S1243" s="19"/>
      <c r="T1243" s="38"/>
      <c r="U1243" s="65">
        <f>Tabla1[[#This Row],[PPTO]]/(1+'Lista Datos'!$B$1)</f>
        <v>0</v>
      </c>
      <c r="V1243" s="64"/>
      <c r="W1243" s="191"/>
      <c r="X1243" s="122"/>
      <c r="Y1243" s="122"/>
      <c r="Z1243" s="123"/>
      <c r="AA1243" s="118"/>
      <c r="AB1243" s="118"/>
      <c r="AC1243" s="118"/>
      <c r="AD1243" s="118"/>
      <c r="AE1243" s="145">
        <f>Tabla1[[#This Row],[Cierre]]+Tabla1[[#This Row],[Vigencia Oferta (días)]]</f>
        <v>45275.767361111102</v>
      </c>
      <c r="AF1243" s="65"/>
      <c r="AG1243" s="181"/>
      <c r="AH1243" s="192">
        <f>Tabla1[[#This Row],[Unidades2]]*Tabla1[[#This Row],[Precio Unitario]]</f>
        <v>0</v>
      </c>
      <c r="AI1243" s="126" t="s">
        <v>5099</v>
      </c>
      <c r="AJ1243" s="149"/>
      <c r="AK1243" s="149">
        <f>Tabla1[[#This Row],[Fecha Vigencia]]-AJ1243</f>
        <v>45275.767361111102</v>
      </c>
      <c r="AL1243" s="65"/>
      <c r="AM1243" s="90"/>
      <c r="AN1243" s="65"/>
      <c r="AO1243" s="217"/>
      <c r="AP1243" s="65"/>
      <c r="AQ1243" s="66"/>
      <c r="AR1243" s="65"/>
      <c r="AS1243" s="65"/>
      <c r="AT1243" s="65"/>
      <c r="AU1243" s="65"/>
      <c r="AV1243" s="65"/>
      <c r="AW1243" s="65"/>
      <c r="AX1243" s="65"/>
      <c r="AY1243" s="118"/>
      <c r="AZ1243" s="118"/>
      <c r="BA1243" s="118"/>
      <c r="BB1243" s="124"/>
    </row>
    <row r="1244" spans="1:54" x14ac:dyDescent="0.25">
      <c r="A1244" s="117" t="s">
        <v>5785</v>
      </c>
      <c r="B1244" s="118" t="s">
        <v>5786</v>
      </c>
      <c r="C1244" s="118" t="s">
        <v>5787</v>
      </c>
      <c r="D1244" s="119" t="s">
        <v>3921</v>
      </c>
      <c r="E1244" s="38" t="s">
        <v>5788</v>
      </c>
      <c r="F1244" s="39">
        <v>4</v>
      </c>
      <c r="G1244" s="118" t="s">
        <v>21</v>
      </c>
      <c r="H1244" s="118" t="s">
        <v>106</v>
      </c>
      <c r="I1244" s="206">
        <v>45269.431687812503</v>
      </c>
      <c r="J1244" s="38">
        <v>45275.570833333302</v>
      </c>
      <c r="K1244" s="38">
        <v>45269.431687812503</v>
      </c>
      <c r="L1244" s="206">
        <v>45275.570833333302</v>
      </c>
      <c r="M1244" s="211">
        <v>45271</v>
      </c>
      <c r="N1244" s="207" t="s">
        <v>10</v>
      </c>
      <c r="O1244" s="206" t="s">
        <v>27</v>
      </c>
      <c r="P1244" s="38"/>
      <c r="Q1244" s="121"/>
      <c r="R1244" s="121"/>
      <c r="S1244" s="19"/>
      <c r="T1244" s="38"/>
      <c r="U1244" s="65">
        <f>Tabla1[[#This Row],[PPTO]]/(1+'Lista Datos'!$B$1)</f>
        <v>0</v>
      </c>
      <c r="V1244" s="64"/>
      <c r="W1244" s="191"/>
      <c r="X1244" s="122"/>
      <c r="Y1244" s="122"/>
      <c r="Z1244" s="123"/>
      <c r="AA1244" s="118"/>
      <c r="AB1244" s="118"/>
      <c r="AC1244" s="118"/>
      <c r="AD1244" s="118"/>
      <c r="AE1244" s="145">
        <f>Tabla1[[#This Row],[Cierre]]+Tabla1[[#This Row],[Vigencia Oferta (días)]]</f>
        <v>45275.570833333302</v>
      </c>
      <c r="AF1244" s="65"/>
      <c r="AG1244" s="181"/>
      <c r="AH1244" s="192">
        <f>Tabla1[[#This Row],[Unidades2]]*Tabla1[[#This Row],[Precio Unitario]]</f>
        <v>0</v>
      </c>
      <c r="AI1244" s="126" t="s">
        <v>5099</v>
      </c>
      <c r="AJ1244" s="149"/>
      <c r="AK1244" s="149">
        <f>Tabla1[[#This Row],[Fecha Vigencia]]-AJ1244</f>
        <v>45275.570833333302</v>
      </c>
      <c r="AL1244" s="65"/>
      <c r="AM1244" s="90"/>
      <c r="AN1244" s="65"/>
      <c r="AO1244" s="217"/>
      <c r="AP1244" s="65"/>
      <c r="AQ1244" s="66"/>
      <c r="AR1244" s="65"/>
      <c r="AS1244" s="65"/>
      <c r="AT1244" s="65"/>
      <c r="AU1244" s="65"/>
      <c r="AV1244" s="65"/>
      <c r="AW1244" s="65"/>
      <c r="AX1244" s="65"/>
      <c r="AY1244" s="118"/>
      <c r="AZ1244" s="118"/>
      <c r="BA1244" s="118"/>
      <c r="BB1244" s="124"/>
    </row>
    <row r="1245" spans="1:54" x14ac:dyDescent="0.25">
      <c r="A1245" s="117" t="s">
        <v>5789</v>
      </c>
      <c r="B1245" s="118" t="s">
        <v>5790</v>
      </c>
      <c r="C1245" s="118" t="s">
        <v>5791</v>
      </c>
      <c r="D1245" s="119" t="s">
        <v>144</v>
      </c>
      <c r="E1245" s="38" t="s">
        <v>5792</v>
      </c>
      <c r="F1245" s="39">
        <v>5</v>
      </c>
      <c r="G1245" s="118" t="s">
        <v>21</v>
      </c>
      <c r="H1245" s="118" t="s">
        <v>106</v>
      </c>
      <c r="I1245" s="206">
        <v>45267.704690046303</v>
      </c>
      <c r="J1245" s="38">
        <v>45273.625</v>
      </c>
      <c r="K1245" s="38">
        <v>45267.704690046303</v>
      </c>
      <c r="L1245" s="206">
        <v>45273.625</v>
      </c>
      <c r="M1245" s="211">
        <v>45271</v>
      </c>
      <c r="N1245" s="207" t="s">
        <v>10</v>
      </c>
      <c r="O1245" s="206" t="s">
        <v>25</v>
      </c>
      <c r="P1245" s="38"/>
      <c r="Q1245" s="147">
        <v>45271.416666666664</v>
      </c>
      <c r="R1245" s="147">
        <v>45272.604166666664</v>
      </c>
      <c r="S1245" s="148">
        <v>45363.791666666664</v>
      </c>
      <c r="T1245" s="215">
        <v>11769000</v>
      </c>
      <c r="U1245" s="214">
        <f>Tabla1[[#This Row],[PPTO]]/(1+'Lista Datos'!$B$1)</f>
        <v>9889915.9663865548</v>
      </c>
      <c r="V1245" s="64"/>
      <c r="W1245" s="191" t="s">
        <v>10</v>
      </c>
      <c r="X1245" s="122"/>
      <c r="Y1245" s="122"/>
      <c r="Z1245" s="123" t="s">
        <v>10</v>
      </c>
      <c r="AA1245" s="118" t="s">
        <v>512</v>
      </c>
      <c r="AB1245" s="118"/>
      <c r="AC1245" s="118"/>
      <c r="AD1245" s="118"/>
      <c r="AE1245" s="145">
        <f>Tabla1[[#This Row],[Cierre]]+Tabla1[[#This Row],[Vigencia Oferta (días)]]</f>
        <v>45273.625</v>
      </c>
      <c r="AF1245" s="65"/>
      <c r="AG1245" s="181"/>
      <c r="AH1245" s="192">
        <f>Tabla1[[#This Row],[Unidades2]]*Tabla1[[#This Row],[Precio Unitario]]</f>
        <v>0</v>
      </c>
      <c r="AI1245" s="126" t="s">
        <v>270</v>
      </c>
      <c r="AJ1245" s="149"/>
      <c r="AK1245" s="149">
        <f>Tabla1[[#This Row],[Fecha Vigencia]]-AJ1245</f>
        <v>45273.625</v>
      </c>
      <c r="AL1245" s="65"/>
      <c r="AM1245" s="90"/>
      <c r="AN1245" s="65"/>
      <c r="AO1245" s="217"/>
      <c r="AP1245" s="65"/>
      <c r="AQ1245" s="66"/>
      <c r="AR1245" s="65"/>
      <c r="AS1245" s="65"/>
      <c r="AT1245" s="65"/>
      <c r="AU1245" s="65"/>
      <c r="AV1245" s="65"/>
      <c r="AW1245" s="65"/>
      <c r="AX1245" s="65"/>
      <c r="AY1245" s="118"/>
      <c r="AZ1245" s="118"/>
      <c r="BA1245" s="118"/>
      <c r="BB1245" s="124"/>
    </row>
    <row r="1246" spans="1:54" x14ac:dyDescent="0.25">
      <c r="A1246" s="117" t="s">
        <v>5793</v>
      </c>
      <c r="B1246" s="118" t="s">
        <v>5794</v>
      </c>
      <c r="C1246" s="118" t="s">
        <v>5795</v>
      </c>
      <c r="D1246" s="119" t="s">
        <v>965</v>
      </c>
      <c r="E1246" s="38" t="s">
        <v>5796</v>
      </c>
      <c r="F1246" s="39">
        <v>2</v>
      </c>
      <c r="G1246" s="118" t="s">
        <v>21</v>
      </c>
      <c r="H1246" s="118" t="s">
        <v>106</v>
      </c>
      <c r="I1246" s="206">
        <v>45267.414769907402</v>
      </c>
      <c r="J1246" s="38">
        <v>45273.6875</v>
      </c>
      <c r="K1246" s="38">
        <v>45267.414769907402</v>
      </c>
      <c r="L1246" s="206">
        <v>45273.6875</v>
      </c>
      <c r="M1246" s="211">
        <v>45271</v>
      </c>
      <c r="N1246" s="207" t="s">
        <v>10</v>
      </c>
      <c r="O1246" s="206" t="s">
        <v>27</v>
      </c>
      <c r="P1246" s="38"/>
      <c r="Q1246" s="121"/>
      <c r="R1246" s="121"/>
      <c r="S1246" s="19"/>
      <c r="T1246" s="38"/>
      <c r="U1246" s="65">
        <f>Tabla1[[#This Row],[PPTO]]/(1+'Lista Datos'!$B$1)</f>
        <v>0</v>
      </c>
      <c r="V1246" s="64"/>
      <c r="W1246" s="191"/>
      <c r="X1246" s="122"/>
      <c r="Y1246" s="122"/>
      <c r="Z1246" s="123"/>
      <c r="AA1246" s="118"/>
      <c r="AB1246" s="118"/>
      <c r="AC1246" s="118"/>
      <c r="AD1246" s="118"/>
      <c r="AE1246" s="145">
        <f>Tabla1[[#This Row],[Cierre]]+Tabla1[[#This Row],[Vigencia Oferta (días)]]</f>
        <v>45273.6875</v>
      </c>
      <c r="AF1246" s="65"/>
      <c r="AG1246" s="181"/>
      <c r="AH1246" s="192">
        <f>Tabla1[[#This Row],[Unidades2]]*Tabla1[[#This Row],[Precio Unitario]]</f>
        <v>0</v>
      </c>
      <c r="AI1246" s="126" t="s">
        <v>270</v>
      </c>
      <c r="AJ1246" s="149"/>
      <c r="AK1246" s="149">
        <f>Tabla1[[#This Row],[Fecha Vigencia]]-AJ1246</f>
        <v>45273.6875</v>
      </c>
      <c r="AL1246" s="65"/>
      <c r="AM1246" s="90"/>
      <c r="AN1246" s="65"/>
      <c r="AO1246" s="217"/>
      <c r="AP1246" s="65"/>
      <c r="AQ1246" s="66"/>
      <c r="AR1246" s="65"/>
      <c r="AS1246" s="65"/>
      <c r="AT1246" s="65"/>
      <c r="AU1246" s="65"/>
      <c r="AV1246" s="65"/>
      <c r="AW1246" s="65"/>
      <c r="AX1246" s="65"/>
      <c r="AY1246" s="118"/>
      <c r="AZ1246" s="118"/>
      <c r="BA1246" s="118"/>
      <c r="BB1246" s="124"/>
    </row>
    <row r="1247" spans="1:54" x14ac:dyDescent="0.25">
      <c r="A1247" s="153" t="s">
        <v>5797</v>
      </c>
      <c r="B1247" s="30" t="s">
        <v>5798</v>
      </c>
      <c r="C1247" s="30" t="s">
        <v>5798</v>
      </c>
      <c r="D1247" s="84" t="s">
        <v>1836</v>
      </c>
      <c r="E1247" s="24" t="s">
        <v>5799</v>
      </c>
      <c r="F1247" s="25">
        <v>89</v>
      </c>
      <c r="G1247" s="30" t="s">
        <v>21</v>
      </c>
      <c r="H1247" s="30" t="s">
        <v>106</v>
      </c>
      <c r="I1247" s="203">
        <v>45267.401157523098</v>
      </c>
      <c r="J1247" s="38">
        <v>45275.695833333302</v>
      </c>
      <c r="K1247" s="38">
        <v>45267.401157523098</v>
      </c>
      <c r="L1247" s="203">
        <v>45275.695833333302</v>
      </c>
      <c r="M1247" s="204">
        <v>45271</v>
      </c>
      <c r="N1247" s="205" t="s">
        <v>10</v>
      </c>
      <c r="O1247" s="203" t="s">
        <v>28</v>
      </c>
      <c r="P1247" s="24"/>
      <c r="Q1247" s="60"/>
      <c r="R1247" s="60"/>
      <c r="S1247" s="18"/>
      <c r="T1247" s="24"/>
      <c r="U1247" s="68">
        <f>Tabla1[[#This Row],[PPTO]]/(1+'Lista Datos'!$B$1)</f>
        <v>0</v>
      </c>
      <c r="V1247" s="67"/>
      <c r="W1247" s="193"/>
      <c r="X1247" s="127"/>
      <c r="Y1247" s="127"/>
      <c r="Z1247" s="154"/>
      <c r="AA1247" s="30"/>
      <c r="AB1247" s="30"/>
      <c r="AC1247" s="30"/>
      <c r="AD1247" s="30"/>
      <c r="AE1247" s="145">
        <f>Tabla1[[#This Row],[Cierre]]+Tabla1[[#This Row],[Vigencia Oferta (días)]]</f>
        <v>45275.695833333302</v>
      </c>
      <c r="AF1247" s="68"/>
      <c r="AG1247" s="157"/>
      <c r="AH1247" s="194">
        <f>Tabla1[[#This Row],[Unidades2]]*Tabla1[[#This Row],[Precio Unitario]]</f>
        <v>0</v>
      </c>
      <c r="AI1247" s="97" t="s">
        <v>5099</v>
      </c>
      <c r="AJ1247" s="149"/>
      <c r="AK1247" s="149">
        <f>Tabla1[[#This Row],[Fecha Vigencia]]-AJ1247</f>
        <v>45275.695833333302</v>
      </c>
      <c r="AL1247" s="68"/>
      <c r="AM1247" s="91"/>
      <c r="AN1247" s="68"/>
      <c r="AO1247" s="218"/>
      <c r="AP1247" s="68"/>
      <c r="AQ1247" s="69"/>
      <c r="AR1247" s="68"/>
      <c r="AS1247" s="68"/>
      <c r="AT1247" s="68"/>
      <c r="AU1247" s="68"/>
      <c r="AV1247" s="68"/>
      <c r="AW1247" s="68"/>
      <c r="AX1247" s="68"/>
      <c r="AY1247" s="30"/>
      <c r="AZ1247" s="30"/>
      <c r="BA1247" s="30"/>
      <c r="BB1247" s="75"/>
    </row>
    <row r="1248" spans="1:54" x14ac:dyDescent="0.25">
      <c r="A1248" s="153" t="s">
        <v>5800</v>
      </c>
      <c r="B1248" s="30" t="s">
        <v>3324</v>
      </c>
      <c r="C1248" s="30" t="s">
        <v>5801</v>
      </c>
      <c r="D1248" s="84" t="s">
        <v>5802</v>
      </c>
      <c r="E1248" s="24" t="s">
        <v>5803</v>
      </c>
      <c r="F1248" s="25">
        <v>1</v>
      </c>
      <c r="G1248" s="30" t="s">
        <v>16</v>
      </c>
      <c r="H1248" s="30" t="s">
        <v>1983</v>
      </c>
      <c r="I1248" s="203">
        <v>45267.340972222199</v>
      </c>
      <c r="J1248" s="121">
        <v>45278.625</v>
      </c>
      <c r="K1248" s="121">
        <v>45267.340972222199</v>
      </c>
      <c r="L1248" s="203">
        <v>45278.625</v>
      </c>
      <c r="M1248" s="204">
        <v>45271</v>
      </c>
      <c r="N1248" s="205"/>
      <c r="O1248" s="203"/>
      <c r="P1248" s="24"/>
      <c r="Q1248" s="160">
        <v>45273.708333333336</v>
      </c>
      <c r="R1248" s="160">
        <v>45274.5</v>
      </c>
      <c r="S1248" s="161">
        <v>45289.708333333336</v>
      </c>
      <c r="T1248" s="24"/>
      <c r="U1248" s="68">
        <f>Tabla1[[#This Row],[PPTO]]/(1+'Lista Datos'!$B$1)</f>
        <v>0</v>
      </c>
      <c r="V1248" s="67"/>
      <c r="W1248" s="193" t="s">
        <v>11</v>
      </c>
      <c r="X1248" s="127" t="s">
        <v>4432</v>
      </c>
      <c r="Y1248" s="104">
        <v>45369</v>
      </c>
      <c r="Z1248" s="154" t="s">
        <v>2783</v>
      </c>
      <c r="AA1248" s="30" t="s">
        <v>177</v>
      </c>
      <c r="AB1248" s="30">
        <v>36</v>
      </c>
      <c r="AC1248" s="30"/>
      <c r="AD1248" s="30"/>
      <c r="AE1248" s="145">
        <f>Tabla1[[#This Row],[Cierre]]+Tabla1[[#This Row],[Vigencia Oferta (días)]]</f>
        <v>45278.625</v>
      </c>
      <c r="AF1248" s="68"/>
      <c r="AG1248" s="157"/>
      <c r="AH1248" s="194">
        <f>Tabla1[[#This Row],[Unidades2]]*Tabla1[[#This Row],[Precio Unitario]]</f>
        <v>0</v>
      </c>
      <c r="AI1248" s="97" t="s">
        <v>5099</v>
      </c>
      <c r="AJ1248" s="149"/>
      <c r="AK1248" s="149">
        <f>Tabla1[[#This Row],[Fecha Vigencia]]-AJ1248</f>
        <v>45278.625</v>
      </c>
      <c r="AL1248" s="68"/>
      <c r="AM1248" s="91"/>
      <c r="AN1248" s="68"/>
      <c r="AO1248" s="218"/>
      <c r="AP1248" s="68"/>
      <c r="AQ1248" s="69"/>
      <c r="AR1248" s="68"/>
      <c r="AS1248" s="68"/>
      <c r="AT1248" s="68"/>
      <c r="AU1248" s="68"/>
      <c r="AV1248" s="68"/>
      <c r="AW1248" s="68"/>
      <c r="AX1248" s="68"/>
      <c r="AY1248" s="30"/>
      <c r="AZ1248" s="30"/>
      <c r="BA1248" s="30"/>
      <c r="BB1248" s="75"/>
    </row>
    <row r="1249" spans="1:54" x14ac:dyDescent="0.25">
      <c r="A1249" s="153" t="s">
        <v>5756</v>
      </c>
      <c r="B1249" s="30" t="s">
        <v>5757</v>
      </c>
      <c r="C1249" s="30" t="s">
        <v>5758</v>
      </c>
      <c r="D1249" s="84" t="s">
        <v>1354</v>
      </c>
      <c r="E1249" s="24" t="s">
        <v>5210</v>
      </c>
      <c r="F1249" s="25">
        <v>8</v>
      </c>
      <c r="G1249" s="30" t="s">
        <v>21</v>
      </c>
      <c r="H1249" s="30" t="s">
        <v>106</v>
      </c>
      <c r="I1249" s="203">
        <v>45266.726510532397</v>
      </c>
      <c r="J1249" s="121">
        <v>45275.729166666701</v>
      </c>
      <c r="K1249" s="121">
        <v>45266.726510532397</v>
      </c>
      <c r="L1249" s="203">
        <v>45275.729166666701</v>
      </c>
      <c r="M1249" s="204">
        <v>45271</v>
      </c>
      <c r="N1249" s="205" t="s">
        <v>10</v>
      </c>
      <c r="O1249" s="203" t="s">
        <v>27</v>
      </c>
      <c r="P1249" s="24"/>
      <c r="Q1249" s="60"/>
      <c r="R1249" s="60"/>
      <c r="S1249" s="18"/>
      <c r="T1249" s="24"/>
      <c r="U1249" s="68">
        <f>Tabla1[[#This Row],[PPTO]]/(1+'Lista Datos'!$B$1)</f>
        <v>0</v>
      </c>
      <c r="V1249" s="67"/>
      <c r="W1249" s="193"/>
      <c r="X1249" s="127"/>
      <c r="Y1249" s="127"/>
      <c r="Z1249" s="154"/>
      <c r="AA1249" s="30"/>
      <c r="AB1249" s="30"/>
      <c r="AC1249" s="30"/>
      <c r="AD1249" s="30"/>
      <c r="AE1249" s="145">
        <f>Tabla1[[#This Row],[Cierre]]+Tabla1[[#This Row],[Vigencia Oferta (días)]]</f>
        <v>45275.729166666701</v>
      </c>
      <c r="AF1249" s="68"/>
      <c r="AG1249" s="157"/>
      <c r="AH1249" s="194">
        <f>Tabla1[[#This Row],[Unidades2]]*Tabla1[[#This Row],[Precio Unitario]]</f>
        <v>0</v>
      </c>
      <c r="AI1249" s="97" t="s">
        <v>5099</v>
      </c>
      <c r="AJ1249" s="149"/>
      <c r="AK1249" s="149">
        <f>Tabla1[[#This Row],[Fecha Vigencia]]-AJ1249</f>
        <v>45275.729166666701</v>
      </c>
      <c r="AL1249" s="68"/>
      <c r="AM1249" s="91"/>
      <c r="AN1249" s="68"/>
      <c r="AO1249" s="218"/>
      <c r="AP1249" s="68"/>
      <c r="AQ1249" s="69"/>
      <c r="AR1249" s="68"/>
      <c r="AS1249" s="68"/>
      <c r="AT1249" s="68"/>
      <c r="AU1249" s="68"/>
      <c r="AV1249" s="68"/>
      <c r="AW1249" s="68"/>
      <c r="AX1249" s="68"/>
      <c r="AY1249" s="30"/>
      <c r="AZ1249" s="30"/>
      <c r="BA1249" s="30"/>
      <c r="BB1249" s="75"/>
    </row>
    <row r="1250" spans="1:54" x14ac:dyDescent="0.25">
      <c r="A1250" s="117" t="s">
        <v>5804</v>
      </c>
      <c r="B1250" s="118" t="s">
        <v>5805</v>
      </c>
      <c r="C1250" s="118" t="s">
        <v>5806</v>
      </c>
      <c r="D1250" s="119" t="s">
        <v>3184</v>
      </c>
      <c r="E1250" s="38" t="s">
        <v>5807</v>
      </c>
      <c r="F1250" s="39">
        <v>12</v>
      </c>
      <c r="G1250" s="118" t="s">
        <v>21</v>
      </c>
      <c r="H1250" s="118" t="s">
        <v>106</v>
      </c>
      <c r="I1250" s="206">
        <v>45271.747793205999</v>
      </c>
      <c r="J1250" s="38">
        <v>45278.625</v>
      </c>
      <c r="K1250" s="38">
        <v>45271.747793205999</v>
      </c>
      <c r="L1250" s="206">
        <v>45278.625</v>
      </c>
      <c r="M1250" s="211">
        <v>45272</v>
      </c>
      <c r="N1250" s="207" t="s">
        <v>10</v>
      </c>
      <c r="O1250" s="206" t="s">
        <v>27</v>
      </c>
      <c r="P1250" s="38"/>
      <c r="Q1250" s="121"/>
      <c r="R1250" s="121"/>
      <c r="S1250" s="19"/>
      <c r="T1250" s="38"/>
      <c r="U1250" s="65">
        <f>Tabla1[[#This Row],[PPTO]]/(1+'Lista Datos'!$B$1)</f>
        <v>0</v>
      </c>
      <c r="V1250" s="64"/>
      <c r="W1250" s="191"/>
      <c r="X1250" s="122"/>
      <c r="Y1250" s="122"/>
      <c r="Z1250" s="123"/>
      <c r="AA1250" s="118"/>
      <c r="AB1250" s="118"/>
      <c r="AC1250" s="118"/>
      <c r="AD1250" s="118"/>
      <c r="AE1250" s="145">
        <f>Tabla1[[#This Row],[Cierre]]+Tabla1[[#This Row],[Vigencia Oferta (días)]]</f>
        <v>45278.625</v>
      </c>
      <c r="AF1250" s="65"/>
      <c r="AG1250" s="181"/>
      <c r="AH1250" s="192">
        <f>Tabla1[[#This Row],[Unidades2]]*Tabla1[[#This Row],[Precio Unitario]]</f>
        <v>0</v>
      </c>
      <c r="AI1250" s="126" t="s">
        <v>5099</v>
      </c>
      <c r="AJ1250" s="149"/>
      <c r="AK1250" s="149">
        <f>Tabla1[[#This Row],[Fecha Vigencia]]-AJ1250</f>
        <v>45278.625</v>
      </c>
      <c r="AL1250" s="65"/>
      <c r="AM1250" s="90"/>
      <c r="AN1250" s="65"/>
      <c r="AO1250" s="217"/>
      <c r="AP1250" s="65"/>
      <c r="AQ1250" s="66"/>
      <c r="AR1250" s="65"/>
      <c r="AS1250" s="65"/>
      <c r="AT1250" s="65"/>
      <c r="AU1250" s="65"/>
      <c r="AV1250" s="65"/>
      <c r="AW1250" s="65"/>
      <c r="AX1250" s="65"/>
      <c r="AY1250" s="118"/>
      <c r="AZ1250" s="118"/>
      <c r="BA1250" s="118"/>
      <c r="BB1250" s="124"/>
    </row>
    <row r="1251" spans="1:54" x14ac:dyDescent="0.25">
      <c r="A1251" s="153" t="s">
        <v>5808</v>
      </c>
      <c r="B1251" s="30" t="s">
        <v>5809</v>
      </c>
      <c r="C1251" s="30" t="s">
        <v>5810</v>
      </c>
      <c r="D1251" s="84" t="s">
        <v>5811</v>
      </c>
      <c r="E1251" s="24" t="s">
        <v>5812</v>
      </c>
      <c r="F1251" s="25">
        <v>50</v>
      </c>
      <c r="G1251" s="30" t="s">
        <v>21</v>
      </c>
      <c r="H1251" s="30" t="s">
        <v>106</v>
      </c>
      <c r="I1251" s="203">
        <v>45271.681527395798</v>
      </c>
      <c r="J1251" s="38">
        <v>45281.463194444397</v>
      </c>
      <c r="K1251" s="38">
        <v>45271.681527395798</v>
      </c>
      <c r="L1251" s="203">
        <v>45281.463194444397</v>
      </c>
      <c r="M1251" s="204">
        <v>45272</v>
      </c>
      <c r="N1251" s="205"/>
      <c r="O1251" s="203"/>
      <c r="P1251" s="24"/>
      <c r="Q1251" s="160">
        <v>45274.8</v>
      </c>
      <c r="R1251" s="160">
        <v>45275.625</v>
      </c>
      <c r="S1251" s="161">
        <v>45282.463888888888</v>
      </c>
      <c r="T1251" s="210">
        <v>35061925</v>
      </c>
      <c r="U1251" s="209">
        <f>Tabla1[[#This Row],[PPTO]]/(1+'Lista Datos'!$B$1)</f>
        <v>29463802.521008406</v>
      </c>
      <c r="V1251" s="67"/>
      <c r="W1251" s="193" t="s">
        <v>11</v>
      </c>
      <c r="X1251" s="238">
        <v>0.05</v>
      </c>
      <c r="Y1251" s="104">
        <v>45282</v>
      </c>
      <c r="Z1251" s="154" t="s">
        <v>10</v>
      </c>
      <c r="AA1251" s="30" t="s">
        <v>512</v>
      </c>
      <c r="AB1251" s="30"/>
      <c r="AC1251" s="30"/>
      <c r="AD1251" s="30"/>
      <c r="AE1251" s="145">
        <f>Tabla1[[#This Row],[Cierre]]+Tabla1[[#This Row],[Vigencia Oferta (días)]]</f>
        <v>45281.463194444397</v>
      </c>
      <c r="AF1251" s="68"/>
      <c r="AG1251" s="157"/>
      <c r="AH1251" s="194">
        <f>Tabla1[[#This Row],[Unidades2]]*Tabla1[[#This Row],[Precio Unitario]]</f>
        <v>0</v>
      </c>
      <c r="AI1251" s="97" t="s">
        <v>5099</v>
      </c>
      <c r="AJ1251" s="149"/>
      <c r="AK1251" s="149">
        <f>Tabla1[[#This Row],[Fecha Vigencia]]-AJ1251</f>
        <v>45281.463194444397</v>
      </c>
      <c r="AL1251" s="68"/>
      <c r="AM1251" s="91"/>
      <c r="AN1251" s="68"/>
      <c r="AO1251" s="218"/>
      <c r="AP1251" s="68"/>
      <c r="AQ1251" s="69"/>
      <c r="AR1251" s="68"/>
      <c r="AS1251" s="68"/>
      <c r="AT1251" s="68"/>
      <c r="AU1251" s="68"/>
      <c r="AV1251" s="68"/>
      <c r="AW1251" s="68"/>
      <c r="AX1251" s="68"/>
      <c r="AY1251" s="30"/>
      <c r="AZ1251" s="30"/>
      <c r="BA1251" s="30"/>
      <c r="BB1251" s="75"/>
    </row>
    <row r="1252" spans="1:54" x14ac:dyDescent="0.25">
      <c r="A1252" s="153" t="s">
        <v>5813</v>
      </c>
      <c r="B1252" s="30" t="s">
        <v>5814</v>
      </c>
      <c r="C1252" s="30" t="s">
        <v>5815</v>
      </c>
      <c r="D1252" s="84" t="s">
        <v>2881</v>
      </c>
      <c r="E1252" s="24" t="s">
        <v>5816</v>
      </c>
      <c r="F1252" s="25">
        <v>2</v>
      </c>
      <c r="G1252" s="30" t="s">
        <v>21</v>
      </c>
      <c r="H1252" s="30" t="s">
        <v>106</v>
      </c>
      <c r="I1252" s="203">
        <v>45271.669516666698</v>
      </c>
      <c r="J1252" s="121">
        <v>45301.791666666701</v>
      </c>
      <c r="K1252" s="121">
        <v>45271.669516666698</v>
      </c>
      <c r="L1252" s="203">
        <v>45301.791666666701</v>
      </c>
      <c r="M1252" s="204">
        <v>45272</v>
      </c>
      <c r="N1252" s="205"/>
      <c r="O1252" s="203"/>
      <c r="P1252" s="24"/>
      <c r="Q1252" s="160">
        <v>45274.75</v>
      </c>
      <c r="R1252" s="160">
        <v>45278.75</v>
      </c>
      <c r="S1252" s="161">
        <v>45321.75</v>
      </c>
      <c r="T1252" s="210">
        <v>419310874</v>
      </c>
      <c r="U1252" s="209">
        <f>Tabla1[[#This Row],[PPTO]]/(1+'Lista Datos'!$B$1)</f>
        <v>352362078.99159664</v>
      </c>
      <c r="V1252" s="67"/>
      <c r="W1252" s="193" t="s">
        <v>11</v>
      </c>
      <c r="X1252" s="127">
        <v>200000</v>
      </c>
      <c r="Y1252" s="104">
        <v>45362</v>
      </c>
      <c r="Z1252" s="154" t="s">
        <v>10</v>
      </c>
      <c r="AA1252" s="30" t="s">
        <v>177</v>
      </c>
      <c r="AB1252" s="30">
        <v>12</v>
      </c>
      <c r="AC1252" s="30"/>
      <c r="AD1252" s="30"/>
      <c r="AE1252" s="145">
        <f>Tabla1[[#This Row],[Cierre]]+Tabla1[[#This Row],[Vigencia Oferta (días)]]</f>
        <v>45301.791666666701</v>
      </c>
      <c r="AF1252" s="68"/>
      <c r="AG1252" s="157"/>
      <c r="AH1252" s="194">
        <f>Tabla1[[#This Row],[Unidades2]]*Tabla1[[#This Row],[Precio Unitario]]</f>
        <v>0</v>
      </c>
      <c r="AI1252" s="97" t="s">
        <v>5099</v>
      </c>
      <c r="AJ1252" s="149"/>
      <c r="AK1252" s="149">
        <f>Tabla1[[#This Row],[Fecha Vigencia]]-AJ1252</f>
        <v>45301.791666666701</v>
      </c>
      <c r="AL1252" s="68"/>
      <c r="AM1252" s="91"/>
      <c r="AN1252" s="68"/>
      <c r="AO1252" s="218"/>
      <c r="AP1252" s="68"/>
      <c r="AQ1252" s="69"/>
      <c r="AR1252" s="68"/>
      <c r="AS1252" s="68"/>
      <c r="AT1252" s="68"/>
      <c r="AU1252" s="68"/>
      <c r="AV1252" s="68"/>
      <c r="AW1252" s="68"/>
      <c r="AX1252" s="68"/>
      <c r="AY1252" s="30"/>
      <c r="AZ1252" s="30"/>
      <c r="BA1252" s="30"/>
      <c r="BB1252" s="75"/>
    </row>
    <row r="1253" spans="1:54" x14ac:dyDescent="0.25">
      <c r="A1253" s="153" t="s">
        <v>5817</v>
      </c>
      <c r="B1253" s="30" t="s">
        <v>5818</v>
      </c>
      <c r="C1253" s="30" t="s">
        <v>5818</v>
      </c>
      <c r="D1253" s="84" t="s">
        <v>1836</v>
      </c>
      <c r="E1253" s="24" t="s">
        <v>5070</v>
      </c>
      <c r="F1253" s="25">
        <v>3</v>
      </c>
      <c r="G1253" s="30" t="s">
        <v>21</v>
      </c>
      <c r="H1253" s="30" t="s">
        <v>106</v>
      </c>
      <c r="I1253" s="203">
        <v>45271.5059891204</v>
      </c>
      <c r="J1253" s="121">
        <v>45278.729166666701</v>
      </c>
      <c r="K1253" s="121">
        <v>45271.5059891204</v>
      </c>
      <c r="L1253" s="203">
        <v>45278.729166666701</v>
      </c>
      <c r="M1253" s="204">
        <v>45272</v>
      </c>
      <c r="N1253" s="205"/>
      <c r="O1253" s="203"/>
      <c r="P1253" s="24"/>
      <c r="Q1253" s="160">
        <v>45273.729166666664</v>
      </c>
      <c r="R1253" s="160">
        <v>45274.729166666664</v>
      </c>
      <c r="S1253" s="161">
        <v>45323.729166666664</v>
      </c>
      <c r="T1253" s="24"/>
      <c r="U1253" s="68">
        <f>Tabla1[[#This Row],[PPTO]]/(1+'Lista Datos'!$B$1)</f>
        <v>0</v>
      </c>
      <c r="V1253" s="67"/>
      <c r="W1253" s="193" t="s">
        <v>10</v>
      </c>
      <c r="X1253" s="127"/>
      <c r="Y1253" s="127"/>
      <c r="Z1253" s="154" t="s">
        <v>10</v>
      </c>
      <c r="AA1253" s="30" t="s">
        <v>512</v>
      </c>
      <c r="AB1253" s="30"/>
      <c r="AC1253" s="30"/>
      <c r="AD1253" s="30"/>
      <c r="AE1253" s="145">
        <f>Tabla1[[#This Row],[Cierre]]+Tabla1[[#This Row],[Vigencia Oferta (días)]]</f>
        <v>45278.729166666701</v>
      </c>
      <c r="AF1253" s="68"/>
      <c r="AG1253" s="157"/>
      <c r="AH1253" s="194">
        <f>Tabla1[[#This Row],[Unidades2]]*Tabla1[[#This Row],[Precio Unitario]]</f>
        <v>0</v>
      </c>
      <c r="AI1253" s="97" t="s">
        <v>5099</v>
      </c>
      <c r="AJ1253" s="149"/>
      <c r="AK1253" s="149">
        <f>Tabla1[[#This Row],[Fecha Vigencia]]-AJ1253</f>
        <v>45278.729166666701</v>
      </c>
      <c r="AL1253" s="68"/>
      <c r="AM1253" s="91"/>
      <c r="AN1253" s="68"/>
      <c r="AO1253" s="218"/>
      <c r="AP1253" s="68"/>
      <c r="AQ1253" s="69"/>
      <c r="AR1253" s="68"/>
      <c r="AS1253" s="68"/>
      <c r="AT1253" s="68"/>
      <c r="AU1253" s="68"/>
      <c r="AV1253" s="68"/>
      <c r="AW1253" s="68"/>
      <c r="AX1253" s="68"/>
      <c r="AY1253" s="30"/>
      <c r="AZ1253" s="30"/>
      <c r="BA1253" s="30"/>
      <c r="BB1253" s="75"/>
    </row>
    <row r="1254" spans="1:54" x14ac:dyDescent="0.25">
      <c r="A1254" s="117" t="s">
        <v>5819</v>
      </c>
      <c r="B1254" s="118" t="s">
        <v>5820</v>
      </c>
      <c r="C1254" s="118" t="s">
        <v>5821</v>
      </c>
      <c r="D1254" s="119" t="s">
        <v>1001</v>
      </c>
      <c r="E1254" s="24" t="s">
        <v>5822</v>
      </c>
      <c r="F1254" s="39">
        <v>70</v>
      </c>
      <c r="G1254" s="118" t="s">
        <v>14</v>
      </c>
      <c r="H1254" s="118" t="s">
        <v>123</v>
      </c>
      <c r="I1254" s="206">
        <v>45271.4671227199</v>
      </c>
      <c r="J1254" s="121">
        <v>45280.583333333299</v>
      </c>
      <c r="K1254" s="121">
        <v>45271.4671227199</v>
      </c>
      <c r="L1254" s="206">
        <v>45280.583333333299</v>
      </c>
      <c r="M1254" s="211">
        <v>45272</v>
      </c>
      <c r="N1254" s="207"/>
      <c r="O1254" s="206"/>
      <c r="P1254" s="38"/>
      <c r="Q1254" s="147">
        <v>45273.5</v>
      </c>
      <c r="R1254" s="147">
        <v>45274.75</v>
      </c>
      <c r="S1254" s="148">
        <v>45351.75</v>
      </c>
      <c r="T1254" s="215">
        <v>13627166</v>
      </c>
      <c r="U1254" s="214">
        <f>Tabla1[[#This Row],[PPTO]]/(1+'Lista Datos'!$B$1)</f>
        <v>11451400</v>
      </c>
      <c r="V1254" s="64"/>
      <c r="W1254" s="191" t="s">
        <v>10</v>
      </c>
      <c r="X1254" s="122"/>
      <c r="Y1254" s="122"/>
      <c r="Z1254" s="123" t="s">
        <v>10</v>
      </c>
      <c r="AA1254" s="118" t="s">
        <v>177</v>
      </c>
      <c r="AB1254" s="118">
        <v>12</v>
      </c>
      <c r="AC1254" s="118"/>
      <c r="AD1254" s="118"/>
      <c r="AE1254" s="145">
        <f>Tabla1[[#This Row],[Cierre]]+Tabla1[[#This Row],[Vigencia Oferta (días)]]</f>
        <v>45280.583333333299</v>
      </c>
      <c r="AF1254" s="65"/>
      <c r="AG1254" s="181"/>
      <c r="AH1254" s="192">
        <f>Tabla1[[#This Row],[Unidades2]]*Tabla1[[#This Row],[Precio Unitario]]</f>
        <v>0</v>
      </c>
      <c r="AI1254" s="126" t="s">
        <v>5099</v>
      </c>
      <c r="AJ1254" s="149"/>
      <c r="AK1254" s="149">
        <f>Tabla1[[#This Row],[Fecha Vigencia]]-AJ1254</f>
        <v>45280.583333333299</v>
      </c>
      <c r="AL1254" s="65"/>
      <c r="AM1254" s="90"/>
      <c r="AN1254" s="65"/>
      <c r="AO1254" s="217"/>
      <c r="AP1254" s="65"/>
      <c r="AQ1254" s="66"/>
      <c r="AR1254" s="65"/>
      <c r="AS1254" s="65"/>
      <c r="AT1254" s="65"/>
      <c r="AU1254" s="65"/>
      <c r="AV1254" s="65"/>
      <c r="AW1254" s="65"/>
      <c r="AX1254" s="65"/>
      <c r="AY1254" s="118"/>
      <c r="AZ1254" s="118"/>
      <c r="BA1254" s="118"/>
      <c r="BB1254" s="124"/>
    </row>
    <row r="1255" spans="1:54" x14ac:dyDescent="0.25">
      <c r="A1255" s="117" t="s">
        <v>5823</v>
      </c>
      <c r="B1255" s="118" t="s">
        <v>5824</v>
      </c>
      <c r="C1255" s="118" t="s">
        <v>5825</v>
      </c>
      <c r="D1255" s="119" t="s">
        <v>1448</v>
      </c>
      <c r="E1255" s="38" t="s">
        <v>5826</v>
      </c>
      <c r="F1255" s="39">
        <v>1</v>
      </c>
      <c r="G1255" s="118" t="s">
        <v>21</v>
      </c>
      <c r="H1255" s="118" t="s">
        <v>106</v>
      </c>
      <c r="I1255" s="206">
        <v>45271.465591469903</v>
      </c>
      <c r="J1255" s="38">
        <v>45278.708333333299</v>
      </c>
      <c r="K1255" s="38">
        <v>45271.465591469903</v>
      </c>
      <c r="L1255" s="206">
        <v>45278.708333333299</v>
      </c>
      <c r="M1255" s="211">
        <v>45272</v>
      </c>
      <c r="N1255" s="207"/>
      <c r="O1255" s="206"/>
      <c r="P1255" s="38"/>
      <c r="Q1255" s="147">
        <v>45273.708333333336</v>
      </c>
      <c r="R1255" s="147">
        <v>45274.709027777775</v>
      </c>
      <c r="S1255" s="148">
        <v>45341.647916666669</v>
      </c>
      <c r="T1255" s="38"/>
      <c r="U1255" s="65">
        <f>Tabla1[[#This Row],[PPTO]]/(1+'Lista Datos'!$B$1)</f>
        <v>0</v>
      </c>
      <c r="V1255" s="64"/>
      <c r="W1255" s="191" t="s">
        <v>10</v>
      </c>
      <c r="X1255" s="122"/>
      <c r="Y1255" s="122"/>
      <c r="Z1255" s="123" t="s">
        <v>10</v>
      </c>
      <c r="AA1255" s="118" t="s">
        <v>512</v>
      </c>
      <c r="AB1255" s="118"/>
      <c r="AC1255" s="118"/>
      <c r="AD1255" s="118"/>
      <c r="AE1255" s="145">
        <f>Tabla1[[#This Row],[Cierre]]+Tabla1[[#This Row],[Vigencia Oferta (días)]]</f>
        <v>45278.708333333299</v>
      </c>
      <c r="AF1255" s="65"/>
      <c r="AG1255" s="181"/>
      <c r="AH1255" s="192">
        <f>Tabla1[[#This Row],[Unidades2]]*Tabla1[[#This Row],[Precio Unitario]]</f>
        <v>0</v>
      </c>
      <c r="AI1255" s="126" t="s">
        <v>5099</v>
      </c>
      <c r="AJ1255" s="149"/>
      <c r="AK1255" s="149">
        <f>Tabla1[[#This Row],[Fecha Vigencia]]-AJ1255</f>
        <v>45278.708333333299</v>
      </c>
      <c r="AL1255" s="65"/>
      <c r="AM1255" s="90"/>
      <c r="AN1255" s="65"/>
      <c r="AO1255" s="217"/>
      <c r="AP1255" s="65"/>
      <c r="AQ1255" s="66"/>
      <c r="AR1255" s="65"/>
      <c r="AS1255" s="65"/>
      <c r="AT1255" s="65"/>
      <c r="AU1255" s="65"/>
      <c r="AV1255" s="65"/>
      <c r="AW1255" s="65"/>
      <c r="AX1255" s="65"/>
      <c r="AY1255" s="118"/>
      <c r="AZ1255" s="118"/>
      <c r="BA1255" s="118"/>
      <c r="BB1255" s="124"/>
    </row>
    <row r="1256" spans="1:54" x14ac:dyDescent="0.25">
      <c r="A1256" s="153" t="s">
        <v>5827</v>
      </c>
      <c r="B1256" s="30" t="s">
        <v>5828</v>
      </c>
      <c r="C1256" s="30" t="s">
        <v>5829</v>
      </c>
      <c r="D1256" s="84" t="s">
        <v>5830</v>
      </c>
      <c r="E1256" s="24" t="s">
        <v>5831</v>
      </c>
      <c r="F1256" s="25">
        <v>4</v>
      </c>
      <c r="G1256" s="30" t="s">
        <v>21</v>
      </c>
      <c r="H1256" s="30" t="s">
        <v>106</v>
      </c>
      <c r="I1256" s="203">
        <v>45272.722684178203</v>
      </c>
      <c r="J1256" s="38">
        <v>45278.666666666701</v>
      </c>
      <c r="K1256" s="38">
        <v>45272.722684178203</v>
      </c>
      <c r="L1256" s="203">
        <v>45278.666666666701</v>
      </c>
      <c r="M1256" s="204">
        <v>45273</v>
      </c>
      <c r="N1256" s="205" t="s">
        <v>10</v>
      </c>
      <c r="O1256" s="203" t="s">
        <v>27</v>
      </c>
      <c r="P1256" s="24"/>
      <c r="Q1256" s="60"/>
      <c r="R1256" s="60"/>
      <c r="S1256" s="18"/>
      <c r="T1256" s="24"/>
      <c r="U1256" s="68">
        <f>Tabla1[[#This Row],[PPTO]]/(1+'Lista Datos'!$B$1)</f>
        <v>0</v>
      </c>
      <c r="V1256" s="67"/>
      <c r="W1256" s="193"/>
      <c r="X1256" s="127"/>
      <c r="Y1256" s="127"/>
      <c r="Z1256" s="154"/>
      <c r="AA1256" s="30"/>
      <c r="AB1256" s="30"/>
      <c r="AC1256" s="30"/>
      <c r="AD1256" s="30"/>
      <c r="AE1256" s="145">
        <f>Tabla1[[#This Row],[Cierre]]+Tabla1[[#This Row],[Vigencia Oferta (días)]]</f>
        <v>45278.666666666701</v>
      </c>
      <c r="AF1256" s="68"/>
      <c r="AG1256" s="157"/>
      <c r="AH1256" s="194">
        <f>Tabla1[[#This Row],[Unidades2]]*Tabla1[[#This Row],[Precio Unitario]]</f>
        <v>0</v>
      </c>
      <c r="AI1256" s="97"/>
      <c r="AJ1256" s="149"/>
      <c r="AK1256" s="149">
        <f>Tabla1[[#This Row],[Fecha Vigencia]]-AJ1256</f>
        <v>45278.666666666701</v>
      </c>
      <c r="AL1256" s="68"/>
      <c r="AM1256" s="91"/>
      <c r="AN1256" s="68"/>
      <c r="AO1256" s="218"/>
      <c r="AP1256" s="68"/>
      <c r="AQ1256" s="69"/>
      <c r="AR1256" s="68"/>
      <c r="AS1256" s="68"/>
      <c r="AT1256" s="68"/>
      <c r="AU1256" s="68"/>
      <c r="AV1256" s="68"/>
      <c r="AW1256" s="68"/>
      <c r="AX1256" s="68"/>
      <c r="AY1256" s="30"/>
      <c r="AZ1256" s="30"/>
      <c r="BA1256" s="30"/>
      <c r="BB1256" s="75"/>
    </row>
    <row r="1257" spans="1:54" x14ac:dyDescent="0.25">
      <c r="A1257" s="153" t="s">
        <v>5832</v>
      </c>
      <c r="B1257" s="30" t="s">
        <v>5833</v>
      </c>
      <c r="C1257" s="30" t="s">
        <v>5834</v>
      </c>
      <c r="D1257" s="84" t="s">
        <v>3640</v>
      </c>
      <c r="E1257" s="24" t="s">
        <v>5835</v>
      </c>
      <c r="F1257" s="25">
        <v>1</v>
      </c>
      <c r="G1257" s="30" t="s">
        <v>3716</v>
      </c>
      <c r="H1257" s="30" t="s">
        <v>213</v>
      </c>
      <c r="I1257" s="203">
        <v>45272.719573530099</v>
      </c>
      <c r="J1257" s="121">
        <v>45282.7097222222</v>
      </c>
      <c r="K1257" s="121">
        <v>45272.719573530099</v>
      </c>
      <c r="L1257" s="203">
        <v>45282.7097222222</v>
      </c>
      <c r="M1257" s="204">
        <v>45273</v>
      </c>
      <c r="N1257" s="205" t="s">
        <v>10</v>
      </c>
      <c r="O1257" s="203" t="s">
        <v>28</v>
      </c>
      <c r="P1257" s="24"/>
      <c r="Q1257" s="160">
        <v>45275.709027777775</v>
      </c>
      <c r="R1257" s="160">
        <v>45276.709027777775</v>
      </c>
      <c r="S1257" s="161">
        <v>45282.78402777778</v>
      </c>
      <c r="T1257" s="24"/>
      <c r="U1257" s="68">
        <f>Tabla1[[#This Row],[PPTO]]/(1+'Lista Datos'!$B$1)</f>
        <v>0</v>
      </c>
      <c r="V1257" s="67"/>
      <c r="W1257" s="193" t="s">
        <v>10</v>
      </c>
      <c r="X1257" s="127"/>
      <c r="Y1257" s="127"/>
      <c r="Z1257" s="154" t="s">
        <v>10</v>
      </c>
      <c r="AA1257" s="30" t="s">
        <v>177</v>
      </c>
      <c r="AB1257" s="30">
        <v>18</v>
      </c>
      <c r="AC1257" s="30"/>
      <c r="AD1257" s="30"/>
      <c r="AE1257" s="145">
        <f>Tabla1[[#This Row],[Cierre]]+Tabla1[[#This Row],[Vigencia Oferta (días)]]</f>
        <v>45282.7097222222</v>
      </c>
      <c r="AF1257" s="68"/>
      <c r="AG1257" s="157"/>
      <c r="AH1257" s="194">
        <f>Tabla1[[#This Row],[Unidades2]]*Tabla1[[#This Row],[Precio Unitario]]</f>
        <v>0</v>
      </c>
      <c r="AI1257" s="97" t="s">
        <v>5099</v>
      </c>
      <c r="AJ1257" s="149"/>
      <c r="AK1257" s="149">
        <f>Tabla1[[#This Row],[Fecha Vigencia]]-AJ1257</f>
        <v>45282.7097222222</v>
      </c>
      <c r="AL1257" s="68"/>
      <c r="AM1257" s="91"/>
      <c r="AN1257" s="68"/>
      <c r="AO1257" s="218"/>
      <c r="AP1257" s="68"/>
      <c r="AQ1257" s="69"/>
      <c r="AR1257" s="68"/>
      <c r="AS1257" s="68"/>
      <c r="AT1257" s="68"/>
      <c r="AU1257" s="68"/>
      <c r="AV1257" s="68"/>
      <c r="AW1257" s="68"/>
      <c r="AX1257" s="68"/>
      <c r="AY1257" s="30"/>
      <c r="AZ1257" s="30"/>
      <c r="BA1257" s="30"/>
      <c r="BB1257" s="75"/>
    </row>
    <row r="1258" spans="1:54" x14ac:dyDescent="0.25">
      <c r="A1258" s="153" t="s">
        <v>5836</v>
      </c>
      <c r="B1258" s="30" t="s">
        <v>5837</v>
      </c>
      <c r="C1258" s="30" t="s">
        <v>5838</v>
      </c>
      <c r="D1258" s="84" t="s">
        <v>702</v>
      </c>
      <c r="E1258" s="24" t="s">
        <v>5839</v>
      </c>
      <c r="F1258" s="25">
        <v>1</v>
      </c>
      <c r="G1258" s="30" t="s">
        <v>21</v>
      </c>
      <c r="H1258" s="30" t="s">
        <v>106</v>
      </c>
      <c r="I1258" s="203">
        <v>45272.701659756902</v>
      </c>
      <c r="J1258" s="121">
        <v>45278.625694444403</v>
      </c>
      <c r="K1258" s="121">
        <v>45272.701659756902</v>
      </c>
      <c r="L1258" s="203">
        <v>45278.625694444403</v>
      </c>
      <c r="M1258" s="204">
        <v>45273</v>
      </c>
      <c r="N1258" s="205" t="s">
        <v>10</v>
      </c>
      <c r="O1258" s="203" t="s">
        <v>27</v>
      </c>
      <c r="P1258" s="24"/>
      <c r="Q1258" s="60"/>
      <c r="R1258" s="60"/>
      <c r="S1258" s="18"/>
      <c r="T1258" s="24"/>
      <c r="U1258" s="68">
        <f>Tabla1[[#This Row],[PPTO]]/(1+'Lista Datos'!$B$1)</f>
        <v>0</v>
      </c>
      <c r="V1258" s="67"/>
      <c r="W1258" s="193"/>
      <c r="X1258" s="127"/>
      <c r="Y1258" s="127"/>
      <c r="Z1258" s="154"/>
      <c r="AA1258" s="30"/>
      <c r="AB1258" s="30"/>
      <c r="AC1258" s="30"/>
      <c r="AD1258" s="30"/>
      <c r="AE1258" s="145">
        <f>Tabla1[[#This Row],[Cierre]]+Tabla1[[#This Row],[Vigencia Oferta (días)]]</f>
        <v>45278.625694444403</v>
      </c>
      <c r="AF1258" s="68"/>
      <c r="AG1258" s="157"/>
      <c r="AH1258" s="194">
        <f>Tabla1[[#This Row],[Unidades2]]*Tabla1[[#This Row],[Precio Unitario]]</f>
        <v>0</v>
      </c>
      <c r="AI1258" s="97"/>
      <c r="AJ1258" s="149"/>
      <c r="AK1258" s="149">
        <f>Tabla1[[#This Row],[Fecha Vigencia]]-AJ1258</f>
        <v>45278.625694444403</v>
      </c>
      <c r="AL1258" s="68"/>
      <c r="AM1258" s="91"/>
      <c r="AN1258" s="68"/>
      <c r="AO1258" s="218"/>
      <c r="AP1258" s="68"/>
      <c r="AQ1258" s="69"/>
      <c r="AR1258" s="68"/>
      <c r="AS1258" s="68"/>
      <c r="AT1258" s="68"/>
      <c r="AU1258" s="68"/>
      <c r="AV1258" s="68"/>
      <c r="AW1258" s="68"/>
      <c r="AX1258" s="68"/>
      <c r="AY1258" s="30"/>
      <c r="AZ1258" s="30"/>
      <c r="BA1258" s="30"/>
      <c r="BB1258" s="75"/>
    </row>
    <row r="1259" spans="1:54" x14ac:dyDescent="0.25">
      <c r="A1259" s="117" t="s">
        <v>5840</v>
      </c>
      <c r="B1259" s="118" t="s">
        <v>5841</v>
      </c>
      <c r="C1259" s="118" t="s">
        <v>5842</v>
      </c>
      <c r="D1259" s="119" t="s">
        <v>5843</v>
      </c>
      <c r="E1259" s="38" t="s">
        <v>5844</v>
      </c>
      <c r="F1259" s="39">
        <v>2</v>
      </c>
      <c r="G1259" s="118" t="s">
        <v>21</v>
      </c>
      <c r="H1259" s="118" t="s">
        <v>106</v>
      </c>
      <c r="I1259" s="206">
        <v>45272.4972291667</v>
      </c>
      <c r="J1259" s="121">
        <v>45278.625</v>
      </c>
      <c r="K1259" s="121">
        <v>45272.4972291667</v>
      </c>
      <c r="L1259" s="206">
        <v>45278.625</v>
      </c>
      <c r="M1259" s="211">
        <v>45273</v>
      </c>
      <c r="N1259" s="207"/>
      <c r="O1259" s="206"/>
      <c r="P1259" s="38"/>
      <c r="Q1259" s="147">
        <v>45273.75</v>
      </c>
      <c r="R1259" s="147">
        <v>45274.75</v>
      </c>
      <c r="S1259" s="148">
        <v>45657.75</v>
      </c>
      <c r="T1259" s="38"/>
      <c r="U1259" s="65">
        <f>Tabla1[[#This Row],[PPTO]]/(1+'Lista Datos'!$B$1)</f>
        <v>0</v>
      </c>
      <c r="V1259" s="64"/>
      <c r="W1259" s="191" t="s">
        <v>10</v>
      </c>
      <c r="X1259" s="122"/>
      <c r="Y1259" s="122"/>
      <c r="Z1259" s="123" t="s">
        <v>10</v>
      </c>
      <c r="AA1259" s="118" t="s">
        <v>512</v>
      </c>
      <c r="AB1259" s="118"/>
      <c r="AC1259" s="118"/>
      <c r="AD1259" s="118"/>
      <c r="AE1259" s="145">
        <f>Tabla1[[#This Row],[Cierre]]+Tabla1[[#This Row],[Vigencia Oferta (días)]]</f>
        <v>45278.625</v>
      </c>
      <c r="AF1259" s="65"/>
      <c r="AG1259" s="181"/>
      <c r="AH1259" s="192">
        <f>Tabla1[[#This Row],[Unidades2]]*Tabla1[[#This Row],[Precio Unitario]]</f>
        <v>0</v>
      </c>
      <c r="AI1259" s="126" t="s">
        <v>5099</v>
      </c>
      <c r="AJ1259" s="149"/>
      <c r="AK1259" s="149">
        <f>Tabla1[[#This Row],[Fecha Vigencia]]-AJ1259</f>
        <v>45278.625</v>
      </c>
      <c r="AL1259" s="65"/>
      <c r="AM1259" s="90"/>
      <c r="AN1259" s="65"/>
      <c r="AO1259" s="217"/>
      <c r="AP1259" s="65"/>
      <c r="AQ1259" s="66"/>
      <c r="AR1259" s="65"/>
      <c r="AS1259" s="65"/>
      <c r="AT1259" s="65"/>
      <c r="AU1259" s="65"/>
      <c r="AV1259" s="65"/>
      <c r="AW1259" s="65"/>
      <c r="AX1259" s="65"/>
      <c r="AY1259" s="118"/>
      <c r="AZ1259" s="118"/>
      <c r="BA1259" s="118"/>
      <c r="BB1259" s="124"/>
    </row>
    <row r="1260" spans="1:54" x14ac:dyDescent="0.25">
      <c r="A1260" s="153" t="s">
        <v>5845</v>
      </c>
      <c r="B1260" s="30" t="s">
        <v>5846</v>
      </c>
      <c r="C1260" s="30" t="s">
        <v>5847</v>
      </c>
      <c r="D1260" s="84" t="s">
        <v>3224</v>
      </c>
      <c r="E1260" s="24" t="s">
        <v>5848</v>
      </c>
      <c r="F1260" s="25">
        <v>1</v>
      </c>
      <c r="G1260" s="30" t="s">
        <v>16</v>
      </c>
      <c r="H1260" s="30" t="s">
        <v>123</v>
      </c>
      <c r="I1260" s="203">
        <v>45273.735995520801</v>
      </c>
      <c r="J1260" s="38">
        <v>45306.708333333299</v>
      </c>
      <c r="K1260" s="38">
        <v>45273.735995520801</v>
      </c>
      <c r="L1260" s="203">
        <v>45306.708333333299</v>
      </c>
      <c r="M1260" s="204">
        <v>45274</v>
      </c>
      <c r="N1260" s="205"/>
      <c r="O1260" s="203"/>
      <c r="P1260" s="24"/>
      <c r="Q1260" s="160">
        <v>45280.729166666664</v>
      </c>
      <c r="R1260" s="160">
        <v>45286.729166666664</v>
      </c>
      <c r="S1260" s="161">
        <v>45317.463888888888</v>
      </c>
      <c r="T1260" s="24"/>
      <c r="U1260" s="68">
        <f>Tabla1[[#This Row],[PPTO]]/(1+'Lista Datos'!$B$1)</f>
        <v>0</v>
      </c>
      <c r="V1260" s="67"/>
      <c r="W1260" s="193" t="s">
        <v>11</v>
      </c>
      <c r="X1260" s="127" t="s">
        <v>5849</v>
      </c>
      <c r="Y1260" s="127"/>
      <c r="Z1260" s="154" t="s">
        <v>11</v>
      </c>
      <c r="AA1260" s="30" t="s">
        <v>177</v>
      </c>
      <c r="AB1260" s="30">
        <v>24</v>
      </c>
      <c r="AC1260" s="30"/>
      <c r="AD1260" s="30"/>
      <c r="AE1260" s="145">
        <f>Tabla1[[#This Row],[Cierre]]+Tabla1[[#This Row],[Vigencia Oferta (días)]]</f>
        <v>45306.708333333299</v>
      </c>
      <c r="AF1260" s="68"/>
      <c r="AG1260" s="157"/>
      <c r="AH1260" s="194">
        <f>Tabla1[[#This Row],[Unidades2]]*Tabla1[[#This Row],[Precio Unitario]]</f>
        <v>0</v>
      </c>
      <c r="AI1260" s="97" t="s">
        <v>5099</v>
      </c>
      <c r="AJ1260" s="149"/>
      <c r="AK1260" s="149">
        <f>Tabla1[[#This Row],[Fecha Vigencia]]-AJ1260</f>
        <v>45306.708333333299</v>
      </c>
      <c r="AL1260" s="68"/>
      <c r="AM1260" s="91"/>
      <c r="AN1260" s="68"/>
      <c r="AO1260" s="218"/>
      <c r="AP1260" s="68"/>
      <c r="AQ1260" s="69"/>
      <c r="AR1260" s="68"/>
      <c r="AS1260" s="68"/>
      <c r="AT1260" s="68"/>
      <c r="AU1260" s="68"/>
      <c r="AV1260" s="68"/>
      <c r="AW1260" s="68"/>
      <c r="AX1260" s="68"/>
      <c r="AY1260" s="30"/>
      <c r="AZ1260" s="30"/>
      <c r="BA1260" s="30"/>
      <c r="BB1260" s="75"/>
    </row>
    <row r="1261" spans="1:54" x14ac:dyDescent="0.25">
      <c r="A1261" s="117" t="s">
        <v>5850</v>
      </c>
      <c r="B1261" s="118" t="s">
        <v>5851</v>
      </c>
      <c r="C1261" s="118" t="s">
        <v>5852</v>
      </c>
      <c r="D1261" s="119" t="s">
        <v>994</v>
      </c>
      <c r="E1261" s="38" t="s">
        <v>5478</v>
      </c>
      <c r="F1261" s="39">
        <v>600</v>
      </c>
      <c r="G1261" s="118" t="s">
        <v>21</v>
      </c>
      <c r="H1261" s="118" t="s">
        <v>106</v>
      </c>
      <c r="I1261" s="206">
        <v>45273.528196412</v>
      </c>
      <c r="J1261" s="121">
        <v>45286.625694444403</v>
      </c>
      <c r="K1261" s="121">
        <v>45273.528196412</v>
      </c>
      <c r="L1261" s="206">
        <v>45286.625694444403</v>
      </c>
      <c r="M1261" s="211">
        <v>45274</v>
      </c>
      <c r="N1261" s="207" t="s">
        <v>10</v>
      </c>
      <c r="O1261" s="206" t="s">
        <v>27</v>
      </c>
      <c r="P1261" s="38"/>
      <c r="Q1261" s="147">
        <v>45277.625</v>
      </c>
      <c r="R1261" s="147">
        <v>45280.708333333336</v>
      </c>
      <c r="S1261" s="148">
        <v>45316.708333333336</v>
      </c>
      <c r="T1261" s="239">
        <v>55000000</v>
      </c>
      <c r="U1261" s="213">
        <f>Tabla1[[#This Row],[PPTO]]/(1+'Lista Datos'!$B$1)</f>
        <v>46218487.394957982</v>
      </c>
      <c r="V1261" s="64"/>
      <c r="W1261" s="191" t="s">
        <v>10</v>
      </c>
      <c r="X1261" s="122"/>
      <c r="Y1261" s="122"/>
      <c r="Z1261" s="123" t="s">
        <v>10</v>
      </c>
      <c r="AA1261" s="118" t="s">
        <v>177</v>
      </c>
      <c r="AB1261" s="118">
        <v>24</v>
      </c>
      <c r="AC1261" s="118"/>
      <c r="AD1261" s="118"/>
      <c r="AE1261" s="145">
        <f>Tabla1[[#This Row],[Cierre]]+Tabla1[[#This Row],[Vigencia Oferta (días)]]</f>
        <v>45286.625694444403</v>
      </c>
      <c r="AF1261" s="65"/>
      <c r="AG1261" s="181"/>
      <c r="AH1261" s="192">
        <f>Tabla1[[#This Row],[Unidades2]]*Tabla1[[#This Row],[Precio Unitario]]</f>
        <v>0</v>
      </c>
      <c r="AI1261" s="126" t="s">
        <v>5099</v>
      </c>
      <c r="AJ1261" s="149"/>
      <c r="AK1261" s="149">
        <f>Tabla1[[#This Row],[Fecha Vigencia]]-AJ1261</f>
        <v>45286.625694444403</v>
      </c>
      <c r="AL1261" s="65"/>
      <c r="AM1261" s="90"/>
      <c r="AN1261" s="65"/>
      <c r="AO1261" s="217"/>
      <c r="AP1261" s="65"/>
      <c r="AQ1261" s="66"/>
      <c r="AR1261" s="65"/>
      <c r="AS1261" s="65"/>
      <c r="AT1261" s="65"/>
      <c r="AU1261" s="65"/>
      <c r="AV1261" s="65"/>
      <c r="AW1261" s="65"/>
      <c r="AX1261" s="65"/>
      <c r="AY1261" s="118"/>
      <c r="AZ1261" s="118"/>
      <c r="BA1261" s="118"/>
      <c r="BB1261" s="124"/>
    </row>
    <row r="1262" spans="1:54" x14ac:dyDescent="0.25">
      <c r="A1262" s="153" t="s">
        <v>5853</v>
      </c>
      <c r="B1262" s="30" t="s">
        <v>5854</v>
      </c>
      <c r="C1262" s="30" t="s">
        <v>5855</v>
      </c>
      <c r="D1262" s="84" t="s">
        <v>5856</v>
      </c>
      <c r="E1262" s="24" t="s">
        <v>5857</v>
      </c>
      <c r="F1262" s="25">
        <v>4</v>
      </c>
      <c r="G1262" s="30" t="s">
        <v>21</v>
      </c>
      <c r="H1262" s="30" t="s">
        <v>106</v>
      </c>
      <c r="I1262" s="203">
        <v>45274.782770636601</v>
      </c>
      <c r="J1262" s="38">
        <v>45280.583333333299</v>
      </c>
      <c r="K1262" s="38">
        <v>45274.782770636601</v>
      </c>
      <c r="L1262" s="203">
        <v>45280.583333333299</v>
      </c>
      <c r="M1262" s="204">
        <v>45275</v>
      </c>
      <c r="N1262" s="205"/>
      <c r="O1262" s="203"/>
      <c r="P1262" s="24"/>
      <c r="Q1262" s="160">
        <v>45276.5</v>
      </c>
      <c r="R1262" s="160">
        <v>45276.583333333336</v>
      </c>
      <c r="S1262" s="161">
        <v>45281.666666666664</v>
      </c>
      <c r="T1262" s="24"/>
      <c r="U1262" s="68">
        <f>Tabla1[[#This Row],[PPTO]]/(1+'Lista Datos'!$B$1)</f>
        <v>0</v>
      </c>
      <c r="V1262" s="67"/>
      <c r="W1262" s="193" t="s">
        <v>10</v>
      </c>
      <c r="X1262" s="127"/>
      <c r="Y1262" s="127"/>
      <c r="Z1262" s="154" t="s">
        <v>10</v>
      </c>
      <c r="AA1262" s="30" t="s">
        <v>512</v>
      </c>
      <c r="AB1262" s="30"/>
      <c r="AC1262" s="30"/>
      <c r="AD1262" s="30"/>
      <c r="AE1262" s="145">
        <f>Tabla1[[#This Row],[Cierre]]+Tabla1[[#This Row],[Vigencia Oferta (días)]]</f>
        <v>45280.583333333299</v>
      </c>
      <c r="AF1262" s="68"/>
      <c r="AG1262" s="157"/>
      <c r="AH1262" s="194">
        <f>Tabla1[[#This Row],[Unidades2]]*Tabla1[[#This Row],[Precio Unitario]]</f>
        <v>0</v>
      </c>
      <c r="AI1262" s="97" t="s">
        <v>5099</v>
      </c>
      <c r="AJ1262" s="149"/>
      <c r="AK1262" s="149">
        <f>Tabla1[[#This Row],[Fecha Vigencia]]-AJ1262</f>
        <v>45280.583333333299</v>
      </c>
      <c r="AL1262" s="68"/>
      <c r="AM1262" s="91"/>
      <c r="AN1262" s="68"/>
      <c r="AO1262" s="218"/>
      <c r="AP1262" s="68"/>
      <c r="AQ1262" s="69"/>
      <c r="AR1262" s="68"/>
      <c r="AS1262" s="68"/>
      <c r="AT1262" s="68"/>
      <c r="AU1262" s="68"/>
      <c r="AV1262" s="68"/>
      <c r="AW1262" s="68"/>
      <c r="AX1262" s="68"/>
      <c r="AY1262" s="30"/>
      <c r="AZ1262" s="30"/>
      <c r="BA1262" s="30"/>
      <c r="BB1262" s="75"/>
    </row>
    <row r="1263" spans="1:54" x14ac:dyDescent="0.25">
      <c r="A1263" s="117" t="s">
        <v>5858</v>
      </c>
      <c r="B1263" s="118" t="s">
        <v>5859</v>
      </c>
      <c r="C1263" s="118" t="s">
        <v>5860</v>
      </c>
      <c r="D1263" s="119" t="s">
        <v>3587</v>
      </c>
      <c r="E1263" s="38" t="s">
        <v>5861</v>
      </c>
      <c r="F1263" s="39">
        <v>1</v>
      </c>
      <c r="G1263" s="118" t="s">
        <v>16</v>
      </c>
      <c r="H1263" s="118" t="s">
        <v>533</v>
      </c>
      <c r="I1263" s="206">
        <v>45274.675344363401</v>
      </c>
      <c r="J1263" s="121">
        <v>45286.708333333299</v>
      </c>
      <c r="K1263" s="121">
        <v>45274.675344363401</v>
      </c>
      <c r="L1263" s="206">
        <v>45286.708333333299</v>
      </c>
      <c r="M1263" s="211">
        <v>45275</v>
      </c>
      <c r="N1263" s="207"/>
      <c r="O1263" s="206"/>
      <c r="P1263" s="38"/>
      <c r="Q1263" s="147">
        <v>45280.708333333336</v>
      </c>
      <c r="R1263" s="147">
        <v>45282.666666666664</v>
      </c>
      <c r="S1263" s="148">
        <v>45289.708333333336</v>
      </c>
      <c r="T1263" s="38"/>
      <c r="U1263" s="65">
        <f>Tabla1[[#This Row],[PPTO]]/(1+'Lista Datos'!$B$1)</f>
        <v>0</v>
      </c>
      <c r="V1263" s="64"/>
      <c r="W1263" s="191" t="s">
        <v>11</v>
      </c>
      <c r="X1263" s="233">
        <v>0.01</v>
      </c>
      <c r="Y1263" s="149">
        <v>45275</v>
      </c>
      <c r="Z1263" s="123" t="s">
        <v>10</v>
      </c>
      <c r="AA1263" s="118" t="s">
        <v>177</v>
      </c>
      <c r="AB1263" s="118">
        <v>12</v>
      </c>
      <c r="AC1263" s="118"/>
      <c r="AD1263" s="118"/>
      <c r="AE1263" s="145">
        <f>Tabla1[[#This Row],[Cierre]]+Tabla1[[#This Row],[Vigencia Oferta (días)]]</f>
        <v>45286.708333333299</v>
      </c>
      <c r="AF1263" s="65"/>
      <c r="AG1263" s="181"/>
      <c r="AH1263" s="192">
        <f>Tabla1[[#This Row],[Unidades2]]*Tabla1[[#This Row],[Precio Unitario]]</f>
        <v>0</v>
      </c>
      <c r="AI1263" s="126" t="s">
        <v>5099</v>
      </c>
      <c r="AJ1263" s="149"/>
      <c r="AK1263" s="149">
        <f>Tabla1[[#This Row],[Fecha Vigencia]]-AJ1263</f>
        <v>45286.708333333299</v>
      </c>
      <c r="AL1263" s="65"/>
      <c r="AM1263" s="90"/>
      <c r="AN1263" s="65"/>
      <c r="AO1263" s="217"/>
      <c r="AP1263" s="65"/>
      <c r="AQ1263" s="66"/>
      <c r="AR1263" s="65"/>
      <c r="AS1263" s="65"/>
      <c r="AT1263" s="65"/>
      <c r="AU1263" s="65"/>
      <c r="AV1263" s="65"/>
      <c r="AW1263" s="65"/>
      <c r="AX1263" s="65"/>
      <c r="AY1263" s="118"/>
      <c r="AZ1263" s="118"/>
      <c r="BA1263" s="118"/>
      <c r="BB1263" s="124"/>
    </row>
    <row r="1264" spans="1:54" x14ac:dyDescent="0.25">
      <c r="A1264" s="153" t="s">
        <v>5862</v>
      </c>
      <c r="B1264" s="30" t="s">
        <v>5863</v>
      </c>
      <c r="C1264" s="30" t="s">
        <v>5864</v>
      </c>
      <c r="D1264" s="84" t="s">
        <v>5865</v>
      </c>
      <c r="E1264" s="24" t="s">
        <v>5866</v>
      </c>
      <c r="F1264" s="25">
        <v>1</v>
      </c>
      <c r="G1264" s="30" t="s">
        <v>16</v>
      </c>
      <c r="H1264" s="30" t="s">
        <v>520</v>
      </c>
      <c r="I1264" s="203">
        <v>45274.622008599501</v>
      </c>
      <c r="J1264" s="38">
        <v>45286.708333333299</v>
      </c>
      <c r="K1264" s="38">
        <v>45274.622008599501</v>
      </c>
      <c r="L1264" s="203">
        <v>45286.708333333299</v>
      </c>
      <c r="M1264" s="204">
        <v>45275</v>
      </c>
      <c r="N1264" s="205"/>
      <c r="O1264" s="203"/>
      <c r="P1264" s="24"/>
      <c r="Q1264" s="160">
        <v>45278.708333333336</v>
      </c>
      <c r="R1264" s="160">
        <v>45280.708333333336</v>
      </c>
      <c r="S1264" s="161">
        <v>45316.708333333336</v>
      </c>
      <c r="T1264" s="24"/>
      <c r="U1264" s="68">
        <f>Tabla1[[#This Row],[PPTO]]/(1+'Lista Datos'!$B$1)</f>
        <v>0</v>
      </c>
      <c r="V1264" s="67"/>
      <c r="W1264" s="193" t="s">
        <v>11</v>
      </c>
      <c r="X1264" s="127">
        <v>1000000</v>
      </c>
      <c r="Y1264" s="104">
        <v>45346</v>
      </c>
      <c r="Z1264" s="154" t="s">
        <v>10</v>
      </c>
      <c r="AA1264" s="30" t="s">
        <v>177</v>
      </c>
      <c r="AB1264" s="30">
        <v>24</v>
      </c>
      <c r="AC1264" s="30"/>
      <c r="AD1264" s="30"/>
      <c r="AE1264" s="145">
        <f>Tabla1[[#This Row],[Cierre]]+Tabla1[[#This Row],[Vigencia Oferta (días)]]</f>
        <v>45286.708333333299</v>
      </c>
      <c r="AF1264" s="68"/>
      <c r="AG1264" s="157"/>
      <c r="AH1264" s="194">
        <f>Tabla1[[#This Row],[Unidades2]]*Tabla1[[#This Row],[Precio Unitario]]</f>
        <v>0</v>
      </c>
      <c r="AI1264" s="97" t="s">
        <v>5099</v>
      </c>
      <c r="AJ1264" s="149"/>
      <c r="AK1264" s="149">
        <f>Tabla1[[#This Row],[Fecha Vigencia]]-AJ1264</f>
        <v>45286.708333333299</v>
      </c>
      <c r="AL1264" s="68"/>
      <c r="AM1264" s="91"/>
      <c r="AN1264" s="68"/>
      <c r="AO1264" s="218"/>
      <c r="AP1264" s="68"/>
      <c r="AQ1264" s="69"/>
      <c r="AR1264" s="68"/>
      <c r="AS1264" s="68"/>
      <c r="AT1264" s="68"/>
      <c r="AU1264" s="68"/>
      <c r="AV1264" s="68"/>
      <c r="AW1264" s="68"/>
      <c r="AX1264" s="68"/>
      <c r="AY1264" s="30"/>
      <c r="AZ1264" s="30"/>
      <c r="BA1264" s="30"/>
      <c r="BB1264" s="75"/>
    </row>
    <row r="1265" spans="1:54" x14ac:dyDescent="0.25">
      <c r="A1265" s="153" t="s">
        <v>5867</v>
      </c>
      <c r="B1265" s="30" t="s">
        <v>5868</v>
      </c>
      <c r="C1265" s="30" t="s">
        <v>5869</v>
      </c>
      <c r="D1265" s="84" t="s">
        <v>1354</v>
      </c>
      <c r="E1265" s="24" t="s">
        <v>5870</v>
      </c>
      <c r="F1265" s="25">
        <v>50</v>
      </c>
      <c r="G1265" s="30" t="s">
        <v>14</v>
      </c>
      <c r="H1265" s="30" t="s">
        <v>1983</v>
      </c>
      <c r="I1265" s="203">
        <v>45274.491204166698</v>
      </c>
      <c r="J1265" s="121">
        <v>45288.697916666701</v>
      </c>
      <c r="K1265" s="121">
        <v>45274.491204166698</v>
      </c>
      <c r="L1265" s="203">
        <v>45288.697916666701</v>
      </c>
      <c r="M1265" s="204">
        <v>45275</v>
      </c>
      <c r="N1265" s="205" t="s">
        <v>10</v>
      </c>
      <c r="O1265" s="203" t="s">
        <v>27</v>
      </c>
      <c r="P1265" s="24"/>
      <c r="Q1265" s="60"/>
      <c r="R1265" s="60"/>
      <c r="S1265" s="18"/>
      <c r="T1265" s="24"/>
      <c r="U1265" s="68">
        <f>Tabla1[[#This Row],[PPTO]]/(1+'Lista Datos'!$B$1)</f>
        <v>0</v>
      </c>
      <c r="V1265" s="67"/>
      <c r="W1265" s="193"/>
      <c r="X1265" s="127"/>
      <c r="Y1265" s="127"/>
      <c r="Z1265" s="154"/>
      <c r="AA1265" s="30"/>
      <c r="AB1265" s="30"/>
      <c r="AC1265" s="30"/>
      <c r="AD1265" s="30"/>
      <c r="AE1265" s="145">
        <f>Tabla1[[#This Row],[Cierre]]+Tabla1[[#This Row],[Vigencia Oferta (días)]]</f>
        <v>45288.697916666701</v>
      </c>
      <c r="AF1265" s="68"/>
      <c r="AG1265" s="157"/>
      <c r="AH1265" s="194">
        <f>Tabla1[[#This Row],[Unidades2]]*Tabla1[[#This Row],[Precio Unitario]]</f>
        <v>0</v>
      </c>
      <c r="AI1265" s="97" t="s">
        <v>5099</v>
      </c>
      <c r="AJ1265" s="149"/>
      <c r="AK1265" s="149">
        <f>Tabla1[[#This Row],[Fecha Vigencia]]-AJ1265</f>
        <v>45288.697916666701</v>
      </c>
      <c r="AL1265" s="68"/>
      <c r="AM1265" s="91"/>
      <c r="AN1265" s="68"/>
      <c r="AO1265" s="218"/>
      <c r="AP1265" s="68"/>
      <c r="AQ1265" s="69"/>
      <c r="AR1265" s="68"/>
      <c r="AS1265" s="68"/>
      <c r="AT1265" s="68"/>
      <c r="AU1265" s="68"/>
      <c r="AV1265" s="68"/>
      <c r="AW1265" s="68"/>
      <c r="AX1265" s="68"/>
      <c r="AY1265" s="30"/>
      <c r="AZ1265" s="30"/>
      <c r="BA1265" s="30"/>
      <c r="BB1265" s="75"/>
    </row>
    <row r="1266" spans="1:54" x14ac:dyDescent="0.25">
      <c r="A1266" s="153" t="s">
        <v>5871</v>
      </c>
      <c r="B1266" s="30" t="s">
        <v>5872</v>
      </c>
      <c r="C1266" s="30" t="s">
        <v>5873</v>
      </c>
      <c r="D1266" s="84" t="s">
        <v>3109</v>
      </c>
      <c r="E1266" s="24" t="s">
        <v>5714</v>
      </c>
      <c r="F1266" s="25">
        <v>4</v>
      </c>
      <c r="G1266" s="30" t="s">
        <v>21</v>
      </c>
      <c r="H1266" s="30" t="s">
        <v>106</v>
      </c>
      <c r="I1266" s="203">
        <v>45274.439566319401</v>
      </c>
      <c r="J1266" s="121">
        <v>45279.730555555601</v>
      </c>
      <c r="K1266" s="121">
        <v>45274.439566319401</v>
      </c>
      <c r="L1266" s="203">
        <v>45279.730555555601</v>
      </c>
      <c r="M1266" s="204">
        <v>45275</v>
      </c>
      <c r="N1266" s="205"/>
      <c r="O1266" s="203"/>
      <c r="P1266" s="24"/>
      <c r="Q1266" s="160">
        <v>45277.581944444442</v>
      </c>
      <c r="R1266" s="160">
        <v>45278.581944444442</v>
      </c>
      <c r="S1266" s="161">
        <v>45293.731249999997</v>
      </c>
      <c r="T1266" s="24"/>
      <c r="U1266" s="68">
        <f>Tabla1[[#This Row],[PPTO]]/(1+'Lista Datos'!$B$1)</f>
        <v>0</v>
      </c>
      <c r="V1266" s="67"/>
      <c r="W1266" s="193" t="s">
        <v>10</v>
      </c>
      <c r="X1266" s="127"/>
      <c r="Y1266" s="127"/>
      <c r="Z1266" s="154" t="s">
        <v>10</v>
      </c>
      <c r="AA1266" s="30" t="s">
        <v>512</v>
      </c>
      <c r="AB1266" s="30"/>
      <c r="AC1266" s="30"/>
      <c r="AD1266" s="30"/>
      <c r="AE1266" s="145">
        <f>Tabla1[[#This Row],[Cierre]]+Tabla1[[#This Row],[Vigencia Oferta (días)]]</f>
        <v>45279.730555555601</v>
      </c>
      <c r="AF1266" s="68"/>
      <c r="AG1266" s="157"/>
      <c r="AH1266" s="194">
        <f>Tabla1[[#This Row],[Unidades2]]*Tabla1[[#This Row],[Precio Unitario]]</f>
        <v>0</v>
      </c>
      <c r="AI1266" s="97" t="s">
        <v>5099</v>
      </c>
      <c r="AJ1266" s="149"/>
      <c r="AK1266" s="149">
        <f>Tabla1[[#This Row],[Fecha Vigencia]]-AJ1266</f>
        <v>45279.730555555601</v>
      </c>
      <c r="AL1266" s="68"/>
      <c r="AM1266" s="91"/>
      <c r="AN1266" s="68"/>
      <c r="AO1266" s="218"/>
      <c r="AP1266" s="68"/>
      <c r="AQ1266" s="69"/>
      <c r="AR1266" s="68"/>
      <c r="AS1266" s="68"/>
      <c r="AT1266" s="68"/>
      <c r="AU1266" s="68"/>
      <c r="AV1266" s="68"/>
      <c r="AW1266" s="68"/>
      <c r="AX1266" s="68"/>
      <c r="AY1266" s="30"/>
      <c r="AZ1266" s="30"/>
      <c r="BA1266" s="30"/>
      <c r="BB1266" s="75"/>
    </row>
    <row r="1267" spans="1:54" x14ac:dyDescent="0.25">
      <c r="A1267" s="117" t="s">
        <v>5874</v>
      </c>
      <c r="B1267" s="118" t="s">
        <v>5875</v>
      </c>
      <c r="C1267" s="118" t="s">
        <v>5876</v>
      </c>
      <c r="D1267" s="119" t="s">
        <v>3128</v>
      </c>
      <c r="E1267" s="38" t="s">
        <v>5877</v>
      </c>
      <c r="F1267" s="39">
        <v>1</v>
      </c>
      <c r="G1267" s="118" t="s">
        <v>14</v>
      </c>
      <c r="H1267" s="118" t="s">
        <v>123</v>
      </c>
      <c r="I1267" s="206">
        <v>45274.414420868103</v>
      </c>
      <c r="J1267" s="121">
        <v>45286.78125</v>
      </c>
      <c r="K1267" s="121">
        <v>45274.414420868103</v>
      </c>
      <c r="L1267" s="206">
        <v>45286.78125</v>
      </c>
      <c r="M1267" s="211">
        <v>45275</v>
      </c>
      <c r="N1267" s="207"/>
      <c r="O1267" s="206"/>
      <c r="P1267" s="38"/>
      <c r="Q1267" s="121"/>
      <c r="R1267" s="121"/>
      <c r="S1267" s="19"/>
      <c r="T1267" s="38"/>
      <c r="U1267" s="65">
        <f>Tabla1[[#This Row],[PPTO]]/(1+'Lista Datos'!$B$1)</f>
        <v>0</v>
      </c>
      <c r="V1267" s="64"/>
      <c r="W1267" s="191"/>
      <c r="X1267" s="122"/>
      <c r="Y1267" s="122"/>
      <c r="Z1267" s="123"/>
      <c r="AA1267" s="118"/>
      <c r="AB1267" s="118"/>
      <c r="AC1267" s="118"/>
      <c r="AD1267" s="118"/>
      <c r="AE1267" s="145">
        <f>Tabla1[[#This Row],[Cierre]]+Tabla1[[#This Row],[Vigencia Oferta (días)]]</f>
        <v>45286.78125</v>
      </c>
      <c r="AF1267" s="65"/>
      <c r="AG1267" s="181"/>
      <c r="AH1267" s="192">
        <f>Tabla1[[#This Row],[Unidades2]]*Tabla1[[#This Row],[Precio Unitario]]</f>
        <v>0</v>
      </c>
      <c r="AI1267" s="126" t="s">
        <v>5099</v>
      </c>
      <c r="AJ1267" s="149"/>
      <c r="AK1267" s="149">
        <f>Tabla1[[#This Row],[Fecha Vigencia]]-AJ1267</f>
        <v>45286.78125</v>
      </c>
      <c r="AL1267" s="65"/>
      <c r="AM1267" s="90"/>
      <c r="AN1267" s="65"/>
      <c r="AO1267" s="217"/>
      <c r="AP1267" s="65"/>
      <c r="AQ1267" s="66"/>
      <c r="AR1267" s="65"/>
      <c r="AS1267" s="65"/>
      <c r="AT1267" s="65"/>
      <c r="AU1267" s="65"/>
      <c r="AV1267" s="65"/>
      <c r="AW1267" s="65"/>
      <c r="AX1267" s="65"/>
      <c r="AY1267" s="118"/>
      <c r="AZ1267" s="118"/>
      <c r="BA1267" s="118"/>
      <c r="BB1267" s="124"/>
    </row>
  </sheetData>
  <phoneticPr fontId="5" type="noConversion"/>
  <dataValidations count="15">
    <dataValidation type="list" allowBlank="1" showInputMessage="1" showErrorMessage="1" sqref="O2:O1002 O1004:O1005 O1007 O1018 O1020" xr:uid="{A49F3E4D-DEAA-43B6-9DAB-9DFDE3FEB08B}">
      <formula1>Motivo</formula1>
    </dataValidation>
    <dataValidation type="list" allowBlank="1" showInputMessage="1" showErrorMessage="1" sqref="O984 P2:P1002 P1007:P1008 P1004:P1005 P1013 P1018 P1020" xr:uid="{C0E320F0-6D77-4B11-9123-66A3388BA42D}">
      <formula1>Seguimiento</formula1>
    </dataValidation>
    <dataValidation type="list" allowBlank="1" showInputMessage="1" showErrorMessage="1" sqref="P1022 P1029 P1027 P1216 P1181 P1219 P1204 N2:N1267" xr:uid="{814401F6-7BCC-47A4-9772-D2F858820A08}">
      <formula1>Participa</formula1>
    </dataValidation>
    <dataValidation type="list" allowBlank="1" showInputMessage="1" showErrorMessage="1" sqref="H2:H1080" xr:uid="{151E4385-E4F8-4CEA-81AC-2488DDE2A080}">
      <formula1>Responsable</formula1>
    </dataValidation>
    <dataValidation type="list" allowBlank="1" showInputMessage="1" showErrorMessage="1" sqref="G2:G1267" xr:uid="{6DFA976A-6CAF-43FB-96C0-702A1C8E604B}">
      <formula1>AREA</formula1>
    </dataValidation>
    <dataValidation type="list" allowBlank="1" showInputMessage="1" showErrorMessage="1" sqref="V2:V1267" xr:uid="{8A44748E-D1D6-4094-A54B-6477314564C7}">
      <formula1>Plazo</formula1>
    </dataValidation>
    <dataValidation type="list" allowBlank="1" showInputMessage="1" showErrorMessage="1" sqref="W2:W1267" xr:uid="{C2F72B2F-D2A1-484D-97B2-FC6DC9E0EA8C}">
      <formula1>Goferta</formula1>
    </dataValidation>
    <dataValidation type="list" allowBlank="1" showInputMessage="1" showErrorMessage="1" sqref="Z2:Z1267" xr:uid="{369FC93C-0D51-47E1-86E5-6BE89BD73AAB}">
      <formula1>Terreno</formula1>
    </dataValidation>
    <dataValidation type="list" allowBlank="1" showInputMessage="1" showErrorMessage="1" sqref="AA2:AA1267" xr:uid="{FB4ED440-45C3-4E4F-81C9-57BCBE9E212B}">
      <formula1>Venta</formula1>
    </dataValidation>
    <dataValidation type="list" allowBlank="1" showInputMessage="1" showErrorMessage="1" sqref="AC2:AC1267" xr:uid="{16AB5185-8926-40FD-B120-85E4055EC6FE}">
      <formula1>Muestra</formula1>
    </dataValidation>
    <dataValidation type="list" allowBlank="1" showInputMessage="1" showErrorMessage="1" sqref="AI2:AI1267" xr:uid="{B409E094-9E28-40EA-9374-2B7D762D75F1}">
      <formula1>Estado</formula1>
    </dataValidation>
    <dataValidation type="list" allowBlank="1" showInputMessage="1" showErrorMessage="1" sqref="AL2:AL1267" xr:uid="{48A8C3C2-8093-49D1-BDC0-ACC319C03C9B}">
      <formula1>Empresa</formula1>
    </dataValidation>
    <dataValidation type="list" allowBlank="1" showInputMessage="1" showErrorMessage="1" sqref="AP2:AP1267" xr:uid="{F44C09A6-B2BD-493E-9639-480A21ADE38A}">
      <formula1>Documento</formula1>
    </dataValidation>
    <dataValidation type="list" allowBlank="1" showInputMessage="1" showErrorMessage="1" sqref="AY2:AY1267" xr:uid="{88F761BC-7A40-444E-8818-06E45F0E204A}">
      <formula1>Prorroga</formula1>
    </dataValidation>
    <dataValidation type="list" allowBlank="1" showInputMessage="1" showErrorMessage="1" sqref="BB2:BB1267" xr:uid="{4BBBB3F9-4115-4A62-B1EA-3DE2E5E3026E}">
      <formula1>Contrato</formula1>
    </dataValidation>
  </dataValidations>
  <pageMargins left="0.7" right="0.7" top="0.75" bottom="0.75"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E11CB-0B6A-436A-98FD-42855713D620}">
  <dimension ref="A1:AA629"/>
  <sheetViews>
    <sheetView zoomScaleNormal="100" workbookViewId="0">
      <pane xSplit="9" ySplit="2" topLeftCell="J358" activePane="bottomRight" state="frozen"/>
      <selection pane="topRight" activeCell="I1" sqref="I1"/>
      <selection pane="bottomLeft" activeCell="A3" sqref="A3"/>
      <selection pane="bottomRight" activeCell="C383" sqref="C383"/>
    </sheetView>
  </sheetViews>
  <sheetFormatPr defaultColWidth="11.42578125" defaultRowHeight="15" x14ac:dyDescent="0.25"/>
  <cols>
    <col min="1" max="1" width="16.28515625" style="73" customWidth="1"/>
    <col min="2" max="2" width="25.28515625" style="73" customWidth="1"/>
    <col min="3" max="3" width="33.140625" style="73" customWidth="1"/>
    <col min="4" max="4" width="10.7109375" style="79" customWidth="1"/>
    <col min="5" max="5" width="10.42578125" style="79" bestFit="1" customWidth="1"/>
    <col min="6" max="7" width="11.42578125" style="93"/>
    <col min="8" max="8" width="11.42578125" style="73"/>
    <col min="9" max="9" width="15.42578125" style="73" customWidth="1"/>
    <col min="12" max="13" width="11.42578125" style="73" customWidth="1"/>
    <col min="14" max="14" width="10.5703125" style="73" customWidth="1"/>
    <col min="15" max="15" width="9" style="139" bestFit="1" customWidth="1"/>
    <col min="16" max="16" width="11.28515625" style="139" bestFit="1" customWidth="1"/>
    <col min="17" max="17" width="11.7109375" style="73" bestFit="1" customWidth="1"/>
    <col min="18" max="18" width="12.42578125" style="139" customWidth="1"/>
    <col min="19" max="19" width="11.7109375" style="144" bestFit="1" customWidth="1"/>
    <col min="20" max="20" width="13.5703125" style="80" bestFit="1" customWidth="1"/>
    <col min="21" max="21" width="12.140625" style="73" bestFit="1" customWidth="1"/>
    <col min="22" max="22" width="15.42578125" style="73" bestFit="1" customWidth="1"/>
    <col min="23" max="23" width="11.7109375" style="80" bestFit="1" customWidth="1"/>
    <col min="24" max="24" width="11.42578125" style="73"/>
    <col min="25" max="27" width="10" style="73" customWidth="1"/>
    <col min="28" max="29" width="11.42578125" style="73"/>
    <col min="30" max="30" width="13" style="73" customWidth="1"/>
    <col min="31" max="31" width="13.7109375" style="73" customWidth="1"/>
    <col min="32" max="32" width="15.28515625" style="73" customWidth="1"/>
    <col min="33" max="34" width="11.42578125" style="73"/>
    <col min="35" max="35" width="13.140625" style="73" customWidth="1"/>
    <col min="36" max="36" width="12.5703125" style="73" customWidth="1"/>
    <col min="37" max="37" width="16" style="73" customWidth="1"/>
    <col min="38" max="38" width="11.42578125" style="73"/>
    <col min="39" max="39" width="15" style="73" customWidth="1"/>
    <col min="40" max="40" width="12.85546875" style="73" customWidth="1"/>
    <col min="41" max="41" width="11.42578125" style="73"/>
    <col min="42" max="42" width="15.28515625" style="73" customWidth="1"/>
    <col min="43" max="43" width="14.140625" style="73" customWidth="1"/>
    <col min="44" max="44" width="12.5703125" style="73" customWidth="1"/>
    <col min="45" max="45" width="11.42578125" style="73"/>
    <col min="46" max="46" width="13" style="73" customWidth="1"/>
    <col min="47" max="47" width="14.28515625" style="73" customWidth="1"/>
    <col min="48" max="48" width="20" style="73" customWidth="1"/>
    <col min="49" max="50" width="11.42578125" style="73"/>
    <col min="51" max="51" width="12.28515625" style="73" customWidth="1"/>
    <col min="52" max="55" width="11.42578125" style="73"/>
    <col min="56" max="56" width="17.140625" style="73" customWidth="1"/>
    <col min="57" max="16384" width="11.42578125" style="73"/>
  </cols>
  <sheetData>
    <row r="1" spans="1:27" s="71" customFormat="1" ht="30.75" customHeight="1" thickBot="1" x14ac:dyDescent="0.3">
      <c r="A1" s="251" t="s">
        <v>5878</v>
      </c>
      <c r="B1" s="252"/>
      <c r="C1" s="252"/>
      <c r="D1" s="252"/>
      <c r="E1" s="252"/>
      <c r="F1" s="252"/>
      <c r="G1" s="252"/>
      <c r="H1" s="252"/>
      <c r="I1" s="252"/>
      <c r="J1" s="253"/>
      <c r="K1" s="256" t="s">
        <v>52</v>
      </c>
      <c r="L1" s="257"/>
      <c r="M1" s="258"/>
      <c r="N1" s="259" t="s">
        <v>5879</v>
      </c>
      <c r="O1" s="260"/>
      <c r="P1" s="261"/>
      <c r="Q1" s="262" t="s">
        <v>5880</v>
      </c>
      <c r="R1" s="263"/>
      <c r="S1" s="264"/>
      <c r="T1" s="265" t="s">
        <v>5881</v>
      </c>
      <c r="U1" s="266"/>
      <c r="V1" s="266"/>
      <c r="W1" s="267"/>
      <c r="X1" s="254" t="s">
        <v>5882</v>
      </c>
      <c r="Y1" s="255"/>
      <c r="Z1" s="255"/>
      <c r="AA1" s="255"/>
    </row>
    <row r="2" spans="1:27" ht="12" thickBot="1" x14ac:dyDescent="0.25">
      <c r="A2" s="9" t="s">
        <v>53</v>
      </c>
      <c r="B2" s="1" t="s">
        <v>57</v>
      </c>
      <c r="C2" s="1" t="s">
        <v>5883</v>
      </c>
      <c r="D2" s="11" t="s">
        <v>60</v>
      </c>
      <c r="E2" s="11" t="s">
        <v>61</v>
      </c>
      <c r="F2" s="116" t="s">
        <v>5884</v>
      </c>
      <c r="G2" s="116" t="s">
        <v>5885</v>
      </c>
      <c r="H2" s="1" t="s">
        <v>59</v>
      </c>
      <c r="I2" s="1" t="s">
        <v>6</v>
      </c>
      <c r="J2" s="10" t="s">
        <v>62</v>
      </c>
      <c r="K2" s="13" t="s">
        <v>24</v>
      </c>
      <c r="L2" s="13" t="s">
        <v>63</v>
      </c>
      <c r="M2" s="13" t="s">
        <v>64</v>
      </c>
      <c r="N2" s="14" t="s">
        <v>67</v>
      </c>
      <c r="O2" s="134" t="s">
        <v>68</v>
      </c>
      <c r="P2" s="134" t="s">
        <v>5886</v>
      </c>
      <c r="Q2" s="99" t="s">
        <v>80</v>
      </c>
      <c r="R2" s="140" t="s">
        <v>81</v>
      </c>
      <c r="S2" s="141" t="s">
        <v>82</v>
      </c>
      <c r="T2" s="20" t="s">
        <v>39</v>
      </c>
      <c r="U2" s="21" t="s">
        <v>83</v>
      </c>
      <c r="V2" s="21" t="s">
        <v>85</v>
      </c>
      <c r="W2" s="106" t="s">
        <v>86</v>
      </c>
      <c r="X2" s="81" t="s">
        <v>90</v>
      </c>
      <c r="Y2" s="82" t="s">
        <v>5887</v>
      </c>
      <c r="Z2" s="82" t="s">
        <v>5888</v>
      </c>
      <c r="AA2" s="82" t="s">
        <v>5889</v>
      </c>
    </row>
    <row r="3" spans="1:27" ht="11.25" x14ac:dyDescent="0.2">
      <c r="A3" s="103" t="s">
        <v>5890</v>
      </c>
      <c r="B3" s="23" t="s">
        <v>5891</v>
      </c>
      <c r="C3" s="23" t="s">
        <v>562</v>
      </c>
      <c r="D3" s="2">
        <v>44645.676215277781</v>
      </c>
      <c r="E3" s="2">
        <v>44648.6875</v>
      </c>
      <c r="F3" s="86"/>
      <c r="G3" s="171">
        <f>Tabla120[[#This Row],[Presupuesto]]/(1+'Lista Datos'!$B$1)</f>
        <v>0</v>
      </c>
      <c r="H3" s="23" t="s">
        <v>21</v>
      </c>
      <c r="I3" s="23" t="s">
        <v>106</v>
      </c>
      <c r="J3" s="26">
        <v>44648</v>
      </c>
      <c r="K3" s="85" t="s">
        <v>11</v>
      </c>
      <c r="L3" s="2"/>
      <c r="M3" s="2"/>
      <c r="N3" s="26">
        <v>44509.616666666669</v>
      </c>
      <c r="O3" s="27">
        <f>Tabla120[[#This Row],[Presupuesto]]</f>
        <v>0</v>
      </c>
      <c r="P3" s="28">
        <f>Tabla120[[#This Row],[PPTO]]/(1+'Lista Datos'!$B$1)</f>
        <v>0</v>
      </c>
      <c r="Q3" s="105">
        <v>5</v>
      </c>
      <c r="R3" s="97">
        <v>114720</v>
      </c>
      <c r="S3" s="97">
        <f>Tabla120[[#This Row],[Unidades2]]*Tabla120[[#This Row],[Precio Unitario]]</f>
        <v>573600</v>
      </c>
      <c r="T3" s="23" t="s">
        <v>44</v>
      </c>
      <c r="U3" s="26">
        <v>44648</v>
      </c>
      <c r="V3" s="23" t="s">
        <v>582</v>
      </c>
      <c r="W3" s="28">
        <v>54300</v>
      </c>
      <c r="X3" s="23" t="s">
        <v>372</v>
      </c>
      <c r="Y3" s="23" t="s">
        <v>5892</v>
      </c>
      <c r="Z3" s="23" t="s">
        <v>5893</v>
      </c>
      <c r="AA3" s="74" t="s">
        <v>5894</v>
      </c>
    </row>
    <row r="4" spans="1:27" ht="11.25" x14ac:dyDescent="0.2">
      <c r="A4" s="103" t="s">
        <v>5895</v>
      </c>
      <c r="B4" s="30" t="s">
        <v>5896</v>
      </c>
      <c r="C4" s="84" t="s">
        <v>5897</v>
      </c>
      <c r="D4" s="2">
        <v>44644.6253125</v>
      </c>
      <c r="E4" s="2">
        <v>44648.770833333336</v>
      </c>
      <c r="F4" s="86"/>
      <c r="G4" s="170">
        <f>Tabla120[[#This Row],[Presupuesto]]/(1+'Lista Datos'!$B$1)</f>
        <v>0</v>
      </c>
      <c r="H4" s="30" t="s">
        <v>21</v>
      </c>
      <c r="I4" s="30" t="s">
        <v>106</v>
      </c>
      <c r="J4" s="26">
        <v>44645</v>
      </c>
      <c r="K4" s="85" t="s">
        <v>10</v>
      </c>
      <c r="L4" s="2" t="s">
        <v>33</v>
      </c>
      <c r="M4" s="2"/>
      <c r="N4" s="26"/>
      <c r="O4" s="27">
        <f>Tabla120[[#This Row],[Presupuesto]]</f>
        <v>0</v>
      </c>
      <c r="P4" s="59">
        <f>Tabla120[[#This Row],[PPTO]]/(1+'Lista Datos'!$B$1)</f>
        <v>0</v>
      </c>
      <c r="Q4" s="107"/>
      <c r="R4" s="59"/>
      <c r="S4" s="59">
        <f>Tabla120[[#This Row],[Unidades2]]*Tabla120[[#This Row],[Precio Unitario]]</f>
        <v>0</v>
      </c>
      <c r="T4" s="30" t="s">
        <v>44</v>
      </c>
      <c r="U4" s="104"/>
      <c r="V4" s="23" t="s">
        <v>46</v>
      </c>
      <c r="W4" s="59">
        <v>374374</v>
      </c>
      <c r="X4" s="34" t="s">
        <v>5898</v>
      </c>
      <c r="Y4" s="23" t="s">
        <v>5899</v>
      </c>
      <c r="Z4" s="23" t="s">
        <v>5900</v>
      </c>
      <c r="AA4" s="108" t="s">
        <v>5901</v>
      </c>
    </row>
    <row r="5" spans="1:27" ht="11.25" x14ac:dyDescent="0.2">
      <c r="A5" s="103" t="s">
        <v>5902</v>
      </c>
      <c r="B5" s="30" t="s">
        <v>5245</v>
      </c>
      <c r="C5" s="84" t="s">
        <v>5903</v>
      </c>
      <c r="D5" s="2">
        <v>44644.496377314812</v>
      </c>
      <c r="E5" s="2">
        <v>44645.666666666664</v>
      </c>
      <c r="F5" s="86"/>
      <c r="G5" s="170">
        <f>Tabla120[[#This Row],[Presupuesto]]/(1+'Lista Datos'!$B$1)</f>
        <v>0</v>
      </c>
      <c r="H5" s="30" t="s">
        <v>21</v>
      </c>
      <c r="I5" s="30" t="s">
        <v>106</v>
      </c>
      <c r="J5" s="26">
        <v>44645</v>
      </c>
      <c r="K5" s="85" t="s">
        <v>11</v>
      </c>
      <c r="L5" s="2"/>
      <c r="M5" s="2"/>
      <c r="N5" s="26"/>
      <c r="O5" s="27">
        <f>Tabla120[[#This Row],[Presupuesto]]</f>
        <v>0</v>
      </c>
      <c r="P5" s="59">
        <f>Tabla120[[#This Row],[PPTO]]/(1+'Lista Datos'!$B$1)</f>
        <v>0</v>
      </c>
      <c r="Q5" s="107">
        <v>2</v>
      </c>
      <c r="R5" s="59">
        <v>602093</v>
      </c>
      <c r="S5" s="59">
        <f>Tabla120[[#This Row],[Unidades2]]*Tabla120[[#This Row],[Precio Unitario]]</f>
        <v>1204186</v>
      </c>
      <c r="T5" s="30" t="s">
        <v>44</v>
      </c>
      <c r="U5" s="104">
        <v>44644</v>
      </c>
      <c r="V5" s="23" t="s">
        <v>46</v>
      </c>
      <c r="W5" s="59">
        <v>562101</v>
      </c>
      <c r="X5" s="34" t="s">
        <v>5904</v>
      </c>
      <c r="Y5" s="23" t="s">
        <v>5905</v>
      </c>
      <c r="Z5" s="23" t="s">
        <v>5906</v>
      </c>
      <c r="AA5" s="108" t="s">
        <v>5907</v>
      </c>
    </row>
    <row r="6" spans="1:27" ht="11.25" x14ac:dyDescent="0.2">
      <c r="A6" s="103" t="s">
        <v>5908</v>
      </c>
      <c r="B6" s="30" t="s">
        <v>5909</v>
      </c>
      <c r="C6" s="84" t="s">
        <v>3215</v>
      </c>
      <c r="D6" s="2">
        <v>44644.481898148151</v>
      </c>
      <c r="E6" s="2">
        <v>44645.489583333336</v>
      </c>
      <c r="F6" s="86"/>
      <c r="G6" s="170">
        <f>Tabla120[[#This Row],[Presupuesto]]/(1+'Lista Datos'!$B$1)</f>
        <v>0</v>
      </c>
      <c r="H6" s="30" t="s">
        <v>21</v>
      </c>
      <c r="I6" s="30" t="s">
        <v>106</v>
      </c>
      <c r="J6" s="26">
        <v>44645</v>
      </c>
      <c r="K6" s="85" t="s">
        <v>11</v>
      </c>
      <c r="L6" s="2"/>
      <c r="M6" s="2"/>
      <c r="N6" s="26"/>
      <c r="O6" s="27">
        <f>Tabla120[[#This Row],[Presupuesto]]</f>
        <v>0</v>
      </c>
      <c r="P6" s="59">
        <f>Tabla120[[#This Row],[PPTO]]/(1+'Lista Datos'!$B$1)</f>
        <v>0</v>
      </c>
      <c r="Q6" s="107">
        <v>10</v>
      </c>
      <c r="R6" s="59">
        <v>25775</v>
      </c>
      <c r="S6" s="59">
        <f>Tabla120[[#This Row],[Unidades2]]*Tabla120[[#This Row],[Precio Unitario]]</f>
        <v>257750</v>
      </c>
      <c r="T6" s="30" t="s">
        <v>44</v>
      </c>
      <c r="U6" s="104">
        <v>44644</v>
      </c>
      <c r="V6" s="23" t="s">
        <v>46</v>
      </c>
      <c r="W6" s="59">
        <v>90000</v>
      </c>
      <c r="X6" s="34" t="s">
        <v>5910</v>
      </c>
      <c r="Y6" s="23" t="s">
        <v>5911</v>
      </c>
      <c r="Z6" s="23" t="s">
        <v>5912</v>
      </c>
      <c r="AA6" s="108" t="s">
        <v>5913</v>
      </c>
    </row>
    <row r="7" spans="1:27" ht="11.25" x14ac:dyDescent="0.2">
      <c r="A7" s="103" t="s">
        <v>5914</v>
      </c>
      <c r="B7" s="30" t="s">
        <v>5915</v>
      </c>
      <c r="C7" s="84" t="s">
        <v>3000</v>
      </c>
      <c r="D7" s="2">
        <v>44643.725694444445</v>
      </c>
      <c r="E7" s="2">
        <v>44650.432638888888</v>
      </c>
      <c r="F7" s="86"/>
      <c r="G7" s="170">
        <f>Tabla120[[#This Row],[Presupuesto]]/(1+'Lista Datos'!$B$1)</f>
        <v>0</v>
      </c>
      <c r="H7" s="30" t="s">
        <v>21</v>
      </c>
      <c r="I7" s="30" t="s">
        <v>106</v>
      </c>
      <c r="J7" s="26">
        <v>44645</v>
      </c>
      <c r="K7" s="85" t="s">
        <v>11</v>
      </c>
      <c r="L7" s="2"/>
      <c r="M7" s="2"/>
      <c r="N7" s="26"/>
      <c r="O7" s="27">
        <f>Tabla120[[#This Row],[Presupuesto]]</f>
        <v>0</v>
      </c>
      <c r="P7" s="59">
        <f>Tabla120[[#This Row],[PPTO]]/(1+'Lista Datos'!$B$1)</f>
        <v>0</v>
      </c>
      <c r="Q7" s="107">
        <v>4</v>
      </c>
      <c r="R7" s="59">
        <v>26321</v>
      </c>
      <c r="S7" s="59">
        <f>Tabla120[[#This Row],[Unidades2]]*Tabla120[[#This Row],[Precio Unitario]]</f>
        <v>105284</v>
      </c>
      <c r="T7" s="30" t="s">
        <v>44</v>
      </c>
      <c r="U7" s="104">
        <v>44649</v>
      </c>
      <c r="V7" s="23" t="s">
        <v>46</v>
      </c>
      <c r="W7" s="59">
        <v>22080</v>
      </c>
      <c r="X7" s="34" t="s">
        <v>5916</v>
      </c>
      <c r="Y7" s="23" t="s">
        <v>5917</v>
      </c>
      <c r="Z7" s="23" t="s">
        <v>5918</v>
      </c>
      <c r="AA7" s="108" t="s">
        <v>5919</v>
      </c>
    </row>
    <row r="8" spans="1:27" ht="11.25" x14ac:dyDescent="0.2">
      <c r="A8" s="103" t="s">
        <v>5920</v>
      </c>
      <c r="B8" s="30" t="s">
        <v>4322</v>
      </c>
      <c r="C8" s="84" t="s">
        <v>2922</v>
      </c>
      <c r="D8" s="2">
        <v>44642.728148148148</v>
      </c>
      <c r="E8" s="2">
        <v>44644.416666666664</v>
      </c>
      <c r="F8" s="86"/>
      <c r="G8" s="170">
        <f>Tabla120[[#This Row],[Presupuesto]]/(1+'Lista Datos'!$B$1)</f>
        <v>0</v>
      </c>
      <c r="H8" s="30" t="s">
        <v>21</v>
      </c>
      <c r="I8" s="30" t="s">
        <v>106</v>
      </c>
      <c r="J8" s="26">
        <v>44645</v>
      </c>
      <c r="K8" s="85" t="s">
        <v>11</v>
      </c>
      <c r="L8" s="2"/>
      <c r="M8" s="2"/>
      <c r="N8" s="26"/>
      <c r="O8" s="27">
        <f>Tabla120[[#This Row],[Presupuesto]]</f>
        <v>0</v>
      </c>
      <c r="P8" s="59">
        <f>Tabla120[[#This Row],[PPTO]]/(1+'Lista Datos'!$B$1)</f>
        <v>0</v>
      </c>
      <c r="Q8" s="107">
        <v>4</v>
      </c>
      <c r="R8" s="59">
        <v>26321</v>
      </c>
      <c r="S8" s="59">
        <f>Tabla120[[#This Row],[Unidades2]]*Tabla120[[#This Row],[Precio Unitario]]</f>
        <v>105284</v>
      </c>
      <c r="T8" s="30" t="s">
        <v>44</v>
      </c>
      <c r="U8" s="104">
        <v>44643</v>
      </c>
      <c r="V8" s="23" t="s">
        <v>46</v>
      </c>
      <c r="W8" s="59">
        <v>12900</v>
      </c>
      <c r="X8" s="34" t="s">
        <v>2927</v>
      </c>
      <c r="Y8" s="23" t="s">
        <v>5921</v>
      </c>
      <c r="Z8" s="23" t="s">
        <v>5922</v>
      </c>
      <c r="AA8" s="108" t="s">
        <v>5923</v>
      </c>
    </row>
    <row r="9" spans="1:27" ht="11.25" x14ac:dyDescent="0.2">
      <c r="A9" s="103" t="s">
        <v>5924</v>
      </c>
      <c r="B9" s="30" t="s">
        <v>5925</v>
      </c>
      <c r="C9" s="84" t="s">
        <v>291</v>
      </c>
      <c r="D9" s="2">
        <v>44642.721203703702</v>
      </c>
      <c r="E9" s="2">
        <v>44644.416666666664</v>
      </c>
      <c r="F9" s="86"/>
      <c r="G9" s="170">
        <f>Tabla120[[#This Row],[Presupuesto]]/(1+'Lista Datos'!$B$1)</f>
        <v>0</v>
      </c>
      <c r="H9" s="30" t="s">
        <v>21</v>
      </c>
      <c r="I9" s="30" t="s">
        <v>106</v>
      </c>
      <c r="J9" s="26"/>
      <c r="K9" s="85" t="s">
        <v>10</v>
      </c>
      <c r="L9" s="2" t="s">
        <v>33</v>
      </c>
      <c r="M9" s="2"/>
      <c r="N9" s="26"/>
      <c r="O9" s="27">
        <f>Tabla120[[#This Row],[Presupuesto]]</f>
        <v>0</v>
      </c>
      <c r="P9" s="59">
        <f>Tabla120[[#This Row],[PPTO]]/(1+'Lista Datos'!$B$1)</f>
        <v>0</v>
      </c>
      <c r="Q9" s="107"/>
      <c r="R9" s="59"/>
      <c r="S9" s="59">
        <f>Tabla120[[#This Row],[Unidades2]]*Tabla120[[#This Row],[Precio Unitario]]</f>
        <v>0</v>
      </c>
      <c r="T9" s="30" t="s">
        <v>385</v>
      </c>
      <c r="U9" s="104"/>
      <c r="V9" s="23"/>
      <c r="W9" s="59"/>
      <c r="X9" s="34" t="s">
        <v>5926</v>
      </c>
      <c r="Y9" s="23" t="s">
        <v>5927</v>
      </c>
      <c r="Z9" s="23" t="s">
        <v>5928</v>
      </c>
      <c r="AA9" s="108" t="s">
        <v>5929</v>
      </c>
    </row>
    <row r="10" spans="1:27" ht="11.25" x14ac:dyDescent="0.2">
      <c r="A10" s="103" t="s">
        <v>5930</v>
      </c>
      <c r="B10" s="30" t="s">
        <v>5931</v>
      </c>
      <c r="C10" s="84" t="s">
        <v>955</v>
      </c>
      <c r="D10" s="2">
        <v>44642.703981481478</v>
      </c>
      <c r="E10" s="2">
        <v>44644.78125</v>
      </c>
      <c r="F10" s="86"/>
      <c r="G10" s="170">
        <f>Tabla120[[#This Row],[Presupuesto]]/(1+'Lista Datos'!$B$1)</f>
        <v>0</v>
      </c>
      <c r="H10" s="30" t="s">
        <v>21</v>
      </c>
      <c r="I10" s="30" t="s">
        <v>106</v>
      </c>
      <c r="J10" s="26">
        <v>44643</v>
      </c>
      <c r="K10" s="85" t="s">
        <v>11</v>
      </c>
      <c r="L10" s="2"/>
      <c r="M10" s="2"/>
      <c r="N10" s="26"/>
      <c r="O10" s="27">
        <f>Tabla120[[#This Row],[Presupuesto]]</f>
        <v>0</v>
      </c>
      <c r="P10" s="59">
        <f>Tabla120[[#This Row],[PPTO]]/(1+'Lista Datos'!$B$1)</f>
        <v>0</v>
      </c>
      <c r="Q10" s="107">
        <v>3</v>
      </c>
      <c r="R10" s="59">
        <v>29639</v>
      </c>
      <c r="S10" s="59">
        <f>Tabla120[[#This Row],[Unidades2]]*Tabla120[[#This Row],[Precio Unitario]]</f>
        <v>88917</v>
      </c>
      <c r="T10" s="30" t="s">
        <v>44</v>
      </c>
      <c r="U10" s="104">
        <v>44643</v>
      </c>
      <c r="V10" s="23" t="s">
        <v>46</v>
      </c>
      <c r="W10" s="59">
        <v>21000</v>
      </c>
      <c r="X10" s="34" t="s">
        <v>399</v>
      </c>
      <c r="Y10" s="23" t="s">
        <v>5932</v>
      </c>
      <c r="Z10" s="23" t="s">
        <v>5933</v>
      </c>
      <c r="AA10" s="108" t="s">
        <v>5934</v>
      </c>
    </row>
    <row r="11" spans="1:27" ht="11.25" x14ac:dyDescent="0.2">
      <c r="A11" s="103" t="s">
        <v>5935</v>
      </c>
      <c r="B11" s="30" t="s">
        <v>5936</v>
      </c>
      <c r="C11" s="84" t="s">
        <v>3184</v>
      </c>
      <c r="D11" s="2">
        <v>44635.574861111112</v>
      </c>
      <c r="E11" s="2">
        <v>44636.604166666664</v>
      </c>
      <c r="F11" s="86"/>
      <c r="G11" s="170">
        <f>Tabla120[[#This Row],[Presupuesto]]/(1+'Lista Datos'!$B$1)</f>
        <v>0</v>
      </c>
      <c r="H11" s="30" t="s">
        <v>21</v>
      </c>
      <c r="I11" s="30" t="s">
        <v>106</v>
      </c>
      <c r="J11" s="26"/>
      <c r="K11" s="85" t="s">
        <v>11</v>
      </c>
      <c r="L11" s="2"/>
      <c r="M11" s="2"/>
      <c r="N11" s="26"/>
      <c r="O11" s="27">
        <f>Tabla120[[#This Row],[Presupuesto]]</f>
        <v>0</v>
      </c>
      <c r="P11" s="59">
        <f>Tabla120[[#This Row],[PPTO]]/(1+'Lista Datos'!$B$1)</f>
        <v>0</v>
      </c>
      <c r="Q11" s="107">
        <v>5</v>
      </c>
      <c r="R11" s="59">
        <v>25731</v>
      </c>
      <c r="S11" s="59">
        <f>Tabla120[[#This Row],[Unidades2]]*Tabla120[[#This Row],[Precio Unitario]]</f>
        <v>128655</v>
      </c>
      <c r="T11" s="30" t="s">
        <v>44</v>
      </c>
      <c r="U11" s="104">
        <v>44636</v>
      </c>
      <c r="V11" s="23" t="s">
        <v>46</v>
      </c>
      <c r="W11" s="59">
        <v>19900</v>
      </c>
      <c r="X11" s="34" t="s">
        <v>146</v>
      </c>
      <c r="Y11" s="23" t="s">
        <v>5937</v>
      </c>
      <c r="Z11" s="23" t="s">
        <v>5938</v>
      </c>
      <c r="AA11" s="108" t="s">
        <v>5939</v>
      </c>
    </row>
    <row r="12" spans="1:27" ht="11.25" x14ac:dyDescent="0.2">
      <c r="A12" s="103" t="s">
        <v>5940</v>
      </c>
      <c r="B12" s="30" t="s">
        <v>5941</v>
      </c>
      <c r="C12" s="84" t="s">
        <v>5942</v>
      </c>
      <c r="D12" s="2">
        <v>44635.4841087963</v>
      </c>
      <c r="E12" s="2">
        <v>44637.481944444444</v>
      </c>
      <c r="F12" s="86"/>
      <c r="G12" s="170">
        <f>Tabla120[[#This Row],[Presupuesto]]/(1+'Lista Datos'!$B$1)</f>
        <v>0</v>
      </c>
      <c r="H12" s="30" t="s">
        <v>21</v>
      </c>
      <c r="I12" s="30" t="s">
        <v>106</v>
      </c>
      <c r="J12" s="26"/>
      <c r="K12" s="85" t="s">
        <v>10</v>
      </c>
      <c r="L12" s="2" t="s">
        <v>26</v>
      </c>
      <c r="M12" s="2"/>
      <c r="N12" s="26"/>
      <c r="O12" s="27">
        <f>Tabla120[[#This Row],[Presupuesto]]</f>
        <v>0</v>
      </c>
      <c r="P12" s="59">
        <f>Tabla120[[#This Row],[PPTO]]/(1+'Lista Datos'!$B$1)</f>
        <v>0</v>
      </c>
      <c r="Q12" s="107">
        <v>20</v>
      </c>
      <c r="R12" s="59"/>
      <c r="S12" s="59">
        <f>Tabla120[[#This Row],[Unidades2]]*Tabla120[[#This Row],[Precio Unitario]]</f>
        <v>0</v>
      </c>
      <c r="T12" s="30" t="s">
        <v>44</v>
      </c>
      <c r="U12" s="104"/>
      <c r="V12" s="23" t="s">
        <v>46</v>
      </c>
      <c r="W12" s="59">
        <v>30155</v>
      </c>
      <c r="X12" s="34" t="s">
        <v>5943</v>
      </c>
      <c r="Y12" s="23" t="s">
        <v>5944</v>
      </c>
      <c r="Z12" s="23" t="s">
        <v>5945</v>
      </c>
      <c r="AA12" s="108" t="s">
        <v>5946</v>
      </c>
    </row>
    <row r="13" spans="1:27" ht="11.25" x14ac:dyDescent="0.2">
      <c r="A13" s="103" t="s">
        <v>5947</v>
      </c>
      <c r="B13" s="30" t="s">
        <v>5948</v>
      </c>
      <c r="C13" s="84" t="s">
        <v>2373</v>
      </c>
      <c r="D13" s="2">
        <v>44635.40483796296</v>
      </c>
      <c r="E13" s="2">
        <v>44638.541666666664</v>
      </c>
      <c r="F13" s="86"/>
      <c r="G13" s="170">
        <f>Tabla120[[#This Row],[Presupuesto]]/(1+'Lista Datos'!$B$1)</f>
        <v>0</v>
      </c>
      <c r="H13" s="30" t="s">
        <v>21</v>
      </c>
      <c r="I13" s="30" t="s">
        <v>106</v>
      </c>
      <c r="J13" s="26"/>
      <c r="K13" s="85" t="s">
        <v>11</v>
      </c>
      <c r="L13" s="2"/>
      <c r="M13" s="2"/>
      <c r="N13" s="26"/>
      <c r="O13" s="27">
        <f>Tabla120[[#This Row],[Presupuesto]]</f>
        <v>0</v>
      </c>
      <c r="P13" s="59">
        <f>Tabla120[[#This Row],[PPTO]]/(1+'Lista Datos'!$B$1)</f>
        <v>0</v>
      </c>
      <c r="Q13" s="107">
        <v>4</v>
      </c>
      <c r="R13" s="59">
        <v>26482</v>
      </c>
      <c r="S13" s="59">
        <f>Tabla120[[#This Row],[Unidades2]]*Tabla120[[#This Row],[Precio Unitario]]</f>
        <v>105928</v>
      </c>
      <c r="T13" s="30" t="s">
        <v>44</v>
      </c>
      <c r="U13" s="104">
        <v>44635</v>
      </c>
      <c r="V13" s="23" t="s">
        <v>46</v>
      </c>
      <c r="W13" s="59">
        <v>27000</v>
      </c>
      <c r="X13" s="34" t="s">
        <v>5949</v>
      </c>
      <c r="Y13" s="23" t="s">
        <v>5950</v>
      </c>
      <c r="Z13" s="23" t="s">
        <v>5951</v>
      </c>
      <c r="AA13" s="108" t="s">
        <v>5952</v>
      </c>
    </row>
    <row r="14" spans="1:27" ht="11.25" x14ac:dyDescent="0.2">
      <c r="A14" s="103" t="s">
        <v>5953</v>
      </c>
      <c r="B14" s="30" t="s">
        <v>5954</v>
      </c>
      <c r="C14" s="84" t="s">
        <v>5955</v>
      </c>
      <c r="D14" s="2">
        <v>44635.34684027778</v>
      </c>
      <c r="E14" s="2">
        <v>44638.34097222222</v>
      </c>
      <c r="F14" s="86"/>
      <c r="G14" s="170">
        <f>Tabla120[[#This Row],[Presupuesto]]/(1+'Lista Datos'!$B$1)</f>
        <v>0</v>
      </c>
      <c r="H14" s="30" t="s">
        <v>21</v>
      </c>
      <c r="I14" s="30" t="s">
        <v>106</v>
      </c>
      <c r="J14" s="26"/>
      <c r="K14" s="85" t="s">
        <v>11</v>
      </c>
      <c r="L14" s="2"/>
      <c r="M14" s="2"/>
      <c r="N14" s="26"/>
      <c r="O14" s="27">
        <f>Tabla120[[#This Row],[Presupuesto]]</f>
        <v>0</v>
      </c>
      <c r="P14" s="59">
        <f>Tabla120[[#This Row],[PPTO]]/(1+'Lista Datos'!$B$1)</f>
        <v>0</v>
      </c>
      <c r="Q14" s="107">
        <v>4</v>
      </c>
      <c r="R14" s="59">
        <v>26723</v>
      </c>
      <c r="S14" s="59">
        <f>Tabla120[[#This Row],[Unidades2]]*Tabla120[[#This Row],[Precio Unitario]]</f>
        <v>106892</v>
      </c>
      <c r="T14" s="30" t="s">
        <v>44</v>
      </c>
      <c r="U14" s="104">
        <v>44637</v>
      </c>
      <c r="V14" s="23" t="s">
        <v>46</v>
      </c>
      <c r="W14" s="59">
        <v>24000</v>
      </c>
      <c r="X14" s="34" t="s">
        <v>5956</v>
      </c>
      <c r="Y14" s="23" t="s">
        <v>5957</v>
      </c>
      <c r="Z14" s="23" t="s">
        <v>5958</v>
      </c>
      <c r="AA14" s="108" t="s">
        <v>5959</v>
      </c>
    </row>
    <row r="15" spans="1:27" ht="11.25" x14ac:dyDescent="0.2">
      <c r="A15" s="103" t="s">
        <v>5953</v>
      </c>
      <c r="B15" s="30" t="s">
        <v>5954</v>
      </c>
      <c r="C15" s="84" t="s">
        <v>5955</v>
      </c>
      <c r="D15" s="2">
        <v>44635.34684027778</v>
      </c>
      <c r="E15" s="2">
        <v>44638.34097222222</v>
      </c>
      <c r="F15" s="86"/>
      <c r="G15" s="170">
        <f>Tabla120[[#This Row],[Presupuesto]]/(1+'Lista Datos'!$B$1)</f>
        <v>0</v>
      </c>
      <c r="H15" s="30" t="s">
        <v>21</v>
      </c>
      <c r="I15" s="30" t="s">
        <v>106</v>
      </c>
      <c r="J15" s="26"/>
      <c r="K15" s="85" t="s">
        <v>11</v>
      </c>
      <c r="L15" s="2"/>
      <c r="M15" s="2"/>
      <c r="N15" s="26"/>
      <c r="O15" s="27">
        <f>Tabla120[[#This Row],[Presupuesto]]</f>
        <v>0</v>
      </c>
      <c r="P15" s="59">
        <f>Tabla120[[#This Row],[PPTO]]/(1+'Lista Datos'!$B$1)</f>
        <v>0</v>
      </c>
      <c r="Q15" s="107">
        <v>6</v>
      </c>
      <c r="R15" s="59">
        <v>26723</v>
      </c>
      <c r="S15" s="59">
        <f>Tabla120[[#This Row],[Unidades2]]*Tabla120[[#This Row],[Precio Unitario]]</f>
        <v>160338</v>
      </c>
      <c r="T15" s="30" t="s">
        <v>44</v>
      </c>
      <c r="U15" s="104">
        <v>44637</v>
      </c>
      <c r="V15" s="23" t="s">
        <v>46</v>
      </c>
      <c r="W15" s="59">
        <v>15000</v>
      </c>
      <c r="X15" s="34" t="s">
        <v>5956</v>
      </c>
      <c r="Y15" s="23" t="s">
        <v>5957</v>
      </c>
      <c r="Z15" s="23" t="s">
        <v>5958</v>
      </c>
      <c r="AA15" s="108" t="s">
        <v>5959</v>
      </c>
    </row>
    <row r="16" spans="1:27" ht="11.25" x14ac:dyDescent="0.2">
      <c r="A16" s="103" t="s">
        <v>5960</v>
      </c>
      <c r="B16" s="30" t="s">
        <v>5961</v>
      </c>
      <c r="C16" s="84" t="s">
        <v>5962</v>
      </c>
      <c r="D16" s="2">
        <v>44634.69940972222</v>
      </c>
      <c r="E16" s="2">
        <v>44636.416666666664</v>
      </c>
      <c r="F16" s="86"/>
      <c r="G16" s="170">
        <f>Tabla120[[#This Row],[Presupuesto]]/(1+'Lista Datos'!$B$1)</f>
        <v>0</v>
      </c>
      <c r="H16" s="30" t="s">
        <v>21</v>
      </c>
      <c r="I16" s="30" t="s">
        <v>106</v>
      </c>
      <c r="J16" s="26"/>
      <c r="K16" s="85" t="s">
        <v>10</v>
      </c>
      <c r="L16" s="2" t="s">
        <v>33</v>
      </c>
      <c r="M16" s="2"/>
      <c r="N16" s="26"/>
      <c r="O16" s="27">
        <f>Tabla120[[#This Row],[Presupuesto]]</f>
        <v>0</v>
      </c>
      <c r="P16" s="59">
        <f>Tabla120[[#This Row],[PPTO]]/(1+'Lista Datos'!$B$1)</f>
        <v>0</v>
      </c>
      <c r="Q16" s="107">
        <v>7</v>
      </c>
      <c r="R16" s="59"/>
      <c r="S16" s="59">
        <f>Tabla120[[#This Row],[Unidades2]]*Tabla120[[#This Row],[Precio Unitario]]</f>
        <v>0</v>
      </c>
      <c r="T16" s="30" t="s">
        <v>270</v>
      </c>
      <c r="U16" s="104"/>
      <c r="V16" s="23"/>
      <c r="W16" s="59"/>
      <c r="X16" s="34" t="s">
        <v>5963</v>
      </c>
      <c r="Y16" s="23" t="s">
        <v>5964</v>
      </c>
      <c r="Z16" s="23" t="s">
        <v>5965</v>
      </c>
      <c r="AA16" s="108" t="s">
        <v>5966</v>
      </c>
    </row>
    <row r="17" spans="1:27" ht="11.25" x14ac:dyDescent="0.2">
      <c r="A17" s="103" t="s">
        <v>5967</v>
      </c>
      <c r="B17" s="30" t="s">
        <v>5968</v>
      </c>
      <c r="C17" s="84" t="s">
        <v>5618</v>
      </c>
      <c r="D17" s="2">
        <v>44633.76771990741</v>
      </c>
      <c r="E17" s="2">
        <v>44635.337500000001</v>
      </c>
      <c r="F17" s="86"/>
      <c r="G17" s="170">
        <f>Tabla120[[#This Row],[Presupuesto]]/(1+'Lista Datos'!$B$1)</f>
        <v>0</v>
      </c>
      <c r="H17" s="30" t="s">
        <v>21</v>
      </c>
      <c r="I17" s="30" t="s">
        <v>106</v>
      </c>
      <c r="J17" s="26"/>
      <c r="K17" s="85" t="s">
        <v>11</v>
      </c>
      <c r="L17" s="2"/>
      <c r="M17" s="2"/>
      <c r="N17" s="26"/>
      <c r="O17" s="27">
        <f>Tabla120[[#This Row],[Presupuesto]]</f>
        <v>0</v>
      </c>
      <c r="P17" s="59">
        <f>Tabla120[[#This Row],[PPTO]]/(1+'Lista Datos'!$B$1)</f>
        <v>0</v>
      </c>
      <c r="Q17" s="107">
        <v>5</v>
      </c>
      <c r="R17" s="59">
        <v>25415</v>
      </c>
      <c r="S17" s="59">
        <f>Tabla120[[#This Row],[Unidades2]]*Tabla120[[#This Row],[Precio Unitario]]</f>
        <v>127075</v>
      </c>
      <c r="T17" s="30" t="s">
        <v>44</v>
      </c>
      <c r="U17" s="104">
        <v>44635</v>
      </c>
      <c r="V17" s="23" t="s">
        <v>46</v>
      </c>
      <c r="W17" s="59">
        <v>19500</v>
      </c>
      <c r="X17" s="34" t="s">
        <v>5969</v>
      </c>
      <c r="Y17" s="23" t="s">
        <v>5970</v>
      </c>
      <c r="Z17" s="23" t="s">
        <v>5971</v>
      </c>
      <c r="AA17" s="108" t="s">
        <v>5972</v>
      </c>
    </row>
    <row r="18" spans="1:27" ht="11.25" x14ac:dyDescent="0.2">
      <c r="A18" s="103" t="s">
        <v>5973</v>
      </c>
      <c r="B18" s="30" t="s">
        <v>5974</v>
      </c>
      <c r="C18" s="84" t="s">
        <v>1001</v>
      </c>
      <c r="D18" s="2">
        <v>44631.673784722225</v>
      </c>
      <c r="E18" s="2">
        <v>44634.625</v>
      </c>
      <c r="F18" s="86"/>
      <c r="G18" s="170">
        <f>Tabla120[[#This Row],[Presupuesto]]/(1+'Lista Datos'!$B$1)</f>
        <v>0</v>
      </c>
      <c r="H18" s="30" t="s">
        <v>21</v>
      </c>
      <c r="I18" s="30" t="s">
        <v>106</v>
      </c>
      <c r="J18" s="26"/>
      <c r="K18" s="85" t="s">
        <v>11</v>
      </c>
      <c r="L18" s="2"/>
      <c r="M18" s="2"/>
      <c r="N18" s="26"/>
      <c r="O18" s="27">
        <f>Tabla120[[#This Row],[Presupuesto]]</f>
        <v>0</v>
      </c>
      <c r="P18" s="59">
        <f>Tabla120[[#This Row],[PPTO]]/(1+'Lista Datos'!$B$1)</f>
        <v>0</v>
      </c>
      <c r="Q18" s="107">
        <v>2</v>
      </c>
      <c r="R18" s="59">
        <v>27443</v>
      </c>
      <c r="S18" s="59">
        <f>Tabla120[[#This Row],[Unidades2]]*Tabla120[[#This Row],[Precio Unitario]]</f>
        <v>54886</v>
      </c>
      <c r="T18" s="30" t="s">
        <v>44</v>
      </c>
      <c r="U18" s="104">
        <v>44634</v>
      </c>
      <c r="V18" s="23" t="s">
        <v>46</v>
      </c>
      <c r="W18" s="59">
        <v>76908</v>
      </c>
      <c r="X18" s="34" t="s">
        <v>1002</v>
      </c>
      <c r="Y18" s="23" t="s">
        <v>5975</v>
      </c>
      <c r="Z18" s="23" t="s">
        <v>5976</v>
      </c>
      <c r="AA18" s="108" t="s">
        <v>5977</v>
      </c>
    </row>
    <row r="19" spans="1:27" ht="11.25" x14ac:dyDescent="0.2">
      <c r="A19" s="103" t="s">
        <v>5978</v>
      </c>
      <c r="B19" s="30" t="s">
        <v>5979</v>
      </c>
      <c r="C19" s="84" t="s">
        <v>3224</v>
      </c>
      <c r="D19" s="2">
        <v>44631.570219907408</v>
      </c>
      <c r="E19" s="2">
        <v>44634.609027777777</v>
      </c>
      <c r="F19" s="86"/>
      <c r="G19" s="170">
        <f>Tabla120[[#This Row],[Presupuesto]]/(1+'Lista Datos'!$B$1)</f>
        <v>0</v>
      </c>
      <c r="H19" s="30" t="s">
        <v>21</v>
      </c>
      <c r="I19" s="30" t="s">
        <v>106</v>
      </c>
      <c r="J19" s="26"/>
      <c r="K19" s="85" t="s">
        <v>10</v>
      </c>
      <c r="L19" s="2" t="s">
        <v>26</v>
      </c>
      <c r="M19" s="2"/>
      <c r="N19" s="26"/>
      <c r="O19" s="27">
        <f>Tabla120[[#This Row],[Presupuesto]]</f>
        <v>0</v>
      </c>
      <c r="P19" s="59">
        <f>Tabla120[[#This Row],[PPTO]]/(1+'Lista Datos'!$B$1)</f>
        <v>0</v>
      </c>
      <c r="Q19" s="107">
        <v>550</v>
      </c>
      <c r="R19" s="59"/>
      <c r="S19" s="59">
        <f>Tabla120[[#This Row],[Unidades2]]*Tabla120[[#This Row],[Precio Unitario]]</f>
        <v>0</v>
      </c>
      <c r="T19" s="30"/>
      <c r="U19" s="104"/>
      <c r="V19" s="23"/>
      <c r="W19" s="59"/>
      <c r="X19" s="34" t="s">
        <v>5980</v>
      </c>
      <c r="Y19" s="23"/>
      <c r="Z19" s="23"/>
      <c r="AA19" s="108"/>
    </row>
    <row r="20" spans="1:27" ht="11.25" x14ac:dyDescent="0.2">
      <c r="A20" s="103" t="s">
        <v>5981</v>
      </c>
      <c r="B20" s="30" t="s">
        <v>5982</v>
      </c>
      <c r="C20" s="84" t="s">
        <v>1788</v>
      </c>
      <c r="D20" s="2">
        <v>44627.47991898148</v>
      </c>
      <c r="E20" s="2">
        <v>44630.476388888892</v>
      </c>
      <c r="F20" s="86"/>
      <c r="G20" s="170">
        <f>Tabla120[[#This Row],[Presupuesto]]/(1+'Lista Datos'!$B$1)</f>
        <v>0</v>
      </c>
      <c r="H20" s="30" t="s">
        <v>21</v>
      </c>
      <c r="I20" s="30" t="s">
        <v>106</v>
      </c>
      <c r="J20" s="26">
        <v>44628</v>
      </c>
      <c r="K20" s="85" t="s">
        <v>10</v>
      </c>
      <c r="L20" s="2" t="s">
        <v>35</v>
      </c>
      <c r="M20" s="2"/>
      <c r="N20" s="26"/>
      <c r="O20" s="27">
        <f>Tabla120[[#This Row],[Presupuesto]]</f>
        <v>0</v>
      </c>
      <c r="P20" s="59">
        <f>Tabla120[[#This Row],[PPTO]]/(1+'Lista Datos'!$B$1)</f>
        <v>0</v>
      </c>
      <c r="Q20" s="107"/>
      <c r="R20" s="59"/>
      <c r="S20" s="59">
        <f>Tabla120[[#This Row],[Unidades2]]*Tabla120[[#This Row],[Precio Unitario]]</f>
        <v>0</v>
      </c>
      <c r="T20" s="30"/>
      <c r="U20" s="104"/>
      <c r="V20" s="23"/>
      <c r="W20" s="59"/>
      <c r="X20" s="34" t="s">
        <v>146</v>
      </c>
      <c r="Y20" s="23"/>
      <c r="Z20" s="23"/>
      <c r="AA20" s="108"/>
    </row>
    <row r="21" spans="1:27" ht="11.25" x14ac:dyDescent="0.2">
      <c r="A21" s="103" t="s">
        <v>5983</v>
      </c>
      <c r="B21" s="30" t="s">
        <v>5984</v>
      </c>
      <c r="C21" s="84" t="s">
        <v>3706</v>
      </c>
      <c r="D21" s="2">
        <v>44624.575567129628</v>
      </c>
      <c r="E21" s="2">
        <v>44631.55972222222</v>
      </c>
      <c r="F21" s="86"/>
      <c r="G21" s="170">
        <f>Tabla120[[#This Row],[Presupuesto]]/(1+'Lista Datos'!$B$1)</f>
        <v>0</v>
      </c>
      <c r="H21" s="30" t="s">
        <v>21</v>
      </c>
      <c r="I21" s="30" t="s">
        <v>106</v>
      </c>
      <c r="J21" s="26"/>
      <c r="K21" s="85" t="s">
        <v>10</v>
      </c>
      <c r="L21" s="2" t="s">
        <v>35</v>
      </c>
      <c r="M21" s="2"/>
      <c r="N21" s="26"/>
      <c r="O21" s="27">
        <f>Tabla120[[#This Row],[Presupuesto]]</f>
        <v>0</v>
      </c>
      <c r="P21" s="59">
        <f>Tabla120[[#This Row],[PPTO]]/(1+'Lista Datos'!$B$1)</f>
        <v>0</v>
      </c>
      <c r="Q21" s="107"/>
      <c r="R21" s="59"/>
      <c r="S21" s="59">
        <f>Tabla120[[#This Row],[Unidades2]]*Tabla120[[#This Row],[Precio Unitario]]</f>
        <v>0</v>
      </c>
      <c r="T21" s="30"/>
      <c r="U21" s="104"/>
      <c r="V21" s="23"/>
      <c r="W21" s="59"/>
      <c r="X21" s="34" t="s">
        <v>146</v>
      </c>
      <c r="Y21" s="23"/>
      <c r="Z21" s="23"/>
      <c r="AA21" s="108"/>
    </row>
    <row r="22" spans="1:27" ht="11.25" x14ac:dyDescent="0.2">
      <c r="A22" s="103" t="s">
        <v>5985</v>
      </c>
      <c r="B22" s="30" t="s">
        <v>5986</v>
      </c>
      <c r="C22" s="84" t="s">
        <v>829</v>
      </c>
      <c r="D22" s="2">
        <v>44623.693749999999</v>
      </c>
      <c r="E22" s="2">
        <v>44745.416666666664</v>
      </c>
      <c r="F22" s="86"/>
      <c r="G22" s="170">
        <f>Tabla120[[#This Row],[Presupuesto]]/(1+'Lista Datos'!$B$1)</f>
        <v>0</v>
      </c>
      <c r="H22" s="30" t="s">
        <v>21</v>
      </c>
      <c r="I22" s="30" t="s">
        <v>106</v>
      </c>
      <c r="J22" s="26"/>
      <c r="K22" s="85" t="s">
        <v>11</v>
      </c>
      <c r="L22" s="2"/>
      <c r="M22" s="2"/>
      <c r="N22" s="26"/>
      <c r="O22" s="27">
        <f>Tabla120[[#This Row],[Presupuesto]]</f>
        <v>0</v>
      </c>
      <c r="P22" s="59">
        <f>Tabla120[[#This Row],[PPTO]]/(1+'Lista Datos'!$B$1)</f>
        <v>0</v>
      </c>
      <c r="Q22" s="107">
        <v>2</v>
      </c>
      <c r="R22" s="59">
        <v>28257</v>
      </c>
      <c r="S22" s="59">
        <f>Tabla120[[#This Row],[Unidades2]]*Tabla120[[#This Row],[Precio Unitario]]</f>
        <v>56514</v>
      </c>
      <c r="T22" s="30" t="s">
        <v>270</v>
      </c>
      <c r="U22" s="104">
        <v>44654</v>
      </c>
      <c r="V22" s="23" t="s">
        <v>46</v>
      </c>
      <c r="W22" s="59">
        <v>23000</v>
      </c>
      <c r="X22" s="34" t="s">
        <v>830</v>
      </c>
      <c r="Y22" s="23"/>
      <c r="Z22" s="23"/>
      <c r="AA22" s="108"/>
    </row>
    <row r="23" spans="1:27" ht="11.25" x14ac:dyDescent="0.2">
      <c r="A23" s="103" t="s">
        <v>5987</v>
      </c>
      <c r="B23" s="30" t="s">
        <v>5988</v>
      </c>
      <c r="C23" s="84" t="s">
        <v>5989</v>
      </c>
      <c r="D23" s="2">
        <v>44623.431643518517</v>
      </c>
      <c r="E23" s="2">
        <v>44745.333333333336</v>
      </c>
      <c r="F23" s="86"/>
      <c r="G23" s="170">
        <f>Tabla120[[#This Row],[Presupuesto]]/(1+'Lista Datos'!$B$1)</f>
        <v>0</v>
      </c>
      <c r="H23" s="30" t="s">
        <v>21</v>
      </c>
      <c r="I23" s="30" t="s">
        <v>106</v>
      </c>
      <c r="J23" s="26"/>
      <c r="K23" s="85" t="s">
        <v>11</v>
      </c>
      <c r="L23" s="2"/>
      <c r="M23" s="2"/>
      <c r="N23" s="26"/>
      <c r="O23" s="27">
        <f>Tabla120[[#This Row],[Presupuesto]]</f>
        <v>0</v>
      </c>
      <c r="P23" s="59">
        <f>Tabla120[[#This Row],[PPTO]]/(1+'Lista Datos'!$B$1)</f>
        <v>0</v>
      </c>
      <c r="Q23" s="107">
        <v>3</v>
      </c>
      <c r="R23" s="59">
        <v>28257</v>
      </c>
      <c r="S23" s="59">
        <f>Tabla120[[#This Row],[Unidades2]]*Tabla120[[#This Row],[Precio Unitario]]</f>
        <v>84771</v>
      </c>
      <c r="T23" s="30" t="s">
        <v>44</v>
      </c>
      <c r="U23" s="104">
        <v>44623</v>
      </c>
      <c r="V23" s="23" t="s">
        <v>46</v>
      </c>
      <c r="W23" s="59">
        <v>44900</v>
      </c>
      <c r="X23" s="34" t="s">
        <v>5990</v>
      </c>
      <c r="Y23" s="23"/>
      <c r="Z23" s="23"/>
      <c r="AA23" s="108"/>
    </row>
    <row r="24" spans="1:27" ht="11.25" x14ac:dyDescent="0.2">
      <c r="A24" s="103" t="s">
        <v>5991</v>
      </c>
      <c r="B24" s="30" t="s">
        <v>5992</v>
      </c>
      <c r="C24" s="84" t="s">
        <v>264</v>
      </c>
      <c r="D24" s="2">
        <v>44621.681979166664</v>
      </c>
      <c r="E24" s="2">
        <v>44623.625</v>
      </c>
      <c r="F24" s="86"/>
      <c r="G24" s="170">
        <f>Tabla120[[#This Row],[Presupuesto]]/(1+'Lista Datos'!$B$1)</f>
        <v>0</v>
      </c>
      <c r="H24" s="30" t="s">
        <v>21</v>
      </c>
      <c r="I24" s="30" t="s">
        <v>106</v>
      </c>
      <c r="J24" s="26"/>
      <c r="K24" s="85" t="s">
        <v>11</v>
      </c>
      <c r="L24" s="2"/>
      <c r="M24" s="2"/>
      <c r="N24" s="26"/>
      <c r="O24" s="27">
        <f>Tabla120[[#This Row],[Presupuesto]]</f>
        <v>0</v>
      </c>
      <c r="P24" s="59">
        <f>Tabla120[[#This Row],[PPTO]]/(1+'Lista Datos'!$B$1)</f>
        <v>0</v>
      </c>
      <c r="Q24" s="107">
        <v>2</v>
      </c>
      <c r="R24" s="59">
        <v>30975</v>
      </c>
      <c r="S24" s="59">
        <f>Tabla120[[#This Row],[Unidades2]]*Tabla120[[#This Row],[Precio Unitario]]</f>
        <v>61950</v>
      </c>
      <c r="T24" s="30" t="s">
        <v>44</v>
      </c>
      <c r="U24" s="104">
        <v>44564</v>
      </c>
      <c r="V24" s="23" t="s">
        <v>46</v>
      </c>
      <c r="W24" s="59">
        <v>49900</v>
      </c>
      <c r="X24" s="34" t="s">
        <v>265</v>
      </c>
      <c r="Y24" s="23"/>
      <c r="Z24" s="23"/>
      <c r="AA24" s="108"/>
    </row>
    <row r="25" spans="1:27" ht="11.25" x14ac:dyDescent="0.2">
      <c r="A25" s="103" t="s">
        <v>5993</v>
      </c>
      <c r="B25" s="30" t="s">
        <v>5994</v>
      </c>
      <c r="C25" s="84" t="s">
        <v>113</v>
      </c>
      <c r="D25" s="2">
        <v>44621.51902777778</v>
      </c>
      <c r="E25" s="2">
        <v>44622.791666666664</v>
      </c>
      <c r="F25" s="86"/>
      <c r="G25" s="170">
        <f>Tabla120[[#This Row],[Presupuesto]]/(1+'Lista Datos'!$B$1)</f>
        <v>0</v>
      </c>
      <c r="H25" s="30" t="s">
        <v>21</v>
      </c>
      <c r="I25" s="30" t="s">
        <v>106</v>
      </c>
      <c r="J25" s="26"/>
      <c r="K25" s="85" t="s">
        <v>11</v>
      </c>
      <c r="L25" s="2"/>
      <c r="M25" s="2"/>
      <c r="N25" s="26"/>
      <c r="O25" s="27">
        <f>Tabla120[[#This Row],[Presupuesto]]</f>
        <v>0</v>
      </c>
      <c r="P25" s="59">
        <f>Tabla120[[#This Row],[PPTO]]/(1+'Lista Datos'!$B$1)</f>
        <v>0</v>
      </c>
      <c r="Q25" s="107">
        <v>4</v>
      </c>
      <c r="R25" s="59">
        <v>24887</v>
      </c>
      <c r="S25" s="59">
        <f>Tabla120[[#This Row],[Unidades2]]*Tabla120[[#This Row],[Precio Unitario]]</f>
        <v>99548</v>
      </c>
      <c r="T25" s="30" t="s">
        <v>44</v>
      </c>
      <c r="U25" s="104"/>
      <c r="V25" s="23" t="s">
        <v>46</v>
      </c>
      <c r="W25" s="59"/>
      <c r="X25" s="34" t="s">
        <v>116</v>
      </c>
      <c r="Y25" s="23"/>
      <c r="Z25" s="23"/>
      <c r="AA25" s="108"/>
    </row>
    <row r="26" spans="1:27" ht="11.25" x14ac:dyDescent="0.2">
      <c r="A26" s="103" t="s">
        <v>5995</v>
      </c>
      <c r="B26" s="30" t="s">
        <v>5996</v>
      </c>
      <c r="C26" s="84" t="s">
        <v>2429</v>
      </c>
      <c r="D26" s="2">
        <v>44616.45815972222</v>
      </c>
      <c r="E26" s="2">
        <v>44617.458333333336</v>
      </c>
      <c r="F26" s="86"/>
      <c r="G26" s="170">
        <f>Tabla120[[#This Row],[Presupuesto]]/(1+'Lista Datos'!$B$1)</f>
        <v>0</v>
      </c>
      <c r="H26" s="30" t="s">
        <v>21</v>
      </c>
      <c r="I26" s="30" t="s">
        <v>106</v>
      </c>
      <c r="J26" s="26"/>
      <c r="K26" s="85" t="s">
        <v>11</v>
      </c>
      <c r="L26" s="2"/>
      <c r="M26" s="2"/>
      <c r="N26" s="26"/>
      <c r="O26" s="27">
        <f>Tabla120[[#This Row],[Presupuesto]]</f>
        <v>0</v>
      </c>
      <c r="P26" s="59">
        <f>Tabla120[[#This Row],[PPTO]]/(1+'Lista Datos'!$B$1)</f>
        <v>0</v>
      </c>
      <c r="Q26" s="107">
        <v>3</v>
      </c>
      <c r="R26" s="59">
        <v>26786</v>
      </c>
      <c r="S26" s="59">
        <f>Tabla120[[#This Row],[Unidades2]]*Tabla120[[#This Row],[Precio Unitario]]</f>
        <v>80358</v>
      </c>
      <c r="T26" s="30"/>
      <c r="U26" s="104"/>
      <c r="V26" s="23"/>
      <c r="W26" s="59"/>
      <c r="X26" s="34" t="s">
        <v>635</v>
      </c>
      <c r="Y26" s="23"/>
      <c r="Z26" s="23"/>
      <c r="AA26" s="108"/>
    </row>
    <row r="27" spans="1:27" ht="11.25" x14ac:dyDescent="0.2">
      <c r="A27" s="103" t="s">
        <v>5997</v>
      </c>
      <c r="B27" s="30" t="s">
        <v>5998</v>
      </c>
      <c r="C27" s="84" t="s">
        <v>425</v>
      </c>
      <c r="D27" s="2">
        <v>44614.388888888891</v>
      </c>
      <c r="E27" s="2">
        <v>44617.34375</v>
      </c>
      <c r="F27" s="86"/>
      <c r="G27" s="170">
        <f>Tabla120[[#This Row],[Presupuesto]]/(1+'Lista Datos'!$B$1)</f>
        <v>0</v>
      </c>
      <c r="H27" s="30" t="s">
        <v>21</v>
      </c>
      <c r="I27" s="30" t="s">
        <v>106</v>
      </c>
      <c r="J27" s="26"/>
      <c r="K27" s="85" t="s">
        <v>10</v>
      </c>
      <c r="L27" s="2" t="s">
        <v>26</v>
      </c>
      <c r="M27" s="2"/>
      <c r="N27" s="26"/>
      <c r="O27" s="27">
        <f>Tabla120[[#This Row],[Presupuesto]]</f>
        <v>0</v>
      </c>
      <c r="P27" s="59">
        <f>Tabla120[[#This Row],[PPTO]]/(1+'Lista Datos'!$B$1)</f>
        <v>0</v>
      </c>
      <c r="Q27" s="107">
        <v>199</v>
      </c>
      <c r="R27" s="59">
        <v>4094</v>
      </c>
      <c r="S27" s="59">
        <f>Tabla120[[#This Row],[Unidades2]]*Tabla120[[#This Row],[Precio Unitario]]</f>
        <v>814706</v>
      </c>
      <c r="T27" s="30" t="s">
        <v>44</v>
      </c>
      <c r="U27" s="104">
        <v>44614</v>
      </c>
      <c r="V27" s="23" t="s">
        <v>46</v>
      </c>
      <c r="W27" s="59">
        <v>800</v>
      </c>
      <c r="X27" s="34" t="s">
        <v>426</v>
      </c>
      <c r="Y27" s="23"/>
      <c r="Z27" s="23"/>
      <c r="AA27" s="108"/>
    </row>
    <row r="28" spans="1:27" ht="11.25" x14ac:dyDescent="0.2">
      <c r="A28" s="103" t="s">
        <v>5999</v>
      </c>
      <c r="B28" s="30" t="s">
        <v>6000</v>
      </c>
      <c r="C28" s="84" t="s">
        <v>3372</v>
      </c>
      <c r="D28" s="2">
        <v>44612.90353009259</v>
      </c>
      <c r="E28" s="2">
        <v>44617.484027777777</v>
      </c>
      <c r="F28" s="86"/>
      <c r="G28" s="170">
        <f>Tabla120[[#This Row],[Presupuesto]]/(1+'Lista Datos'!$B$1)</f>
        <v>0</v>
      </c>
      <c r="H28" s="30" t="s">
        <v>21</v>
      </c>
      <c r="I28" s="30" t="s">
        <v>106</v>
      </c>
      <c r="J28" s="26"/>
      <c r="K28" s="85" t="s">
        <v>10</v>
      </c>
      <c r="L28" s="2" t="s">
        <v>6001</v>
      </c>
      <c r="M28" s="2"/>
      <c r="N28" s="26"/>
      <c r="O28" s="27">
        <f>Tabla120[[#This Row],[Presupuesto]]</f>
        <v>0</v>
      </c>
      <c r="P28" s="59">
        <f>Tabla120[[#This Row],[PPTO]]/(1+'Lista Datos'!$B$1)</f>
        <v>0</v>
      </c>
      <c r="Q28" s="107"/>
      <c r="R28" s="59"/>
      <c r="S28" s="59">
        <f>Tabla120[[#This Row],[Unidades2]]*Tabla120[[#This Row],[Precio Unitario]]</f>
        <v>0</v>
      </c>
      <c r="T28" s="30"/>
      <c r="U28" s="104"/>
      <c r="V28" s="23"/>
      <c r="W28" s="59"/>
      <c r="X28" s="34" t="s">
        <v>146</v>
      </c>
      <c r="Y28" s="23"/>
      <c r="Z28" s="23"/>
      <c r="AA28" s="108"/>
    </row>
    <row r="29" spans="1:27" ht="11.25" x14ac:dyDescent="0.2">
      <c r="A29" s="103" t="s">
        <v>6002</v>
      </c>
      <c r="B29" s="30" t="s">
        <v>6003</v>
      </c>
      <c r="C29" s="84" t="s">
        <v>3161</v>
      </c>
      <c r="D29" s="2">
        <v>44609.45511574074</v>
      </c>
      <c r="E29" s="2">
        <v>44613.368055555555</v>
      </c>
      <c r="F29" s="86"/>
      <c r="G29" s="170">
        <f>Tabla120[[#This Row],[Presupuesto]]/(1+'Lista Datos'!$B$1)</f>
        <v>0</v>
      </c>
      <c r="H29" s="30" t="s">
        <v>21</v>
      </c>
      <c r="I29" s="30" t="s">
        <v>106</v>
      </c>
      <c r="J29" s="26"/>
      <c r="K29" s="85" t="s">
        <v>11</v>
      </c>
      <c r="L29" s="2"/>
      <c r="M29" s="2"/>
      <c r="N29" s="26"/>
      <c r="O29" s="27">
        <f>Tabla120[[#This Row],[Presupuesto]]</f>
        <v>0</v>
      </c>
      <c r="P29" s="59">
        <f>Tabla120[[#This Row],[PPTO]]/(1+'Lista Datos'!$B$1)</f>
        <v>0</v>
      </c>
      <c r="Q29" s="107">
        <v>15</v>
      </c>
      <c r="R29" s="59">
        <v>26538</v>
      </c>
      <c r="S29" s="59">
        <f>Tabla120[[#This Row],[Unidades2]]*Tabla120[[#This Row],[Precio Unitario]]</f>
        <v>398070</v>
      </c>
      <c r="T29" s="30" t="s">
        <v>44</v>
      </c>
      <c r="U29" s="104">
        <v>44609</v>
      </c>
      <c r="V29" s="23" t="s">
        <v>46</v>
      </c>
      <c r="W29" s="59">
        <v>21000</v>
      </c>
      <c r="X29" s="34" t="s">
        <v>2739</v>
      </c>
      <c r="Y29" s="23"/>
      <c r="Z29" s="23"/>
      <c r="AA29" s="108"/>
    </row>
    <row r="30" spans="1:27" ht="11.25" x14ac:dyDescent="0.2">
      <c r="A30" s="103" t="s">
        <v>6002</v>
      </c>
      <c r="B30" s="30" t="s">
        <v>6003</v>
      </c>
      <c r="C30" s="84" t="s">
        <v>3161</v>
      </c>
      <c r="D30" s="2">
        <v>44609.45511574074</v>
      </c>
      <c r="E30" s="2">
        <v>44613.368055555555</v>
      </c>
      <c r="F30" s="86"/>
      <c r="G30" s="170">
        <f>Tabla120[[#This Row],[Presupuesto]]/(1+'Lista Datos'!$B$1)</f>
        <v>0</v>
      </c>
      <c r="H30" s="30" t="s">
        <v>21</v>
      </c>
      <c r="I30" s="30" t="s">
        <v>106</v>
      </c>
      <c r="J30" s="26"/>
      <c r="K30" s="85" t="s">
        <v>11</v>
      </c>
      <c r="L30" s="2"/>
      <c r="M30" s="2"/>
      <c r="N30" s="26"/>
      <c r="O30" s="27">
        <f>Tabla120[[#This Row],[Presupuesto]]</f>
        <v>0</v>
      </c>
      <c r="P30" s="59">
        <f>Tabla120[[#This Row],[PPTO]]/(1+'Lista Datos'!$B$1)</f>
        <v>0</v>
      </c>
      <c r="Q30" s="107">
        <v>25</v>
      </c>
      <c r="R30" s="59">
        <v>13018</v>
      </c>
      <c r="S30" s="59">
        <f>Tabla120[[#This Row],[Unidades2]]*Tabla120[[#This Row],[Precio Unitario]]</f>
        <v>325450</v>
      </c>
      <c r="T30" s="30" t="s">
        <v>44</v>
      </c>
      <c r="U30" s="104">
        <v>44609</v>
      </c>
      <c r="V30" s="23" t="s">
        <v>46</v>
      </c>
      <c r="W30" s="59">
        <v>21000</v>
      </c>
      <c r="X30" s="34" t="s">
        <v>2739</v>
      </c>
      <c r="Y30" s="23"/>
      <c r="Z30" s="23"/>
      <c r="AA30" s="108"/>
    </row>
    <row r="31" spans="1:27" ht="11.25" x14ac:dyDescent="0.2">
      <c r="A31" s="103" t="s">
        <v>6004</v>
      </c>
      <c r="B31" s="30" t="s">
        <v>5996</v>
      </c>
      <c r="C31" s="84" t="s">
        <v>2429</v>
      </c>
      <c r="D31" s="2">
        <v>44608.701018518521</v>
      </c>
      <c r="E31" s="2">
        <v>44614.416666666664</v>
      </c>
      <c r="F31" s="86"/>
      <c r="G31" s="170">
        <f>Tabla120[[#This Row],[Presupuesto]]/(1+'Lista Datos'!$B$1)</f>
        <v>0</v>
      </c>
      <c r="H31" s="30" t="s">
        <v>21</v>
      </c>
      <c r="I31" s="30" t="s">
        <v>106</v>
      </c>
      <c r="J31" s="26"/>
      <c r="K31" s="85" t="s">
        <v>11</v>
      </c>
      <c r="L31" s="2"/>
      <c r="M31" s="2"/>
      <c r="N31" s="26"/>
      <c r="O31" s="27">
        <f>Tabla120[[#This Row],[Presupuesto]]</f>
        <v>0</v>
      </c>
      <c r="P31" s="59">
        <f>Tabla120[[#This Row],[PPTO]]/(1+'Lista Datos'!$B$1)</f>
        <v>0</v>
      </c>
      <c r="Q31" s="107">
        <v>3</v>
      </c>
      <c r="R31" s="59">
        <v>25424</v>
      </c>
      <c r="S31" s="59">
        <f>Tabla120[[#This Row],[Unidades2]]*Tabla120[[#This Row],[Precio Unitario]]</f>
        <v>76272</v>
      </c>
      <c r="T31" s="30" t="s">
        <v>44</v>
      </c>
      <c r="U31" s="104">
        <v>44608</v>
      </c>
      <c r="V31" s="23" t="s">
        <v>46</v>
      </c>
      <c r="W31" s="59">
        <v>11990</v>
      </c>
      <c r="X31" s="34" t="s">
        <v>635</v>
      </c>
      <c r="Y31" s="23"/>
      <c r="Z31" s="23"/>
      <c r="AA31" s="108"/>
    </row>
    <row r="32" spans="1:27" ht="11.25" x14ac:dyDescent="0.2">
      <c r="A32" s="103" t="s">
        <v>6005</v>
      </c>
      <c r="B32" s="30" t="s">
        <v>6006</v>
      </c>
      <c r="C32" s="84" t="s">
        <v>829</v>
      </c>
      <c r="D32" s="2">
        <v>44607.366840277777</v>
      </c>
      <c r="E32" s="2">
        <v>44613.594444444447</v>
      </c>
      <c r="F32" s="86"/>
      <c r="G32" s="170">
        <f>Tabla120[[#This Row],[Presupuesto]]/(1+'Lista Datos'!$B$1)</f>
        <v>0</v>
      </c>
      <c r="H32" s="30" t="s">
        <v>21</v>
      </c>
      <c r="I32" s="30" t="s">
        <v>106</v>
      </c>
      <c r="J32" s="26"/>
      <c r="K32" s="85" t="s">
        <v>11</v>
      </c>
      <c r="L32" s="2"/>
      <c r="M32" s="2"/>
      <c r="N32" s="26"/>
      <c r="O32" s="27">
        <f>Tabla120[[#This Row],[Presupuesto]]</f>
        <v>0</v>
      </c>
      <c r="P32" s="59">
        <f>Tabla120[[#This Row],[PPTO]]/(1+'Lista Datos'!$B$1)</f>
        <v>0</v>
      </c>
      <c r="Q32" s="107">
        <v>1</v>
      </c>
      <c r="R32" s="59">
        <v>18697</v>
      </c>
      <c r="S32" s="59">
        <f>Tabla120[[#This Row],[Unidades2]]*Tabla120[[#This Row],[Precio Unitario]]</f>
        <v>18697</v>
      </c>
      <c r="T32" s="30" t="s">
        <v>44</v>
      </c>
      <c r="U32" s="104">
        <v>44609</v>
      </c>
      <c r="V32" s="23" t="s">
        <v>46</v>
      </c>
      <c r="W32" s="59">
        <v>52500</v>
      </c>
      <c r="X32" s="34" t="s">
        <v>830</v>
      </c>
      <c r="Y32" s="23"/>
      <c r="Z32" s="23"/>
      <c r="AA32" s="108"/>
    </row>
    <row r="33" spans="1:27" ht="11.25" x14ac:dyDescent="0.2">
      <c r="A33" s="103" t="s">
        <v>6005</v>
      </c>
      <c r="B33" s="30" t="s">
        <v>6006</v>
      </c>
      <c r="C33" s="84" t="s">
        <v>829</v>
      </c>
      <c r="D33" s="2">
        <v>44607.366840277777</v>
      </c>
      <c r="E33" s="2">
        <v>44613.594444444447</v>
      </c>
      <c r="F33" s="86"/>
      <c r="G33" s="170">
        <f>Tabla120[[#This Row],[Presupuesto]]/(1+'Lista Datos'!$B$1)</f>
        <v>0</v>
      </c>
      <c r="H33" s="30" t="s">
        <v>21</v>
      </c>
      <c r="I33" s="30" t="s">
        <v>106</v>
      </c>
      <c r="J33" s="26"/>
      <c r="K33" s="85" t="s">
        <v>11</v>
      </c>
      <c r="L33" s="2"/>
      <c r="M33" s="2"/>
      <c r="N33" s="26"/>
      <c r="O33" s="27">
        <f>Tabla120[[#This Row],[Presupuesto]]</f>
        <v>0</v>
      </c>
      <c r="P33" s="59">
        <f>Tabla120[[#This Row],[PPTO]]/(1+'Lista Datos'!$B$1)</f>
        <v>0</v>
      </c>
      <c r="Q33" s="107">
        <v>1</v>
      </c>
      <c r="R33" s="59">
        <v>34738</v>
      </c>
      <c r="S33" s="59">
        <f>Tabla120[[#This Row],[Unidades2]]*Tabla120[[#This Row],[Precio Unitario]]</f>
        <v>34738</v>
      </c>
      <c r="T33" s="30" t="s">
        <v>44</v>
      </c>
      <c r="U33" s="104">
        <v>44609</v>
      </c>
      <c r="V33" s="23" t="s">
        <v>46</v>
      </c>
      <c r="W33" s="59">
        <v>52500</v>
      </c>
      <c r="X33" s="34" t="s">
        <v>830</v>
      </c>
      <c r="Y33" s="23"/>
      <c r="Z33" s="23"/>
      <c r="AA33" s="108"/>
    </row>
    <row r="34" spans="1:27" ht="11.25" x14ac:dyDescent="0.2">
      <c r="A34" s="103" t="s">
        <v>6007</v>
      </c>
      <c r="B34" s="30" t="s">
        <v>3044</v>
      </c>
      <c r="C34" s="84" t="s">
        <v>167</v>
      </c>
      <c r="D34" s="2">
        <v>44606.422500000001</v>
      </c>
      <c r="E34" s="2">
        <v>44608.541666666664</v>
      </c>
      <c r="F34" s="86"/>
      <c r="G34" s="170">
        <f>Tabla120[[#This Row],[Presupuesto]]/(1+'Lista Datos'!$B$1)</f>
        <v>0</v>
      </c>
      <c r="H34" s="30" t="s">
        <v>21</v>
      </c>
      <c r="I34" s="30" t="s">
        <v>106</v>
      </c>
      <c r="J34" s="26"/>
      <c r="K34" s="85" t="s">
        <v>11</v>
      </c>
      <c r="L34" s="2"/>
      <c r="M34" s="2"/>
      <c r="N34" s="26"/>
      <c r="O34" s="27">
        <f>Tabla120[[#This Row],[Presupuesto]]</f>
        <v>0</v>
      </c>
      <c r="P34" s="59">
        <f>Tabla120[[#This Row],[PPTO]]/(1+'Lista Datos'!$B$1)</f>
        <v>0</v>
      </c>
      <c r="Q34" s="107">
        <v>20</v>
      </c>
      <c r="R34" s="59">
        <v>23873</v>
      </c>
      <c r="S34" s="59">
        <f>Tabla120[[#This Row],[Unidades2]]*Tabla120[[#This Row],[Precio Unitario]]</f>
        <v>477460</v>
      </c>
      <c r="T34" s="30"/>
      <c r="U34" s="104"/>
      <c r="V34" s="23"/>
      <c r="W34" s="59"/>
      <c r="X34" s="34" t="s">
        <v>169</v>
      </c>
      <c r="Y34" s="23"/>
      <c r="Z34" s="23"/>
      <c r="AA34" s="108"/>
    </row>
    <row r="35" spans="1:27" ht="11.25" x14ac:dyDescent="0.2">
      <c r="A35" s="103" t="s">
        <v>6008</v>
      </c>
      <c r="B35" s="30" t="s">
        <v>6009</v>
      </c>
      <c r="C35" s="84" t="s">
        <v>6010</v>
      </c>
      <c r="D35" s="2">
        <v>44595.59138888889</v>
      </c>
      <c r="E35" s="2">
        <v>44745.375</v>
      </c>
      <c r="F35" s="86"/>
      <c r="G35" s="170">
        <f>Tabla120[[#This Row],[Presupuesto]]/(1+'Lista Datos'!$B$1)</f>
        <v>0</v>
      </c>
      <c r="H35" s="30" t="s">
        <v>21</v>
      </c>
      <c r="I35" s="30" t="s">
        <v>106</v>
      </c>
      <c r="J35" s="26"/>
      <c r="K35" s="85" t="s">
        <v>11</v>
      </c>
      <c r="L35" s="2"/>
      <c r="M35" s="2"/>
      <c r="N35" s="26"/>
      <c r="O35" s="27">
        <f>Tabla120[[#This Row],[Presupuesto]]</f>
        <v>0</v>
      </c>
      <c r="P35" s="59">
        <f>Tabla120[[#This Row],[PPTO]]/(1+'Lista Datos'!$B$1)</f>
        <v>0</v>
      </c>
      <c r="Q35" s="107">
        <v>50</v>
      </c>
      <c r="R35" s="59">
        <v>4222</v>
      </c>
      <c r="S35" s="59">
        <f>Tabla120[[#This Row],[Unidades2]]*Tabla120[[#This Row],[Precio Unitario]]</f>
        <v>211100</v>
      </c>
      <c r="T35" s="30" t="s">
        <v>44</v>
      </c>
      <c r="U35" s="104">
        <v>44745</v>
      </c>
      <c r="V35" s="23" t="s">
        <v>46</v>
      </c>
      <c r="W35" s="59">
        <v>2072</v>
      </c>
      <c r="X35" s="34" t="s">
        <v>146</v>
      </c>
      <c r="Y35" s="23"/>
      <c r="Z35" s="23"/>
      <c r="AA35" s="108"/>
    </row>
    <row r="36" spans="1:27" ht="11.25" x14ac:dyDescent="0.2">
      <c r="A36" s="103" t="s">
        <v>6011</v>
      </c>
      <c r="B36" s="30" t="s">
        <v>6012</v>
      </c>
      <c r="C36" s="84" t="s">
        <v>1641</v>
      </c>
      <c r="D36" s="2">
        <v>44649.664212962962</v>
      </c>
      <c r="E36" s="2">
        <v>44651.5</v>
      </c>
      <c r="F36" s="86"/>
      <c r="G36" s="170">
        <f>Tabla120[[#This Row],[Presupuesto]]/(1+'Lista Datos'!$B$1)</f>
        <v>0</v>
      </c>
      <c r="H36" s="30" t="s">
        <v>21</v>
      </c>
      <c r="I36" s="30" t="s">
        <v>106</v>
      </c>
      <c r="J36" s="26">
        <v>44649</v>
      </c>
      <c r="K36" s="85" t="s">
        <v>11</v>
      </c>
      <c r="L36" s="2"/>
      <c r="M36" s="2"/>
      <c r="N36" s="26"/>
      <c r="O36" s="27">
        <f>Tabla120[[#This Row],[Presupuesto]]</f>
        <v>0</v>
      </c>
      <c r="P36" s="59">
        <f>Tabla120[[#This Row],[PPTO]]/(1+'Lista Datos'!$B$1)</f>
        <v>0</v>
      </c>
      <c r="Q36" s="107">
        <v>2</v>
      </c>
      <c r="R36" s="59">
        <v>656188</v>
      </c>
      <c r="S36" s="59">
        <f>Tabla120[[#This Row],[Unidades2]]*Tabla120[[#This Row],[Precio Unitario]]</f>
        <v>1312376</v>
      </c>
      <c r="T36" s="30" t="s">
        <v>44</v>
      </c>
      <c r="U36" s="104">
        <v>44651</v>
      </c>
      <c r="V36" s="23" t="s">
        <v>46</v>
      </c>
      <c r="W36" s="59">
        <v>549294</v>
      </c>
      <c r="X36" s="34" t="s">
        <v>146</v>
      </c>
      <c r="Y36" s="23"/>
      <c r="Z36" s="23"/>
      <c r="AA36" s="108"/>
    </row>
    <row r="37" spans="1:27" ht="11.25" x14ac:dyDescent="0.2">
      <c r="A37" s="103" t="s">
        <v>6013</v>
      </c>
      <c r="B37" s="30" t="s">
        <v>6009</v>
      </c>
      <c r="C37" s="84" t="s">
        <v>1958</v>
      </c>
      <c r="D37" s="2">
        <v>44645.48847222222</v>
      </c>
      <c r="E37" s="2">
        <v>44650.277777777781</v>
      </c>
      <c r="F37" s="86"/>
      <c r="G37" s="170">
        <f>Tabla120[[#This Row],[Presupuesto]]/(1+'Lista Datos'!$B$1)</f>
        <v>0</v>
      </c>
      <c r="H37" s="30" t="s">
        <v>21</v>
      </c>
      <c r="I37" s="30" t="s">
        <v>106</v>
      </c>
      <c r="J37" s="26">
        <v>44649</v>
      </c>
      <c r="K37" s="85" t="s">
        <v>10</v>
      </c>
      <c r="L37" s="2" t="s">
        <v>26</v>
      </c>
      <c r="M37" s="2"/>
      <c r="N37" s="26"/>
      <c r="O37" s="27">
        <f>Tabla120[[#This Row],[Presupuesto]]</f>
        <v>0</v>
      </c>
      <c r="P37" s="59">
        <f>Tabla120[[#This Row],[PPTO]]/(1+'Lista Datos'!$B$1)</f>
        <v>0</v>
      </c>
      <c r="Q37" s="107">
        <v>200</v>
      </c>
      <c r="R37" s="59"/>
      <c r="S37" s="59">
        <f>Tabla120[[#This Row],[Unidades2]]*Tabla120[[#This Row],[Precio Unitario]]</f>
        <v>0</v>
      </c>
      <c r="T37" s="30"/>
      <c r="U37" s="104"/>
      <c r="V37" s="23"/>
      <c r="W37" s="59"/>
      <c r="X37" s="34" t="s">
        <v>146</v>
      </c>
      <c r="Y37" s="23"/>
      <c r="Z37" s="23"/>
      <c r="AA37" s="108"/>
    </row>
    <row r="38" spans="1:27" ht="11.25" x14ac:dyDescent="0.2">
      <c r="A38" s="103" t="s">
        <v>6014</v>
      </c>
      <c r="B38" s="30" t="s">
        <v>6015</v>
      </c>
      <c r="C38" s="84" t="s">
        <v>1274</v>
      </c>
      <c r="D38" s="2">
        <v>44644.534942129627</v>
      </c>
      <c r="E38" s="2">
        <v>44652.555555555555</v>
      </c>
      <c r="F38" s="86"/>
      <c r="G38" s="170">
        <f>Tabla120[[#This Row],[Presupuesto]]/(1+'Lista Datos'!$B$1)</f>
        <v>0</v>
      </c>
      <c r="H38" s="30" t="s">
        <v>21</v>
      </c>
      <c r="I38" s="30" t="s">
        <v>106</v>
      </c>
      <c r="J38" s="26">
        <v>44649</v>
      </c>
      <c r="K38" s="85" t="s">
        <v>10</v>
      </c>
      <c r="L38" s="2" t="s">
        <v>28</v>
      </c>
      <c r="M38" s="2"/>
      <c r="N38" s="26"/>
      <c r="O38" s="27">
        <f>Tabla120[[#This Row],[Presupuesto]]</f>
        <v>0</v>
      </c>
      <c r="P38" s="59">
        <f>Tabla120[[#This Row],[PPTO]]/(1+'Lista Datos'!$B$1)</f>
        <v>0</v>
      </c>
      <c r="Q38" s="107"/>
      <c r="R38" s="59"/>
      <c r="S38" s="59">
        <f>Tabla120[[#This Row],[Unidades2]]*Tabla120[[#This Row],[Precio Unitario]]</f>
        <v>0</v>
      </c>
      <c r="T38" s="30"/>
      <c r="U38" s="104"/>
      <c r="V38" s="23"/>
      <c r="W38" s="59"/>
      <c r="X38" s="34" t="s">
        <v>146</v>
      </c>
      <c r="Y38" s="23"/>
      <c r="Z38" s="23"/>
      <c r="AA38" s="108"/>
    </row>
    <row r="39" spans="1:27" ht="11.25" x14ac:dyDescent="0.2">
      <c r="A39" s="103" t="s">
        <v>6016</v>
      </c>
      <c r="B39" s="30" t="s">
        <v>6017</v>
      </c>
      <c r="C39" s="84" t="s">
        <v>3009</v>
      </c>
      <c r="D39" s="2">
        <v>44649.709039351852</v>
      </c>
      <c r="E39" s="2">
        <v>44650.711805555555</v>
      </c>
      <c r="F39" s="86"/>
      <c r="G39" s="170">
        <f>Tabla120[[#This Row],[Presupuesto]]/(1+'Lista Datos'!$B$1)</f>
        <v>0</v>
      </c>
      <c r="H39" s="30" t="s">
        <v>21</v>
      </c>
      <c r="I39" s="30" t="s">
        <v>106</v>
      </c>
      <c r="J39" s="26">
        <v>44649</v>
      </c>
      <c r="K39" s="85" t="s">
        <v>11</v>
      </c>
      <c r="L39" s="2"/>
      <c r="M39" s="2"/>
      <c r="N39" s="26"/>
      <c r="O39" s="27">
        <f>Tabla120[[#This Row],[Presupuesto]]</f>
        <v>0</v>
      </c>
      <c r="P39" s="59">
        <f>Tabla120[[#This Row],[PPTO]]/(1+'Lista Datos'!$B$1)</f>
        <v>0</v>
      </c>
      <c r="Q39" s="107">
        <v>1</v>
      </c>
      <c r="R39" s="59">
        <v>1386300</v>
      </c>
      <c r="S39" s="59">
        <f>Tabla120[[#This Row],[Unidades2]]*Tabla120[[#This Row],[Precio Unitario]]</f>
        <v>1386300</v>
      </c>
      <c r="T39" s="30" t="s">
        <v>44</v>
      </c>
      <c r="U39" s="104">
        <v>44649</v>
      </c>
      <c r="V39" s="23" t="s">
        <v>46</v>
      </c>
      <c r="W39" s="59">
        <v>1353161</v>
      </c>
      <c r="X39" s="34" t="s">
        <v>146</v>
      </c>
      <c r="Y39" s="23"/>
      <c r="Z39" s="23"/>
      <c r="AA39" s="108"/>
    </row>
    <row r="40" spans="1:27" ht="11.25" x14ac:dyDescent="0.2">
      <c r="A40" s="103" t="s">
        <v>6018</v>
      </c>
      <c r="B40" s="30" t="s">
        <v>6019</v>
      </c>
      <c r="C40" s="84" t="s">
        <v>852</v>
      </c>
      <c r="D40" s="2">
        <v>44650.471307870372</v>
      </c>
      <c r="E40" s="2">
        <v>44651.5</v>
      </c>
      <c r="F40" s="86"/>
      <c r="G40" s="170">
        <f>Tabla120[[#This Row],[Presupuesto]]/(1+'Lista Datos'!$B$1)</f>
        <v>0</v>
      </c>
      <c r="H40" s="30" t="s">
        <v>21</v>
      </c>
      <c r="I40" s="30" t="s">
        <v>106</v>
      </c>
      <c r="J40" s="26">
        <v>44650</v>
      </c>
      <c r="K40" s="85" t="s">
        <v>10</v>
      </c>
      <c r="L40" s="2" t="s">
        <v>34</v>
      </c>
      <c r="M40" s="2"/>
      <c r="N40" s="26"/>
      <c r="O40" s="27">
        <f>Tabla120[[#This Row],[Presupuesto]]</f>
        <v>0</v>
      </c>
      <c r="P40" s="59">
        <f>Tabla120[[#This Row],[PPTO]]/(1+'Lista Datos'!$B$1)</f>
        <v>0</v>
      </c>
      <c r="Q40" s="107">
        <v>300</v>
      </c>
      <c r="R40" s="59"/>
      <c r="S40" s="59">
        <f>Tabla120[[#This Row],[Unidades2]]*Tabla120[[#This Row],[Precio Unitario]]</f>
        <v>0</v>
      </c>
      <c r="T40" s="30"/>
      <c r="U40" s="104"/>
      <c r="V40" s="23"/>
      <c r="W40" s="59"/>
      <c r="X40" s="34" t="s">
        <v>146</v>
      </c>
      <c r="Y40" s="23"/>
      <c r="Z40" s="23"/>
      <c r="AA40" s="108"/>
    </row>
    <row r="41" spans="1:27" ht="11.25" x14ac:dyDescent="0.2">
      <c r="A41" s="103" t="s">
        <v>6020</v>
      </c>
      <c r="B41" s="30" t="s">
        <v>6003</v>
      </c>
      <c r="C41" s="84" t="s">
        <v>2738</v>
      </c>
      <c r="D41" s="2">
        <v>44650.688344907408</v>
      </c>
      <c r="E41" s="2">
        <v>44652.351388888892</v>
      </c>
      <c r="F41" s="86"/>
      <c r="G41" s="170">
        <f>Tabla120[[#This Row],[Presupuesto]]/(1+'Lista Datos'!$B$1)</f>
        <v>0</v>
      </c>
      <c r="H41" s="30" t="s">
        <v>21</v>
      </c>
      <c r="I41" s="30" t="s">
        <v>106</v>
      </c>
      <c r="J41" s="26">
        <v>44650</v>
      </c>
      <c r="K41" s="85" t="s">
        <v>11</v>
      </c>
      <c r="L41" s="2"/>
      <c r="M41" s="2"/>
      <c r="N41" s="26"/>
      <c r="O41" s="27">
        <f>Tabla120[[#This Row],[Presupuesto]]</f>
        <v>0</v>
      </c>
      <c r="P41" s="59">
        <f>Tabla120[[#This Row],[PPTO]]/(1+'Lista Datos'!$B$1)</f>
        <v>0</v>
      </c>
      <c r="Q41" s="107">
        <v>26</v>
      </c>
      <c r="R41" s="59">
        <v>12260</v>
      </c>
      <c r="S41" s="59">
        <f>Tabla120[[#This Row],[Unidades2]]*Tabla120[[#This Row],[Precio Unitario]]</f>
        <v>318760</v>
      </c>
      <c r="T41" s="30"/>
      <c r="U41" s="104"/>
      <c r="V41" s="23"/>
      <c r="W41" s="59"/>
      <c r="X41" s="34" t="s">
        <v>146</v>
      </c>
      <c r="Y41" s="23"/>
      <c r="Z41" s="23"/>
      <c r="AA41" s="108"/>
    </row>
    <row r="42" spans="1:27" ht="11.25" x14ac:dyDescent="0.2">
      <c r="A42" s="103" t="s">
        <v>6021</v>
      </c>
      <c r="B42" s="30" t="s">
        <v>6006</v>
      </c>
      <c r="C42" s="84" t="s">
        <v>829</v>
      </c>
      <c r="D42" s="2">
        <v>44650.573391203703</v>
      </c>
      <c r="E42" s="2">
        <v>44657.563888888886</v>
      </c>
      <c r="F42" s="86"/>
      <c r="G42" s="170">
        <f>Tabla120[[#This Row],[Presupuesto]]/(1+'Lista Datos'!$B$1)</f>
        <v>0</v>
      </c>
      <c r="H42" s="30" t="s">
        <v>21</v>
      </c>
      <c r="I42" s="30" t="s">
        <v>106</v>
      </c>
      <c r="J42" s="26">
        <v>44650</v>
      </c>
      <c r="K42" s="85" t="s">
        <v>11</v>
      </c>
      <c r="L42" s="2"/>
      <c r="M42" s="2"/>
      <c r="N42" s="26"/>
      <c r="O42" s="27">
        <f>Tabla120[[#This Row],[Presupuesto]]</f>
        <v>0</v>
      </c>
      <c r="P42" s="59">
        <f>Tabla120[[#This Row],[PPTO]]/(1+'Lista Datos'!$B$1)</f>
        <v>0</v>
      </c>
      <c r="Q42" s="107">
        <v>1</v>
      </c>
      <c r="R42" s="59">
        <v>18697</v>
      </c>
      <c r="S42" s="59">
        <f>Tabla120[[#This Row],[Unidades2]]*Tabla120[[#This Row],[Precio Unitario]]</f>
        <v>18697</v>
      </c>
      <c r="T42" s="30"/>
      <c r="U42" s="104"/>
      <c r="V42" s="23"/>
      <c r="W42" s="59"/>
      <c r="X42" s="34" t="s">
        <v>146</v>
      </c>
      <c r="Y42" s="23"/>
      <c r="Z42" s="23"/>
      <c r="AA42" s="108"/>
    </row>
    <row r="43" spans="1:27" ht="11.25" x14ac:dyDescent="0.2">
      <c r="A43" s="103" t="s">
        <v>6021</v>
      </c>
      <c r="B43" s="30" t="s">
        <v>6006</v>
      </c>
      <c r="C43" s="84" t="s">
        <v>829</v>
      </c>
      <c r="D43" s="2">
        <v>44650.573391203703</v>
      </c>
      <c r="E43" s="2">
        <v>44657.563888888886</v>
      </c>
      <c r="F43" s="86"/>
      <c r="G43" s="170">
        <f>Tabla120[[#This Row],[Presupuesto]]/(1+'Lista Datos'!$B$1)</f>
        <v>0</v>
      </c>
      <c r="H43" s="30" t="s">
        <v>21</v>
      </c>
      <c r="I43" s="30" t="s">
        <v>106</v>
      </c>
      <c r="J43" s="26">
        <v>44650</v>
      </c>
      <c r="K43" s="85" t="s">
        <v>11</v>
      </c>
      <c r="L43" s="2"/>
      <c r="M43" s="2"/>
      <c r="N43" s="26"/>
      <c r="O43" s="27">
        <f>Tabla120[[#This Row],[Presupuesto]]</f>
        <v>0</v>
      </c>
      <c r="P43" s="59">
        <f>Tabla120[[#This Row],[PPTO]]/(1+'Lista Datos'!$B$1)</f>
        <v>0</v>
      </c>
      <c r="Q43" s="107">
        <v>1</v>
      </c>
      <c r="R43" s="59">
        <v>34738</v>
      </c>
      <c r="S43" s="59">
        <f>Tabla120[[#This Row],[Unidades2]]*Tabla120[[#This Row],[Precio Unitario]]</f>
        <v>34738</v>
      </c>
      <c r="T43" s="30"/>
      <c r="U43" s="104"/>
      <c r="V43" s="23"/>
      <c r="W43" s="59"/>
      <c r="X43" s="34" t="s">
        <v>146</v>
      </c>
      <c r="Y43" s="23"/>
      <c r="Z43" s="23"/>
      <c r="AA43" s="108"/>
    </row>
    <row r="44" spans="1:27" ht="11.25" x14ac:dyDescent="0.2">
      <c r="A44" s="103" t="s">
        <v>6022</v>
      </c>
      <c r="B44" s="30" t="s">
        <v>6023</v>
      </c>
      <c r="C44" s="84" t="s">
        <v>5634</v>
      </c>
      <c r="D44" s="2">
        <v>44650.702476851853</v>
      </c>
      <c r="E44" s="2">
        <v>44651.704861111109</v>
      </c>
      <c r="F44" s="86"/>
      <c r="G44" s="170">
        <f>Tabla120[[#This Row],[Presupuesto]]/(1+'Lista Datos'!$B$1)</f>
        <v>0</v>
      </c>
      <c r="H44" s="30" t="s">
        <v>21</v>
      </c>
      <c r="I44" s="30" t="s">
        <v>106</v>
      </c>
      <c r="J44" s="26">
        <v>44650</v>
      </c>
      <c r="K44" s="85" t="s">
        <v>11</v>
      </c>
      <c r="L44" s="2"/>
      <c r="M44" s="2"/>
      <c r="N44" s="26"/>
      <c r="O44" s="27">
        <f>Tabla120[[#This Row],[Presupuesto]]</f>
        <v>0</v>
      </c>
      <c r="P44" s="59">
        <f>Tabla120[[#This Row],[PPTO]]/(1+'Lista Datos'!$B$1)</f>
        <v>0</v>
      </c>
      <c r="Q44" s="107">
        <v>4</v>
      </c>
      <c r="R44" s="59">
        <v>25830</v>
      </c>
      <c r="S44" s="59">
        <f>Tabla120[[#This Row],[Unidades2]]*Tabla120[[#This Row],[Precio Unitario]]</f>
        <v>103320</v>
      </c>
      <c r="T44" s="30" t="s">
        <v>44</v>
      </c>
      <c r="U44" s="104">
        <v>44651</v>
      </c>
      <c r="V44" s="23" t="s">
        <v>46</v>
      </c>
      <c r="W44" s="59">
        <v>35990</v>
      </c>
      <c r="X44" s="34" t="s">
        <v>146</v>
      </c>
      <c r="Y44" s="23"/>
      <c r="Z44" s="23"/>
      <c r="AA44" s="108"/>
    </row>
    <row r="45" spans="1:27" ht="11.25" x14ac:dyDescent="0.2">
      <c r="A45" s="103" t="s">
        <v>6024</v>
      </c>
      <c r="B45" s="30" t="s">
        <v>6025</v>
      </c>
      <c r="C45" s="84" t="s">
        <v>731</v>
      </c>
      <c r="D45" s="2">
        <v>44650.406331018516</v>
      </c>
      <c r="E45" s="2">
        <v>44652.527083333334</v>
      </c>
      <c r="F45" s="86"/>
      <c r="G45" s="170">
        <f>Tabla120[[#This Row],[Presupuesto]]/(1+'Lista Datos'!$B$1)</f>
        <v>0</v>
      </c>
      <c r="H45" s="30" t="s">
        <v>21</v>
      </c>
      <c r="I45" s="30" t="s">
        <v>106</v>
      </c>
      <c r="J45" s="26">
        <v>44652</v>
      </c>
      <c r="K45" s="85" t="s">
        <v>10</v>
      </c>
      <c r="L45" s="2" t="s">
        <v>28</v>
      </c>
      <c r="M45" s="2"/>
      <c r="N45" s="26"/>
      <c r="O45" s="27">
        <f>Tabla120[[#This Row],[Presupuesto]]</f>
        <v>0</v>
      </c>
      <c r="P45" s="59">
        <f>Tabla120[[#This Row],[PPTO]]/(1+'Lista Datos'!$B$1)</f>
        <v>0</v>
      </c>
      <c r="Q45" s="107"/>
      <c r="R45" s="59"/>
      <c r="S45" s="59">
        <f>Tabla120[[#This Row],[Unidades2]]*Tabla120[[#This Row],[Precio Unitario]]</f>
        <v>0</v>
      </c>
      <c r="T45" s="30" t="s">
        <v>270</v>
      </c>
      <c r="U45" s="104"/>
      <c r="V45" s="23"/>
      <c r="W45" s="59"/>
      <c r="X45" s="34" t="s">
        <v>146</v>
      </c>
      <c r="Y45" s="23"/>
      <c r="Z45" s="23"/>
      <c r="AA45" s="108"/>
    </row>
    <row r="46" spans="1:27" ht="11.25" x14ac:dyDescent="0.2">
      <c r="A46" s="103" t="s">
        <v>6026</v>
      </c>
      <c r="B46" s="30" t="s">
        <v>6027</v>
      </c>
      <c r="C46" s="84" t="s">
        <v>5000</v>
      </c>
      <c r="D46" s="2">
        <v>44650.707337962966</v>
      </c>
      <c r="E46" s="2">
        <v>44655.333333333336</v>
      </c>
      <c r="F46" s="86"/>
      <c r="G46" s="170">
        <f>Tabla120[[#This Row],[Presupuesto]]/(1+'Lista Datos'!$B$1)</f>
        <v>0</v>
      </c>
      <c r="H46" s="30" t="s">
        <v>16</v>
      </c>
      <c r="I46" s="30" t="s">
        <v>114</v>
      </c>
      <c r="J46" s="26">
        <v>44652</v>
      </c>
      <c r="K46" s="85"/>
      <c r="L46" s="2"/>
      <c r="M46" s="2"/>
      <c r="N46" s="26"/>
      <c r="O46" s="27">
        <f>Tabla120[[#This Row],[Presupuesto]]</f>
        <v>0</v>
      </c>
      <c r="P46" s="59">
        <f>Tabla120[[#This Row],[PPTO]]/(1+'Lista Datos'!$B$1)</f>
        <v>0</v>
      </c>
      <c r="Q46" s="107"/>
      <c r="R46" s="59"/>
      <c r="S46" s="59">
        <f>Tabla120[[#This Row],[Unidades2]]*Tabla120[[#This Row],[Precio Unitario]]</f>
        <v>0</v>
      </c>
      <c r="T46" s="30" t="s">
        <v>270</v>
      </c>
      <c r="U46" s="104"/>
      <c r="V46" s="23"/>
      <c r="W46" s="59"/>
      <c r="X46" s="34" t="s">
        <v>146</v>
      </c>
      <c r="Y46" s="23"/>
      <c r="Z46" s="23"/>
      <c r="AA46" s="108"/>
    </row>
    <row r="47" spans="1:27" ht="11.25" x14ac:dyDescent="0.2">
      <c r="A47" s="103" t="s">
        <v>6028</v>
      </c>
      <c r="B47" s="30" t="s">
        <v>6029</v>
      </c>
      <c r="C47" s="84" t="s">
        <v>6030</v>
      </c>
      <c r="D47" s="2">
        <v>44651.509594907409</v>
      </c>
      <c r="E47" s="2">
        <v>44652.666666666664</v>
      </c>
      <c r="F47" s="86"/>
      <c r="G47" s="170">
        <f>Tabla120[[#This Row],[Presupuesto]]/(1+'Lista Datos'!$B$1)</f>
        <v>0</v>
      </c>
      <c r="H47" s="30" t="s">
        <v>21</v>
      </c>
      <c r="I47" s="30" t="s">
        <v>106</v>
      </c>
      <c r="J47" s="26">
        <v>44652</v>
      </c>
      <c r="K47" s="85"/>
      <c r="L47" s="2"/>
      <c r="M47" s="2"/>
      <c r="N47" s="26"/>
      <c r="O47" s="27">
        <f>Tabla120[[#This Row],[Presupuesto]]</f>
        <v>0</v>
      </c>
      <c r="P47" s="59">
        <f>Tabla120[[#This Row],[PPTO]]/(1+'Lista Datos'!$B$1)</f>
        <v>0</v>
      </c>
      <c r="Q47" s="107">
        <v>2</v>
      </c>
      <c r="R47" s="59">
        <v>28502</v>
      </c>
      <c r="S47" s="59">
        <f>Tabla120[[#This Row],[Unidades2]]*Tabla120[[#This Row],[Precio Unitario]]</f>
        <v>57004</v>
      </c>
      <c r="T47" s="30" t="s">
        <v>270</v>
      </c>
      <c r="U47" s="104"/>
      <c r="V47" s="23"/>
      <c r="W47" s="59"/>
      <c r="X47" s="34" t="s">
        <v>146</v>
      </c>
      <c r="Y47" s="23"/>
      <c r="Z47" s="23"/>
      <c r="AA47" s="108"/>
    </row>
    <row r="48" spans="1:27" ht="11.25" x14ac:dyDescent="0.2">
      <c r="A48" s="103" t="s">
        <v>6031</v>
      </c>
      <c r="B48" s="30" t="s">
        <v>6032</v>
      </c>
      <c r="C48" s="84" t="s">
        <v>113</v>
      </c>
      <c r="D48" s="2">
        <v>44651.520173611112</v>
      </c>
      <c r="E48" s="2">
        <v>44656.515972222223</v>
      </c>
      <c r="F48" s="86"/>
      <c r="G48" s="170">
        <f>Tabla120[[#This Row],[Presupuesto]]/(1+'Lista Datos'!$B$1)</f>
        <v>0</v>
      </c>
      <c r="H48" s="30" t="s">
        <v>21</v>
      </c>
      <c r="I48" s="30" t="s">
        <v>106</v>
      </c>
      <c r="J48" s="26">
        <v>44652</v>
      </c>
      <c r="K48" s="85"/>
      <c r="L48" s="2"/>
      <c r="M48" s="2"/>
      <c r="N48" s="26"/>
      <c r="O48" s="27">
        <f>Tabla120[[#This Row],[Presupuesto]]</f>
        <v>0</v>
      </c>
      <c r="P48" s="59">
        <f>Tabla120[[#This Row],[PPTO]]/(1+'Lista Datos'!$B$1)</f>
        <v>0</v>
      </c>
      <c r="Q48" s="107">
        <v>4</v>
      </c>
      <c r="R48" s="59">
        <v>24959</v>
      </c>
      <c r="S48" s="59">
        <f>Tabla120[[#This Row],[Unidades2]]*Tabla120[[#This Row],[Precio Unitario]]</f>
        <v>99836</v>
      </c>
      <c r="T48" s="30" t="s">
        <v>270</v>
      </c>
      <c r="U48" s="104"/>
      <c r="V48" s="23"/>
      <c r="W48" s="59"/>
      <c r="X48" s="34" t="s">
        <v>146</v>
      </c>
      <c r="Y48" s="23"/>
      <c r="Z48" s="23"/>
      <c r="AA48" s="108"/>
    </row>
    <row r="49" spans="1:27" ht="11.25" x14ac:dyDescent="0.2">
      <c r="A49" s="103" t="s">
        <v>6033</v>
      </c>
      <c r="B49" s="30" t="s">
        <v>6034</v>
      </c>
      <c r="C49" s="84" t="s">
        <v>1334</v>
      </c>
      <c r="D49" s="2">
        <v>44652.533321759256</v>
      </c>
      <c r="E49" s="2">
        <v>44656.5</v>
      </c>
      <c r="F49" s="86"/>
      <c r="G49" s="170">
        <f>Tabla120[[#This Row],[Presupuesto]]/(1+'Lista Datos'!$B$1)</f>
        <v>0</v>
      </c>
      <c r="H49" s="30" t="s">
        <v>21</v>
      </c>
      <c r="I49" s="30" t="s">
        <v>106</v>
      </c>
      <c r="J49" s="26">
        <v>44655</v>
      </c>
      <c r="K49" s="85"/>
      <c r="L49" s="2"/>
      <c r="M49" s="2"/>
      <c r="N49" s="26"/>
      <c r="O49" s="27">
        <f>Tabla120[[#This Row],[Presupuesto]]</f>
        <v>0</v>
      </c>
      <c r="P49" s="59">
        <f>Tabla120[[#This Row],[PPTO]]/(1+'Lista Datos'!$B$1)</f>
        <v>0</v>
      </c>
      <c r="Q49" s="107"/>
      <c r="R49" s="59"/>
      <c r="S49" s="59">
        <f>Tabla120[[#This Row],[Unidades2]]*Tabla120[[#This Row],[Precio Unitario]]</f>
        <v>0</v>
      </c>
      <c r="T49" s="30" t="s">
        <v>270</v>
      </c>
      <c r="U49" s="104"/>
      <c r="V49" s="23"/>
      <c r="W49" s="59"/>
      <c r="X49" s="34" t="s">
        <v>146</v>
      </c>
      <c r="Y49" s="23"/>
      <c r="Z49" s="23"/>
      <c r="AA49" s="108"/>
    </row>
    <row r="50" spans="1:27" ht="11.25" x14ac:dyDescent="0.2">
      <c r="A50" s="103" t="s">
        <v>6035</v>
      </c>
      <c r="B50" s="30" t="s">
        <v>6036</v>
      </c>
      <c r="C50" s="84" t="s">
        <v>6037</v>
      </c>
      <c r="D50" s="2">
        <v>44652.528310185182</v>
      </c>
      <c r="E50" s="2">
        <v>44656.5</v>
      </c>
      <c r="F50" s="86"/>
      <c r="G50" s="170">
        <f>Tabla120[[#This Row],[Presupuesto]]/(1+'Lista Datos'!$B$1)</f>
        <v>0</v>
      </c>
      <c r="H50" s="30" t="s">
        <v>21</v>
      </c>
      <c r="I50" s="30" t="s">
        <v>106</v>
      </c>
      <c r="J50" s="26">
        <v>44655</v>
      </c>
      <c r="K50" s="85"/>
      <c r="L50" s="2"/>
      <c r="M50" s="2"/>
      <c r="N50" s="26"/>
      <c r="O50" s="27">
        <f>Tabla120[[#This Row],[Presupuesto]]</f>
        <v>0</v>
      </c>
      <c r="P50" s="59">
        <f>Tabla120[[#This Row],[PPTO]]/(1+'Lista Datos'!$B$1)</f>
        <v>0</v>
      </c>
      <c r="Q50" s="107"/>
      <c r="R50" s="59"/>
      <c r="S50" s="59">
        <f>Tabla120[[#This Row],[Unidades2]]*Tabla120[[#This Row],[Precio Unitario]]</f>
        <v>0</v>
      </c>
      <c r="T50" s="30" t="s">
        <v>270</v>
      </c>
      <c r="U50" s="104">
        <v>44656</v>
      </c>
      <c r="V50" s="23"/>
      <c r="W50" s="59"/>
      <c r="X50" s="34" t="s">
        <v>146</v>
      </c>
      <c r="Y50" s="23"/>
      <c r="Z50" s="23"/>
      <c r="AA50" s="108"/>
    </row>
    <row r="51" spans="1:27" ht="11.25" x14ac:dyDescent="0.2">
      <c r="A51" s="103" t="s">
        <v>6038</v>
      </c>
      <c r="B51" s="30" t="s">
        <v>6039</v>
      </c>
      <c r="C51" s="84" t="s">
        <v>1565</v>
      </c>
      <c r="D51" s="2">
        <v>44657.465057870373</v>
      </c>
      <c r="E51" s="2">
        <v>44664.462500000001</v>
      </c>
      <c r="F51" s="86"/>
      <c r="G51" s="170">
        <f>Tabla120[[#This Row],[Presupuesto]]/(1+'Lista Datos'!$B$1)</f>
        <v>0</v>
      </c>
      <c r="H51" s="30" t="s">
        <v>21</v>
      </c>
      <c r="I51" s="30" t="s">
        <v>106</v>
      </c>
      <c r="J51" s="26"/>
      <c r="K51" s="85"/>
      <c r="L51" s="2"/>
      <c r="M51" s="2"/>
      <c r="N51" s="26"/>
      <c r="O51" s="27">
        <f>Tabla120[[#This Row],[Presupuesto]]</f>
        <v>0</v>
      </c>
      <c r="P51" s="59">
        <f>Tabla120[[#This Row],[PPTO]]/(1+'Lista Datos'!$B$1)</f>
        <v>0</v>
      </c>
      <c r="Q51" s="107">
        <v>10</v>
      </c>
      <c r="R51" s="59"/>
      <c r="S51" s="59">
        <f>Tabla120[[#This Row],[Unidades2]]*Tabla120[[#This Row],[Precio Unitario]]</f>
        <v>0</v>
      </c>
      <c r="T51" s="30" t="s">
        <v>270</v>
      </c>
      <c r="U51" s="104">
        <v>44664.462500000001</v>
      </c>
      <c r="V51" s="23"/>
      <c r="W51" s="59"/>
      <c r="X51" s="34" t="s">
        <v>146</v>
      </c>
      <c r="Y51" s="23"/>
      <c r="Z51" s="23"/>
      <c r="AA51" s="108"/>
    </row>
    <row r="52" spans="1:27" ht="11.25" x14ac:dyDescent="0.2">
      <c r="A52" s="103" t="s">
        <v>6040</v>
      </c>
      <c r="B52" s="30" t="s">
        <v>6041</v>
      </c>
      <c r="C52" s="84" t="s">
        <v>1491</v>
      </c>
      <c r="D52" s="2">
        <v>44659.676747685182</v>
      </c>
      <c r="E52" s="2">
        <v>44662.541666666664</v>
      </c>
      <c r="F52" s="86"/>
      <c r="G52" s="170">
        <f>Tabla120[[#This Row],[Presupuesto]]/(1+'Lista Datos'!$B$1)</f>
        <v>0</v>
      </c>
      <c r="H52" s="30" t="s">
        <v>21</v>
      </c>
      <c r="I52" s="30" t="s">
        <v>106</v>
      </c>
      <c r="J52" s="26">
        <v>44662</v>
      </c>
      <c r="K52" s="85"/>
      <c r="L52" s="2"/>
      <c r="M52" s="2"/>
      <c r="N52" s="26"/>
      <c r="O52" s="27">
        <f>Tabla120[[#This Row],[Presupuesto]]</f>
        <v>0</v>
      </c>
      <c r="P52" s="59">
        <f>Tabla120[[#This Row],[PPTO]]/(1+'Lista Datos'!$B$1)</f>
        <v>0</v>
      </c>
      <c r="Q52" s="107">
        <v>6</v>
      </c>
      <c r="R52" s="59">
        <v>90879</v>
      </c>
      <c r="S52" s="59">
        <f>Tabla120[[#This Row],[Unidades2]]*Tabla120[[#This Row],[Precio Unitario]]</f>
        <v>545274</v>
      </c>
      <c r="T52" s="30" t="s">
        <v>270</v>
      </c>
      <c r="U52" s="104"/>
      <c r="V52" s="23"/>
      <c r="W52" s="59"/>
      <c r="X52" s="34" t="s">
        <v>146</v>
      </c>
      <c r="Y52" s="23"/>
      <c r="Z52" s="23"/>
      <c r="AA52" s="108"/>
    </row>
    <row r="53" spans="1:27" ht="11.25" x14ac:dyDescent="0.2">
      <c r="A53" s="103" t="s">
        <v>6042</v>
      </c>
      <c r="B53" s="30" t="s">
        <v>6043</v>
      </c>
      <c r="C53" s="84" t="s">
        <v>1491</v>
      </c>
      <c r="D53" s="2">
        <v>44659.674097222225</v>
      </c>
      <c r="E53" s="2">
        <v>44662.541666666664</v>
      </c>
      <c r="F53" s="86"/>
      <c r="G53" s="170">
        <f>Tabla120[[#This Row],[Presupuesto]]/(1+'Lista Datos'!$B$1)</f>
        <v>0</v>
      </c>
      <c r="H53" s="30" t="s">
        <v>21</v>
      </c>
      <c r="I53" s="30" t="s">
        <v>106</v>
      </c>
      <c r="J53" s="26">
        <v>44662</v>
      </c>
      <c r="K53" s="85"/>
      <c r="L53" s="2"/>
      <c r="M53" s="2"/>
      <c r="N53" s="26"/>
      <c r="O53" s="27">
        <f>Tabla120[[#This Row],[Presupuesto]]</f>
        <v>0</v>
      </c>
      <c r="P53" s="59">
        <f>Tabla120[[#This Row],[PPTO]]/(1+'Lista Datos'!$B$1)</f>
        <v>0</v>
      </c>
      <c r="Q53" s="107"/>
      <c r="R53" s="59"/>
      <c r="S53" s="59">
        <f>Tabla120[[#This Row],[Unidades2]]*Tabla120[[#This Row],[Precio Unitario]]</f>
        <v>0</v>
      </c>
      <c r="T53" s="30" t="s">
        <v>270</v>
      </c>
      <c r="U53" s="104"/>
      <c r="V53" s="23"/>
      <c r="W53" s="59"/>
      <c r="X53" s="34" t="s">
        <v>146</v>
      </c>
      <c r="Y53" s="23"/>
      <c r="Z53" s="23"/>
      <c r="AA53" s="108"/>
    </row>
    <row r="54" spans="1:27" ht="11.25" x14ac:dyDescent="0.2">
      <c r="A54" s="103" t="s">
        <v>6044</v>
      </c>
      <c r="B54" s="30" t="s">
        <v>6045</v>
      </c>
      <c r="C54" s="84" t="s">
        <v>1491</v>
      </c>
      <c r="D54" s="2">
        <v>44659.663993055554</v>
      </c>
      <c r="E54" s="2">
        <v>44662.541666666664</v>
      </c>
      <c r="F54" s="86"/>
      <c r="G54" s="170">
        <f>Tabla120[[#This Row],[Presupuesto]]/(1+'Lista Datos'!$B$1)</f>
        <v>0</v>
      </c>
      <c r="H54" s="30" t="s">
        <v>21</v>
      </c>
      <c r="I54" s="30" t="s">
        <v>106</v>
      </c>
      <c r="J54" s="26">
        <v>44662</v>
      </c>
      <c r="K54" s="85"/>
      <c r="L54" s="2"/>
      <c r="M54" s="2"/>
      <c r="N54" s="26"/>
      <c r="O54" s="27">
        <f>Tabla120[[#This Row],[Presupuesto]]</f>
        <v>0</v>
      </c>
      <c r="P54" s="59">
        <f>Tabla120[[#This Row],[PPTO]]/(1+'Lista Datos'!$B$1)</f>
        <v>0</v>
      </c>
      <c r="Q54" s="107"/>
      <c r="R54" s="59"/>
      <c r="S54" s="59">
        <f>Tabla120[[#This Row],[Unidades2]]*Tabla120[[#This Row],[Precio Unitario]]</f>
        <v>0</v>
      </c>
      <c r="T54" s="30" t="s">
        <v>270</v>
      </c>
      <c r="U54" s="104"/>
      <c r="V54" s="23"/>
      <c r="W54" s="59"/>
      <c r="X54" s="34" t="s">
        <v>146</v>
      </c>
      <c r="Y54" s="23"/>
      <c r="Z54" s="23"/>
      <c r="AA54" s="108"/>
    </row>
    <row r="55" spans="1:27" ht="11.25" x14ac:dyDescent="0.2">
      <c r="A55" s="103" t="s">
        <v>6046</v>
      </c>
      <c r="B55" s="30" t="s">
        <v>6047</v>
      </c>
      <c r="C55" s="84" t="s">
        <v>6048</v>
      </c>
      <c r="D55" s="2">
        <v>44662.51761574074</v>
      </c>
      <c r="E55" s="2">
        <v>44664.597222222219</v>
      </c>
      <c r="F55" s="86"/>
      <c r="G55" s="170">
        <f>Tabla120[[#This Row],[Presupuesto]]/(1+'Lista Datos'!$B$1)</f>
        <v>0</v>
      </c>
      <c r="H55" s="30" t="s">
        <v>21</v>
      </c>
      <c r="I55" s="30" t="s">
        <v>106</v>
      </c>
      <c r="J55" s="26">
        <v>44664</v>
      </c>
      <c r="K55" s="85"/>
      <c r="L55" s="2"/>
      <c r="M55" s="2"/>
      <c r="N55" s="26"/>
      <c r="O55" s="27">
        <f>Tabla120[[#This Row],[Presupuesto]]</f>
        <v>0</v>
      </c>
      <c r="P55" s="59">
        <f>Tabla120[[#This Row],[PPTO]]/(1+'Lista Datos'!$B$1)</f>
        <v>0</v>
      </c>
      <c r="Q55" s="107">
        <v>500</v>
      </c>
      <c r="R55" s="59"/>
      <c r="S55" s="59">
        <f>Tabla120[[#This Row],[Unidades2]]*Tabla120[[#This Row],[Precio Unitario]]</f>
        <v>0</v>
      </c>
      <c r="T55" s="30" t="s">
        <v>270</v>
      </c>
      <c r="U55" s="104"/>
      <c r="V55" s="23"/>
      <c r="W55" s="59"/>
      <c r="X55" s="34" t="s">
        <v>146</v>
      </c>
      <c r="Y55" s="23"/>
      <c r="Z55" s="23"/>
      <c r="AA55" s="108"/>
    </row>
    <row r="56" spans="1:27" ht="11.25" x14ac:dyDescent="0.2">
      <c r="A56" s="103" t="s">
        <v>6049</v>
      </c>
      <c r="B56" s="30" t="s">
        <v>5210</v>
      </c>
      <c r="C56" s="84" t="s">
        <v>1085</v>
      </c>
      <c r="D56" s="2">
        <v>44670.507974537039</v>
      </c>
      <c r="E56" s="2">
        <v>44676.504166666666</v>
      </c>
      <c r="F56" s="86"/>
      <c r="G56" s="170">
        <f>Tabla120[[#This Row],[Presupuesto]]/(1+'Lista Datos'!$B$1)</f>
        <v>0</v>
      </c>
      <c r="H56" s="30" t="s">
        <v>21</v>
      </c>
      <c r="I56" s="30" t="s">
        <v>106</v>
      </c>
      <c r="J56" s="26">
        <v>44671</v>
      </c>
      <c r="K56" s="85"/>
      <c r="L56" s="2"/>
      <c r="M56" s="2"/>
      <c r="N56" s="26"/>
      <c r="O56" s="27">
        <f>Tabla120[[#This Row],[Presupuesto]]</f>
        <v>0</v>
      </c>
      <c r="P56" s="59">
        <f>Tabla120[[#This Row],[PPTO]]/(1+'Lista Datos'!$B$1)</f>
        <v>0</v>
      </c>
      <c r="Q56" s="107">
        <v>8</v>
      </c>
      <c r="R56" s="59">
        <v>24900</v>
      </c>
      <c r="S56" s="59">
        <f>Tabla120[[#This Row],[Unidades2]]*Tabla120[[#This Row],[Precio Unitario]]</f>
        <v>199200</v>
      </c>
      <c r="T56" s="30" t="s">
        <v>270</v>
      </c>
      <c r="U56" s="104"/>
      <c r="V56" s="23"/>
      <c r="W56" s="59"/>
      <c r="X56" s="34" t="s">
        <v>146</v>
      </c>
      <c r="Y56" s="23"/>
      <c r="Z56" s="23"/>
      <c r="AA56" s="108"/>
    </row>
    <row r="57" spans="1:27" ht="11.25" x14ac:dyDescent="0.2">
      <c r="A57" s="103" t="s">
        <v>6050</v>
      </c>
      <c r="B57" s="30" t="s">
        <v>6051</v>
      </c>
      <c r="C57" s="84" t="s">
        <v>136</v>
      </c>
      <c r="D57" s="2">
        <v>44671.435150462959</v>
      </c>
      <c r="E57" s="2">
        <v>44672.4375</v>
      </c>
      <c r="F57" s="86"/>
      <c r="G57" s="170">
        <f>Tabla120[[#This Row],[Presupuesto]]/(1+'Lista Datos'!$B$1)</f>
        <v>0</v>
      </c>
      <c r="H57" s="30" t="s">
        <v>21</v>
      </c>
      <c r="I57" s="30" t="s">
        <v>106</v>
      </c>
      <c r="J57" s="26">
        <v>44671</v>
      </c>
      <c r="K57" s="85"/>
      <c r="L57" s="2"/>
      <c r="M57" s="2"/>
      <c r="N57" s="26"/>
      <c r="O57" s="27">
        <f>Tabla120[[#This Row],[Presupuesto]]</f>
        <v>0</v>
      </c>
      <c r="P57" s="59">
        <f>Tabla120[[#This Row],[PPTO]]/(1+'Lista Datos'!$B$1)</f>
        <v>0</v>
      </c>
      <c r="Q57" s="107">
        <v>10</v>
      </c>
      <c r="R57" s="59">
        <v>24408</v>
      </c>
      <c r="S57" s="59">
        <f>Tabla120[[#This Row],[Unidades2]]*Tabla120[[#This Row],[Precio Unitario]]</f>
        <v>244080</v>
      </c>
      <c r="T57" s="30" t="s">
        <v>270</v>
      </c>
      <c r="U57" s="104"/>
      <c r="V57" s="23"/>
      <c r="W57" s="59"/>
      <c r="X57" s="34" t="s">
        <v>146</v>
      </c>
      <c r="Y57" s="23"/>
      <c r="Z57" s="23"/>
      <c r="AA57" s="108"/>
    </row>
    <row r="58" spans="1:27" ht="11.25" x14ac:dyDescent="0.2">
      <c r="A58" s="103" t="s">
        <v>6052</v>
      </c>
      <c r="B58" s="30" t="s">
        <v>6036</v>
      </c>
      <c r="C58" s="84" t="s">
        <v>4357</v>
      </c>
      <c r="D58" s="2">
        <v>44669.511597222219</v>
      </c>
      <c r="E58" s="2">
        <v>44678.458333333336</v>
      </c>
      <c r="F58" s="86"/>
      <c r="G58" s="170">
        <f>Tabla120[[#This Row],[Presupuesto]]/(1+'Lista Datos'!$B$1)</f>
        <v>0</v>
      </c>
      <c r="H58" s="30" t="s">
        <v>21</v>
      </c>
      <c r="I58" s="30" t="s">
        <v>106</v>
      </c>
      <c r="J58" s="26">
        <v>44671</v>
      </c>
      <c r="K58" s="85"/>
      <c r="L58" s="2"/>
      <c r="M58" s="2"/>
      <c r="N58" s="26"/>
      <c r="O58" s="27">
        <f>Tabla120[[#This Row],[Presupuesto]]</f>
        <v>0</v>
      </c>
      <c r="P58" s="59">
        <f>Tabla120[[#This Row],[PPTO]]/(1+'Lista Datos'!$B$1)</f>
        <v>0</v>
      </c>
      <c r="Q58" s="107">
        <v>2</v>
      </c>
      <c r="R58" s="59">
        <v>26600</v>
      </c>
      <c r="S58" s="59">
        <f>Tabla120[[#This Row],[Unidades2]]*Tabla120[[#This Row],[Precio Unitario]]</f>
        <v>53200</v>
      </c>
      <c r="T58" s="30" t="s">
        <v>270</v>
      </c>
      <c r="U58" s="104"/>
      <c r="V58" s="23"/>
      <c r="W58" s="59"/>
      <c r="X58" s="34" t="s">
        <v>146</v>
      </c>
      <c r="Y58" s="23"/>
      <c r="Z58" s="23"/>
      <c r="AA58" s="108"/>
    </row>
    <row r="59" spans="1:27" ht="11.25" x14ac:dyDescent="0.2">
      <c r="A59" s="103" t="s">
        <v>6053</v>
      </c>
      <c r="B59" s="30" t="s">
        <v>4039</v>
      </c>
      <c r="C59" s="84" t="s">
        <v>4357</v>
      </c>
      <c r="D59" s="2">
        <v>44669.509930555556</v>
      </c>
      <c r="E59" s="2">
        <v>44678.416666666664</v>
      </c>
      <c r="F59" s="86"/>
      <c r="G59" s="170">
        <f>Tabla120[[#This Row],[Presupuesto]]/(1+'Lista Datos'!$B$1)</f>
        <v>0</v>
      </c>
      <c r="H59" s="30" t="s">
        <v>21</v>
      </c>
      <c r="I59" s="30" t="s">
        <v>106</v>
      </c>
      <c r="J59" s="26">
        <v>44671</v>
      </c>
      <c r="K59" s="85"/>
      <c r="L59" s="2"/>
      <c r="M59" s="2"/>
      <c r="N59" s="26"/>
      <c r="O59" s="27">
        <f>Tabla120[[#This Row],[Presupuesto]]</f>
        <v>0</v>
      </c>
      <c r="P59" s="59">
        <f>Tabla120[[#This Row],[PPTO]]/(1+'Lista Datos'!$B$1)</f>
        <v>0</v>
      </c>
      <c r="Q59" s="107">
        <v>15</v>
      </c>
      <c r="R59" s="59">
        <v>23848</v>
      </c>
      <c r="S59" s="59">
        <f>Tabla120[[#This Row],[Unidades2]]*Tabla120[[#This Row],[Precio Unitario]]</f>
        <v>357720</v>
      </c>
      <c r="T59" s="30" t="s">
        <v>270</v>
      </c>
      <c r="U59" s="104"/>
      <c r="V59" s="23"/>
      <c r="W59" s="59"/>
      <c r="X59" s="34" t="s">
        <v>6054</v>
      </c>
      <c r="Y59" s="23"/>
      <c r="Z59" s="23"/>
      <c r="AA59" s="108"/>
    </row>
    <row r="60" spans="1:27" ht="11.25" x14ac:dyDescent="0.2">
      <c r="A60" s="103" t="s">
        <v>6055</v>
      </c>
      <c r="B60" s="30" t="s">
        <v>6056</v>
      </c>
      <c r="C60" s="84" t="s">
        <v>2084</v>
      </c>
      <c r="D60" s="2">
        <v>44673.520104166666</v>
      </c>
      <c r="E60" s="2">
        <v>44678.520833333336</v>
      </c>
      <c r="F60" s="86"/>
      <c r="G60" s="170">
        <f>Tabla120[[#This Row],[Presupuesto]]/(1+'Lista Datos'!$B$1)</f>
        <v>0</v>
      </c>
      <c r="H60" s="30" t="s">
        <v>21</v>
      </c>
      <c r="I60" s="30" t="s">
        <v>106</v>
      </c>
      <c r="J60" s="26">
        <v>44676</v>
      </c>
      <c r="K60" s="85"/>
      <c r="L60" s="2"/>
      <c r="M60" s="2"/>
      <c r="N60" s="26"/>
      <c r="O60" s="27">
        <f>Tabla120[[#This Row],[Presupuesto]]</f>
        <v>0</v>
      </c>
      <c r="P60" s="59">
        <f>Tabla120[[#This Row],[PPTO]]/(1+'Lista Datos'!$B$1)</f>
        <v>0</v>
      </c>
      <c r="Q60" s="107">
        <v>10</v>
      </c>
      <c r="R60" s="59">
        <v>114963</v>
      </c>
      <c r="S60" s="59">
        <f>Tabla120[[#This Row],[Unidades2]]*Tabla120[[#This Row],[Precio Unitario]]</f>
        <v>1149630</v>
      </c>
      <c r="T60" s="30" t="s">
        <v>270</v>
      </c>
      <c r="U60" s="104"/>
      <c r="V60" s="23"/>
      <c r="W60" s="59"/>
      <c r="X60" s="34" t="s">
        <v>146</v>
      </c>
      <c r="Y60" s="23"/>
      <c r="Z60" s="23"/>
      <c r="AA60" s="108"/>
    </row>
    <row r="61" spans="1:27" ht="11.25" x14ac:dyDescent="0.2">
      <c r="A61" s="103" t="s">
        <v>6057</v>
      </c>
      <c r="B61" s="30" t="s">
        <v>6058</v>
      </c>
      <c r="C61" s="84" t="s">
        <v>6059</v>
      </c>
      <c r="D61" s="2">
        <v>44676.479687500003</v>
      </c>
      <c r="E61" s="2">
        <v>44678.333333333336</v>
      </c>
      <c r="F61" s="86"/>
      <c r="G61" s="170">
        <f>Tabla120[[#This Row],[Presupuesto]]/(1+'Lista Datos'!$B$1)</f>
        <v>0</v>
      </c>
      <c r="H61" s="30" t="s">
        <v>20</v>
      </c>
      <c r="I61" s="30" t="s">
        <v>176</v>
      </c>
      <c r="J61" s="26">
        <v>44677</v>
      </c>
      <c r="K61" s="85"/>
      <c r="L61" s="2"/>
      <c r="M61" s="2"/>
      <c r="N61" s="26"/>
      <c r="O61" s="27">
        <f>Tabla120[[#This Row],[Presupuesto]]</f>
        <v>0</v>
      </c>
      <c r="P61" s="59">
        <f>Tabla120[[#This Row],[PPTO]]/(1+'Lista Datos'!$B$1)</f>
        <v>0</v>
      </c>
      <c r="Q61" s="107"/>
      <c r="R61" s="59"/>
      <c r="S61" s="59">
        <f>Tabla120[[#This Row],[Unidades2]]*Tabla120[[#This Row],[Precio Unitario]]</f>
        <v>0</v>
      </c>
      <c r="T61" s="30" t="s">
        <v>270</v>
      </c>
      <c r="U61" s="104"/>
      <c r="V61" s="23"/>
      <c r="W61" s="59"/>
      <c r="X61" s="34" t="s">
        <v>146</v>
      </c>
      <c r="Y61" s="23"/>
      <c r="Z61" s="23"/>
      <c r="AA61" s="108"/>
    </row>
    <row r="62" spans="1:27" ht="11.25" x14ac:dyDescent="0.2">
      <c r="A62" s="103" t="s">
        <v>6060</v>
      </c>
      <c r="B62" s="30" t="s">
        <v>6061</v>
      </c>
      <c r="C62" s="84" t="s">
        <v>6062</v>
      </c>
      <c r="D62" s="2">
        <v>44676.469618055555</v>
      </c>
      <c r="E62" s="2">
        <v>44678.416666666664</v>
      </c>
      <c r="F62" s="86"/>
      <c r="G62" s="170">
        <f>Tabla120[[#This Row],[Presupuesto]]/(1+'Lista Datos'!$B$1)</f>
        <v>0</v>
      </c>
      <c r="H62" s="30" t="s">
        <v>21</v>
      </c>
      <c r="I62" s="30" t="s">
        <v>106</v>
      </c>
      <c r="J62" s="26">
        <v>44677</v>
      </c>
      <c r="K62" s="85"/>
      <c r="L62" s="2"/>
      <c r="M62" s="2"/>
      <c r="N62" s="26"/>
      <c r="O62" s="27">
        <f>Tabla120[[#This Row],[Presupuesto]]</f>
        <v>0</v>
      </c>
      <c r="P62" s="59">
        <f>Tabla120[[#This Row],[PPTO]]/(1+'Lista Datos'!$B$1)</f>
        <v>0</v>
      </c>
      <c r="Q62" s="107">
        <v>1</v>
      </c>
      <c r="R62" s="59">
        <v>487320</v>
      </c>
      <c r="S62" s="59">
        <f>Tabla120[[#This Row],[Unidades2]]*Tabla120[[#This Row],[Precio Unitario]]</f>
        <v>487320</v>
      </c>
      <c r="T62" s="30" t="s">
        <v>270</v>
      </c>
      <c r="U62" s="104"/>
      <c r="V62" s="23"/>
      <c r="W62" s="59"/>
      <c r="X62" s="34" t="s">
        <v>146</v>
      </c>
      <c r="Y62" s="23"/>
      <c r="Z62" s="23"/>
      <c r="AA62" s="108"/>
    </row>
    <row r="63" spans="1:27" ht="11.25" x14ac:dyDescent="0.2">
      <c r="A63" s="103" t="s">
        <v>6063</v>
      </c>
      <c r="B63" s="30" t="s">
        <v>6064</v>
      </c>
      <c r="C63" s="84" t="s">
        <v>1802</v>
      </c>
      <c r="D63" s="2">
        <v>44678.492719907408</v>
      </c>
      <c r="E63" s="2">
        <v>44679.53125</v>
      </c>
      <c r="F63" s="86"/>
      <c r="G63" s="170">
        <f>Tabla120[[#This Row],[Presupuesto]]/(1+'Lista Datos'!$B$1)</f>
        <v>0</v>
      </c>
      <c r="H63" s="30" t="s">
        <v>21</v>
      </c>
      <c r="I63" s="30" t="s">
        <v>106</v>
      </c>
      <c r="J63" s="26">
        <v>44678</v>
      </c>
      <c r="K63" s="85"/>
      <c r="L63" s="2"/>
      <c r="M63" s="2"/>
      <c r="N63" s="26"/>
      <c r="O63" s="27">
        <f>Tabla120[[#This Row],[Presupuesto]]</f>
        <v>0</v>
      </c>
      <c r="P63" s="59">
        <f>Tabla120[[#This Row],[PPTO]]/(1+'Lista Datos'!$B$1)</f>
        <v>0</v>
      </c>
      <c r="Q63" s="107">
        <v>20</v>
      </c>
      <c r="R63" s="59">
        <v>7154</v>
      </c>
      <c r="S63" s="59">
        <f>Tabla120[[#This Row],[Unidades2]]*Tabla120[[#This Row],[Precio Unitario]]</f>
        <v>143080</v>
      </c>
      <c r="T63" s="30" t="s">
        <v>270</v>
      </c>
      <c r="U63" s="104"/>
      <c r="V63" s="23"/>
      <c r="W63" s="59"/>
      <c r="X63" s="34" t="s">
        <v>146</v>
      </c>
      <c r="Y63" s="23"/>
      <c r="Z63" s="23"/>
      <c r="AA63" s="108"/>
    </row>
    <row r="64" spans="1:27" ht="11.25" x14ac:dyDescent="0.2">
      <c r="A64" s="103" t="s">
        <v>6065</v>
      </c>
      <c r="B64" s="30" t="s">
        <v>6066</v>
      </c>
      <c r="C64" s="84" t="s">
        <v>245</v>
      </c>
      <c r="D64" s="2">
        <v>44686.447766203702</v>
      </c>
      <c r="E64" s="2">
        <v>44687.458333333336</v>
      </c>
      <c r="F64" s="86"/>
      <c r="G64" s="170">
        <f>Tabla120[[#This Row],[Presupuesto]]/(1+'Lista Datos'!$B$1)</f>
        <v>0</v>
      </c>
      <c r="H64" s="30" t="s">
        <v>21</v>
      </c>
      <c r="I64" s="30" t="s">
        <v>106</v>
      </c>
      <c r="J64" s="26">
        <v>44687</v>
      </c>
      <c r="K64" s="85"/>
      <c r="L64" s="2"/>
      <c r="M64" s="2"/>
      <c r="N64" s="26"/>
      <c r="O64" s="27">
        <f>Tabla120[[#This Row],[Presupuesto]]</f>
        <v>0</v>
      </c>
      <c r="P64" s="59">
        <f>Tabla120[[#This Row],[PPTO]]/(1+'Lista Datos'!$B$1)</f>
        <v>0</v>
      </c>
      <c r="Q64" s="107"/>
      <c r="R64" s="59"/>
      <c r="S64" s="59">
        <f>Tabla120[[#This Row],[Unidades2]]*Tabla120[[#This Row],[Precio Unitario]]</f>
        <v>0</v>
      </c>
      <c r="T64" s="30" t="s">
        <v>270</v>
      </c>
      <c r="U64" s="104"/>
      <c r="V64" s="23"/>
      <c r="W64" s="59"/>
      <c r="X64" s="34" t="s">
        <v>146</v>
      </c>
      <c r="Y64" s="23"/>
      <c r="Z64" s="23"/>
      <c r="AA64" s="108"/>
    </row>
    <row r="65" spans="1:27" ht="11.25" x14ac:dyDescent="0.2">
      <c r="A65" s="103" t="s">
        <v>6067</v>
      </c>
      <c r="B65" s="30" t="s">
        <v>6066</v>
      </c>
      <c r="C65" s="84" t="s">
        <v>245</v>
      </c>
      <c r="D65" s="2">
        <v>44685.709444444445</v>
      </c>
      <c r="E65" s="2">
        <v>44692.709027777775</v>
      </c>
      <c r="F65" s="86"/>
      <c r="G65" s="170">
        <f>Tabla120[[#This Row],[Presupuesto]]/(1+'Lista Datos'!$B$1)</f>
        <v>0</v>
      </c>
      <c r="H65" s="30" t="s">
        <v>21</v>
      </c>
      <c r="I65" s="30" t="s">
        <v>106</v>
      </c>
      <c r="J65" s="26">
        <v>44687</v>
      </c>
      <c r="K65" s="85"/>
      <c r="L65" s="2"/>
      <c r="M65" s="2"/>
      <c r="N65" s="26"/>
      <c r="O65" s="27">
        <f>Tabla120[[#This Row],[Presupuesto]]</f>
        <v>0</v>
      </c>
      <c r="P65" s="59">
        <f>Tabla120[[#This Row],[PPTO]]/(1+'Lista Datos'!$B$1)</f>
        <v>0</v>
      </c>
      <c r="Q65" s="107">
        <v>10</v>
      </c>
      <c r="R65" s="59">
        <v>28655</v>
      </c>
      <c r="S65" s="59">
        <f>Tabla120[[#This Row],[Unidades2]]*Tabla120[[#This Row],[Precio Unitario]]</f>
        <v>286550</v>
      </c>
      <c r="T65" s="30" t="s">
        <v>270</v>
      </c>
      <c r="U65" s="104"/>
      <c r="V65" s="23"/>
      <c r="W65" s="59"/>
      <c r="X65" s="34" t="s">
        <v>146</v>
      </c>
      <c r="Y65" s="23"/>
      <c r="Z65" s="23"/>
      <c r="AA65" s="108"/>
    </row>
    <row r="66" spans="1:27" ht="11.25" x14ac:dyDescent="0.2">
      <c r="A66" s="103" t="s">
        <v>6068</v>
      </c>
      <c r="B66" s="30" t="s">
        <v>6069</v>
      </c>
      <c r="C66" s="84" t="s">
        <v>6070</v>
      </c>
      <c r="D66" s="2">
        <v>44687.538437499999</v>
      </c>
      <c r="E66" s="2">
        <v>44694.532638888886</v>
      </c>
      <c r="F66" s="86"/>
      <c r="G66" s="170">
        <f>Tabla120[[#This Row],[Presupuesto]]/(1+'Lista Datos'!$B$1)</f>
        <v>0</v>
      </c>
      <c r="H66" s="30" t="s">
        <v>21</v>
      </c>
      <c r="I66" s="30" t="s">
        <v>106</v>
      </c>
      <c r="J66" s="26">
        <v>44687</v>
      </c>
      <c r="K66" s="85"/>
      <c r="L66" s="2"/>
      <c r="M66" s="2"/>
      <c r="N66" s="26"/>
      <c r="O66" s="27">
        <f>Tabla120[[#This Row],[Presupuesto]]</f>
        <v>0</v>
      </c>
      <c r="P66" s="59">
        <f>Tabla120[[#This Row],[PPTO]]/(1+'Lista Datos'!$B$1)</f>
        <v>0</v>
      </c>
      <c r="Q66" s="107">
        <v>2</v>
      </c>
      <c r="R66" s="59">
        <v>36932</v>
      </c>
      <c r="S66" s="59">
        <f>Tabla120[[#This Row],[Unidades2]]*Tabla120[[#This Row],[Precio Unitario]]</f>
        <v>73864</v>
      </c>
      <c r="T66" s="30" t="s">
        <v>270</v>
      </c>
      <c r="U66" s="104"/>
      <c r="V66" s="23"/>
      <c r="W66" s="59"/>
      <c r="X66" s="34" t="s">
        <v>6071</v>
      </c>
      <c r="Y66" s="23"/>
      <c r="Z66" s="23"/>
      <c r="AA66" s="108"/>
    </row>
    <row r="67" spans="1:27" ht="11.25" x14ac:dyDescent="0.2">
      <c r="A67" s="103" t="s">
        <v>6072</v>
      </c>
      <c r="B67" s="30" t="s">
        <v>6073</v>
      </c>
      <c r="C67" s="84" t="s">
        <v>770</v>
      </c>
      <c r="D67" s="2">
        <v>44685.742314814815</v>
      </c>
      <c r="E67" s="2">
        <v>44690.729166666664</v>
      </c>
      <c r="F67" s="86"/>
      <c r="G67" s="170">
        <f>Tabla120[[#This Row],[Presupuesto]]/(1+'Lista Datos'!$B$1)</f>
        <v>0</v>
      </c>
      <c r="H67" s="30" t="s">
        <v>21</v>
      </c>
      <c r="I67" s="30" t="s">
        <v>106</v>
      </c>
      <c r="J67" s="26">
        <v>44687</v>
      </c>
      <c r="K67" s="85"/>
      <c r="L67" s="2"/>
      <c r="M67" s="2"/>
      <c r="N67" s="26"/>
      <c r="O67" s="27">
        <f>Tabla120[[#This Row],[Presupuesto]]</f>
        <v>0</v>
      </c>
      <c r="P67" s="59">
        <f>Tabla120[[#This Row],[PPTO]]/(1+'Lista Datos'!$B$1)</f>
        <v>0</v>
      </c>
      <c r="Q67" s="107">
        <v>10</v>
      </c>
      <c r="R67" s="59">
        <v>24060</v>
      </c>
      <c r="S67" s="59">
        <f>Tabla120[[#This Row],[Unidades2]]*Tabla120[[#This Row],[Precio Unitario]]</f>
        <v>240600</v>
      </c>
      <c r="T67" s="30" t="s">
        <v>270</v>
      </c>
      <c r="U67" s="104"/>
      <c r="V67" s="23"/>
      <c r="W67" s="59"/>
      <c r="X67" s="34" t="s">
        <v>771</v>
      </c>
      <c r="Y67" s="23"/>
      <c r="Z67" s="23"/>
      <c r="AA67" s="108"/>
    </row>
    <row r="68" spans="1:27" ht="11.25" x14ac:dyDescent="0.2">
      <c r="A68" s="103" t="s">
        <v>6074</v>
      </c>
      <c r="B68" s="30" t="s">
        <v>6075</v>
      </c>
      <c r="C68" s="84" t="s">
        <v>297</v>
      </c>
      <c r="D68" s="2">
        <v>44684.433680555558</v>
      </c>
      <c r="E68" s="2">
        <v>44691.5</v>
      </c>
      <c r="F68" s="86"/>
      <c r="G68" s="170">
        <f>Tabla120[[#This Row],[Presupuesto]]/(1+'Lista Datos'!$B$1)</f>
        <v>0</v>
      </c>
      <c r="H68" s="30" t="s">
        <v>41</v>
      </c>
      <c r="I68" s="30" t="s">
        <v>298</v>
      </c>
      <c r="J68" s="26">
        <v>44687</v>
      </c>
      <c r="K68" s="85"/>
      <c r="L68" s="2"/>
      <c r="M68" s="2"/>
      <c r="N68" s="26"/>
      <c r="O68" s="27">
        <f>Tabla120[[#This Row],[Presupuesto]]</f>
        <v>0</v>
      </c>
      <c r="P68" s="59">
        <f>Tabla120[[#This Row],[PPTO]]/(1+'Lista Datos'!$B$1)</f>
        <v>0</v>
      </c>
      <c r="Q68" s="107"/>
      <c r="R68" s="59"/>
      <c r="S68" s="59">
        <f>Tabla120[[#This Row],[Unidades2]]*Tabla120[[#This Row],[Precio Unitario]]</f>
        <v>0</v>
      </c>
      <c r="T68" s="30" t="s">
        <v>270</v>
      </c>
      <c r="U68" s="104"/>
      <c r="V68" s="23"/>
      <c r="W68" s="59"/>
      <c r="X68" s="34" t="s">
        <v>299</v>
      </c>
      <c r="Y68" s="23"/>
      <c r="Z68" s="23"/>
      <c r="AA68" s="108"/>
    </row>
    <row r="69" spans="1:27" ht="11.25" x14ac:dyDescent="0.2">
      <c r="A69" s="103" t="s">
        <v>6076</v>
      </c>
      <c r="B69" s="30" t="s">
        <v>6077</v>
      </c>
      <c r="C69" s="84" t="s">
        <v>378</v>
      </c>
      <c r="D69" s="2">
        <v>44690.541678240741</v>
      </c>
      <c r="E69" s="2">
        <v>44691.625</v>
      </c>
      <c r="F69" s="86"/>
      <c r="G69" s="170">
        <f>Tabla120[[#This Row],[Presupuesto]]/(1+'Lista Datos'!$B$1)</f>
        <v>0</v>
      </c>
      <c r="H69" s="30" t="s">
        <v>21</v>
      </c>
      <c r="I69" s="30" t="s">
        <v>106</v>
      </c>
      <c r="J69" s="26">
        <v>44690</v>
      </c>
      <c r="K69" s="85"/>
      <c r="L69" s="2"/>
      <c r="M69" s="2"/>
      <c r="N69" s="26"/>
      <c r="O69" s="27">
        <f>Tabla120[[#This Row],[Presupuesto]]</f>
        <v>0</v>
      </c>
      <c r="P69" s="59">
        <f>Tabla120[[#This Row],[PPTO]]/(1+'Lista Datos'!$B$1)</f>
        <v>0</v>
      </c>
      <c r="Q69" s="107"/>
      <c r="R69" s="59"/>
      <c r="S69" s="59">
        <f>Tabla120[[#This Row],[Unidades2]]*Tabla120[[#This Row],[Precio Unitario]]</f>
        <v>0</v>
      </c>
      <c r="T69" s="30" t="s">
        <v>270</v>
      </c>
      <c r="U69" s="104"/>
      <c r="V69" s="23"/>
      <c r="W69" s="59"/>
      <c r="X69" s="34" t="s">
        <v>2446</v>
      </c>
      <c r="Y69" s="23"/>
      <c r="Z69" s="23"/>
      <c r="AA69" s="108"/>
    </row>
    <row r="70" spans="1:27" ht="11.25" x14ac:dyDescent="0.2">
      <c r="A70" s="103" t="s">
        <v>6078</v>
      </c>
      <c r="B70" s="30" t="s">
        <v>6079</v>
      </c>
      <c r="C70" s="84" t="s">
        <v>2230</v>
      </c>
      <c r="D70" s="2">
        <v>44691.650405092594</v>
      </c>
      <c r="E70" s="2">
        <v>44692.65625</v>
      </c>
      <c r="F70" s="86"/>
      <c r="G70" s="170">
        <f>Tabla120[[#This Row],[Presupuesto]]/(1+'Lista Datos'!$B$1)</f>
        <v>0</v>
      </c>
      <c r="H70" s="30" t="s">
        <v>21</v>
      </c>
      <c r="I70" s="30" t="s">
        <v>106</v>
      </c>
      <c r="J70" s="26">
        <v>44691</v>
      </c>
      <c r="K70" s="85"/>
      <c r="L70" s="2"/>
      <c r="M70" s="2"/>
      <c r="N70" s="26"/>
      <c r="O70" s="27">
        <f>Tabla120[[#This Row],[Presupuesto]]</f>
        <v>0</v>
      </c>
      <c r="P70" s="59">
        <f>Tabla120[[#This Row],[PPTO]]/(1+'Lista Datos'!$B$1)</f>
        <v>0</v>
      </c>
      <c r="Q70" s="107">
        <v>5</v>
      </c>
      <c r="R70" s="59">
        <v>108288</v>
      </c>
      <c r="S70" s="59">
        <f>Tabla120[[#This Row],[Unidades2]]*Tabla120[[#This Row],[Precio Unitario]]</f>
        <v>541440</v>
      </c>
      <c r="T70" s="30" t="s">
        <v>270</v>
      </c>
      <c r="U70" s="104"/>
      <c r="V70" s="23"/>
      <c r="W70" s="59"/>
      <c r="X70" s="34" t="s">
        <v>2231</v>
      </c>
      <c r="Y70" s="23"/>
      <c r="Z70" s="23"/>
      <c r="AA70" s="108"/>
    </row>
    <row r="71" spans="1:27" ht="11.25" x14ac:dyDescent="0.2">
      <c r="A71" s="103" t="s">
        <v>6080</v>
      </c>
      <c r="B71" s="30" t="s">
        <v>6081</v>
      </c>
      <c r="C71" s="84" t="s">
        <v>6082</v>
      </c>
      <c r="D71" s="2">
        <v>44692.664837962962</v>
      </c>
      <c r="E71" s="2">
        <v>44694.541666666664</v>
      </c>
      <c r="F71" s="86"/>
      <c r="G71" s="170">
        <f>Tabla120[[#This Row],[Presupuesto]]/(1+'Lista Datos'!$B$1)</f>
        <v>0</v>
      </c>
      <c r="H71" s="30" t="s">
        <v>21</v>
      </c>
      <c r="I71" s="30" t="s">
        <v>106</v>
      </c>
      <c r="J71" s="26">
        <v>44692</v>
      </c>
      <c r="K71" s="85"/>
      <c r="L71" s="2"/>
      <c r="M71" s="2"/>
      <c r="N71" s="26"/>
      <c r="O71" s="27">
        <f>Tabla120[[#This Row],[Presupuesto]]</f>
        <v>0</v>
      </c>
      <c r="P71" s="59">
        <f>Tabla120[[#This Row],[PPTO]]/(1+'Lista Datos'!$B$1)</f>
        <v>0</v>
      </c>
      <c r="Q71" s="107"/>
      <c r="R71" s="59"/>
      <c r="S71" s="59">
        <f>Tabla120[[#This Row],[Unidades2]]*Tabla120[[#This Row],[Precio Unitario]]</f>
        <v>0</v>
      </c>
      <c r="T71" s="30" t="s">
        <v>270</v>
      </c>
      <c r="U71" s="104"/>
      <c r="V71" s="23"/>
      <c r="W71" s="59"/>
      <c r="X71" s="34" t="s">
        <v>6083</v>
      </c>
      <c r="Y71" s="23"/>
      <c r="Z71" s="23"/>
      <c r="AA71" s="108"/>
    </row>
    <row r="72" spans="1:27" ht="11.25" x14ac:dyDescent="0.2">
      <c r="A72" s="103" t="s">
        <v>6084</v>
      </c>
      <c r="B72" s="30" t="s">
        <v>6085</v>
      </c>
      <c r="C72" s="84" t="s">
        <v>6086</v>
      </c>
      <c r="D72" s="2">
        <v>44692.535381944443</v>
      </c>
      <c r="E72" s="2">
        <v>44693.541666666664</v>
      </c>
      <c r="F72" s="86"/>
      <c r="G72" s="170">
        <f>Tabla120[[#This Row],[Presupuesto]]/(1+'Lista Datos'!$B$1)</f>
        <v>0</v>
      </c>
      <c r="H72" s="30" t="s">
        <v>21</v>
      </c>
      <c r="I72" s="30" t="s">
        <v>106</v>
      </c>
      <c r="J72" s="26">
        <v>44692</v>
      </c>
      <c r="K72" s="85"/>
      <c r="L72" s="2"/>
      <c r="M72" s="2"/>
      <c r="N72" s="26"/>
      <c r="O72" s="27">
        <f>Tabla120[[#This Row],[Presupuesto]]</f>
        <v>0</v>
      </c>
      <c r="P72" s="59">
        <f>Tabla120[[#This Row],[PPTO]]/(1+'Lista Datos'!$B$1)</f>
        <v>0</v>
      </c>
      <c r="Q72" s="107">
        <v>20</v>
      </c>
      <c r="R72" s="59">
        <v>22373</v>
      </c>
      <c r="S72" s="59">
        <f>Tabla120[[#This Row],[Unidades2]]*Tabla120[[#This Row],[Precio Unitario]]</f>
        <v>447460</v>
      </c>
      <c r="T72" s="30" t="s">
        <v>270</v>
      </c>
      <c r="U72" s="104"/>
      <c r="V72" s="23"/>
      <c r="W72" s="59"/>
      <c r="X72" s="34" t="s">
        <v>6087</v>
      </c>
      <c r="Y72" s="23"/>
      <c r="Z72" s="23"/>
      <c r="AA72" s="108"/>
    </row>
    <row r="73" spans="1:27" ht="11.25" x14ac:dyDescent="0.2">
      <c r="A73" s="103" t="s">
        <v>6088</v>
      </c>
      <c r="B73" s="30" t="s">
        <v>6089</v>
      </c>
      <c r="C73" s="84" t="s">
        <v>622</v>
      </c>
      <c r="D73" s="2">
        <v>44693.429085648146</v>
      </c>
      <c r="E73" s="2">
        <v>44694.458333333336</v>
      </c>
      <c r="F73" s="86"/>
      <c r="G73" s="170">
        <f>Tabla120[[#This Row],[Presupuesto]]/(1+'Lista Datos'!$B$1)</f>
        <v>0</v>
      </c>
      <c r="H73" s="30" t="s">
        <v>21</v>
      </c>
      <c r="I73" s="30" t="s">
        <v>106</v>
      </c>
      <c r="J73" s="26">
        <v>44694</v>
      </c>
      <c r="K73" s="85"/>
      <c r="L73" s="2"/>
      <c r="M73" s="2"/>
      <c r="N73" s="26"/>
      <c r="O73" s="27">
        <f>Tabla120[[#This Row],[Presupuesto]]</f>
        <v>0</v>
      </c>
      <c r="P73" s="59">
        <f>Tabla120[[#This Row],[PPTO]]/(1+'Lista Datos'!$B$1)</f>
        <v>0</v>
      </c>
      <c r="Q73" s="107"/>
      <c r="R73" s="59"/>
      <c r="S73" s="59">
        <f>Tabla120[[#This Row],[Unidades2]]*Tabla120[[#This Row],[Precio Unitario]]</f>
        <v>0</v>
      </c>
      <c r="T73" s="30" t="s">
        <v>270</v>
      </c>
      <c r="U73" s="104"/>
      <c r="V73" s="23"/>
      <c r="W73" s="59"/>
      <c r="X73" s="34" t="s">
        <v>623</v>
      </c>
      <c r="Y73" s="23"/>
      <c r="Z73" s="23"/>
      <c r="AA73" s="108"/>
    </row>
    <row r="74" spans="1:27" ht="11.25" x14ac:dyDescent="0.2">
      <c r="A74" s="103" t="s">
        <v>6090</v>
      </c>
      <c r="B74" s="30" t="s">
        <v>6091</v>
      </c>
      <c r="C74" s="84" t="s">
        <v>6092</v>
      </c>
      <c r="D74" s="2">
        <v>44693.748124999998</v>
      </c>
      <c r="E74" s="2">
        <v>44694.75</v>
      </c>
      <c r="F74" s="86"/>
      <c r="G74" s="170">
        <f>Tabla120[[#This Row],[Presupuesto]]/(1+'Lista Datos'!$B$1)</f>
        <v>0</v>
      </c>
      <c r="H74" s="30" t="s">
        <v>21</v>
      </c>
      <c r="I74" s="30" t="s">
        <v>106</v>
      </c>
      <c r="J74" s="26">
        <v>44694</v>
      </c>
      <c r="K74" s="85"/>
      <c r="L74" s="2"/>
      <c r="M74" s="2"/>
      <c r="N74" s="26"/>
      <c r="O74" s="27">
        <f>Tabla120[[#This Row],[Presupuesto]]</f>
        <v>0</v>
      </c>
      <c r="P74" s="59">
        <f>Tabla120[[#This Row],[PPTO]]/(1+'Lista Datos'!$B$1)</f>
        <v>0</v>
      </c>
      <c r="Q74" s="107"/>
      <c r="R74" s="59"/>
      <c r="S74" s="59">
        <f>Tabla120[[#This Row],[Unidades2]]*Tabla120[[#This Row],[Precio Unitario]]</f>
        <v>0</v>
      </c>
      <c r="T74" s="30" t="s">
        <v>270</v>
      </c>
      <c r="U74" s="104"/>
      <c r="V74" s="23"/>
      <c r="W74" s="59"/>
      <c r="X74" s="34" t="s">
        <v>2319</v>
      </c>
      <c r="Y74" s="23"/>
      <c r="Z74" s="23"/>
      <c r="AA74" s="108"/>
    </row>
    <row r="75" spans="1:27" ht="11.25" x14ac:dyDescent="0.2">
      <c r="A75" s="103" t="s">
        <v>6093</v>
      </c>
      <c r="B75" s="30" t="s">
        <v>6094</v>
      </c>
      <c r="C75" s="84" t="s">
        <v>770</v>
      </c>
      <c r="D75" s="2">
        <v>44693.563391203701</v>
      </c>
      <c r="E75" s="2">
        <v>44694.603472222225</v>
      </c>
      <c r="F75" s="86"/>
      <c r="G75" s="170">
        <f>Tabla120[[#This Row],[Presupuesto]]/(1+'Lista Datos'!$B$1)</f>
        <v>0</v>
      </c>
      <c r="H75" s="30" t="s">
        <v>21</v>
      </c>
      <c r="I75" s="30" t="s">
        <v>106</v>
      </c>
      <c r="J75" s="26">
        <v>44694</v>
      </c>
      <c r="K75" s="85"/>
      <c r="L75" s="2"/>
      <c r="M75" s="2"/>
      <c r="N75" s="26"/>
      <c r="O75" s="27">
        <f>Tabla120[[#This Row],[Presupuesto]]</f>
        <v>0</v>
      </c>
      <c r="P75" s="59">
        <f>Tabla120[[#This Row],[PPTO]]/(1+'Lista Datos'!$B$1)</f>
        <v>0</v>
      </c>
      <c r="Q75" s="107"/>
      <c r="R75" s="59"/>
      <c r="S75" s="59">
        <f>Tabla120[[#This Row],[Unidades2]]*Tabla120[[#This Row],[Precio Unitario]]</f>
        <v>0</v>
      </c>
      <c r="T75" s="30" t="s">
        <v>270</v>
      </c>
      <c r="U75" s="104"/>
      <c r="V75" s="23"/>
      <c r="W75" s="59"/>
      <c r="X75" s="34" t="s">
        <v>771</v>
      </c>
      <c r="Y75" s="23"/>
      <c r="Z75" s="23"/>
      <c r="AA75" s="108"/>
    </row>
    <row r="76" spans="1:27" ht="11.25" x14ac:dyDescent="0.2">
      <c r="A76" s="103" t="s">
        <v>6095</v>
      </c>
      <c r="B76" s="30" t="s">
        <v>6096</v>
      </c>
      <c r="C76" s="84" t="s">
        <v>3224</v>
      </c>
      <c r="D76" s="2">
        <v>44693.519895833335</v>
      </c>
      <c r="E76" s="2">
        <v>44694.524305555555</v>
      </c>
      <c r="F76" s="86"/>
      <c r="G76" s="170">
        <f>Tabla120[[#This Row],[Presupuesto]]/(1+'Lista Datos'!$B$1)</f>
        <v>0</v>
      </c>
      <c r="H76" s="30" t="s">
        <v>21</v>
      </c>
      <c r="I76" s="30" t="s">
        <v>106</v>
      </c>
      <c r="J76" s="26">
        <v>44694</v>
      </c>
      <c r="K76" s="85"/>
      <c r="L76" s="2"/>
      <c r="M76" s="2"/>
      <c r="N76" s="26"/>
      <c r="O76" s="27">
        <f>Tabla120[[#This Row],[Presupuesto]]</f>
        <v>0</v>
      </c>
      <c r="P76" s="59">
        <f>Tabla120[[#This Row],[PPTO]]/(1+'Lista Datos'!$B$1)</f>
        <v>0</v>
      </c>
      <c r="Q76" s="107"/>
      <c r="R76" s="59"/>
      <c r="S76" s="59">
        <f>Tabla120[[#This Row],[Unidades2]]*Tabla120[[#This Row],[Precio Unitario]]</f>
        <v>0</v>
      </c>
      <c r="T76" s="30" t="s">
        <v>270</v>
      </c>
      <c r="U76" s="104"/>
      <c r="V76" s="23"/>
      <c r="W76" s="59"/>
      <c r="X76" s="34" t="s">
        <v>5980</v>
      </c>
      <c r="Y76" s="23"/>
      <c r="Z76" s="23"/>
      <c r="AA76" s="108"/>
    </row>
    <row r="77" spans="1:27" ht="11.25" x14ac:dyDescent="0.2">
      <c r="A77" s="103" t="s">
        <v>6097</v>
      </c>
      <c r="B77" s="30" t="s">
        <v>6098</v>
      </c>
      <c r="C77" s="84" t="s">
        <v>136</v>
      </c>
      <c r="D77" s="2">
        <v>44693.525416666664</v>
      </c>
      <c r="E77" s="2">
        <v>44694.541666666664</v>
      </c>
      <c r="F77" s="86"/>
      <c r="G77" s="170">
        <f>Tabla120[[#This Row],[Presupuesto]]/(1+'Lista Datos'!$B$1)</f>
        <v>0</v>
      </c>
      <c r="H77" s="30" t="s">
        <v>21</v>
      </c>
      <c r="I77" s="30" t="s">
        <v>106</v>
      </c>
      <c r="J77" s="26">
        <v>44694</v>
      </c>
      <c r="K77" s="85"/>
      <c r="L77" s="2"/>
      <c r="M77" s="2"/>
      <c r="N77" s="26"/>
      <c r="O77" s="27">
        <f>Tabla120[[#This Row],[Presupuesto]]</f>
        <v>0</v>
      </c>
      <c r="P77" s="59">
        <f>Tabla120[[#This Row],[PPTO]]/(1+'Lista Datos'!$B$1)</f>
        <v>0</v>
      </c>
      <c r="Q77" s="107"/>
      <c r="R77" s="59"/>
      <c r="S77" s="59">
        <f>Tabla120[[#This Row],[Unidades2]]*Tabla120[[#This Row],[Precio Unitario]]</f>
        <v>0</v>
      </c>
      <c r="T77" s="30" t="s">
        <v>44</v>
      </c>
      <c r="U77" s="104"/>
      <c r="V77" s="23"/>
      <c r="W77" s="59"/>
      <c r="X77" s="34" t="s">
        <v>138</v>
      </c>
      <c r="Y77" s="23" t="s">
        <v>6099</v>
      </c>
      <c r="Z77" s="23" t="s">
        <v>6100</v>
      </c>
      <c r="AA77" s="108" t="s">
        <v>6101</v>
      </c>
    </row>
    <row r="78" spans="1:27" ht="11.25" x14ac:dyDescent="0.2">
      <c r="A78" s="103" t="s">
        <v>6102</v>
      </c>
      <c r="B78" s="30" t="s">
        <v>6103</v>
      </c>
      <c r="C78" s="84" t="s">
        <v>1008</v>
      </c>
      <c r="D78" s="2">
        <v>44697.519317129627</v>
      </c>
      <c r="E78" s="2">
        <v>44699.515972222223</v>
      </c>
      <c r="F78" s="86"/>
      <c r="G78" s="170">
        <f>Tabla120[[#This Row],[Presupuesto]]/(1+'Lista Datos'!$B$1)</f>
        <v>0</v>
      </c>
      <c r="H78" s="30" t="s">
        <v>21</v>
      </c>
      <c r="I78" s="30" t="s">
        <v>106</v>
      </c>
      <c r="J78" s="26">
        <v>44697</v>
      </c>
      <c r="K78" s="85"/>
      <c r="L78" s="2"/>
      <c r="M78" s="2"/>
      <c r="N78" s="26"/>
      <c r="O78" s="27">
        <f>Tabla120[[#This Row],[Presupuesto]]</f>
        <v>0</v>
      </c>
      <c r="P78" s="59">
        <f>Tabla120[[#This Row],[PPTO]]/(1+'Lista Datos'!$B$1)</f>
        <v>0</v>
      </c>
      <c r="Q78" s="107"/>
      <c r="R78" s="59"/>
      <c r="S78" s="59">
        <f>Tabla120[[#This Row],[Unidades2]]*Tabla120[[#This Row],[Precio Unitario]]</f>
        <v>0</v>
      </c>
      <c r="T78" s="30" t="s">
        <v>270</v>
      </c>
      <c r="U78" s="104"/>
      <c r="V78" s="23"/>
      <c r="W78" s="59"/>
      <c r="X78" s="34" t="s">
        <v>554</v>
      </c>
      <c r="Y78" s="23"/>
      <c r="Z78" s="23"/>
      <c r="AA78" s="108"/>
    </row>
    <row r="79" spans="1:27" ht="11.25" x14ac:dyDescent="0.2">
      <c r="A79" s="103" t="s">
        <v>6104</v>
      </c>
      <c r="B79" s="30" t="s">
        <v>6105</v>
      </c>
      <c r="C79" s="84" t="s">
        <v>6106</v>
      </c>
      <c r="D79" s="2">
        <v>44697.486597222225</v>
      </c>
      <c r="E79" s="2">
        <v>44698.666666666664</v>
      </c>
      <c r="F79" s="86"/>
      <c r="G79" s="170">
        <f>Tabla120[[#This Row],[Presupuesto]]/(1+'Lista Datos'!$B$1)</f>
        <v>0</v>
      </c>
      <c r="H79" s="30" t="s">
        <v>21</v>
      </c>
      <c r="I79" s="30" t="s">
        <v>106</v>
      </c>
      <c r="J79" s="26">
        <v>44697</v>
      </c>
      <c r="K79" s="85"/>
      <c r="L79" s="2"/>
      <c r="M79" s="2"/>
      <c r="N79" s="26"/>
      <c r="O79" s="27">
        <f>Tabla120[[#This Row],[Presupuesto]]</f>
        <v>0</v>
      </c>
      <c r="P79" s="59">
        <f>Tabla120[[#This Row],[PPTO]]/(1+'Lista Datos'!$B$1)</f>
        <v>0</v>
      </c>
      <c r="Q79" s="107">
        <v>1</v>
      </c>
      <c r="R79" s="59">
        <v>29575</v>
      </c>
      <c r="S79" s="59">
        <f>Tabla120[[#This Row],[Unidades2]]*Tabla120[[#This Row],[Precio Unitario]]</f>
        <v>29575</v>
      </c>
      <c r="T79" s="30" t="s">
        <v>270</v>
      </c>
      <c r="U79" s="104"/>
      <c r="V79" s="23"/>
      <c r="W79" s="59"/>
      <c r="X79" s="34" t="s">
        <v>6107</v>
      </c>
      <c r="Y79" s="23"/>
      <c r="Z79" s="23"/>
      <c r="AA79" s="108"/>
    </row>
    <row r="80" spans="1:27" ht="11.25" x14ac:dyDescent="0.2">
      <c r="A80" s="103" t="s">
        <v>6108</v>
      </c>
      <c r="B80" s="30" t="s">
        <v>6109</v>
      </c>
      <c r="C80" s="84" t="s">
        <v>167</v>
      </c>
      <c r="D80" s="2">
        <v>44706.423414351855</v>
      </c>
      <c r="E80" s="2">
        <v>44712.416666666664</v>
      </c>
      <c r="F80" s="86"/>
      <c r="G80" s="170">
        <f>Tabla120[[#This Row],[Presupuesto]]/(1+'Lista Datos'!$B$1)</f>
        <v>0</v>
      </c>
      <c r="H80" s="30" t="s">
        <v>21</v>
      </c>
      <c r="I80" s="30" t="s">
        <v>106</v>
      </c>
      <c r="J80" s="26">
        <v>44707</v>
      </c>
      <c r="K80" s="85"/>
      <c r="L80" s="2"/>
      <c r="M80" s="2"/>
      <c r="N80" s="26"/>
      <c r="O80" s="27">
        <f>Tabla120[[#This Row],[Presupuesto]]</f>
        <v>0</v>
      </c>
      <c r="P80" s="59">
        <f>Tabla120[[#This Row],[PPTO]]/(1+'Lista Datos'!$B$1)</f>
        <v>0</v>
      </c>
      <c r="Q80" s="107"/>
      <c r="R80" s="59"/>
      <c r="S80" s="59">
        <f>Tabla120[[#This Row],[Unidades2]]*Tabla120[[#This Row],[Precio Unitario]]</f>
        <v>0</v>
      </c>
      <c r="T80" s="30" t="s">
        <v>270</v>
      </c>
      <c r="U80" s="104"/>
      <c r="V80" s="23"/>
      <c r="W80" s="59"/>
      <c r="X80" s="34" t="s">
        <v>169</v>
      </c>
      <c r="Y80" s="23"/>
      <c r="Z80" s="23"/>
      <c r="AA80" s="108"/>
    </row>
    <row r="81" spans="1:27" ht="11.25" x14ac:dyDescent="0.2">
      <c r="A81" s="103" t="s">
        <v>6110</v>
      </c>
      <c r="B81" s="30" t="s">
        <v>6111</v>
      </c>
      <c r="C81" s="84" t="s">
        <v>1334</v>
      </c>
      <c r="D81" s="2">
        <v>44707.402627314812</v>
      </c>
      <c r="E81" s="2">
        <v>44708.416666666664</v>
      </c>
      <c r="F81" s="86"/>
      <c r="G81" s="170">
        <f>Tabla120[[#This Row],[Presupuesto]]/(1+'Lista Datos'!$B$1)</f>
        <v>0</v>
      </c>
      <c r="H81" s="30" t="s">
        <v>21</v>
      </c>
      <c r="I81" s="30" t="s">
        <v>106</v>
      </c>
      <c r="J81" s="26">
        <v>44707</v>
      </c>
      <c r="K81" s="85"/>
      <c r="L81" s="2"/>
      <c r="M81" s="2"/>
      <c r="N81" s="26"/>
      <c r="O81" s="27">
        <f>Tabla120[[#This Row],[Presupuesto]]</f>
        <v>0</v>
      </c>
      <c r="P81" s="59">
        <f>Tabla120[[#This Row],[PPTO]]/(1+'Lista Datos'!$B$1)</f>
        <v>0</v>
      </c>
      <c r="Q81" s="107"/>
      <c r="R81" s="59"/>
      <c r="S81" s="59">
        <f>Tabla120[[#This Row],[Unidades2]]*Tabla120[[#This Row],[Precio Unitario]]</f>
        <v>0</v>
      </c>
      <c r="T81" s="30" t="s">
        <v>270</v>
      </c>
      <c r="U81" s="104"/>
      <c r="V81" s="23"/>
      <c r="W81" s="59"/>
      <c r="X81" s="34" t="s">
        <v>1335</v>
      </c>
      <c r="Y81" s="23"/>
      <c r="Z81" s="23"/>
      <c r="AA81" s="108"/>
    </row>
    <row r="82" spans="1:27" ht="11.25" x14ac:dyDescent="0.2">
      <c r="A82" s="103" t="s">
        <v>6112</v>
      </c>
      <c r="B82" s="30" t="s">
        <v>6113</v>
      </c>
      <c r="C82" s="84" t="s">
        <v>6114</v>
      </c>
      <c r="D82" s="2">
        <v>44706.481944444444</v>
      </c>
      <c r="E82" s="2">
        <v>44715.479166666664</v>
      </c>
      <c r="F82" s="86"/>
      <c r="G82" s="170">
        <f>Tabla120[[#This Row],[Presupuesto]]/(1+'Lista Datos'!$B$1)</f>
        <v>0</v>
      </c>
      <c r="H82" s="30" t="s">
        <v>21</v>
      </c>
      <c r="I82" s="30" t="s">
        <v>106</v>
      </c>
      <c r="J82" s="26">
        <v>44707</v>
      </c>
      <c r="K82" s="85"/>
      <c r="L82" s="2"/>
      <c r="M82" s="2"/>
      <c r="N82" s="26"/>
      <c r="O82" s="27">
        <f>Tabla120[[#This Row],[Presupuesto]]</f>
        <v>0</v>
      </c>
      <c r="P82" s="59">
        <f>Tabla120[[#This Row],[PPTO]]/(1+'Lista Datos'!$B$1)</f>
        <v>0</v>
      </c>
      <c r="Q82" s="107"/>
      <c r="R82" s="59"/>
      <c r="S82" s="59">
        <f>Tabla120[[#This Row],[Unidades2]]*Tabla120[[#This Row],[Precio Unitario]]</f>
        <v>0</v>
      </c>
      <c r="T82" s="30" t="s">
        <v>270</v>
      </c>
      <c r="U82" s="104"/>
      <c r="V82" s="23"/>
      <c r="W82" s="59"/>
      <c r="X82" s="34" t="s">
        <v>6115</v>
      </c>
      <c r="Y82" s="23"/>
      <c r="Z82" s="23"/>
      <c r="AA82" s="108"/>
    </row>
    <row r="83" spans="1:27" ht="11.25" x14ac:dyDescent="0.2">
      <c r="A83" s="103" t="s">
        <v>6116</v>
      </c>
      <c r="B83" s="30" t="s">
        <v>6117</v>
      </c>
      <c r="C83" s="84" t="s">
        <v>167</v>
      </c>
      <c r="D83" s="2">
        <v>44707.425451388888</v>
      </c>
      <c r="E83" s="2">
        <v>44713.416666666664</v>
      </c>
      <c r="F83" s="86"/>
      <c r="G83" s="170">
        <f>Tabla120[[#This Row],[Presupuesto]]/(1+'Lista Datos'!$B$1)</f>
        <v>0</v>
      </c>
      <c r="H83" s="30" t="s">
        <v>21</v>
      </c>
      <c r="I83" s="30" t="s">
        <v>106</v>
      </c>
      <c r="J83" s="26">
        <v>44707</v>
      </c>
      <c r="K83" s="85"/>
      <c r="L83" s="2"/>
      <c r="M83" s="2"/>
      <c r="N83" s="26"/>
      <c r="O83" s="27">
        <f>Tabla120[[#This Row],[Presupuesto]]</f>
        <v>0</v>
      </c>
      <c r="P83" s="59">
        <f>Tabla120[[#This Row],[PPTO]]/(1+'Lista Datos'!$B$1)</f>
        <v>0</v>
      </c>
      <c r="Q83" s="107"/>
      <c r="R83" s="59"/>
      <c r="S83" s="59">
        <f>Tabla120[[#This Row],[Unidades2]]*Tabla120[[#This Row],[Precio Unitario]]</f>
        <v>0</v>
      </c>
      <c r="T83" s="30" t="s">
        <v>270</v>
      </c>
      <c r="U83" s="104"/>
      <c r="V83" s="23"/>
      <c r="W83" s="59"/>
      <c r="X83" s="34" t="s">
        <v>169</v>
      </c>
      <c r="Y83" s="23"/>
      <c r="Z83" s="23"/>
      <c r="AA83" s="108"/>
    </row>
    <row r="84" spans="1:27" ht="11.25" x14ac:dyDescent="0.2">
      <c r="A84" s="103" t="s">
        <v>6118</v>
      </c>
      <c r="B84" s="30" t="s">
        <v>6119</v>
      </c>
      <c r="C84" s="84" t="s">
        <v>6120</v>
      </c>
      <c r="D84" s="2">
        <v>44706.407118055555</v>
      </c>
      <c r="E84" s="2">
        <v>44713.379166666666</v>
      </c>
      <c r="F84" s="86"/>
      <c r="G84" s="170">
        <f>Tabla120[[#This Row],[Presupuesto]]/(1+'Lista Datos'!$B$1)</f>
        <v>0</v>
      </c>
      <c r="H84" s="30" t="s">
        <v>21</v>
      </c>
      <c r="I84" s="30" t="s">
        <v>106</v>
      </c>
      <c r="J84" s="26">
        <v>44707</v>
      </c>
      <c r="K84" s="85"/>
      <c r="L84" s="2"/>
      <c r="M84" s="2"/>
      <c r="N84" s="26"/>
      <c r="O84" s="27">
        <f>Tabla120[[#This Row],[Presupuesto]]</f>
        <v>0</v>
      </c>
      <c r="P84" s="59">
        <f>Tabla120[[#This Row],[PPTO]]/(1+'Lista Datos'!$B$1)</f>
        <v>0</v>
      </c>
      <c r="Q84" s="107"/>
      <c r="R84" s="59"/>
      <c r="S84" s="59">
        <f>Tabla120[[#This Row],[Unidades2]]*Tabla120[[#This Row],[Precio Unitario]]</f>
        <v>0</v>
      </c>
      <c r="T84" s="30" t="s">
        <v>270</v>
      </c>
      <c r="U84" s="104"/>
      <c r="V84" s="23"/>
      <c r="W84" s="59"/>
      <c r="X84" s="34" t="s">
        <v>6121</v>
      </c>
      <c r="Y84" s="23"/>
      <c r="Z84" s="23"/>
      <c r="AA84" s="108"/>
    </row>
    <row r="85" spans="1:27" ht="11.25" x14ac:dyDescent="0.2">
      <c r="A85" s="103" t="s">
        <v>6122</v>
      </c>
      <c r="B85" s="30" t="s">
        <v>6123</v>
      </c>
      <c r="C85" s="84" t="s">
        <v>1802</v>
      </c>
      <c r="D85" s="2">
        <v>44708.450960648152</v>
      </c>
      <c r="E85" s="2">
        <v>44711.375</v>
      </c>
      <c r="F85" s="86"/>
      <c r="G85" s="170">
        <f>Tabla120[[#This Row],[Presupuesto]]/(1+'Lista Datos'!$B$1)</f>
        <v>0</v>
      </c>
      <c r="H85" s="30" t="s">
        <v>21</v>
      </c>
      <c r="I85" s="30" t="s">
        <v>106</v>
      </c>
      <c r="J85" s="26">
        <v>44708</v>
      </c>
      <c r="K85" s="85"/>
      <c r="L85" s="2"/>
      <c r="M85" s="2"/>
      <c r="N85" s="26"/>
      <c r="O85" s="27">
        <f>Tabla120[[#This Row],[Presupuesto]]</f>
        <v>0</v>
      </c>
      <c r="P85" s="59">
        <f>Tabla120[[#This Row],[PPTO]]/(1+'Lista Datos'!$B$1)</f>
        <v>0</v>
      </c>
      <c r="Q85" s="107"/>
      <c r="R85" s="59"/>
      <c r="S85" s="59">
        <f>Tabla120[[#This Row],[Unidades2]]*Tabla120[[#This Row],[Precio Unitario]]</f>
        <v>0</v>
      </c>
      <c r="T85" s="30" t="s">
        <v>270</v>
      </c>
      <c r="U85" s="104"/>
      <c r="V85" s="23"/>
      <c r="W85" s="59"/>
      <c r="X85" s="34" t="s">
        <v>1803</v>
      </c>
      <c r="Y85" s="23"/>
      <c r="Z85" s="23"/>
      <c r="AA85" s="108"/>
    </row>
    <row r="86" spans="1:27" ht="11.25" x14ac:dyDescent="0.2">
      <c r="A86" s="103" t="s">
        <v>6124</v>
      </c>
      <c r="B86" s="30" t="s">
        <v>6125</v>
      </c>
      <c r="C86" s="84" t="s">
        <v>1802</v>
      </c>
      <c r="D86" s="2">
        <v>44708.452430555553</v>
      </c>
      <c r="E86" s="2">
        <v>44711.395833333336</v>
      </c>
      <c r="F86" s="86"/>
      <c r="G86" s="170">
        <f>Tabla120[[#This Row],[Presupuesto]]/(1+'Lista Datos'!$B$1)</f>
        <v>0</v>
      </c>
      <c r="H86" s="30" t="s">
        <v>21</v>
      </c>
      <c r="I86" s="30" t="s">
        <v>106</v>
      </c>
      <c r="J86" s="26">
        <v>44708</v>
      </c>
      <c r="K86" s="85"/>
      <c r="L86" s="2"/>
      <c r="M86" s="2"/>
      <c r="N86" s="26"/>
      <c r="O86" s="27">
        <f>Tabla120[[#This Row],[Presupuesto]]</f>
        <v>0</v>
      </c>
      <c r="P86" s="59">
        <f>Tabla120[[#This Row],[PPTO]]/(1+'Lista Datos'!$B$1)</f>
        <v>0</v>
      </c>
      <c r="Q86" s="107"/>
      <c r="R86" s="59"/>
      <c r="S86" s="59">
        <f>Tabla120[[#This Row],[Unidades2]]*Tabla120[[#This Row],[Precio Unitario]]</f>
        <v>0</v>
      </c>
      <c r="T86" s="30" t="s">
        <v>270</v>
      </c>
      <c r="U86" s="104"/>
      <c r="V86" s="23"/>
      <c r="W86" s="59"/>
      <c r="X86" s="34" t="s">
        <v>1803</v>
      </c>
      <c r="Y86" s="23"/>
      <c r="Z86" s="23"/>
      <c r="AA86" s="108"/>
    </row>
    <row r="87" spans="1:27" ht="11.25" x14ac:dyDescent="0.2">
      <c r="A87" s="103" t="s">
        <v>6126</v>
      </c>
      <c r="B87" s="30" t="s">
        <v>6127</v>
      </c>
      <c r="C87" s="84" t="s">
        <v>153</v>
      </c>
      <c r="D87" s="2">
        <v>44709.427731481483</v>
      </c>
      <c r="E87" s="2">
        <v>44712.5</v>
      </c>
      <c r="F87" s="86"/>
      <c r="G87" s="170">
        <f>Tabla120[[#This Row],[Presupuesto]]/(1+'Lista Datos'!$B$1)</f>
        <v>0</v>
      </c>
      <c r="H87" s="30" t="s">
        <v>21</v>
      </c>
      <c r="I87" s="30" t="s">
        <v>106</v>
      </c>
      <c r="J87" s="26">
        <v>44711</v>
      </c>
      <c r="K87" s="85"/>
      <c r="L87" s="2"/>
      <c r="M87" s="2"/>
      <c r="N87" s="26"/>
      <c r="O87" s="27">
        <f>Tabla120[[#This Row],[Presupuesto]]</f>
        <v>0</v>
      </c>
      <c r="P87" s="59">
        <f>Tabla120[[#This Row],[PPTO]]/(1+'Lista Datos'!$B$1)</f>
        <v>0</v>
      </c>
      <c r="Q87" s="107"/>
      <c r="R87" s="59"/>
      <c r="S87" s="59">
        <f>Tabla120[[#This Row],[Unidades2]]*Tabla120[[#This Row],[Precio Unitario]]</f>
        <v>0</v>
      </c>
      <c r="T87" s="30" t="s">
        <v>270</v>
      </c>
      <c r="U87" s="104"/>
      <c r="V87" s="23"/>
      <c r="W87" s="59"/>
      <c r="X87" s="34" t="s">
        <v>572</v>
      </c>
      <c r="Y87" s="23"/>
      <c r="Z87" s="23"/>
      <c r="AA87" s="108"/>
    </row>
    <row r="88" spans="1:27" ht="11.25" x14ac:dyDescent="0.2">
      <c r="A88" s="103" t="s">
        <v>6128</v>
      </c>
      <c r="B88" s="30" t="s">
        <v>6129</v>
      </c>
      <c r="C88" s="84" t="s">
        <v>1448</v>
      </c>
      <c r="D88" s="2">
        <v>44712.378460648149</v>
      </c>
      <c r="E88" s="2">
        <v>44713.395833333336</v>
      </c>
      <c r="F88" s="86"/>
      <c r="G88" s="170">
        <f>Tabla120[[#This Row],[Presupuesto]]/(1+'Lista Datos'!$B$1)</f>
        <v>0</v>
      </c>
      <c r="H88" s="30" t="s">
        <v>21</v>
      </c>
      <c r="I88" s="30" t="s">
        <v>106</v>
      </c>
      <c r="J88" s="26">
        <v>44712</v>
      </c>
      <c r="K88" s="85"/>
      <c r="L88" s="2"/>
      <c r="M88" s="2"/>
      <c r="N88" s="26"/>
      <c r="O88" s="27">
        <f>Tabla120[[#This Row],[Presupuesto]]</f>
        <v>0</v>
      </c>
      <c r="P88" s="59">
        <f>Tabla120[[#This Row],[PPTO]]/(1+'Lista Datos'!$B$1)</f>
        <v>0</v>
      </c>
      <c r="Q88" s="107"/>
      <c r="R88" s="59"/>
      <c r="S88" s="59">
        <f>Tabla120[[#This Row],[Unidades2]]*Tabla120[[#This Row],[Precio Unitario]]</f>
        <v>0</v>
      </c>
      <c r="T88" s="30" t="s">
        <v>270</v>
      </c>
      <c r="U88" s="104"/>
      <c r="V88" s="23"/>
      <c r="W88" s="59"/>
      <c r="X88" s="34" t="s">
        <v>1449</v>
      </c>
      <c r="Y88" s="23"/>
      <c r="Z88" s="23"/>
      <c r="AA88" s="108"/>
    </row>
    <row r="89" spans="1:27" ht="11.25" x14ac:dyDescent="0.2">
      <c r="A89" s="103" t="s">
        <v>6130</v>
      </c>
      <c r="B89" s="30" t="s">
        <v>6131</v>
      </c>
      <c r="C89" s="84" t="s">
        <v>1641</v>
      </c>
      <c r="D89" s="2">
        <v>44712.977002314816</v>
      </c>
      <c r="E89" s="2">
        <v>44714.333333333336</v>
      </c>
      <c r="F89" s="86"/>
      <c r="G89" s="170">
        <f>Tabla120[[#This Row],[Presupuesto]]/(1+'Lista Datos'!$B$1)</f>
        <v>0</v>
      </c>
      <c r="H89" s="30" t="s">
        <v>21</v>
      </c>
      <c r="I89" s="30" t="s">
        <v>106</v>
      </c>
      <c r="J89" s="26">
        <v>44713</v>
      </c>
      <c r="K89" s="85"/>
      <c r="L89" s="2"/>
      <c r="M89" s="2"/>
      <c r="N89" s="26"/>
      <c r="O89" s="27">
        <f>Tabla120[[#This Row],[Presupuesto]]</f>
        <v>0</v>
      </c>
      <c r="P89" s="59">
        <f>Tabla120[[#This Row],[PPTO]]/(1+'Lista Datos'!$B$1)</f>
        <v>0</v>
      </c>
      <c r="Q89" s="107"/>
      <c r="R89" s="59"/>
      <c r="S89" s="59">
        <f>Tabla120[[#This Row],[Unidades2]]*Tabla120[[#This Row],[Precio Unitario]]</f>
        <v>0</v>
      </c>
      <c r="T89" s="30" t="s">
        <v>270</v>
      </c>
      <c r="U89" s="104"/>
      <c r="V89" s="23"/>
      <c r="W89" s="59"/>
      <c r="X89" s="34" t="s">
        <v>1642</v>
      </c>
      <c r="Y89" s="23"/>
      <c r="Z89" s="23"/>
      <c r="AA89" s="108"/>
    </row>
    <row r="90" spans="1:27" ht="11.25" x14ac:dyDescent="0.2">
      <c r="A90" s="103" t="s">
        <v>6132</v>
      </c>
      <c r="B90" s="30" t="s">
        <v>3044</v>
      </c>
      <c r="C90" s="84" t="s">
        <v>2021</v>
      </c>
      <c r="D90" s="2">
        <v>44713.487442129626</v>
      </c>
      <c r="E90" s="2">
        <v>44714.5</v>
      </c>
      <c r="F90" s="86"/>
      <c r="G90" s="170">
        <f>Tabla120[[#This Row],[Presupuesto]]/(1+'Lista Datos'!$B$1)</f>
        <v>0</v>
      </c>
      <c r="H90" s="30" t="s">
        <v>21</v>
      </c>
      <c r="I90" s="30" t="s">
        <v>106</v>
      </c>
      <c r="J90" s="26">
        <v>44713</v>
      </c>
      <c r="K90" s="85"/>
      <c r="L90" s="2"/>
      <c r="M90" s="2"/>
      <c r="N90" s="26"/>
      <c r="O90" s="27">
        <f>Tabla120[[#This Row],[Presupuesto]]</f>
        <v>0</v>
      </c>
      <c r="P90" s="59">
        <f>Tabla120[[#This Row],[PPTO]]/(1+'Lista Datos'!$B$1)</f>
        <v>0</v>
      </c>
      <c r="Q90" s="107"/>
      <c r="R90" s="59"/>
      <c r="S90" s="59">
        <f>Tabla120[[#This Row],[Unidades2]]*Tabla120[[#This Row],[Precio Unitario]]</f>
        <v>0</v>
      </c>
      <c r="T90" s="30" t="s">
        <v>270</v>
      </c>
      <c r="U90" s="104"/>
      <c r="V90" s="23"/>
      <c r="W90" s="59"/>
      <c r="X90" s="34" t="s">
        <v>2022</v>
      </c>
      <c r="Y90" s="23"/>
      <c r="Z90" s="23"/>
      <c r="AA90" s="108"/>
    </row>
    <row r="91" spans="1:27" ht="11.25" x14ac:dyDescent="0.2">
      <c r="A91" s="103" t="s">
        <v>6133</v>
      </c>
      <c r="B91" s="30" t="s">
        <v>6134</v>
      </c>
      <c r="C91" s="84" t="s">
        <v>1214</v>
      </c>
      <c r="D91" s="2">
        <v>44712.63753472222</v>
      </c>
      <c r="E91" s="2">
        <v>44714.5</v>
      </c>
      <c r="F91" s="86"/>
      <c r="G91" s="170">
        <f>Tabla120[[#This Row],[Presupuesto]]/(1+'Lista Datos'!$B$1)</f>
        <v>0</v>
      </c>
      <c r="H91" s="30" t="s">
        <v>21</v>
      </c>
      <c r="I91" s="30" t="s">
        <v>106</v>
      </c>
      <c r="J91" s="26">
        <v>44713</v>
      </c>
      <c r="K91" s="85"/>
      <c r="L91" s="2"/>
      <c r="M91" s="2"/>
      <c r="N91" s="26"/>
      <c r="O91" s="27">
        <f>Tabla120[[#This Row],[Presupuesto]]</f>
        <v>0</v>
      </c>
      <c r="P91" s="59">
        <f>Tabla120[[#This Row],[PPTO]]/(1+'Lista Datos'!$B$1)</f>
        <v>0</v>
      </c>
      <c r="Q91" s="107"/>
      <c r="R91" s="59"/>
      <c r="S91" s="59">
        <f>Tabla120[[#This Row],[Unidades2]]*Tabla120[[#This Row],[Precio Unitario]]</f>
        <v>0</v>
      </c>
      <c r="T91" s="30" t="s">
        <v>270</v>
      </c>
      <c r="U91" s="104"/>
      <c r="V91" s="23"/>
      <c r="W91" s="59"/>
      <c r="X91" s="34" t="s">
        <v>1215</v>
      </c>
      <c r="Y91" s="23"/>
      <c r="Z91" s="23"/>
      <c r="AA91" s="108"/>
    </row>
    <row r="92" spans="1:27" ht="11.25" x14ac:dyDescent="0.2">
      <c r="A92" s="103" t="s">
        <v>6135</v>
      </c>
      <c r="B92" s="30" t="s">
        <v>6136</v>
      </c>
      <c r="C92" s="84" t="s">
        <v>2738</v>
      </c>
      <c r="D92" s="2">
        <v>44714.470104166663</v>
      </c>
      <c r="E92" s="2">
        <v>44715.499305555553</v>
      </c>
      <c r="F92" s="86"/>
      <c r="G92" s="170">
        <f>Tabla120[[#This Row],[Presupuesto]]/(1+'Lista Datos'!$B$1)</f>
        <v>0</v>
      </c>
      <c r="H92" s="30" t="s">
        <v>21</v>
      </c>
      <c r="I92" s="30" t="s">
        <v>106</v>
      </c>
      <c r="J92" s="26">
        <v>44714</v>
      </c>
      <c r="K92" s="85"/>
      <c r="L92" s="2"/>
      <c r="M92" s="2"/>
      <c r="N92" s="26"/>
      <c r="O92" s="27">
        <f>Tabla120[[#This Row],[Presupuesto]]</f>
        <v>0</v>
      </c>
      <c r="P92" s="59">
        <f>Tabla120[[#This Row],[PPTO]]/(1+'Lista Datos'!$B$1)</f>
        <v>0</v>
      </c>
      <c r="Q92" s="107"/>
      <c r="R92" s="59"/>
      <c r="S92" s="59">
        <f>Tabla120[[#This Row],[Unidades2]]*Tabla120[[#This Row],[Precio Unitario]]</f>
        <v>0</v>
      </c>
      <c r="T92" s="30" t="s">
        <v>270</v>
      </c>
      <c r="U92" s="104"/>
      <c r="V92" s="23"/>
      <c r="W92" s="59"/>
      <c r="X92" s="34" t="s">
        <v>2739</v>
      </c>
      <c r="Y92" s="23"/>
      <c r="Z92" s="23"/>
      <c r="AA92" s="108"/>
    </row>
    <row r="93" spans="1:27" ht="11.25" x14ac:dyDescent="0.2">
      <c r="A93" s="103" t="s">
        <v>6137</v>
      </c>
      <c r="B93" s="30" t="s">
        <v>6138</v>
      </c>
      <c r="C93" s="84" t="s">
        <v>1641</v>
      </c>
      <c r="D93" s="2">
        <v>44714.651689814818</v>
      </c>
      <c r="E93" s="2">
        <v>44715.652777777781</v>
      </c>
      <c r="F93" s="86"/>
      <c r="G93" s="170">
        <f>Tabla120[[#This Row],[Presupuesto]]/(1+'Lista Datos'!$B$1)</f>
        <v>0</v>
      </c>
      <c r="H93" s="30" t="s">
        <v>21</v>
      </c>
      <c r="I93" s="30" t="s">
        <v>106</v>
      </c>
      <c r="J93" s="26">
        <v>44714</v>
      </c>
      <c r="K93" s="85"/>
      <c r="L93" s="2"/>
      <c r="M93" s="2"/>
      <c r="N93" s="26"/>
      <c r="O93" s="27">
        <f>Tabla120[[#This Row],[Presupuesto]]</f>
        <v>0</v>
      </c>
      <c r="P93" s="59">
        <f>Tabla120[[#This Row],[PPTO]]/(1+'Lista Datos'!$B$1)</f>
        <v>0</v>
      </c>
      <c r="Q93" s="107"/>
      <c r="R93" s="59"/>
      <c r="S93" s="59">
        <f>Tabla120[[#This Row],[Unidades2]]*Tabla120[[#This Row],[Precio Unitario]]</f>
        <v>0</v>
      </c>
      <c r="T93" s="30" t="s">
        <v>270</v>
      </c>
      <c r="U93" s="104"/>
      <c r="V93" s="23"/>
      <c r="W93" s="59"/>
      <c r="X93" s="34" t="s">
        <v>1642</v>
      </c>
      <c r="Y93" s="23"/>
      <c r="Z93" s="23"/>
      <c r="AA93" s="108"/>
    </row>
    <row r="94" spans="1:27" ht="11.25" x14ac:dyDescent="0.2">
      <c r="A94" s="103" t="s">
        <v>6139</v>
      </c>
      <c r="B94" s="30" t="s">
        <v>6140</v>
      </c>
      <c r="C94" s="84" t="s">
        <v>6141</v>
      </c>
      <c r="D94" s="2">
        <v>44720.420474537037</v>
      </c>
      <c r="E94" s="2">
        <v>44721.46597222222</v>
      </c>
      <c r="F94" s="86"/>
      <c r="G94" s="170">
        <f>Tabla120[[#This Row],[Presupuesto]]/(1+'Lista Datos'!$B$1)</f>
        <v>0</v>
      </c>
      <c r="H94" s="30" t="s">
        <v>21</v>
      </c>
      <c r="I94" s="30" t="s">
        <v>106</v>
      </c>
      <c r="J94" s="26">
        <v>44720</v>
      </c>
      <c r="K94" s="85"/>
      <c r="L94" s="2"/>
      <c r="M94" s="2"/>
      <c r="N94" s="26"/>
      <c r="O94" s="27">
        <f>Tabla120[[#This Row],[Presupuesto]]</f>
        <v>0</v>
      </c>
      <c r="P94" s="59">
        <f>Tabla120[[#This Row],[PPTO]]/(1+'Lista Datos'!$B$1)</f>
        <v>0</v>
      </c>
      <c r="Q94" s="107"/>
      <c r="R94" s="59"/>
      <c r="S94" s="59">
        <f>Tabla120[[#This Row],[Unidades2]]*Tabla120[[#This Row],[Precio Unitario]]</f>
        <v>0</v>
      </c>
      <c r="T94" s="30" t="s">
        <v>270</v>
      </c>
      <c r="U94" s="104"/>
      <c r="V94" s="23"/>
      <c r="W94" s="59"/>
      <c r="X94" s="34" t="s">
        <v>2730</v>
      </c>
      <c r="Y94" s="23"/>
      <c r="Z94" s="23"/>
      <c r="AA94" s="108"/>
    </row>
    <row r="95" spans="1:27" ht="11.25" x14ac:dyDescent="0.2">
      <c r="A95" s="103" t="s">
        <v>6142</v>
      </c>
      <c r="B95" s="30" t="s">
        <v>6143</v>
      </c>
      <c r="C95" s="84" t="s">
        <v>1843</v>
      </c>
      <c r="D95" s="2">
        <v>44719.631284722222</v>
      </c>
      <c r="E95" s="2">
        <v>44721.333333333336</v>
      </c>
      <c r="F95" s="86"/>
      <c r="G95" s="170">
        <f>Tabla120[[#This Row],[Presupuesto]]/(1+'Lista Datos'!$B$1)</f>
        <v>0</v>
      </c>
      <c r="H95" s="30" t="s">
        <v>21</v>
      </c>
      <c r="I95" s="30" t="s">
        <v>106</v>
      </c>
      <c r="J95" s="26">
        <v>44720</v>
      </c>
      <c r="K95" s="85"/>
      <c r="L95" s="2"/>
      <c r="M95" s="2"/>
      <c r="N95" s="26"/>
      <c r="O95" s="27">
        <f>Tabla120[[#This Row],[Presupuesto]]</f>
        <v>0</v>
      </c>
      <c r="P95" s="59">
        <f>Tabla120[[#This Row],[PPTO]]/(1+'Lista Datos'!$B$1)</f>
        <v>0</v>
      </c>
      <c r="Q95" s="107">
        <v>15</v>
      </c>
      <c r="R95" s="59">
        <v>28192</v>
      </c>
      <c r="S95" s="59">
        <f>Tabla120[[#This Row],[Unidades2]]*Tabla120[[#This Row],[Precio Unitario]]</f>
        <v>422880</v>
      </c>
      <c r="T95" s="30" t="s">
        <v>270</v>
      </c>
      <c r="U95" s="104"/>
      <c r="V95" s="23"/>
      <c r="W95" s="59"/>
      <c r="X95" s="34" t="s">
        <v>1844</v>
      </c>
      <c r="Y95" s="23"/>
      <c r="Z95" s="23"/>
      <c r="AA95" s="108"/>
    </row>
    <row r="96" spans="1:27" ht="11.25" x14ac:dyDescent="0.2">
      <c r="A96" s="103" t="s">
        <v>6144</v>
      </c>
      <c r="B96" s="30" t="s">
        <v>5210</v>
      </c>
      <c r="C96" s="84" t="s">
        <v>331</v>
      </c>
      <c r="D96" s="2">
        <v>44720.348321759258</v>
      </c>
      <c r="E96" s="2">
        <v>44722.416666666664</v>
      </c>
      <c r="F96" s="86"/>
      <c r="G96" s="170">
        <f>Tabla120[[#This Row],[Presupuesto]]/(1+'Lista Datos'!$B$1)</f>
        <v>0</v>
      </c>
      <c r="H96" s="30" t="s">
        <v>21</v>
      </c>
      <c r="I96" s="30" t="s">
        <v>106</v>
      </c>
      <c r="J96" s="26">
        <v>44720</v>
      </c>
      <c r="K96" s="85"/>
      <c r="L96" s="2"/>
      <c r="M96" s="2"/>
      <c r="N96" s="26"/>
      <c r="O96" s="27">
        <f>Tabla120[[#This Row],[Presupuesto]]</f>
        <v>0</v>
      </c>
      <c r="P96" s="59">
        <f>Tabla120[[#This Row],[PPTO]]/(1+'Lista Datos'!$B$1)</f>
        <v>0</v>
      </c>
      <c r="Q96" s="107">
        <v>12</v>
      </c>
      <c r="R96" s="59">
        <v>24017</v>
      </c>
      <c r="S96" s="59">
        <f>Tabla120[[#This Row],[Unidades2]]*Tabla120[[#This Row],[Precio Unitario]]</f>
        <v>288204</v>
      </c>
      <c r="T96" s="30" t="s">
        <v>270</v>
      </c>
      <c r="U96" s="104"/>
      <c r="V96" s="23"/>
      <c r="W96" s="59"/>
      <c r="X96" s="34" t="s">
        <v>332</v>
      </c>
      <c r="Y96" s="23"/>
      <c r="Z96" s="23"/>
      <c r="AA96" s="108"/>
    </row>
    <row r="97" spans="1:27" ht="11.25" x14ac:dyDescent="0.2">
      <c r="A97" s="103" t="s">
        <v>6145</v>
      </c>
      <c r="B97" s="30" t="s">
        <v>6146</v>
      </c>
      <c r="C97" s="84" t="s">
        <v>1813</v>
      </c>
      <c r="D97" s="2">
        <v>44719.556793981479</v>
      </c>
      <c r="E97" s="2">
        <v>44721.583333333336</v>
      </c>
      <c r="F97" s="86"/>
      <c r="G97" s="170">
        <f>Tabla120[[#This Row],[Presupuesto]]/(1+'Lista Datos'!$B$1)</f>
        <v>0</v>
      </c>
      <c r="H97" s="30" t="s">
        <v>21</v>
      </c>
      <c r="I97" s="30" t="s">
        <v>106</v>
      </c>
      <c r="J97" s="26">
        <v>44720</v>
      </c>
      <c r="K97" s="85"/>
      <c r="L97" s="2"/>
      <c r="M97" s="2"/>
      <c r="N97" s="26"/>
      <c r="O97" s="27">
        <f>Tabla120[[#This Row],[Presupuesto]]</f>
        <v>0</v>
      </c>
      <c r="P97" s="59">
        <f>Tabla120[[#This Row],[PPTO]]/(1+'Lista Datos'!$B$1)</f>
        <v>0</v>
      </c>
      <c r="Q97" s="107">
        <v>3</v>
      </c>
      <c r="R97" s="59">
        <v>113764</v>
      </c>
      <c r="S97" s="59">
        <f>Tabla120[[#This Row],[Unidades2]]*Tabla120[[#This Row],[Precio Unitario]]</f>
        <v>341292</v>
      </c>
      <c r="T97" s="30" t="s">
        <v>44</v>
      </c>
      <c r="U97" s="104"/>
      <c r="V97" s="23"/>
      <c r="W97" s="59"/>
      <c r="X97" s="34" t="s">
        <v>1814</v>
      </c>
      <c r="Y97" s="23"/>
      <c r="Z97" s="23"/>
      <c r="AA97" s="108"/>
    </row>
    <row r="98" spans="1:27" ht="11.25" x14ac:dyDescent="0.2">
      <c r="A98" s="103" t="s">
        <v>6147</v>
      </c>
      <c r="B98" s="30" t="s">
        <v>6148</v>
      </c>
      <c r="C98" s="84" t="s">
        <v>2180</v>
      </c>
      <c r="D98" s="2">
        <v>44719.684305555558</v>
      </c>
      <c r="E98" s="2">
        <v>44722.395833333336</v>
      </c>
      <c r="F98" s="86"/>
      <c r="G98" s="170">
        <f>Tabla120[[#This Row],[Presupuesto]]/(1+'Lista Datos'!$B$1)</f>
        <v>0</v>
      </c>
      <c r="H98" s="30" t="s">
        <v>21</v>
      </c>
      <c r="I98" s="30" t="s">
        <v>106</v>
      </c>
      <c r="J98" s="26">
        <v>44720</v>
      </c>
      <c r="K98" s="85"/>
      <c r="L98" s="2"/>
      <c r="M98" s="2"/>
      <c r="N98" s="26"/>
      <c r="O98" s="27">
        <f>Tabla120[[#This Row],[Presupuesto]]</f>
        <v>0</v>
      </c>
      <c r="P98" s="59">
        <f>Tabla120[[#This Row],[PPTO]]/(1+'Lista Datos'!$B$1)</f>
        <v>0</v>
      </c>
      <c r="Q98" s="107">
        <v>11</v>
      </c>
      <c r="R98" s="59">
        <v>128583</v>
      </c>
      <c r="S98" s="59">
        <f>Tabla120[[#This Row],[Unidades2]]*Tabla120[[#This Row],[Precio Unitario]]</f>
        <v>1414413</v>
      </c>
      <c r="T98" s="30" t="s">
        <v>270</v>
      </c>
      <c r="U98" s="104"/>
      <c r="V98" s="23"/>
      <c r="W98" s="59"/>
      <c r="X98" s="34" t="s">
        <v>2181</v>
      </c>
      <c r="Y98" s="23"/>
      <c r="Z98" s="23"/>
      <c r="AA98" s="108"/>
    </row>
    <row r="99" spans="1:27" ht="11.25" x14ac:dyDescent="0.2">
      <c r="A99" s="103" t="s">
        <v>6149</v>
      </c>
      <c r="B99" s="30" t="s">
        <v>6150</v>
      </c>
      <c r="C99" s="84" t="s">
        <v>1813</v>
      </c>
      <c r="D99" s="2">
        <v>44720.379930555559</v>
      </c>
      <c r="E99" s="2">
        <v>44721.381944444445</v>
      </c>
      <c r="F99" s="86"/>
      <c r="G99" s="170">
        <f>Tabla120[[#This Row],[Presupuesto]]/(1+'Lista Datos'!$B$1)</f>
        <v>0</v>
      </c>
      <c r="H99" s="30" t="s">
        <v>21</v>
      </c>
      <c r="I99" s="30" t="s">
        <v>106</v>
      </c>
      <c r="J99" s="26">
        <v>44720</v>
      </c>
      <c r="K99" s="85"/>
      <c r="L99" s="2"/>
      <c r="M99" s="2"/>
      <c r="N99" s="26"/>
      <c r="O99" s="27">
        <f>Tabla120[[#This Row],[Presupuesto]]</f>
        <v>0</v>
      </c>
      <c r="P99" s="59">
        <f>Tabla120[[#This Row],[PPTO]]/(1+'Lista Datos'!$B$1)</f>
        <v>0</v>
      </c>
      <c r="Q99" s="107"/>
      <c r="R99" s="59"/>
      <c r="S99" s="59">
        <f>Tabla120[[#This Row],[Unidades2]]*Tabla120[[#This Row],[Precio Unitario]]</f>
        <v>0</v>
      </c>
      <c r="T99" s="30" t="s">
        <v>270</v>
      </c>
      <c r="U99" s="104"/>
      <c r="V99" s="23"/>
      <c r="W99" s="59"/>
      <c r="X99" s="34" t="s">
        <v>1814</v>
      </c>
      <c r="Y99" s="23"/>
      <c r="Z99" s="23"/>
      <c r="AA99" s="108"/>
    </row>
    <row r="100" spans="1:27" ht="11.25" x14ac:dyDescent="0.2">
      <c r="A100" s="103" t="s">
        <v>6151</v>
      </c>
      <c r="B100" s="30" t="s">
        <v>6152</v>
      </c>
      <c r="C100" s="84" t="s">
        <v>1448</v>
      </c>
      <c r="D100" s="2">
        <v>44720.478055555555</v>
      </c>
      <c r="E100" s="2">
        <v>44722.458333333336</v>
      </c>
      <c r="F100" s="86"/>
      <c r="G100" s="170">
        <f>Tabla120[[#This Row],[Presupuesto]]/(1+'Lista Datos'!$B$1)</f>
        <v>0</v>
      </c>
      <c r="H100" s="30" t="s">
        <v>21</v>
      </c>
      <c r="I100" s="30" t="s">
        <v>106</v>
      </c>
      <c r="J100" s="26">
        <v>44720</v>
      </c>
      <c r="K100" s="85"/>
      <c r="L100" s="2"/>
      <c r="M100" s="2"/>
      <c r="N100" s="26"/>
      <c r="O100" s="27">
        <f>Tabla120[[#This Row],[Presupuesto]]</f>
        <v>0</v>
      </c>
      <c r="P100" s="59">
        <f>Tabla120[[#This Row],[PPTO]]/(1+'Lista Datos'!$B$1)</f>
        <v>0</v>
      </c>
      <c r="Q100" s="107"/>
      <c r="R100" s="59"/>
      <c r="S100" s="59">
        <f>Tabla120[[#This Row],[Unidades2]]*Tabla120[[#This Row],[Precio Unitario]]</f>
        <v>0</v>
      </c>
      <c r="T100" s="30" t="s">
        <v>270</v>
      </c>
      <c r="U100" s="104"/>
      <c r="V100" s="23"/>
      <c r="W100" s="59"/>
      <c r="X100" s="34" t="s">
        <v>1449</v>
      </c>
      <c r="Y100" s="23"/>
      <c r="Z100" s="23"/>
      <c r="AA100" s="108"/>
    </row>
    <row r="101" spans="1:27" ht="11.25" x14ac:dyDescent="0.2">
      <c r="A101" s="103" t="s">
        <v>6153</v>
      </c>
      <c r="B101" s="30" t="s">
        <v>6154</v>
      </c>
      <c r="C101" s="84" t="s">
        <v>1813</v>
      </c>
      <c r="D101" s="2">
        <v>44719.54965277778</v>
      </c>
      <c r="E101" s="2">
        <v>44721.583333333336</v>
      </c>
      <c r="F101" s="86"/>
      <c r="G101" s="170">
        <f>Tabla120[[#This Row],[Presupuesto]]/(1+'Lista Datos'!$B$1)</f>
        <v>0</v>
      </c>
      <c r="H101" s="30" t="s">
        <v>21</v>
      </c>
      <c r="I101" s="30" t="s">
        <v>106</v>
      </c>
      <c r="J101" s="26">
        <v>44720</v>
      </c>
      <c r="K101" s="85"/>
      <c r="L101" s="2"/>
      <c r="M101" s="2"/>
      <c r="N101" s="26"/>
      <c r="O101" s="27">
        <f>Tabla120[[#This Row],[Presupuesto]]</f>
        <v>0</v>
      </c>
      <c r="P101" s="59">
        <f>Tabla120[[#This Row],[PPTO]]/(1+'Lista Datos'!$B$1)</f>
        <v>0</v>
      </c>
      <c r="Q101" s="107">
        <v>9</v>
      </c>
      <c r="R101" s="59">
        <v>68775</v>
      </c>
      <c r="S101" s="59">
        <f>Tabla120[[#This Row],[Unidades2]]*Tabla120[[#This Row],[Precio Unitario]]</f>
        <v>618975</v>
      </c>
      <c r="T101" s="30" t="s">
        <v>270</v>
      </c>
      <c r="U101" s="104"/>
      <c r="V101" s="23"/>
      <c r="W101" s="59"/>
      <c r="X101" s="34" t="s">
        <v>1814</v>
      </c>
      <c r="Y101" s="23" t="s">
        <v>6155</v>
      </c>
      <c r="Z101" s="23" t="s">
        <v>6156</v>
      </c>
      <c r="AA101" s="108" t="s">
        <v>6157</v>
      </c>
    </row>
    <row r="102" spans="1:27" ht="11.25" x14ac:dyDescent="0.2">
      <c r="A102" s="103" t="s">
        <v>6158</v>
      </c>
      <c r="B102" s="30" t="s">
        <v>6159</v>
      </c>
      <c r="C102" s="84" t="s">
        <v>1236</v>
      </c>
      <c r="D102" s="2">
        <v>44719.509351851855</v>
      </c>
      <c r="E102" s="2">
        <v>44721.53125</v>
      </c>
      <c r="F102" s="86"/>
      <c r="G102" s="170">
        <f>Tabla120[[#This Row],[Presupuesto]]/(1+'Lista Datos'!$B$1)</f>
        <v>0</v>
      </c>
      <c r="H102" s="30" t="s">
        <v>21</v>
      </c>
      <c r="I102" s="30" t="s">
        <v>106</v>
      </c>
      <c r="J102" s="26">
        <v>44720</v>
      </c>
      <c r="K102" s="85"/>
      <c r="L102" s="2"/>
      <c r="M102" s="2"/>
      <c r="N102" s="26"/>
      <c r="O102" s="27">
        <f>Tabla120[[#This Row],[Presupuesto]]</f>
        <v>0</v>
      </c>
      <c r="P102" s="59">
        <f>Tabla120[[#This Row],[PPTO]]/(1+'Lista Datos'!$B$1)</f>
        <v>0</v>
      </c>
      <c r="Q102" s="107"/>
      <c r="R102" s="59"/>
      <c r="S102" s="59">
        <f>Tabla120[[#This Row],[Unidades2]]*Tabla120[[#This Row],[Precio Unitario]]</f>
        <v>0</v>
      </c>
      <c r="T102" s="30" t="s">
        <v>270</v>
      </c>
      <c r="U102" s="104"/>
      <c r="V102" s="23"/>
      <c r="W102" s="59"/>
      <c r="X102" s="34" t="s">
        <v>1237</v>
      </c>
      <c r="Y102" s="23" t="s">
        <v>6160</v>
      </c>
      <c r="Z102" s="23" t="s">
        <v>6161</v>
      </c>
      <c r="AA102" s="108" t="s">
        <v>6162</v>
      </c>
    </row>
    <row r="103" spans="1:27" ht="11.25" x14ac:dyDescent="0.2">
      <c r="A103" s="103" t="s">
        <v>6163</v>
      </c>
      <c r="B103" s="30" t="s">
        <v>6164</v>
      </c>
      <c r="C103" s="84" t="s">
        <v>1698</v>
      </c>
      <c r="D103" s="2">
        <v>44726.496944444443</v>
      </c>
      <c r="E103" s="2">
        <v>44729.40902777778</v>
      </c>
      <c r="F103" s="86"/>
      <c r="G103" s="170">
        <f>Tabla120[[#This Row],[Presupuesto]]/(1+'Lista Datos'!$B$1)</f>
        <v>0</v>
      </c>
      <c r="H103" s="30" t="s">
        <v>21</v>
      </c>
      <c r="I103" s="30" t="s">
        <v>6165</v>
      </c>
      <c r="J103" s="26">
        <v>44728</v>
      </c>
      <c r="K103" s="85"/>
      <c r="L103" s="2"/>
      <c r="M103" s="2"/>
      <c r="N103" s="26"/>
      <c r="O103" s="27">
        <f>Tabla120[[#This Row],[Presupuesto]]</f>
        <v>0</v>
      </c>
      <c r="P103" s="59">
        <f>Tabla120[[#This Row],[PPTO]]/(1+'Lista Datos'!$B$1)</f>
        <v>0</v>
      </c>
      <c r="Q103" s="107"/>
      <c r="R103" s="59"/>
      <c r="S103" s="59">
        <f>Tabla120[[#This Row],[Unidades2]]*Tabla120[[#This Row],[Precio Unitario]]</f>
        <v>0</v>
      </c>
      <c r="T103" s="30" t="s">
        <v>270</v>
      </c>
      <c r="U103" s="104"/>
      <c r="V103" s="23"/>
      <c r="W103" s="59"/>
      <c r="X103" s="34" t="s">
        <v>178</v>
      </c>
      <c r="Y103" s="23" t="s">
        <v>6166</v>
      </c>
      <c r="Z103" s="23" t="s">
        <v>6167</v>
      </c>
      <c r="AA103" s="108" t="s">
        <v>6168</v>
      </c>
    </row>
    <row r="104" spans="1:27" ht="11.25" x14ac:dyDescent="0.2">
      <c r="A104" s="103" t="s">
        <v>6169</v>
      </c>
      <c r="B104" s="30" t="s">
        <v>6098</v>
      </c>
      <c r="C104" s="84" t="s">
        <v>136</v>
      </c>
      <c r="D104" s="2">
        <v>44728.485937500001</v>
      </c>
      <c r="E104" s="2">
        <v>44729.5</v>
      </c>
      <c r="F104" s="86"/>
      <c r="G104" s="170">
        <f>Tabla120[[#This Row],[Presupuesto]]/(1+'Lista Datos'!$B$1)</f>
        <v>0</v>
      </c>
      <c r="H104" s="30" t="s">
        <v>21</v>
      </c>
      <c r="I104" s="30" t="s">
        <v>6165</v>
      </c>
      <c r="J104" s="26">
        <v>44728</v>
      </c>
      <c r="K104" s="85"/>
      <c r="L104" s="2"/>
      <c r="M104" s="2"/>
      <c r="N104" s="26"/>
      <c r="O104" s="27">
        <f>Tabla120[[#This Row],[Presupuesto]]</f>
        <v>0</v>
      </c>
      <c r="P104" s="59">
        <f>Tabla120[[#This Row],[PPTO]]/(1+'Lista Datos'!$B$1)</f>
        <v>0</v>
      </c>
      <c r="Q104" s="107"/>
      <c r="R104" s="59"/>
      <c r="S104" s="59">
        <f>Tabla120[[#This Row],[Unidades2]]*Tabla120[[#This Row],[Precio Unitario]]</f>
        <v>0</v>
      </c>
      <c r="T104" s="30" t="s">
        <v>270</v>
      </c>
      <c r="U104" s="104"/>
      <c r="V104" s="23"/>
      <c r="W104" s="59"/>
      <c r="X104" s="34" t="s">
        <v>138</v>
      </c>
      <c r="Y104" s="23" t="s">
        <v>6099</v>
      </c>
      <c r="Z104" s="23" t="s">
        <v>6100</v>
      </c>
      <c r="AA104" s="108" t="s">
        <v>6101</v>
      </c>
    </row>
    <row r="105" spans="1:27" ht="11.25" x14ac:dyDescent="0.2">
      <c r="A105" s="103" t="s">
        <v>6170</v>
      </c>
      <c r="B105" s="30" t="s">
        <v>6171</v>
      </c>
      <c r="C105" s="84" t="s">
        <v>6086</v>
      </c>
      <c r="D105" s="2">
        <v>44728.413229166668</v>
      </c>
      <c r="E105" s="2">
        <v>44729.5</v>
      </c>
      <c r="F105" s="86"/>
      <c r="G105" s="170">
        <f>Tabla120[[#This Row],[Presupuesto]]/(1+'Lista Datos'!$B$1)</f>
        <v>0</v>
      </c>
      <c r="H105" s="30" t="s">
        <v>21</v>
      </c>
      <c r="I105" s="30" t="s">
        <v>6165</v>
      </c>
      <c r="J105" s="26">
        <v>44728</v>
      </c>
      <c r="K105" s="85"/>
      <c r="L105" s="2"/>
      <c r="M105" s="2"/>
      <c r="N105" s="26"/>
      <c r="O105" s="27">
        <f>Tabla120[[#This Row],[Presupuesto]]</f>
        <v>0</v>
      </c>
      <c r="P105" s="59">
        <f>Tabla120[[#This Row],[PPTO]]/(1+'Lista Datos'!$B$1)</f>
        <v>0</v>
      </c>
      <c r="Q105" s="107"/>
      <c r="R105" s="59"/>
      <c r="S105" s="59">
        <f>Tabla120[[#This Row],[Unidades2]]*Tabla120[[#This Row],[Precio Unitario]]</f>
        <v>0</v>
      </c>
      <c r="T105" s="30" t="s">
        <v>270</v>
      </c>
      <c r="U105" s="104"/>
      <c r="V105" s="23"/>
      <c r="W105" s="59"/>
      <c r="X105" s="34" t="s">
        <v>6087</v>
      </c>
      <c r="Y105" s="23" t="s">
        <v>6172</v>
      </c>
      <c r="Z105" s="23" t="s">
        <v>6173</v>
      </c>
      <c r="AA105" s="108" t="s">
        <v>6174</v>
      </c>
    </row>
    <row r="106" spans="1:27" ht="11.25" x14ac:dyDescent="0.2">
      <c r="A106" s="103" t="s">
        <v>6175</v>
      </c>
      <c r="B106" s="30" t="s">
        <v>3044</v>
      </c>
      <c r="C106" s="84" t="s">
        <v>6176</v>
      </c>
      <c r="D106" s="2">
        <v>44743.622129629628</v>
      </c>
      <c r="E106" s="2">
        <v>44747.620138888888</v>
      </c>
      <c r="F106" s="86"/>
      <c r="G106" s="170">
        <f>Tabla120[[#This Row],[Presupuesto]]/(1+'Lista Datos'!$B$1)</f>
        <v>0</v>
      </c>
      <c r="H106" s="30" t="s">
        <v>21</v>
      </c>
      <c r="I106" s="30" t="s">
        <v>106</v>
      </c>
      <c r="J106" s="26">
        <v>44746</v>
      </c>
      <c r="K106" s="85"/>
      <c r="L106" s="2"/>
      <c r="M106" s="2"/>
      <c r="N106" s="26"/>
      <c r="O106" s="27">
        <f>Tabla120[[#This Row],[Presupuesto]]</f>
        <v>0</v>
      </c>
      <c r="P106" s="59">
        <f>Tabla120[[#This Row],[PPTO]]/(1+'Lista Datos'!$B$1)</f>
        <v>0</v>
      </c>
      <c r="Q106" s="107">
        <v>50</v>
      </c>
      <c r="R106" s="59">
        <v>22102</v>
      </c>
      <c r="S106" s="59">
        <f>Tabla120[[#This Row],[Unidades2]]*Tabla120[[#This Row],[Precio Unitario]]</f>
        <v>1105100</v>
      </c>
      <c r="T106" s="30" t="s">
        <v>270</v>
      </c>
      <c r="U106" s="104"/>
      <c r="V106" s="23"/>
      <c r="W106" s="59"/>
      <c r="X106" s="34" t="s">
        <v>6177</v>
      </c>
      <c r="Y106" s="23" t="s">
        <v>6178</v>
      </c>
      <c r="Z106" s="23" t="s">
        <v>6179</v>
      </c>
      <c r="AA106" s="108" t="s">
        <v>6180</v>
      </c>
    </row>
    <row r="107" spans="1:27" ht="11.25" x14ac:dyDescent="0.2">
      <c r="A107" s="103" t="s">
        <v>6181</v>
      </c>
      <c r="B107" s="30" t="s">
        <v>3044</v>
      </c>
      <c r="C107" s="84" t="s">
        <v>6176</v>
      </c>
      <c r="D107" s="2">
        <v>44743.622129629628</v>
      </c>
      <c r="E107" s="2">
        <v>44747.620138888888</v>
      </c>
      <c r="F107" s="86"/>
      <c r="G107" s="170">
        <f>Tabla120[[#This Row],[Presupuesto]]/(1+'Lista Datos'!$B$1)</f>
        <v>0</v>
      </c>
      <c r="H107" s="30" t="s">
        <v>21</v>
      </c>
      <c r="I107" s="30" t="s">
        <v>106</v>
      </c>
      <c r="J107" s="26">
        <v>44746</v>
      </c>
      <c r="K107" s="85"/>
      <c r="L107" s="2"/>
      <c r="M107" s="2"/>
      <c r="N107" s="26"/>
      <c r="O107" s="27">
        <f>Tabla120[[#This Row],[Presupuesto]]</f>
        <v>0</v>
      </c>
      <c r="P107" s="59">
        <f>Tabla120[[#This Row],[PPTO]]/(1+'Lista Datos'!$B$1)</f>
        <v>0</v>
      </c>
      <c r="Q107" s="107"/>
      <c r="R107" s="59"/>
      <c r="S107" s="59">
        <f>Tabla120[[#This Row],[Unidades2]]*Tabla120[[#This Row],[Precio Unitario]]</f>
        <v>0</v>
      </c>
      <c r="T107" s="30" t="s">
        <v>270</v>
      </c>
      <c r="U107" s="104"/>
      <c r="V107" s="23"/>
      <c r="W107" s="59"/>
      <c r="X107" s="34" t="s">
        <v>6177</v>
      </c>
      <c r="Y107" s="23" t="s">
        <v>6178</v>
      </c>
      <c r="Z107" s="23" t="s">
        <v>6179</v>
      </c>
      <c r="AA107" s="108" t="s">
        <v>6180</v>
      </c>
    </row>
    <row r="108" spans="1:27" ht="11.25" x14ac:dyDescent="0.2">
      <c r="A108" s="103" t="s">
        <v>6182</v>
      </c>
      <c r="B108" s="30" t="s">
        <v>6183</v>
      </c>
      <c r="C108" s="84" t="s">
        <v>234</v>
      </c>
      <c r="D108" s="2">
        <v>44746.579594907409</v>
      </c>
      <c r="E108" s="2">
        <v>44750.573611111111</v>
      </c>
      <c r="F108" s="86"/>
      <c r="G108" s="170">
        <f>Tabla120[[#This Row],[Presupuesto]]/(1+'Lista Datos'!$B$1)</f>
        <v>0</v>
      </c>
      <c r="H108" s="30" t="s">
        <v>21</v>
      </c>
      <c r="I108" s="30" t="s">
        <v>106</v>
      </c>
      <c r="J108" s="26">
        <v>44747</v>
      </c>
      <c r="K108" s="85"/>
      <c r="L108" s="2"/>
      <c r="M108" s="2"/>
      <c r="N108" s="26"/>
      <c r="O108" s="27">
        <f>Tabla120[[#This Row],[Presupuesto]]</f>
        <v>0</v>
      </c>
      <c r="P108" s="59">
        <f>Tabla120[[#This Row],[PPTO]]/(1+'Lista Datos'!$B$1)</f>
        <v>0</v>
      </c>
      <c r="Q108" s="107">
        <v>1</v>
      </c>
      <c r="R108" s="59">
        <v>722225</v>
      </c>
      <c r="S108" s="59">
        <f>Tabla120[[#This Row],[Unidades2]]*Tabla120[[#This Row],[Precio Unitario]]</f>
        <v>722225</v>
      </c>
      <c r="T108" s="30" t="s">
        <v>270</v>
      </c>
      <c r="U108" s="104"/>
      <c r="V108" s="23"/>
      <c r="W108" s="59"/>
      <c r="X108" s="34" t="s">
        <v>235</v>
      </c>
      <c r="Y108" s="23" t="s">
        <v>6184</v>
      </c>
      <c r="Z108" s="23" t="s">
        <v>6185</v>
      </c>
      <c r="AA108" s="108" t="s">
        <v>6186</v>
      </c>
    </row>
    <row r="109" spans="1:27" ht="11.25" x14ac:dyDescent="0.2">
      <c r="A109" s="103" t="s">
        <v>6187</v>
      </c>
      <c r="B109" s="30" t="s">
        <v>6188</v>
      </c>
      <c r="C109" s="84" t="s">
        <v>2822</v>
      </c>
      <c r="D109" s="2">
        <v>44751.556921296295</v>
      </c>
      <c r="E109" s="2">
        <v>44754.55</v>
      </c>
      <c r="F109" s="86"/>
      <c r="G109" s="170">
        <f>Tabla120[[#This Row],[Presupuesto]]/(1+'Lista Datos'!$B$1)</f>
        <v>0</v>
      </c>
      <c r="H109" s="30" t="s">
        <v>21</v>
      </c>
      <c r="I109" s="30" t="s">
        <v>6165</v>
      </c>
      <c r="J109" s="26">
        <v>44753</v>
      </c>
      <c r="K109" s="85"/>
      <c r="L109" s="2"/>
      <c r="M109" s="2"/>
      <c r="N109" s="26"/>
      <c r="O109" s="27">
        <f>Tabla120[[#This Row],[Presupuesto]]</f>
        <v>0</v>
      </c>
      <c r="P109" s="59">
        <f>Tabla120[[#This Row],[PPTO]]/(1+'Lista Datos'!$B$1)</f>
        <v>0</v>
      </c>
      <c r="Q109" s="107"/>
      <c r="R109" s="59"/>
      <c r="S109" s="59">
        <f>Tabla120[[#This Row],[Unidades2]]*Tabla120[[#This Row],[Precio Unitario]]</f>
        <v>0</v>
      </c>
      <c r="T109" s="30" t="s">
        <v>270</v>
      </c>
      <c r="U109" s="104"/>
      <c r="V109" s="23"/>
      <c r="W109" s="59"/>
      <c r="X109" s="34" t="s">
        <v>572</v>
      </c>
      <c r="Y109" s="23" t="s">
        <v>6189</v>
      </c>
      <c r="Z109" s="23" t="s">
        <v>6190</v>
      </c>
      <c r="AA109" s="108" t="s">
        <v>6191</v>
      </c>
    </row>
    <row r="110" spans="1:27" ht="11.25" x14ac:dyDescent="0.2">
      <c r="A110" s="103" t="s">
        <v>6192</v>
      </c>
      <c r="B110" s="30" t="s">
        <v>6193</v>
      </c>
      <c r="C110" s="84" t="s">
        <v>6194</v>
      </c>
      <c r="D110" s="2">
        <v>44753.487013888887</v>
      </c>
      <c r="E110" s="2">
        <v>44754.5</v>
      </c>
      <c r="F110" s="86"/>
      <c r="G110" s="170">
        <f>Tabla120[[#This Row],[Presupuesto]]/(1+'Lista Datos'!$B$1)</f>
        <v>0</v>
      </c>
      <c r="H110" s="30" t="s">
        <v>21</v>
      </c>
      <c r="I110" s="30" t="s">
        <v>6165</v>
      </c>
      <c r="J110" s="26">
        <v>44753</v>
      </c>
      <c r="K110" s="85"/>
      <c r="L110" s="2"/>
      <c r="M110" s="2"/>
      <c r="N110" s="26"/>
      <c r="O110" s="27">
        <f>Tabla120[[#This Row],[Presupuesto]]</f>
        <v>0</v>
      </c>
      <c r="P110" s="59">
        <f>Tabla120[[#This Row],[PPTO]]/(1+'Lista Datos'!$B$1)</f>
        <v>0</v>
      </c>
      <c r="Q110" s="107"/>
      <c r="R110" s="59"/>
      <c r="S110" s="59">
        <f>Tabla120[[#This Row],[Unidades2]]*Tabla120[[#This Row],[Precio Unitario]]</f>
        <v>0</v>
      </c>
      <c r="T110" s="30" t="s">
        <v>270</v>
      </c>
      <c r="U110" s="104"/>
      <c r="V110" s="23"/>
      <c r="W110" s="59"/>
      <c r="X110" s="34" t="s">
        <v>6195</v>
      </c>
      <c r="Y110" s="23" t="s">
        <v>6196</v>
      </c>
      <c r="Z110" s="23" t="s">
        <v>6197</v>
      </c>
      <c r="AA110" s="108" t="s">
        <v>6198</v>
      </c>
    </row>
    <row r="111" spans="1:27" ht="11.25" x14ac:dyDescent="0.2">
      <c r="A111" s="103" t="s">
        <v>6199</v>
      </c>
      <c r="B111" s="30" t="s">
        <v>6200</v>
      </c>
      <c r="C111" s="84" t="s">
        <v>6194</v>
      </c>
      <c r="D111" s="2">
        <v>44753.47457175926</v>
      </c>
      <c r="E111" s="2">
        <v>44754.5</v>
      </c>
      <c r="F111" s="86"/>
      <c r="G111" s="170">
        <f>Tabla120[[#This Row],[Presupuesto]]/(1+'Lista Datos'!$B$1)</f>
        <v>0</v>
      </c>
      <c r="H111" s="30" t="s">
        <v>21</v>
      </c>
      <c r="I111" s="30" t="s">
        <v>6165</v>
      </c>
      <c r="J111" s="26">
        <v>44753</v>
      </c>
      <c r="K111" s="85"/>
      <c r="L111" s="2"/>
      <c r="M111" s="2"/>
      <c r="N111" s="26"/>
      <c r="O111" s="27">
        <f>Tabla120[[#This Row],[Presupuesto]]</f>
        <v>0</v>
      </c>
      <c r="P111" s="59">
        <f>Tabla120[[#This Row],[PPTO]]/(1+'Lista Datos'!$B$1)</f>
        <v>0</v>
      </c>
      <c r="Q111" s="107"/>
      <c r="R111" s="59"/>
      <c r="S111" s="59">
        <f>Tabla120[[#This Row],[Unidades2]]*Tabla120[[#This Row],[Precio Unitario]]</f>
        <v>0</v>
      </c>
      <c r="T111" s="30" t="s">
        <v>270</v>
      </c>
      <c r="U111" s="104"/>
      <c r="V111" s="23"/>
      <c r="W111" s="59"/>
      <c r="X111" s="34" t="s">
        <v>6195</v>
      </c>
      <c r="Y111" s="23" t="s">
        <v>6196</v>
      </c>
      <c r="Z111" s="23"/>
      <c r="AA111" s="108" t="s">
        <v>6198</v>
      </c>
    </row>
    <row r="112" spans="1:27" ht="11.25" x14ac:dyDescent="0.2">
      <c r="A112" s="103" t="s">
        <v>6201</v>
      </c>
      <c r="B112" s="30" t="s">
        <v>6202</v>
      </c>
      <c r="C112" s="84" t="s">
        <v>6203</v>
      </c>
      <c r="D112" s="2">
        <v>44813.501377314817</v>
      </c>
      <c r="E112" s="2">
        <v>44817.489583333336</v>
      </c>
      <c r="F112" s="86"/>
      <c r="G112" s="170">
        <f>Tabla120[[#This Row],[Presupuesto]]/(1+'Lista Datos'!$B$1)</f>
        <v>0</v>
      </c>
      <c r="H112" s="30" t="s">
        <v>21</v>
      </c>
      <c r="I112" s="30" t="s">
        <v>6165</v>
      </c>
      <c r="J112" s="26">
        <v>44816</v>
      </c>
      <c r="K112" s="85"/>
      <c r="L112" s="2"/>
      <c r="M112" s="2"/>
      <c r="N112" s="26"/>
      <c r="O112" s="27">
        <f>Tabla120[[#This Row],[Presupuesto]]</f>
        <v>0</v>
      </c>
      <c r="P112" s="59">
        <f>Tabla120[[#This Row],[PPTO]]/(1+'Lista Datos'!$B$1)</f>
        <v>0</v>
      </c>
      <c r="Q112" s="107"/>
      <c r="R112" s="59"/>
      <c r="S112" s="59">
        <f>Tabla120[[#This Row],[Unidades2]]*Tabla120[[#This Row],[Precio Unitario]]</f>
        <v>0</v>
      </c>
      <c r="T112" s="30" t="s">
        <v>270</v>
      </c>
      <c r="U112" s="104"/>
      <c r="V112" s="23"/>
      <c r="W112" s="59"/>
      <c r="X112" s="34" t="s">
        <v>6204</v>
      </c>
      <c r="Y112" s="23"/>
      <c r="Z112" s="23"/>
      <c r="AA112" s="108"/>
    </row>
    <row r="113" spans="1:27" ht="11.25" x14ac:dyDescent="0.2">
      <c r="A113" s="103" t="s">
        <v>6205</v>
      </c>
      <c r="B113" s="30" t="s">
        <v>5245</v>
      </c>
      <c r="C113" s="84" t="s">
        <v>486</v>
      </c>
      <c r="D113" s="2">
        <v>44812.430972222224</v>
      </c>
      <c r="E113" s="2">
        <v>44818.385416666664</v>
      </c>
      <c r="F113" s="86"/>
      <c r="G113" s="170">
        <f>Tabla120[[#This Row],[Presupuesto]]/(1+'Lista Datos'!$B$1)</f>
        <v>0</v>
      </c>
      <c r="H113" s="30" t="s">
        <v>21</v>
      </c>
      <c r="I113" s="30" t="s">
        <v>6165</v>
      </c>
      <c r="J113" s="26">
        <v>44816</v>
      </c>
      <c r="K113" s="85"/>
      <c r="L113" s="2"/>
      <c r="M113" s="2"/>
      <c r="N113" s="26"/>
      <c r="O113" s="27">
        <f>Tabla120[[#This Row],[Presupuesto]]</f>
        <v>0</v>
      </c>
      <c r="P113" s="59">
        <f>Tabla120[[#This Row],[PPTO]]/(1+'Lista Datos'!$B$1)</f>
        <v>0</v>
      </c>
      <c r="Q113" s="107"/>
      <c r="R113" s="59"/>
      <c r="S113" s="59">
        <f>Tabla120[[#This Row],[Unidades2]]*Tabla120[[#This Row],[Precio Unitario]]</f>
        <v>0</v>
      </c>
      <c r="T113" s="30" t="s">
        <v>270</v>
      </c>
      <c r="U113" s="104"/>
      <c r="V113" s="23"/>
      <c r="W113" s="59"/>
      <c r="X113" s="34" t="s">
        <v>884</v>
      </c>
      <c r="Y113" s="23" t="s">
        <v>6206</v>
      </c>
      <c r="Z113" s="23" t="s">
        <v>6207</v>
      </c>
      <c r="AA113" s="108" t="s">
        <v>6208</v>
      </c>
    </row>
    <row r="114" spans="1:27" ht="11.25" x14ac:dyDescent="0.2">
      <c r="A114" s="103" t="s">
        <v>6209</v>
      </c>
      <c r="B114" s="118" t="s">
        <v>6210</v>
      </c>
      <c r="C114" s="119" t="s">
        <v>1917</v>
      </c>
      <c r="D114" s="40">
        <v>44813.453379629631</v>
      </c>
      <c r="E114" s="2">
        <v>44832.458333333336</v>
      </c>
      <c r="F114" s="86"/>
      <c r="G114" s="171">
        <f>Tabla120[[#This Row],[Presupuesto]]/(1+'Lista Datos'!$B$1)</f>
        <v>0</v>
      </c>
      <c r="H114" s="118" t="s">
        <v>21</v>
      </c>
      <c r="I114" s="118" t="s">
        <v>6165</v>
      </c>
      <c r="J114" s="41">
        <v>44824</v>
      </c>
      <c r="K114" s="85"/>
      <c r="L114" s="2"/>
      <c r="M114" s="2"/>
      <c r="N114" s="26"/>
      <c r="O114" s="27">
        <f>Tabla120[[#This Row],[Presupuesto]]</f>
        <v>0</v>
      </c>
      <c r="P114" s="59">
        <f>Tabla120[[#This Row],[PPTO]]/(1+'Lista Datos'!$B$1)</f>
        <v>0</v>
      </c>
      <c r="Q114" s="107">
        <v>1</v>
      </c>
      <c r="R114" s="59">
        <v>1669480</v>
      </c>
      <c r="S114" s="59">
        <f>Tabla120[[#This Row],[Unidades2]]*Tabla120[[#This Row],[Precio Unitario]]</f>
        <v>1669480</v>
      </c>
      <c r="T114" s="30" t="s">
        <v>270</v>
      </c>
      <c r="U114" s="104"/>
      <c r="V114" s="23"/>
      <c r="W114" s="59"/>
      <c r="X114" s="34" t="s">
        <v>1918</v>
      </c>
      <c r="Y114" s="23" t="s">
        <v>5950</v>
      </c>
      <c r="Z114" s="23" t="s">
        <v>6211</v>
      </c>
      <c r="AA114" s="108" t="s">
        <v>5952</v>
      </c>
    </row>
    <row r="115" spans="1:27" ht="11.25" x14ac:dyDescent="0.2">
      <c r="A115" s="128" t="s">
        <v>6212</v>
      </c>
      <c r="B115" s="23" t="s">
        <v>6213</v>
      </c>
      <c r="C115" s="34" t="s">
        <v>6214</v>
      </c>
      <c r="D115" s="2" t="s">
        <v>6215</v>
      </c>
      <c r="E115" s="63" t="s">
        <v>6216</v>
      </c>
      <c r="F115" s="131">
        <v>700000</v>
      </c>
      <c r="G115" s="171">
        <f>Tabla120[[#This Row],[Presupuesto]]/(1+'Lista Datos'!$B$1)</f>
        <v>588235.29411764711</v>
      </c>
      <c r="H115" s="32" t="s">
        <v>15</v>
      </c>
      <c r="I115" s="23" t="s">
        <v>114</v>
      </c>
      <c r="J115" s="26">
        <v>44971</v>
      </c>
      <c r="K115" s="133"/>
      <c r="L115" s="2"/>
      <c r="M115" s="2"/>
      <c r="N115" s="18"/>
      <c r="O115" s="135">
        <f>Tabla120[[#This Row],[Presupuesto]]</f>
        <v>700000</v>
      </c>
      <c r="P115" s="136">
        <f>Tabla120[[#This Row],[PPTO]]/(1+'Lista Datos'!$B$1)</f>
        <v>588235.29411764711</v>
      </c>
      <c r="Q115" s="68"/>
      <c r="R115" s="136"/>
      <c r="S115" s="142">
        <f>Tabla120[[#This Row],[Unidades2]]*Tabla120[[#This Row],[Precio Unitario]]</f>
        <v>0</v>
      </c>
      <c r="T115" s="126" t="s">
        <v>270</v>
      </c>
      <c r="U115" s="127"/>
      <c r="V115" s="68"/>
      <c r="W115" s="67"/>
      <c r="X115" s="69"/>
      <c r="Y115" s="68"/>
      <c r="Z115" s="68"/>
      <c r="AA115" s="68"/>
    </row>
    <row r="116" spans="1:27" ht="11.25" x14ac:dyDescent="0.2">
      <c r="A116" s="128" t="s">
        <v>6217</v>
      </c>
      <c r="B116" s="23" t="s">
        <v>6218</v>
      </c>
      <c r="C116" s="34" t="s">
        <v>6219</v>
      </c>
      <c r="D116" s="2" t="s">
        <v>6220</v>
      </c>
      <c r="E116" s="63" t="s">
        <v>6221</v>
      </c>
      <c r="F116" s="131">
        <v>150000</v>
      </c>
      <c r="G116" s="171">
        <f>Tabla120[[#This Row],[Presupuesto]]/(1+'Lista Datos'!$B$1)</f>
        <v>126050.42016806723</v>
      </c>
      <c r="H116" s="32" t="s">
        <v>16</v>
      </c>
      <c r="I116" s="23" t="s">
        <v>213</v>
      </c>
      <c r="J116" s="26">
        <v>44971</v>
      </c>
      <c r="K116" s="133" t="s">
        <v>10</v>
      </c>
      <c r="L116" s="2" t="s">
        <v>25</v>
      </c>
      <c r="M116" s="2" t="s">
        <v>10</v>
      </c>
      <c r="N116" s="18"/>
      <c r="O116" s="135">
        <f>Tabla120[[#This Row],[Presupuesto]]</f>
        <v>150000</v>
      </c>
      <c r="P116" s="136">
        <f>Tabla120[[#This Row],[PPTO]]/(1+'Lista Datos'!$B$1)</f>
        <v>126050.42016806723</v>
      </c>
      <c r="Q116" s="68"/>
      <c r="R116" s="136"/>
      <c r="S116" s="142">
        <f>Tabla120[[#This Row],[Unidades2]]*Tabla120[[#This Row],[Precio Unitario]]</f>
        <v>0</v>
      </c>
      <c r="T116" s="126" t="s">
        <v>270</v>
      </c>
      <c r="U116" s="127"/>
      <c r="V116" s="68"/>
      <c r="W116" s="67"/>
      <c r="X116" s="69"/>
      <c r="Y116" s="68"/>
      <c r="Z116" s="68"/>
      <c r="AA116" s="68"/>
    </row>
    <row r="117" spans="1:27" ht="11.25" x14ac:dyDescent="0.2">
      <c r="A117" s="128" t="s">
        <v>6222</v>
      </c>
      <c r="B117" s="23" t="s">
        <v>6223</v>
      </c>
      <c r="C117" s="34" t="s">
        <v>6224</v>
      </c>
      <c r="D117" s="2" t="s">
        <v>6225</v>
      </c>
      <c r="E117" s="63" t="s">
        <v>6226</v>
      </c>
      <c r="F117" s="131">
        <v>1800000</v>
      </c>
      <c r="G117" s="171">
        <f>Tabla120[[#This Row],[Presupuesto]]/(1+'Lista Datos'!$B$1)</f>
        <v>1512605.0420168068</v>
      </c>
      <c r="H117" s="32" t="s">
        <v>16</v>
      </c>
      <c r="I117" s="23" t="s">
        <v>1596</v>
      </c>
      <c r="J117" s="26">
        <v>44971</v>
      </c>
      <c r="K117" s="133"/>
      <c r="L117" s="2"/>
      <c r="M117" s="2"/>
      <c r="N117" s="18"/>
      <c r="O117" s="135">
        <f>Tabla120[[#This Row],[Presupuesto]]</f>
        <v>1800000</v>
      </c>
      <c r="P117" s="136">
        <f>Tabla120[[#This Row],[PPTO]]/(1+'Lista Datos'!$B$1)</f>
        <v>1512605.0420168068</v>
      </c>
      <c r="Q117" s="68"/>
      <c r="R117" s="136"/>
      <c r="S117" s="142">
        <f>Tabla120[[#This Row],[Unidades2]]*Tabla120[[#This Row],[Precio Unitario]]</f>
        <v>0</v>
      </c>
      <c r="T117" s="126" t="s">
        <v>270</v>
      </c>
      <c r="U117" s="127"/>
      <c r="V117" s="68"/>
      <c r="W117" s="67"/>
      <c r="X117" s="69"/>
      <c r="Y117" s="68"/>
      <c r="Z117" s="68"/>
      <c r="AA117" s="68"/>
    </row>
    <row r="118" spans="1:27" ht="11.25" x14ac:dyDescent="0.2">
      <c r="A118" s="128" t="s">
        <v>6227</v>
      </c>
      <c r="B118" s="23" t="s">
        <v>6228</v>
      </c>
      <c r="C118" s="34" t="s">
        <v>6219</v>
      </c>
      <c r="D118" s="2" t="s">
        <v>6229</v>
      </c>
      <c r="E118" s="63" t="s">
        <v>6230</v>
      </c>
      <c r="F118" s="131">
        <v>100000</v>
      </c>
      <c r="G118" s="171">
        <f>Tabla120[[#This Row],[Presupuesto]]/(1+'Lista Datos'!$B$1)</f>
        <v>84033.613445378156</v>
      </c>
      <c r="H118" s="32" t="s">
        <v>16</v>
      </c>
      <c r="I118" s="23" t="s">
        <v>213</v>
      </c>
      <c r="J118" s="26">
        <v>44971</v>
      </c>
      <c r="K118" s="133" t="s">
        <v>10</v>
      </c>
      <c r="L118" s="2" t="s">
        <v>25</v>
      </c>
      <c r="M118" s="2" t="s">
        <v>10</v>
      </c>
      <c r="N118" s="18"/>
      <c r="O118" s="135">
        <f>Tabla120[[#This Row],[Presupuesto]]</f>
        <v>100000</v>
      </c>
      <c r="P118" s="136">
        <f>Tabla120[[#This Row],[PPTO]]/(1+'Lista Datos'!$B$1)</f>
        <v>84033.613445378156</v>
      </c>
      <c r="Q118" s="68"/>
      <c r="R118" s="136"/>
      <c r="S118" s="142">
        <f>Tabla120[[#This Row],[Unidades2]]*Tabla120[[#This Row],[Precio Unitario]]</f>
        <v>0</v>
      </c>
      <c r="T118" s="126" t="s">
        <v>270</v>
      </c>
      <c r="U118" s="127"/>
      <c r="V118" s="68"/>
      <c r="W118" s="67"/>
      <c r="X118" s="69"/>
      <c r="Y118" s="68"/>
      <c r="Z118" s="68"/>
      <c r="AA118" s="68"/>
    </row>
    <row r="119" spans="1:27" ht="11.25" x14ac:dyDescent="0.2">
      <c r="A119" s="128" t="s">
        <v>6231</v>
      </c>
      <c r="B119" s="23" t="s">
        <v>6232</v>
      </c>
      <c r="C119" s="34" t="s">
        <v>6233</v>
      </c>
      <c r="D119" s="2" t="s">
        <v>6234</v>
      </c>
      <c r="E119" s="63" t="s">
        <v>6235</v>
      </c>
      <c r="F119" s="131">
        <v>500000</v>
      </c>
      <c r="G119" s="171">
        <f>Tabla120[[#This Row],[Presupuesto]]/(1+'Lista Datos'!$B$1)</f>
        <v>420168.06722689077</v>
      </c>
      <c r="H119" s="32" t="s">
        <v>16</v>
      </c>
      <c r="I119" s="23" t="s">
        <v>213</v>
      </c>
      <c r="J119" s="26">
        <v>44971</v>
      </c>
      <c r="K119" s="133" t="s">
        <v>10</v>
      </c>
      <c r="L119" s="2" t="s">
        <v>25</v>
      </c>
      <c r="M119" s="2" t="s">
        <v>10</v>
      </c>
      <c r="N119" s="18"/>
      <c r="O119" s="135">
        <f>Tabla120[[#This Row],[Presupuesto]]</f>
        <v>500000</v>
      </c>
      <c r="P119" s="136">
        <f>Tabla120[[#This Row],[PPTO]]/(1+'Lista Datos'!$B$1)</f>
        <v>420168.06722689077</v>
      </c>
      <c r="Q119" s="68"/>
      <c r="R119" s="136"/>
      <c r="S119" s="142">
        <f>Tabla120[[#This Row],[Unidades2]]*Tabla120[[#This Row],[Precio Unitario]]</f>
        <v>0</v>
      </c>
      <c r="T119" s="126" t="s">
        <v>270</v>
      </c>
      <c r="U119" s="127"/>
      <c r="V119" s="68"/>
      <c r="W119" s="67"/>
      <c r="X119" s="69"/>
      <c r="Y119" s="68"/>
      <c r="Z119" s="68"/>
      <c r="AA119" s="68"/>
    </row>
    <row r="120" spans="1:27" ht="11.25" x14ac:dyDescent="0.2">
      <c r="A120" s="128" t="s">
        <v>6236</v>
      </c>
      <c r="B120" s="23" t="s">
        <v>6237</v>
      </c>
      <c r="C120" s="34" t="s">
        <v>6219</v>
      </c>
      <c r="D120" s="2" t="s">
        <v>6238</v>
      </c>
      <c r="E120" s="63" t="s">
        <v>6230</v>
      </c>
      <c r="F120" s="131">
        <v>1850000</v>
      </c>
      <c r="G120" s="171">
        <f>Tabla120[[#This Row],[Presupuesto]]/(1+'Lista Datos'!$B$1)</f>
        <v>1554621.848739496</v>
      </c>
      <c r="H120" s="32" t="s">
        <v>16</v>
      </c>
      <c r="I120" s="23" t="s">
        <v>213</v>
      </c>
      <c r="J120" s="26">
        <v>44971</v>
      </c>
      <c r="K120" s="133" t="s">
        <v>10</v>
      </c>
      <c r="L120" s="2" t="s">
        <v>25</v>
      </c>
      <c r="M120" s="2" t="s">
        <v>10</v>
      </c>
      <c r="N120" s="18"/>
      <c r="O120" s="135">
        <f>Tabla120[[#This Row],[Presupuesto]]</f>
        <v>1850000</v>
      </c>
      <c r="P120" s="136">
        <f>Tabla120[[#This Row],[PPTO]]/(1+'Lista Datos'!$B$1)</f>
        <v>1554621.848739496</v>
      </c>
      <c r="Q120" s="68"/>
      <c r="R120" s="136"/>
      <c r="S120" s="142">
        <f>Tabla120[[#This Row],[Unidades2]]*Tabla120[[#This Row],[Precio Unitario]]</f>
        <v>0</v>
      </c>
      <c r="T120" s="126" t="s">
        <v>270</v>
      </c>
      <c r="U120" s="127"/>
      <c r="V120" s="68"/>
      <c r="W120" s="67"/>
      <c r="X120" s="69"/>
      <c r="Y120" s="68"/>
      <c r="Z120" s="68"/>
      <c r="AA120" s="68"/>
    </row>
    <row r="121" spans="1:27" ht="11.25" x14ac:dyDescent="0.2">
      <c r="A121" s="128" t="s">
        <v>6239</v>
      </c>
      <c r="B121" s="23" t="s">
        <v>6240</v>
      </c>
      <c r="C121" s="34" t="s">
        <v>6219</v>
      </c>
      <c r="D121" s="2" t="s">
        <v>6241</v>
      </c>
      <c r="E121" s="63" t="s">
        <v>6242</v>
      </c>
      <c r="F121" s="131">
        <v>1</v>
      </c>
      <c r="G121" s="171">
        <f>Tabla120[[#This Row],[Presupuesto]]/(1+'Lista Datos'!$B$1)</f>
        <v>0.84033613445378152</v>
      </c>
      <c r="H121" s="32" t="s">
        <v>16</v>
      </c>
      <c r="I121" s="23" t="s">
        <v>106</v>
      </c>
      <c r="J121" s="26">
        <v>44971</v>
      </c>
      <c r="K121" s="133" t="s">
        <v>11</v>
      </c>
      <c r="L121" s="2"/>
      <c r="M121" s="2" t="s">
        <v>11</v>
      </c>
      <c r="N121" s="18" t="s">
        <v>6243</v>
      </c>
      <c r="O121" s="135">
        <f>Tabla120[[#This Row],[Presupuesto]]</f>
        <v>1</v>
      </c>
      <c r="P121" s="136">
        <f>Tabla120[[#This Row],[PPTO]]/(1+'Lista Datos'!$B$1)</f>
        <v>0.84033613445378152</v>
      </c>
      <c r="Q121" s="68">
        <v>20</v>
      </c>
      <c r="R121" s="136">
        <v>22310</v>
      </c>
      <c r="S121" s="142">
        <f>Tabla120[[#This Row],[Unidades2]]*Tabla120[[#This Row],[Precio Unitario]]</f>
        <v>446200</v>
      </c>
      <c r="T121" s="126" t="s">
        <v>270</v>
      </c>
      <c r="U121" s="127"/>
      <c r="V121" s="68"/>
      <c r="W121" s="67"/>
      <c r="X121" s="69"/>
      <c r="Y121" s="68"/>
      <c r="Z121" s="68"/>
      <c r="AA121" s="68"/>
    </row>
    <row r="122" spans="1:27" ht="11.25" x14ac:dyDescent="0.2">
      <c r="A122" s="128" t="s">
        <v>6244</v>
      </c>
      <c r="B122" s="23" t="s">
        <v>6245</v>
      </c>
      <c r="C122" s="34" t="s">
        <v>6246</v>
      </c>
      <c r="D122" s="2" t="s">
        <v>6247</v>
      </c>
      <c r="E122" s="63" t="s">
        <v>6248</v>
      </c>
      <c r="F122" s="131">
        <v>1200000</v>
      </c>
      <c r="G122" s="171">
        <f>Tabla120[[#This Row],[Presupuesto]]/(1+'Lista Datos'!$B$1)</f>
        <v>1008403.3613445378</v>
      </c>
      <c r="H122" s="32" t="s">
        <v>16</v>
      </c>
      <c r="I122" s="23" t="s">
        <v>213</v>
      </c>
      <c r="J122" s="26">
        <v>44971</v>
      </c>
      <c r="K122" s="133"/>
      <c r="L122" s="2"/>
      <c r="M122" s="2"/>
      <c r="N122" s="18"/>
      <c r="O122" s="135">
        <f>Tabla120[[#This Row],[Presupuesto]]</f>
        <v>1200000</v>
      </c>
      <c r="P122" s="136">
        <f>Tabla120[[#This Row],[PPTO]]/(1+'Lista Datos'!$B$1)</f>
        <v>1008403.3613445378</v>
      </c>
      <c r="Q122" s="68"/>
      <c r="R122" s="136"/>
      <c r="S122" s="142">
        <f>Tabla120[[#This Row],[Unidades2]]*Tabla120[[#This Row],[Precio Unitario]]</f>
        <v>0</v>
      </c>
      <c r="T122" s="126" t="s">
        <v>270</v>
      </c>
      <c r="U122" s="127"/>
      <c r="V122" s="68"/>
      <c r="W122" s="67"/>
      <c r="X122" s="69"/>
      <c r="Y122" s="68"/>
      <c r="Z122" s="68"/>
      <c r="AA122" s="68"/>
    </row>
    <row r="123" spans="1:27" ht="11.25" x14ac:dyDescent="0.2">
      <c r="A123" s="128" t="s">
        <v>6249</v>
      </c>
      <c r="B123" s="23" t="s">
        <v>6250</v>
      </c>
      <c r="C123" s="34" t="s">
        <v>6251</v>
      </c>
      <c r="D123" s="2" t="s">
        <v>6252</v>
      </c>
      <c r="E123" s="63" t="s">
        <v>6253</v>
      </c>
      <c r="F123" s="131">
        <v>1850000</v>
      </c>
      <c r="G123" s="171">
        <f>Tabla120[[#This Row],[Presupuesto]]/(1+'Lista Datos'!$B$1)</f>
        <v>1554621.848739496</v>
      </c>
      <c r="H123" s="32" t="s">
        <v>16</v>
      </c>
      <c r="I123" s="23" t="s">
        <v>213</v>
      </c>
      <c r="J123" s="26">
        <v>44971</v>
      </c>
      <c r="K123" s="133" t="s">
        <v>10</v>
      </c>
      <c r="L123" s="2" t="s">
        <v>25</v>
      </c>
      <c r="M123" s="2" t="s">
        <v>10</v>
      </c>
      <c r="N123" s="18"/>
      <c r="O123" s="135">
        <f>Tabla120[[#This Row],[Presupuesto]]</f>
        <v>1850000</v>
      </c>
      <c r="P123" s="136">
        <f>Tabla120[[#This Row],[PPTO]]/(1+'Lista Datos'!$B$1)</f>
        <v>1554621.848739496</v>
      </c>
      <c r="Q123" s="68"/>
      <c r="R123" s="136"/>
      <c r="S123" s="142">
        <f>Tabla120[[#This Row],[Unidades2]]*Tabla120[[#This Row],[Precio Unitario]]</f>
        <v>0</v>
      </c>
      <c r="T123" s="126" t="s">
        <v>270</v>
      </c>
      <c r="U123" s="127"/>
      <c r="V123" s="68"/>
      <c r="W123" s="67"/>
      <c r="X123" s="69"/>
      <c r="Y123" s="68"/>
      <c r="Z123" s="68"/>
      <c r="AA123" s="68"/>
    </row>
    <row r="124" spans="1:27" ht="11.25" x14ac:dyDescent="0.2">
      <c r="A124" s="128" t="s">
        <v>6254</v>
      </c>
      <c r="B124" s="23" t="s">
        <v>6255</v>
      </c>
      <c r="C124" s="34" t="s">
        <v>3229</v>
      </c>
      <c r="D124" s="2" t="s">
        <v>6256</v>
      </c>
      <c r="E124" s="63" t="s">
        <v>6257</v>
      </c>
      <c r="F124" s="131">
        <v>260000</v>
      </c>
      <c r="G124" s="171">
        <f>Tabla120[[#This Row],[Presupuesto]]/(1+'Lista Datos'!$B$1)</f>
        <v>218487.3949579832</v>
      </c>
      <c r="H124" s="32" t="s">
        <v>21</v>
      </c>
      <c r="I124" s="23" t="s">
        <v>106</v>
      </c>
      <c r="J124" s="26">
        <v>44971</v>
      </c>
      <c r="K124" s="133" t="s">
        <v>10</v>
      </c>
      <c r="L124" s="2" t="s">
        <v>27</v>
      </c>
      <c r="M124" s="2" t="s">
        <v>10</v>
      </c>
      <c r="N124" s="18"/>
      <c r="O124" s="135">
        <f>Tabla120[[#This Row],[Presupuesto]]</f>
        <v>260000</v>
      </c>
      <c r="P124" s="136">
        <f>Tabla120[[#This Row],[PPTO]]/(1+'Lista Datos'!$B$1)</f>
        <v>218487.3949579832</v>
      </c>
      <c r="Q124" s="68"/>
      <c r="R124" s="136"/>
      <c r="S124" s="142">
        <f>Tabla120[[#This Row],[Unidades2]]*Tabla120[[#This Row],[Precio Unitario]]</f>
        <v>0</v>
      </c>
      <c r="T124" s="126" t="s">
        <v>270</v>
      </c>
      <c r="U124" s="127"/>
      <c r="V124" s="68"/>
      <c r="W124" s="67"/>
      <c r="X124" s="69"/>
      <c r="Y124" s="68"/>
      <c r="Z124" s="68"/>
      <c r="AA124" s="68"/>
    </row>
    <row r="125" spans="1:27" ht="11.25" x14ac:dyDescent="0.2">
      <c r="A125" s="128" t="s">
        <v>6258</v>
      </c>
      <c r="B125" s="23" t="s">
        <v>6259</v>
      </c>
      <c r="C125" s="34" t="s">
        <v>6219</v>
      </c>
      <c r="D125" s="2" t="s">
        <v>6260</v>
      </c>
      <c r="E125" s="63" t="s">
        <v>6261</v>
      </c>
      <c r="F125" s="131">
        <v>385000</v>
      </c>
      <c r="G125" s="171">
        <f>Tabla120[[#This Row],[Presupuesto]]/(1+'Lista Datos'!$B$1)</f>
        <v>323529.4117647059</v>
      </c>
      <c r="H125" s="32" t="s">
        <v>21</v>
      </c>
      <c r="I125" s="23" t="s">
        <v>106</v>
      </c>
      <c r="J125" s="26">
        <v>44971</v>
      </c>
      <c r="K125" s="133" t="s">
        <v>10</v>
      </c>
      <c r="L125" s="2" t="s">
        <v>28</v>
      </c>
      <c r="M125" s="2" t="s">
        <v>10</v>
      </c>
      <c r="N125" s="18"/>
      <c r="O125" s="135">
        <f>Tabla120[[#This Row],[Presupuesto]]</f>
        <v>385000</v>
      </c>
      <c r="P125" s="136">
        <f>Tabla120[[#This Row],[PPTO]]/(1+'Lista Datos'!$B$1)</f>
        <v>323529.4117647059</v>
      </c>
      <c r="Q125" s="68"/>
      <c r="R125" s="136"/>
      <c r="S125" s="142">
        <f>Tabla120[[#This Row],[Unidades2]]*Tabla120[[#This Row],[Precio Unitario]]</f>
        <v>0</v>
      </c>
      <c r="T125" s="126" t="s">
        <v>270</v>
      </c>
      <c r="U125" s="127"/>
      <c r="V125" s="68"/>
      <c r="W125" s="67"/>
      <c r="X125" s="69"/>
      <c r="Y125" s="68"/>
      <c r="Z125" s="68"/>
      <c r="AA125" s="68"/>
    </row>
    <row r="126" spans="1:27" ht="11.25" x14ac:dyDescent="0.2">
      <c r="A126" s="128" t="s">
        <v>6262</v>
      </c>
      <c r="B126" s="23" t="s">
        <v>6263</v>
      </c>
      <c r="C126" s="34" t="s">
        <v>6219</v>
      </c>
      <c r="D126" s="2" t="s">
        <v>6264</v>
      </c>
      <c r="E126" s="63" t="s">
        <v>6230</v>
      </c>
      <c r="F126" s="131">
        <v>620000</v>
      </c>
      <c r="G126" s="171">
        <f>Tabla120[[#This Row],[Presupuesto]]/(1+'Lista Datos'!$B$1)</f>
        <v>521008.40336134454</v>
      </c>
      <c r="H126" s="32" t="s">
        <v>18</v>
      </c>
      <c r="I126" s="23" t="s">
        <v>213</v>
      </c>
      <c r="J126" s="26">
        <v>44971</v>
      </c>
      <c r="K126" s="133" t="s">
        <v>10</v>
      </c>
      <c r="L126" s="2" t="s">
        <v>25</v>
      </c>
      <c r="M126" s="2" t="s">
        <v>10</v>
      </c>
      <c r="N126" s="18"/>
      <c r="O126" s="135">
        <f>Tabla120[[#This Row],[Presupuesto]]</f>
        <v>620000</v>
      </c>
      <c r="P126" s="136">
        <f>Tabla120[[#This Row],[PPTO]]/(1+'Lista Datos'!$B$1)</f>
        <v>521008.40336134454</v>
      </c>
      <c r="Q126" s="68"/>
      <c r="R126" s="136"/>
      <c r="S126" s="142">
        <f>Tabla120[[#This Row],[Unidades2]]*Tabla120[[#This Row],[Precio Unitario]]</f>
        <v>0</v>
      </c>
      <c r="T126" s="126" t="s">
        <v>270</v>
      </c>
      <c r="U126" s="127"/>
      <c r="V126" s="68"/>
      <c r="W126" s="67"/>
      <c r="X126" s="69"/>
      <c r="Y126" s="68"/>
      <c r="Z126" s="68"/>
      <c r="AA126" s="68"/>
    </row>
    <row r="127" spans="1:27" ht="11.25" x14ac:dyDescent="0.2">
      <c r="A127" s="129" t="s">
        <v>6265</v>
      </c>
      <c r="B127" s="23" t="s">
        <v>6266</v>
      </c>
      <c r="C127" s="34" t="s">
        <v>6219</v>
      </c>
      <c r="D127" s="2" t="s">
        <v>6267</v>
      </c>
      <c r="E127" s="130" t="s">
        <v>6268</v>
      </c>
      <c r="F127" s="132">
        <v>1</v>
      </c>
      <c r="G127" s="171">
        <f>Tabla120[[#This Row],[Presupuesto]]/(1+'Lista Datos'!$B$1)</f>
        <v>0.84033613445378152</v>
      </c>
      <c r="H127" s="32" t="s">
        <v>16</v>
      </c>
      <c r="I127" s="23" t="s">
        <v>213</v>
      </c>
      <c r="J127" s="26">
        <v>44971</v>
      </c>
      <c r="K127" s="133" t="s">
        <v>10</v>
      </c>
      <c r="L127" s="2" t="s">
        <v>25</v>
      </c>
      <c r="M127" s="2" t="s">
        <v>10</v>
      </c>
      <c r="N127" s="19"/>
      <c r="O127" s="137">
        <f>Tabla120[[#This Row],[Presupuesto]]</f>
        <v>1</v>
      </c>
      <c r="P127" s="138">
        <f>Tabla120[[#This Row],[PPTO]]/(1+'Lista Datos'!$B$1)</f>
        <v>0.84033613445378152</v>
      </c>
      <c r="Q127" s="65"/>
      <c r="R127" s="138"/>
      <c r="S127" s="143">
        <f>Tabla120[[#This Row],[Unidades2]]*Tabla120[[#This Row],[Precio Unitario]]</f>
        <v>0</v>
      </c>
      <c r="T127" s="126" t="s">
        <v>270</v>
      </c>
      <c r="U127" s="122"/>
      <c r="V127" s="65"/>
      <c r="W127" s="64"/>
      <c r="X127" s="66"/>
      <c r="Y127" s="65"/>
      <c r="Z127" s="65"/>
      <c r="AA127" s="65"/>
    </row>
    <row r="128" spans="1:27" ht="11.25" x14ac:dyDescent="0.2">
      <c r="A128" s="150" t="s">
        <v>6269</v>
      </c>
      <c r="B128" s="118" t="s">
        <v>6270</v>
      </c>
      <c r="C128" s="119" t="s">
        <v>6271</v>
      </c>
      <c r="D128" s="2" t="s">
        <v>6272</v>
      </c>
      <c r="E128" s="2" t="s">
        <v>6273</v>
      </c>
      <c r="F128" s="86">
        <v>700000</v>
      </c>
      <c r="G128" s="171">
        <f>Tabla120[[#This Row],[Presupuesto]]/(1+'Lista Datos'!$B$1)</f>
        <v>588235.29411764711</v>
      </c>
      <c r="H128" s="118" t="s">
        <v>21</v>
      </c>
      <c r="I128" s="118" t="s">
        <v>106</v>
      </c>
      <c r="J128" s="26">
        <v>44972</v>
      </c>
      <c r="K128" s="85" t="s">
        <v>10</v>
      </c>
      <c r="L128" s="2" t="s">
        <v>28</v>
      </c>
      <c r="M128" s="2" t="s">
        <v>10</v>
      </c>
      <c r="N128" s="18"/>
      <c r="O128" s="135">
        <f>Tabla120[[#This Row],[Presupuesto]]</f>
        <v>700000</v>
      </c>
      <c r="P128" s="136">
        <f>Tabla120[[#This Row],[PPTO]]/(1+'Lista Datos'!$B$1)</f>
        <v>588235.29411764711</v>
      </c>
      <c r="Q128" s="68"/>
      <c r="R128" s="136"/>
      <c r="S128" s="142">
        <f>Tabla120[[#This Row],[Unidades2]]*Tabla120[[#This Row],[Precio Unitario]]</f>
        <v>0</v>
      </c>
      <c r="T128" s="126" t="s">
        <v>270</v>
      </c>
      <c r="U128" s="127"/>
      <c r="V128" s="68"/>
      <c r="W128" s="67"/>
      <c r="X128" s="69"/>
      <c r="Y128" s="68"/>
      <c r="Z128" s="68"/>
      <c r="AA128" s="68"/>
    </row>
    <row r="129" spans="1:27" ht="11.25" x14ac:dyDescent="0.2">
      <c r="A129" s="150" t="s">
        <v>6274</v>
      </c>
      <c r="B129" s="118" t="s">
        <v>6275</v>
      </c>
      <c r="C129" s="119" t="s">
        <v>6276</v>
      </c>
      <c r="D129" s="2" t="s">
        <v>6277</v>
      </c>
      <c r="E129" s="2" t="s">
        <v>6278</v>
      </c>
      <c r="F129" s="86">
        <v>900000</v>
      </c>
      <c r="G129" s="171">
        <f>Tabla120[[#This Row],[Presupuesto]]/(1+'Lista Datos'!$B$1)</f>
        <v>756302.52100840339</v>
      </c>
      <c r="H129" s="118" t="s">
        <v>16</v>
      </c>
      <c r="I129" s="118" t="s">
        <v>213</v>
      </c>
      <c r="J129" s="26">
        <v>44972</v>
      </c>
      <c r="K129" s="133" t="s">
        <v>10</v>
      </c>
      <c r="L129" s="2" t="s">
        <v>25</v>
      </c>
      <c r="M129" s="2" t="s">
        <v>10</v>
      </c>
      <c r="N129" s="18"/>
      <c r="O129" s="135">
        <f>Tabla120[[#This Row],[Presupuesto]]</f>
        <v>900000</v>
      </c>
      <c r="P129" s="136">
        <f>Tabla120[[#This Row],[PPTO]]/(1+'Lista Datos'!$B$1)</f>
        <v>756302.52100840339</v>
      </c>
      <c r="Q129" s="68"/>
      <c r="R129" s="136"/>
      <c r="S129" s="142">
        <f>Tabla120[[#This Row],[Unidades2]]*Tabla120[[#This Row],[Precio Unitario]]</f>
        <v>0</v>
      </c>
      <c r="T129" s="126" t="s">
        <v>270</v>
      </c>
      <c r="U129" s="127"/>
      <c r="V129" s="68"/>
      <c r="W129" s="67"/>
      <c r="X129" s="69"/>
      <c r="Y129" s="68"/>
      <c r="Z129" s="68"/>
      <c r="AA129" s="68"/>
    </row>
    <row r="130" spans="1:27" ht="11.25" x14ac:dyDescent="0.2">
      <c r="A130" s="151" t="s">
        <v>6279</v>
      </c>
      <c r="B130" s="118" t="s">
        <v>6280</v>
      </c>
      <c r="C130" s="119" t="s">
        <v>6281</v>
      </c>
      <c r="D130" s="40" t="s">
        <v>6282</v>
      </c>
      <c r="E130" s="40" t="s">
        <v>6283</v>
      </c>
      <c r="F130" s="152">
        <v>1200000</v>
      </c>
      <c r="G130" s="171">
        <f>Tabla120[[#This Row],[Presupuesto]]/(1+'Lista Datos'!$B$1)</f>
        <v>1008403.3613445378</v>
      </c>
      <c r="H130" s="118" t="s">
        <v>21</v>
      </c>
      <c r="I130" s="118" t="s">
        <v>106</v>
      </c>
      <c r="J130" s="41">
        <v>44972</v>
      </c>
      <c r="K130" s="120" t="s">
        <v>11</v>
      </c>
      <c r="L130" s="40"/>
      <c r="M130" s="40" t="s">
        <v>11</v>
      </c>
      <c r="N130" s="19"/>
      <c r="O130" s="137">
        <f>Tabla120[[#This Row],[Presupuesto]]</f>
        <v>1200000</v>
      </c>
      <c r="P130" s="138">
        <f>Tabla120[[#This Row],[PPTO]]/(1+'Lista Datos'!$B$1)</f>
        <v>1008403.3613445378</v>
      </c>
      <c r="Q130" s="65">
        <v>6</v>
      </c>
      <c r="R130" s="138">
        <v>131578</v>
      </c>
      <c r="S130" s="143">
        <f>Tabla120[[#This Row],[Unidades2]]*Tabla120[[#This Row],[Precio Unitario]]</f>
        <v>789468</v>
      </c>
      <c r="T130" s="126" t="s">
        <v>270</v>
      </c>
      <c r="U130" s="122"/>
      <c r="V130" s="65"/>
      <c r="W130" s="64"/>
      <c r="X130" s="66"/>
      <c r="Y130" s="65"/>
      <c r="Z130" s="65"/>
      <c r="AA130" s="65"/>
    </row>
    <row r="131" spans="1:27" ht="11.25" x14ac:dyDescent="0.2">
      <c r="A131" s="151" t="s">
        <v>6284</v>
      </c>
      <c r="B131" s="118" t="s">
        <v>6285</v>
      </c>
      <c r="C131" s="119" t="s">
        <v>6286</v>
      </c>
      <c r="D131" s="40" t="s">
        <v>6287</v>
      </c>
      <c r="E131" s="40" t="s">
        <v>6288</v>
      </c>
      <c r="F131" s="152">
        <v>220000</v>
      </c>
      <c r="G131" s="171">
        <f>Tabla120[[#This Row],[Presupuesto]]/(1+'Lista Datos'!$B$1)</f>
        <v>184873.94957983194</v>
      </c>
      <c r="H131" s="118" t="s">
        <v>16</v>
      </c>
      <c r="I131" s="118" t="s">
        <v>6289</v>
      </c>
      <c r="J131" s="41">
        <v>44973</v>
      </c>
      <c r="K131" s="120"/>
      <c r="L131" s="40"/>
      <c r="M131" s="40"/>
      <c r="N131" s="19"/>
      <c r="O131" s="137">
        <f>Tabla120[[#This Row],[Presupuesto]]</f>
        <v>220000</v>
      </c>
      <c r="P131" s="138">
        <f>Tabla120[[#This Row],[PPTO]]/(1+'Lista Datos'!$B$1)</f>
        <v>184873.94957983194</v>
      </c>
      <c r="Q131" s="65"/>
      <c r="R131" s="138"/>
      <c r="S131" s="143">
        <f>Tabla120[[#This Row],[Unidades2]]*Tabla120[[#This Row],[Precio Unitario]]</f>
        <v>0</v>
      </c>
      <c r="T131" s="126" t="s">
        <v>270</v>
      </c>
      <c r="U131" s="122"/>
      <c r="V131" s="65"/>
      <c r="W131" s="64"/>
      <c r="X131" s="66"/>
      <c r="Y131" s="65"/>
      <c r="Z131" s="65"/>
      <c r="AA131" s="65"/>
    </row>
    <row r="132" spans="1:27" ht="11.25" x14ac:dyDescent="0.2">
      <c r="A132" s="150" t="s">
        <v>6290</v>
      </c>
      <c r="B132" s="118" t="s">
        <v>6291</v>
      </c>
      <c r="C132" s="119" t="s">
        <v>2822</v>
      </c>
      <c r="D132" s="2" t="s">
        <v>6292</v>
      </c>
      <c r="E132" s="2" t="s">
        <v>6293</v>
      </c>
      <c r="F132" s="86">
        <v>1800000</v>
      </c>
      <c r="G132" s="171">
        <f>Tabla120[[#This Row],[Presupuesto]]/(1+'Lista Datos'!$B$1)</f>
        <v>1512605.0420168068</v>
      </c>
      <c r="H132" s="118" t="s">
        <v>21</v>
      </c>
      <c r="I132" s="118" t="s">
        <v>106</v>
      </c>
      <c r="J132" s="41">
        <v>44973</v>
      </c>
      <c r="K132" s="85" t="s">
        <v>10</v>
      </c>
      <c r="L132" s="2" t="s">
        <v>28</v>
      </c>
      <c r="M132" s="2"/>
      <c r="N132" s="18"/>
      <c r="O132" s="135">
        <f>Tabla120[[#This Row],[Presupuesto]]</f>
        <v>1800000</v>
      </c>
      <c r="P132" s="136">
        <f>Tabla120[[#This Row],[PPTO]]/(1+'Lista Datos'!$B$1)</f>
        <v>1512605.0420168068</v>
      </c>
      <c r="Q132" s="68"/>
      <c r="R132" s="136"/>
      <c r="S132" s="142">
        <f>Tabla120[[#This Row],[Unidades2]]*Tabla120[[#This Row],[Precio Unitario]]</f>
        <v>0</v>
      </c>
      <c r="T132" s="126" t="s">
        <v>270</v>
      </c>
      <c r="U132" s="127"/>
      <c r="V132" s="68"/>
      <c r="W132" s="67"/>
      <c r="X132" s="69"/>
      <c r="Y132" s="68"/>
      <c r="Z132" s="68"/>
      <c r="AA132" s="68"/>
    </row>
    <row r="133" spans="1:27" ht="11.25" x14ac:dyDescent="0.2">
      <c r="A133" s="150" t="s">
        <v>6294</v>
      </c>
      <c r="B133" s="118" t="s">
        <v>6295</v>
      </c>
      <c r="C133" s="119" t="s">
        <v>3224</v>
      </c>
      <c r="D133" s="2" t="s">
        <v>6296</v>
      </c>
      <c r="E133" s="2" t="s">
        <v>6297</v>
      </c>
      <c r="F133" s="86">
        <v>1858000</v>
      </c>
      <c r="G133" s="171">
        <f>Tabla120[[#This Row],[Presupuesto]]/(1+'Lista Datos'!$B$1)</f>
        <v>1561344.5378151261</v>
      </c>
      <c r="H133" s="118" t="s">
        <v>16</v>
      </c>
      <c r="I133" s="118" t="s">
        <v>213</v>
      </c>
      <c r="J133" s="41">
        <v>44973</v>
      </c>
      <c r="K133" s="133" t="s">
        <v>10</v>
      </c>
      <c r="L133" s="2" t="s">
        <v>25</v>
      </c>
      <c r="M133" s="2" t="s">
        <v>10</v>
      </c>
      <c r="N133" s="18"/>
      <c r="O133" s="135">
        <f>Tabla120[[#This Row],[Presupuesto]]</f>
        <v>1858000</v>
      </c>
      <c r="P133" s="136">
        <f>Tabla120[[#This Row],[PPTO]]/(1+'Lista Datos'!$B$1)</f>
        <v>1561344.5378151261</v>
      </c>
      <c r="Q133" s="68"/>
      <c r="R133" s="136"/>
      <c r="S133" s="142">
        <f>Tabla120[[#This Row],[Unidades2]]*Tabla120[[#This Row],[Precio Unitario]]</f>
        <v>0</v>
      </c>
      <c r="T133" s="126" t="s">
        <v>270</v>
      </c>
      <c r="U133" s="127"/>
      <c r="V133" s="68"/>
      <c r="W133" s="67"/>
      <c r="X133" s="69"/>
      <c r="Y133" s="68"/>
      <c r="Z133" s="68"/>
      <c r="AA133" s="68"/>
    </row>
    <row r="134" spans="1:27" ht="11.25" x14ac:dyDescent="0.2">
      <c r="A134" s="150" t="s">
        <v>6298</v>
      </c>
      <c r="B134" s="118" t="s">
        <v>6299</v>
      </c>
      <c r="C134" s="119" t="s">
        <v>227</v>
      </c>
      <c r="D134" s="2" t="s">
        <v>6300</v>
      </c>
      <c r="E134" s="2" t="s">
        <v>6301</v>
      </c>
      <c r="F134" s="86">
        <v>160000</v>
      </c>
      <c r="G134" s="171">
        <f>Tabla120[[#This Row],[Presupuesto]]/(1+'Lista Datos'!$B$1)</f>
        <v>134453.78151260506</v>
      </c>
      <c r="H134" s="118" t="s">
        <v>21</v>
      </c>
      <c r="I134" s="118" t="s">
        <v>106</v>
      </c>
      <c r="J134" s="41">
        <v>44973</v>
      </c>
      <c r="K134" s="85" t="s">
        <v>10</v>
      </c>
      <c r="L134" s="2" t="s">
        <v>27</v>
      </c>
      <c r="M134" s="2"/>
      <c r="N134" s="18"/>
      <c r="O134" s="135">
        <f>Tabla120[[#This Row],[Presupuesto]]</f>
        <v>160000</v>
      </c>
      <c r="P134" s="136">
        <f>Tabla120[[#This Row],[PPTO]]/(1+'Lista Datos'!$B$1)</f>
        <v>134453.78151260506</v>
      </c>
      <c r="Q134" s="68"/>
      <c r="R134" s="136"/>
      <c r="S134" s="142">
        <f>Tabla120[[#This Row],[Unidades2]]*Tabla120[[#This Row],[Precio Unitario]]</f>
        <v>0</v>
      </c>
      <c r="T134" s="126" t="s">
        <v>270</v>
      </c>
      <c r="U134" s="127"/>
      <c r="V134" s="68"/>
      <c r="W134" s="67"/>
      <c r="X134" s="69"/>
      <c r="Y134" s="68"/>
      <c r="Z134" s="68"/>
      <c r="AA134" s="68"/>
    </row>
    <row r="135" spans="1:27" ht="11.25" x14ac:dyDescent="0.2">
      <c r="A135" s="151" t="s">
        <v>6302</v>
      </c>
      <c r="B135" s="118" t="s">
        <v>6303</v>
      </c>
      <c r="C135" s="119" t="s">
        <v>3229</v>
      </c>
      <c r="D135" s="40" t="s">
        <v>6304</v>
      </c>
      <c r="E135" s="40" t="s">
        <v>6305</v>
      </c>
      <c r="F135" s="152">
        <v>100000</v>
      </c>
      <c r="G135" s="171">
        <f>Tabla120[[#This Row],[Presupuesto]]/(1+'Lista Datos'!$B$1)</f>
        <v>84033.613445378156</v>
      </c>
      <c r="H135" s="118" t="s">
        <v>21</v>
      </c>
      <c r="I135" s="118" t="s">
        <v>106</v>
      </c>
      <c r="J135" s="41">
        <v>44973</v>
      </c>
      <c r="K135" s="120" t="s">
        <v>10</v>
      </c>
      <c r="L135" s="40" t="s">
        <v>27</v>
      </c>
      <c r="M135" s="40"/>
      <c r="N135" s="19"/>
      <c r="O135" s="137">
        <f>Tabla120[[#This Row],[Presupuesto]]</f>
        <v>100000</v>
      </c>
      <c r="P135" s="138">
        <f>Tabla120[[#This Row],[PPTO]]/(1+'Lista Datos'!$B$1)</f>
        <v>84033.613445378156</v>
      </c>
      <c r="Q135" s="65"/>
      <c r="R135" s="138"/>
      <c r="S135" s="143">
        <f>Tabla120[[#This Row],[Unidades2]]*Tabla120[[#This Row],[Precio Unitario]]</f>
        <v>0</v>
      </c>
      <c r="T135" s="126" t="s">
        <v>270</v>
      </c>
      <c r="U135" s="122"/>
      <c r="V135" s="65"/>
      <c r="W135" s="64"/>
      <c r="X135" s="66"/>
      <c r="Y135" s="65"/>
      <c r="Z135" s="65"/>
      <c r="AA135" s="65"/>
    </row>
    <row r="136" spans="1:27" ht="11.25" x14ac:dyDescent="0.2">
      <c r="A136" s="150" t="s">
        <v>6306</v>
      </c>
      <c r="B136" s="118" t="s">
        <v>6307</v>
      </c>
      <c r="C136" s="119" t="s">
        <v>2852</v>
      </c>
      <c r="D136" s="2" t="s">
        <v>6308</v>
      </c>
      <c r="E136" s="2" t="s">
        <v>6309</v>
      </c>
      <c r="F136" s="86">
        <v>1000000</v>
      </c>
      <c r="G136" s="171">
        <f>Tabla120[[#This Row],[Presupuesto]]/(1+'Lista Datos'!$B$1)</f>
        <v>840336.13445378153</v>
      </c>
      <c r="H136" s="118" t="s">
        <v>14</v>
      </c>
      <c r="I136" s="118" t="s">
        <v>213</v>
      </c>
      <c r="J136" s="26">
        <v>44974</v>
      </c>
      <c r="K136" s="85"/>
      <c r="L136" s="2"/>
      <c r="M136" s="2"/>
      <c r="N136" s="18"/>
      <c r="O136" s="135">
        <f>Tabla120[[#This Row],[Presupuesto]]</f>
        <v>1000000</v>
      </c>
      <c r="P136" s="136">
        <f>Tabla120[[#This Row],[PPTO]]/(1+'Lista Datos'!$B$1)</f>
        <v>840336.13445378153</v>
      </c>
      <c r="Q136" s="68"/>
      <c r="R136" s="136"/>
      <c r="S136" s="142">
        <f>Tabla120[[#This Row],[Unidades2]]*Tabla120[[#This Row],[Precio Unitario]]</f>
        <v>0</v>
      </c>
      <c r="T136" s="126" t="s">
        <v>270</v>
      </c>
      <c r="U136" s="127"/>
      <c r="V136" s="68"/>
      <c r="W136" s="67"/>
      <c r="X136" s="69"/>
      <c r="Y136" s="68"/>
      <c r="Z136" s="68"/>
      <c r="AA136" s="68"/>
    </row>
    <row r="137" spans="1:27" ht="11.25" x14ac:dyDescent="0.2">
      <c r="A137" s="150" t="s">
        <v>6310</v>
      </c>
      <c r="B137" s="118" t="s">
        <v>6311</v>
      </c>
      <c r="C137" s="119" t="s">
        <v>6312</v>
      </c>
      <c r="D137" s="2" t="s">
        <v>6313</v>
      </c>
      <c r="E137" s="2" t="s">
        <v>6314</v>
      </c>
      <c r="F137" s="86">
        <v>510000</v>
      </c>
      <c r="G137" s="171">
        <f>Tabla120[[#This Row],[Presupuesto]]/(1+'Lista Datos'!$B$1)</f>
        <v>428571.42857142858</v>
      </c>
      <c r="H137" s="118" t="s">
        <v>16</v>
      </c>
      <c r="I137" s="118" t="s">
        <v>778</v>
      </c>
      <c r="J137" s="26">
        <v>44974</v>
      </c>
      <c r="K137" s="85"/>
      <c r="L137" s="2"/>
      <c r="M137" s="2"/>
      <c r="N137" s="18"/>
      <c r="O137" s="135">
        <f>Tabla120[[#This Row],[Presupuesto]]</f>
        <v>510000</v>
      </c>
      <c r="P137" s="136">
        <f>Tabla120[[#This Row],[PPTO]]/(1+'Lista Datos'!$B$1)</f>
        <v>428571.42857142858</v>
      </c>
      <c r="Q137" s="68"/>
      <c r="R137" s="136"/>
      <c r="S137" s="142">
        <f>Tabla120[[#This Row],[Unidades2]]*Tabla120[[#This Row],[Precio Unitario]]</f>
        <v>0</v>
      </c>
      <c r="T137" s="126" t="s">
        <v>270</v>
      </c>
      <c r="U137" s="127"/>
      <c r="V137" s="68"/>
      <c r="W137" s="67"/>
      <c r="X137" s="69"/>
      <c r="Y137" s="68"/>
      <c r="Z137" s="68"/>
      <c r="AA137" s="68"/>
    </row>
    <row r="138" spans="1:27" ht="11.25" x14ac:dyDescent="0.2">
      <c r="A138" s="150" t="s">
        <v>6315</v>
      </c>
      <c r="B138" s="118" t="s">
        <v>6316</v>
      </c>
      <c r="C138" s="119" t="s">
        <v>259</v>
      </c>
      <c r="D138" s="2" t="s">
        <v>6317</v>
      </c>
      <c r="E138" s="2" t="s">
        <v>6318</v>
      </c>
      <c r="F138" s="86">
        <v>1817444</v>
      </c>
      <c r="G138" s="171">
        <f>Tabla120[[#This Row],[Presupuesto]]/(1+'Lista Datos'!$B$1)</f>
        <v>1527263.8655462186</v>
      </c>
      <c r="H138" s="118" t="s">
        <v>14</v>
      </c>
      <c r="I138" s="118" t="s">
        <v>213</v>
      </c>
      <c r="J138" s="26">
        <v>44974</v>
      </c>
      <c r="K138" s="85"/>
      <c r="L138" s="2"/>
      <c r="M138" s="2"/>
      <c r="N138" s="18"/>
      <c r="O138" s="135">
        <f>Tabla120[[#This Row],[Presupuesto]]</f>
        <v>1817444</v>
      </c>
      <c r="P138" s="136">
        <f>Tabla120[[#This Row],[PPTO]]/(1+'Lista Datos'!$B$1)</f>
        <v>1527263.8655462186</v>
      </c>
      <c r="Q138" s="68"/>
      <c r="R138" s="136"/>
      <c r="S138" s="142">
        <f>Tabla120[[#This Row],[Unidades2]]*Tabla120[[#This Row],[Precio Unitario]]</f>
        <v>0</v>
      </c>
      <c r="T138" s="126" t="s">
        <v>270</v>
      </c>
      <c r="U138" s="127"/>
      <c r="V138" s="68"/>
      <c r="W138" s="67"/>
      <c r="X138" s="69"/>
      <c r="Y138" s="68"/>
      <c r="Z138" s="68"/>
      <c r="AA138" s="68"/>
    </row>
    <row r="139" spans="1:27" ht="11.25" x14ac:dyDescent="0.2">
      <c r="A139" s="150" t="s">
        <v>6319</v>
      </c>
      <c r="B139" s="118" t="s">
        <v>6320</v>
      </c>
      <c r="C139" s="119" t="s">
        <v>1909</v>
      </c>
      <c r="D139" s="2" t="s">
        <v>6321</v>
      </c>
      <c r="E139" s="2" t="s">
        <v>6322</v>
      </c>
      <c r="F139" s="86">
        <v>1858000</v>
      </c>
      <c r="G139" s="171">
        <f>Tabla120[[#This Row],[Presupuesto]]/(1+'Lista Datos'!$B$1)</f>
        <v>1561344.5378151261</v>
      </c>
      <c r="H139" s="118" t="s">
        <v>15</v>
      </c>
      <c r="I139" s="118" t="s">
        <v>114</v>
      </c>
      <c r="J139" s="26">
        <v>44974</v>
      </c>
      <c r="K139" s="85"/>
      <c r="L139" s="2"/>
      <c r="M139" s="2"/>
      <c r="N139" s="18"/>
      <c r="O139" s="135">
        <f>Tabla120[[#This Row],[Presupuesto]]</f>
        <v>1858000</v>
      </c>
      <c r="P139" s="136">
        <f>Tabla120[[#This Row],[PPTO]]/(1+'Lista Datos'!$B$1)</f>
        <v>1561344.5378151261</v>
      </c>
      <c r="Q139" s="68"/>
      <c r="R139" s="136"/>
      <c r="S139" s="142">
        <f>Tabla120[[#This Row],[Unidades2]]*Tabla120[[#This Row],[Precio Unitario]]</f>
        <v>0</v>
      </c>
      <c r="T139" s="126" t="s">
        <v>270</v>
      </c>
      <c r="U139" s="127"/>
      <c r="V139" s="68"/>
      <c r="W139" s="67"/>
      <c r="X139" s="69"/>
      <c r="Y139" s="68"/>
      <c r="Z139" s="68"/>
      <c r="AA139" s="68"/>
    </row>
    <row r="140" spans="1:27" ht="11.25" x14ac:dyDescent="0.2">
      <c r="A140" s="150" t="s">
        <v>6323</v>
      </c>
      <c r="B140" s="118" t="s">
        <v>6324</v>
      </c>
      <c r="C140" s="119" t="s">
        <v>6141</v>
      </c>
      <c r="D140" s="2" t="s">
        <v>6325</v>
      </c>
      <c r="E140" s="2" t="s">
        <v>6326</v>
      </c>
      <c r="F140" s="86">
        <v>1200000</v>
      </c>
      <c r="G140" s="171">
        <f>Tabla120[[#This Row],[Presupuesto]]/(1+'Lista Datos'!$B$1)</f>
        <v>1008403.3613445378</v>
      </c>
      <c r="H140" s="118" t="s">
        <v>21</v>
      </c>
      <c r="I140" s="118" t="s">
        <v>106</v>
      </c>
      <c r="J140" s="26">
        <v>44974</v>
      </c>
      <c r="K140" s="85" t="s">
        <v>11</v>
      </c>
      <c r="L140" s="2"/>
      <c r="M140" s="2" t="s">
        <v>11</v>
      </c>
      <c r="N140" s="18"/>
      <c r="O140" s="135">
        <f>Tabla120[[#This Row],[Presupuesto]]</f>
        <v>1200000</v>
      </c>
      <c r="P140" s="136">
        <f>Tabla120[[#This Row],[PPTO]]/(1+'Lista Datos'!$B$1)</f>
        <v>1008403.3613445378</v>
      </c>
      <c r="Q140" s="68">
        <v>1</v>
      </c>
      <c r="R140" s="136">
        <v>789743</v>
      </c>
      <c r="S140" s="142">
        <f>Tabla120[[#This Row],[Unidades2]]*Tabla120[[#This Row],[Precio Unitario]]</f>
        <v>789743</v>
      </c>
      <c r="T140" s="126" t="s">
        <v>270</v>
      </c>
      <c r="U140" s="127"/>
      <c r="V140" s="68"/>
      <c r="W140" s="67"/>
      <c r="X140" s="69"/>
      <c r="Y140" s="68"/>
      <c r="Z140" s="68"/>
      <c r="AA140" s="68"/>
    </row>
    <row r="141" spans="1:27" ht="11.25" x14ac:dyDescent="0.2">
      <c r="A141" s="150" t="s">
        <v>6327</v>
      </c>
      <c r="B141" s="118" t="s">
        <v>6328</v>
      </c>
      <c r="C141" s="119" t="s">
        <v>3047</v>
      </c>
      <c r="D141" s="2" t="s">
        <v>6329</v>
      </c>
      <c r="E141" s="2" t="s">
        <v>6330</v>
      </c>
      <c r="F141" s="86">
        <v>130000</v>
      </c>
      <c r="G141" s="171">
        <f>Tabla120[[#This Row],[Presupuesto]]/(1+'Lista Datos'!$B$1)</f>
        <v>109243.6974789916</v>
      </c>
      <c r="H141" s="118" t="s">
        <v>21</v>
      </c>
      <c r="I141" s="118" t="s">
        <v>106</v>
      </c>
      <c r="J141" s="26">
        <v>44974</v>
      </c>
      <c r="K141" s="85" t="s">
        <v>10</v>
      </c>
      <c r="L141" s="2" t="s">
        <v>27</v>
      </c>
      <c r="M141" s="2"/>
      <c r="N141" s="18"/>
      <c r="O141" s="135">
        <f>Tabla120[[#This Row],[Presupuesto]]</f>
        <v>130000</v>
      </c>
      <c r="P141" s="136">
        <f>Tabla120[[#This Row],[PPTO]]/(1+'Lista Datos'!$B$1)</f>
        <v>109243.6974789916</v>
      </c>
      <c r="Q141" s="68"/>
      <c r="R141" s="136"/>
      <c r="S141" s="142">
        <f>Tabla120[[#This Row],[Unidades2]]*Tabla120[[#This Row],[Precio Unitario]]</f>
        <v>0</v>
      </c>
      <c r="T141" s="126" t="s">
        <v>270</v>
      </c>
      <c r="U141" s="127"/>
      <c r="V141" s="68"/>
      <c r="W141" s="67"/>
      <c r="X141" s="69"/>
      <c r="Y141" s="68"/>
      <c r="Z141" s="68"/>
      <c r="AA141" s="68"/>
    </row>
    <row r="142" spans="1:27" ht="11.25" x14ac:dyDescent="0.2">
      <c r="A142" s="151" t="s">
        <v>6331</v>
      </c>
      <c r="B142" s="118" t="s">
        <v>6332</v>
      </c>
      <c r="C142" s="119" t="s">
        <v>4688</v>
      </c>
      <c r="D142" s="40" t="s">
        <v>6333</v>
      </c>
      <c r="E142" s="40" t="s">
        <v>6334</v>
      </c>
      <c r="F142" s="152">
        <v>877685</v>
      </c>
      <c r="G142" s="171">
        <f>Tabla120[[#This Row],[Presupuesto]]/(1+'Lista Datos'!$B$1)</f>
        <v>737550.42016806721</v>
      </c>
      <c r="H142" s="118" t="s">
        <v>16</v>
      </c>
      <c r="I142" s="118" t="s">
        <v>145</v>
      </c>
      <c r="J142" s="26">
        <v>44974</v>
      </c>
      <c r="K142" s="120"/>
      <c r="L142" s="40"/>
      <c r="M142" s="40"/>
      <c r="N142" s="19"/>
      <c r="O142" s="137">
        <f>Tabla120[[#This Row],[Presupuesto]]</f>
        <v>877685</v>
      </c>
      <c r="P142" s="138">
        <f>Tabla120[[#This Row],[PPTO]]/(1+'Lista Datos'!$B$1)</f>
        <v>737550.42016806721</v>
      </c>
      <c r="Q142" s="65"/>
      <c r="R142" s="138"/>
      <c r="S142" s="143">
        <f>Tabla120[[#This Row],[Unidades2]]*Tabla120[[#This Row],[Precio Unitario]]</f>
        <v>0</v>
      </c>
      <c r="T142" s="126" t="s">
        <v>270</v>
      </c>
      <c r="U142" s="122"/>
      <c r="V142" s="65"/>
      <c r="W142" s="64"/>
      <c r="X142" s="66"/>
      <c r="Y142" s="65"/>
      <c r="Z142" s="65"/>
      <c r="AA142" s="65"/>
    </row>
    <row r="143" spans="1:27" ht="11.25" x14ac:dyDescent="0.2">
      <c r="A143" s="150" t="s">
        <v>6335</v>
      </c>
      <c r="B143" s="118" t="s">
        <v>6336</v>
      </c>
      <c r="C143" s="119" t="s">
        <v>3224</v>
      </c>
      <c r="D143" s="2" t="s">
        <v>6337</v>
      </c>
      <c r="E143" s="2" t="s">
        <v>6338</v>
      </c>
      <c r="F143" s="86">
        <v>1858000</v>
      </c>
      <c r="G143" s="171">
        <f>Tabla120[[#This Row],[Presupuesto]]/(1+'Lista Datos'!$B$1)</f>
        <v>1561344.5378151261</v>
      </c>
      <c r="H143" s="118" t="s">
        <v>16</v>
      </c>
      <c r="I143" s="118" t="s">
        <v>6289</v>
      </c>
      <c r="J143" s="41">
        <v>44977</v>
      </c>
      <c r="K143" s="85"/>
      <c r="L143" s="2"/>
      <c r="M143" s="2"/>
      <c r="N143" s="18"/>
      <c r="O143" s="135">
        <f>Tabla120[[#This Row],[Presupuesto]]</f>
        <v>1858000</v>
      </c>
      <c r="P143" s="136">
        <f>Tabla120[[#This Row],[PPTO]]/(1+'Lista Datos'!$B$1)</f>
        <v>1561344.5378151261</v>
      </c>
      <c r="Q143" s="68"/>
      <c r="R143" s="136"/>
      <c r="S143" s="142">
        <f>Tabla120[[#This Row],[Unidades2]]*Tabla120[[#This Row],[Precio Unitario]]</f>
        <v>0</v>
      </c>
      <c r="T143" s="126" t="s">
        <v>270</v>
      </c>
      <c r="U143" s="127"/>
      <c r="V143" s="68"/>
      <c r="W143" s="67"/>
      <c r="X143" s="69"/>
      <c r="Y143" s="68"/>
      <c r="Z143" s="68"/>
      <c r="AA143" s="68"/>
    </row>
    <row r="144" spans="1:27" ht="11.25" x14ac:dyDescent="0.2">
      <c r="A144" s="150" t="s">
        <v>6339</v>
      </c>
      <c r="B144" s="118" t="s">
        <v>6340</v>
      </c>
      <c r="C144" s="119" t="s">
        <v>3224</v>
      </c>
      <c r="D144" s="2" t="s">
        <v>6341</v>
      </c>
      <c r="E144" s="2" t="s">
        <v>6342</v>
      </c>
      <c r="F144" s="86">
        <v>1858000</v>
      </c>
      <c r="G144" s="171">
        <f>Tabla120[[#This Row],[Presupuesto]]/(1+'Lista Datos'!$B$1)</f>
        <v>1561344.5378151261</v>
      </c>
      <c r="H144" s="118" t="s">
        <v>16</v>
      </c>
      <c r="I144" s="118" t="s">
        <v>6289</v>
      </c>
      <c r="J144" s="41">
        <v>44977</v>
      </c>
      <c r="K144" s="85"/>
      <c r="L144" s="2"/>
      <c r="M144" s="2"/>
      <c r="N144" s="18"/>
      <c r="O144" s="135">
        <f>Tabla120[[#This Row],[Presupuesto]]</f>
        <v>1858000</v>
      </c>
      <c r="P144" s="136">
        <f>Tabla120[[#This Row],[PPTO]]/(1+'Lista Datos'!$B$1)</f>
        <v>1561344.5378151261</v>
      </c>
      <c r="Q144" s="68"/>
      <c r="R144" s="136"/>
      <c r="S144" s="142">
        <f>Tabla120[[#This Row],[Unidades2]]*Tabla120[[#This Row],[Precio Unitario]]</f>
        <v>0</v>
      </c>
      <c r="T144" s="126" t="s">
        <v>270</v>
      </c>
      <c r="U144" s="127"/>
      <c r="V144" s="68"/>
      <c r="W144" s="67"/>
      <c r="X144" s="69"/>
      <c r="Y144" s="68"/>
      <c r="Z144" s="68"/>
      <c r="AA144" s="68"/>
    </row>
    <row r="145" spans="1:27" ht="11.25" x14ac:dyDescent="0.2">
      <c r="A145" s="150" t="s">
        <v>6343</v>
      </c>
      <c r="B145" s="118" t="s">
        <v>6344</v>
      </c>
      <c r="C145" s="119" t="s">
        <v>6345</v>
      </c>
      <c r="D145" s="2" t="s">
        <v>6346</v>
      </c>
      <c r="E145" s="2" t="s">
        <v>6347</v>
      </c>
      <c r="F145" s="86">
        <v>830000</v>
      </c>
      <c r="G145" s="171">
        <f>Tabla120[[#This Row],[Presupuesto]]/(1+'Lista Datos'!$B$1)</f>
        <v>697478.99159663869</v>
      </c>
      <c r="H145" s="118" t="s">
        <v>16</v>
      </c>
      <c r="I145" s="118" t="s">
        <v>6289</v>
      </c>
      <c r="J145" s="41">
        <v>44977</v>
      </c>
      <c r="K145" s="85"/>
      <c r="L145" s="2"/>
      <c r="M145" s="2"/>
      <c r="N145" s="18"/>
      <c r="O145" s="135">
        <f>Tabla120[[#This Row],[Presupuesto]]</f>
        <v>830000</v>
      </c>
      <c r="P145" s="136">
        <f>Tabla120[[#This Row],[PPTO]]/(1+'Lista Datos'!$B$1)</f>
        <v>697478.99159663869</v>
      </c>
      <c r="Q145" s="68"/>
      <c r="R145" s="136"/>
      <c r="S145" s="142">
        <f>Tabla120[[#This Row],[Unidades2]]*Tabla120[[#This Row],[Precio Unitario]]</f>
        <v>0</v>
      </c>
      <c r="T145" s="126" t="s">
        <v>270</v>
      </c>
      <c r="U145" s="127"/>
      <c r="V145" s="68"/>
      <c r="W145" s="67"/>
      <c r="X145" s="69"/>
      <c r="Y145" s="68"/>
      <c r="Z145" s="68"/>
      <c r="AA145" s="68"/>
    </row>
    <row r="146" spans="1:27" ht="11.25" x14ac:dyDescent="0.2">
      <c r="A146" s="151" t="s">
        <v>6348</v>
      </c>
      <c r="B146" s="118" t="s">
        <v>6349</v>
      </c>
      <c r="C146" s="119" t="s">
        <v>3348</v>
      </c>
      <c r="D146" s="40" t="s">
        <v>6350</v>
      </c>
      <c r="E146" s="40" t="s">
        <v>6351</v>
      </c>
      <c r="F146" s="152">
        <v>1095000</v>
      </c>
      <c r="G146" s="171">
        <f>Tabla120[[#This Row],[Presupuesto]]/(1+'Lista Datos'!$B$1)</f>
        <v>920168.06722689082</v>
      </c>
      <c r="H146" s="118" t="s">
        <v>14</v>
      </c>
      <c r="I146" s="118" t="s">
        <v>213</v>
      </c>
      <c r="J146" s="41">
        <v>44977</v>
      </c>
      <c r="K146" s="120"/>
      <c r="L146" s="40"/>
      <c r="M146" s="40"/>
      <c r="N146" s="19"/>
      <c r="O146" s="137">
        <f>Tabla120[[#This Row],[Presupuesto]]</f>
        <v>1095000</v>
      </c>
      <c r="P146" s="138">
        <f>Tabla120[[#This Row],[PPTO]]/(1+'Lista Datos'!$B$1)</f>
        <v>920168.06722689082</v>
      </c>
      <c r="Q146" s="65"/>
      <c r="R146" s="138"/>
      <c r="S146" s="143">
        <f>Tabla120[[#This Row],[Unidades2]]*Tabla120[[#This Row],[Precio Unitario]]</f>
        <v>0</v>
      </c>
      <c r="T146" s="126" t="s">
        <v>270</v>
      </c>
      <c r="U146" s="122"/>
      <c r="V146" s="65"/>
      <c r="W146" s="64"/>
      <c r="X146" s="66"/>
      <c r="Y146" s="65"/>
      <c r="Z146" s="65"/>
      <c r="AA146" s="65"/>
    </row>
    <row r="147" spans="1:27" ht="11.25" x14ac:dyDescent="0.2">
      <c r="A147" s="151" t="s">
        <v>6352</v>
      </c>
      <c r="B147" s="118" t="s">
        <v>6353</v>
      </c>
      <c r="C147" s="119" t="s">
        <v>6354</v>
      </c>
      <c r="D147" s="40" t="s">
        <v>6355</v>
      </c>
      <c r="E147" s="40" t="s">
        <v>6356</v>
      </c>
      <c r="F147" s="152">
        <v>200000</v>
      </c>
      <c r="G147" s="171">
        <f>Tabla120[[#This Row],[Presupuesto]]/(1+'Lista Datos'!$B$1)</f>
        <v>168067.22689075631</v>
      </c>
      <c r="H147" s="118" t="s">
        <v>14</v>
      </c>
      <c r="I147" s="118" t="s">
        <v>145</v>
      </c>
      <c r="J147" s="41">
        <v>44978</v>
      </c>
      <c r="K147" s="120" t="s">
        <v>10</v>
      </c>
      <c r="L147" s="40" t="s">
        <v>27</v>
      </c>
      <c r="M147" s="40"/>
      <c r="N147" s="19"/>
      <c r="O147" s="137">
        <f>Tabla120[[#This Row],[Presupuesto]]</f>
        <v>200000</v>
      </c>
      <c r="P147" s="138">
        <f>Tabla120[[#This Row],[PPTO]]/(1+'Lista Datos'!$B$1)</f>
        <v>168067.22689075631</v>
      </c>
      <c r="Q147" s="65"/>
      <c r="R147" s="138"/>
      <c r="S147" s="143">
        <f>Tabla120[[#This Row],[Unidades2]]*Tabla120[[#This Row],[Precio Unitario]]</f>
        <v>0</v>
      </c>
      <c r="T147" s="126" t="s">
        <v>270</v>
      </c>
      <c r="U147" s="122"/>
      <c r="V147" s="65"/>
      <c r="W147" s="64"/>
      <c r="X147" s="66"/>
      <c r="Y147" s="65"/>
      <c r="Z147" s="65"/>
      <c r="AA147" s="65"/>
    </row>
    <row r="148" spans="1:27" ht="11.25" x14ac:dyDescent="0.2">
      <c r="A148" s="151" t="s">
        <v>6357</v>
      </c>
      <c r="B148" s="118" t="s">
        <v>6358</v>
      </c>
      <c r="C148" s="119" t="s">
        <v>5613</v>
      </c>
      <c r="D148" s="40" t="s">
        <v>6359</v>
      </c>
      <c r="E148" s="40" t="s">
        <v>6360</v>
      </c>
      <c r="F148" s="152">
        <v>1</v>
      </c>
      <c r="G148" s="171">
        <f>Tabla120[[#This Row],[Presupuesto]]/(1+'Lista Datos'!$B$1)</f>
        <v>0.84033613445378152</v>
      </c>
      <c r="H148" s="118" t="s">
        <v>21</v>
      </c>
      <c r="I148" s="118" t="s">
        <v>106</v>
      </c>
      <c r="J148" s="41">
        <v>44978</v>
      </c>
      <c r="K148" s="120" t="s">
        <v>10</v>
      </c>
      <c r="L148" s="40" t="s">
        <v>34</v>
      </c>
      <c r="M148" s="40" t="s">
        <v>10</v>
      </c>
      <c r="N148" s="19"/>
      <c r="O148" s="137">
        <f>Tabla120[[#This Row],[Presupuesto]]</f>
        <v>1</v>
      </c>
      <c r="P148" s="138">
        <f>Tabla120[[#This Row],[PPTO]]/(1+'Lista Datos'!$B$1)</f>
        <v>0.84033613445378152</v>
      </c>
      <c r="Q148" s="65"/>
      <c r="R148" s="138"/>
      <c r="S148" s="143">
        <f>Tabla120[[#This Row],[Unidades2]]*Tabla120[[#This Row],[Precio Unitario]]</f>
        <v>0</v>
      </c>
      <c r="T148" s="126" t="s">
        <v>270</v>
      </c>
      <c r="U148" s="122"/>
      <c r="V148" s="65"/>
      <c r="W148" s="64"/>
      <c r="X148" s="66"/>
      <c r="Y148" s="65"/>
      <c r="Z148" s="65"/>
      <c r="AA148" s="65"/>
    </row>
    <row r="149" spans="1:27" ht="11.25" x14ac:dyDescent="0.2">
      <c r="A149" s="151" t="s">
        <v>6361</v>
      </c>
      <c r="B149" s="118" t="s">
        <v>6362</v>
      </c>
      <c r="C149" s="119" t="s">
        <v>6363</v>
      </c>
      <c r="D149" s="40" t="s">
        <v>6364</v>
      </c>
      <c r="E149" s="40" t="s">
        <v>6365</v>
      </c>
      <c r="F149" s="152">
        <v>609000</v>
      </c>
      <c r="G149" s="171">
        <f>Tabla120[[#This Row],[Presupuesto]]/(1+'Lista Datos'!$B$1)</f>
        <v>511764.70588235295</v>
      </c>
      <c r="H149" s="118" t="s">
        <v>21</v>
      </c>
      <c r="I149" s="118" t="s">
        <v>106</v>
      </c>
      <c r="J149" s="41">
        <v>44613</v>
      </c>
      <c r="K149" s="120" t="s">
        <v>10</v>
      </c>
      <c r="L149" s="40" t="s">
        <v>34</v>
      </c>
      <c r="M149" s="40" t="s">
        <v>10</v>
      </c>
      <c r="N149" s="19"/>
      <c r="O149" s="137">
        <f>Tabla120[[#This Row],[Presupuesto]]</f>
        <v>609000</v>
      </c>
      <c r="P149" s="138">
        <f>Tabla120[[#This Row],[PPTO]]/(1+'Lista Datos'!$B$1)</f>
        <v>511764.70588235295</v>
      </c>
      <c r="Q149" s="65"/>
      <c r="R149" s="138"/>
      <c r="S149" s="143">
        <f>Tabla120[[#This Row],[Unidades2]]*Tabla120[[#This Row],[Precio Unitario]]</f>
        <v>0</v>
      </c>
      <c r="T149" s="126" t="s">
        <v>270</v>
      </c>
      <c r="U149" s="122"/>
      <c r="V149" s="65"/>
      <c r="W149" s="64"/>
      <c r="X149" s="66"/>
      <c r="Y149" s="65"/>
      <c r="Z149" s="65"/>
      <c r="AA149" s="65"/>
    </row>
    <row r="150" spans="1:27" ht="11.25" x14ac:dyDescent="0.2">
      <c r="A150" s="151" t="s">
        <v>6366</v>
      </c>
      <c r="B150" s="118" t="s">
        <v>6367</v>
      </c>
      <c r="C150" s="119" t="s">
        <v>6368</v>
      </c>
      <c r="D150" s="40" t="s">
        <v>6369</v>
      </c>
      <c r="E150" s="40" t="s">
        <v>6370</v>
      </c>
      <c r="F150" s="152">
        <v>1850000</v>
      </c>
      <c r="G150" s="171">
        <f>Tabla120[[#This Row],[Presupuesto]]/(1+'Lista Datos'!$B$1)</f>
        <v>1554621.848739496</v>
      </c>
      <c r="H150" s="118" t="s">
        <v>14</v>
      </c>
      <c r="I150" s="118" t="s">
        <v>145</v>
      </c>
      <c r="J150" s="41">
        <v>44981</v>
      </c>
      <c r="K150" s="120"/>
      <c r="L150" s="40"/>
      <c r="M150" s="40"/>
      <c r="N150" s="19"/>
      <c r="O150" s="137">
        <f>Tabla120[[#This Row],[Presupuesto]]</f>
        <v>1850000</v>
      </c>
      <c r="P150" s="138">
        <f>Tabla120[[#This Row],[PPTO]]/(1+'Lista Datos'!$B$1)</f>
        <v>1554621.848739496</v>
      </c>
      <c r="Q150" s="65"/>
      <c r="R150" s="138"/>
      <c r="S150" s="143">
        <f>Tabla120[[#This Row],[Unidades2]]*Tabla120[[#This Row],[Precio Unitario]]</f>
        <v>0</v>
      </c>
      <c r="T150" s="126" t="s">
        <v>270</v>
      </c>
      <c r="U150" s="122"/>
      <c r="V150" s="65"/>
      <c r="W150" s="64"/>
      <c r="X150" s="66"/>
      <c r="Y150" s="65"/>
      <c r="Z150" s="65"/>
      <c r="AA150" s="65"/>
    </row>
    <row r="151" spans="1:27" ht="11.25" x14ac:dyDescent="0.2">
      <c r="A151" s="151" t="s">
        <v>6371</v>
      </c>
      <c r="B151" s="118" t="s">
        <v>6372</v>
      </c>
      <c r="C151" s="119" t="s">
        <v>6373</v>
      </c>
      <c r="D151" s="40" t="s">
        <v>6374</v>
      </c>
      <c r="E151" s="40" t="s">
        <v>6375</v>
      </c>
      <c r="F151" s="152">
        <v>100000</v>
      </c>
      <c r="G151" s="171">
        <f>Tabla120[[#This Row],[Presupuesto]]/(1+'Lista Datos'!$B$1)</f>
        <v>84033.613445378156</v>
      </c>
      <c r="H151" s="118" t="s">
        <v>14</v>
      </c>
      <c r="I151" s="118" t="s">
        <v>345</v>
      </c>
      <c r="J151" s="41">
        <v>44985</v>
      </c>
      <c r="K151" s="120" t="s">
        <v>10</v>
      </c>
      <c r="L151" s="40" t="s">
        <v>27</v>
      </c>
      <c r="M151" s="40"/>
      <c r="N151" s="19"/>
      <c r="O151" s="137">
        <f>Tabla120[[#This Row],[Presupuesto]]</f>
        <v>100000</v>
      </c>
      <c r="P151" s="138">
        <f>Tabla120[[#This Row],[PPTO]]/(1+'Lista Datos'!$B$1)</f>
        <v>84033.613445378156</v>
      </c>
      <c r="Q151" s="65"/>
      <c r="R151" s="138"/>
      <c r="S151" s="143">
        <f>Tabla120[[#This Row],[Unidades2]]*Tabla120[[#This Row],[Precio Unitario]]</f>
        <v>0</v>
      </c>
      <c r="T151" s="126" t="s">
        <v>270</v>
      </c>
      <c r="U151" s="122"/>
      <c r="V151" s="65"/>
      <c r="W151" s="64"/>
      <c r="X151" s="66"/>
      <c r="Y151" s="65"/>
      <c r="Z151" s="65"/>
      <c r="AA151" s="65"/>
    </row>
    <row r="152" spans="1:27" ht="11.25" x14ac:dyDescent="0.2">
      <c r="A152" s="151" t="s">
        <v>6376</v>
      </c>
      <c r="B152" s="118" t="s">
        <v>6377</v>
      </c>
      <c r="C152" s="119" t="s">
        <v>5903</v>
      </c>
      <c r="D152" s="40" t="s">
        <v>6378</v>
      </c>
      <c r="E152" s="40" t="s">
        <v>6379</v>
      </c>
      <c r="F152" s="152">
        <v>140000</v>
      </c>
      <c r="G152" s="171">
        <f>Tabla120[[#This Row],[Presupuesto]]/(1+'Lista Datos'!$B$1)</f>
        <v>117647.05882352941</v>
      </c>
      <c r="H152" s="118" t="s">
        <v>16</v>
      </c>
      <c r="I152" s="145" t="s">
        <v>145</v>
      </c>
      <c r="J152" s="41">
        <v>44985</v>
      </c>
      <c r="K152" s="120"/>
      <c r="L152" s="40"/>
      <c r="M152" s="40"/>
      <c r="N152" s="19"/>
      <c r="O152" s="137">
        <f>Tabla120[[#This Row],[Presupuesto]]</f>
        <v>140000</v>
      </c>
      <c r="P152" s="138">
        <f>Tabla120[[#This Row],[PPTO]]/(1+'Lista Datos'!$B$1)</f>
        <v>117647.05882352941</v>
      </c>
      <c r="Q152" s="65"/>
      <c r="R152" s="138"/>
      <c r="S152" s="143">
        <f>Tabla120[[#This Row],[Unidades2]]*Tabla120[[#This Row],[Precio Unitario]]</f>
        <v>0</v>
      </c>
      <c r="T152" s="126" t="s">
        <v>270</v>
      </c>
      <c r="U152" s="122"/>
      <c r="V152" s="65"/>
      <c r="W152" s="64"/>
      <c r="X152" s="66"/>
      <c r="Y152" s="65"/>
      <c r="Z152" s="65"/>
      <c r="AA152" s="65"/>
    </row>
    <row r="153" spans="1:27" ht="11.25" x14ac:dyDescent="0.2">
      <c r="A153" s="151" t="s">
        <v>6380</v>
      </c>
      <c r="B153" s="118" t="s">
        <v>6381</v>
      </c>
      <c r="C153" s="119" t="s">
        <v>5613</v>
      </c>
      <c r="D153" s="40" t="s">
        <v>6382</v>
      </c>
      <c r="E153" s="40" t="s">
        <v>6383</v>
      </c>
      <c r="F153" s="152">
        <v>1</v>
      </c>
      <c r="G153" s="171">
        <f>Tabla120[[#This Row],[Presupuesto]]/(1+'Lista Datos'!$B$1)</f>
        <v>0.84033613445378152</v>
      </c>
      <c r="H153" s="118" t="s">
        <v>21</v>
      </c>
      <c r="I153" s="118" t="s">
        <v>106</v>
      </c>
      <c r="J153" s="41">
        <v>44985</v>
      </c>
      <c r="K153" s="120" t="s">
        <v>10</v>
      </c>
      <c r="L153" s="40" t="s">
        <v>35</v>
      </c>
      <c r="M153" s="40" t="s">
        <v>10</v>
      </c>
      <c r="N153" s="19"/>
      <c r="O153" s="137">
        <f>Tabla120[[#This Row],[Presupuesto]]</f>
        <v>1</v>
      </c>
      <c r="P153" s="138">
        <f>Tabla120[[#This Row],[PPTO]]/(1+'Lista Datos'!$B$1)</f>
        <v>0.84033613445378152</v>
      </c>
      <c r="Q153" s="65"/>
      <c r="R153" s="138"/>
      <c r="S153" s="143">
        <f>Tabla120[[#This Row],[Unidades2]]*Tabla120[[#This Row],[Precio Unitario]]</f>
        <v>0</v>
      </c>
      <c r="T153" s="126" t="s">
        <v>270</v>
      </c>
      <c r="U153" s="122"/>
      <c r="V153" s="65"/>
      <c r="W153" s="64"/>
      <c r="X153" s="66"/>
      <c r="Y153" s="65"/>
      <c r="Z153" s="65"/>
      <c r="AA153" s="65"/>
    </row>
    <row r="154" spans="1:27" ht="11.25" x14ac:dyDescent="0.2">
      <c r="A154" s="151" t="s">
        <v>6384</v>
      </c>
      <c r="B154" s="118" t="s">
        <v>6385</v>
      </c>
      <c r="C154" s="119" t="s">
        <v>6386</v>
      </c>
      <c r="D154" s="40" t="s">
        <v>6387</v>
      </c>
      <c r="E154" s="40" t="s">
        <v>6388</v>
      </c>
      <c r="F154" s="152">
        <v>1499995</v>
      </c>
      <c r="G154" s="171">
        <f>Tabla120[[#This Row],[Presupuesto]]/(1+'Lista Datos'!$B$1)</f>
        <v>1260500</v>
      </c>
      <c r="H154" s="118" t="s">
        <v>16</v>
      </c>
      <c r="I154" s="118" t="s">
        <v>6289</v>
      </c>
      <c r="J154" s="41">
        <v>44985</v>
      </c>
      <c r="K154" s="120"/>
      <c r="L154" s="40"/>
      <c r="M154" s="40"/>
      <c r="N154" s="19"/>
      <c r="O154" s="137">
        <f>Tabla120[[#This Row],[Presupuesto]]</f>
        <v>1499995</v>
      </c>
      <c r="P154" s="138">
        <f>Tabla120[[#This Row],[PPTO]]/(1+'Lista Datos'!$B$1)</f>
        <v>1260500</v>
      </c>
      <c r="Q154" s="65"/>
      <c r="R154" s="138"/>
      <c r="S154" s="143">
        <f>Tabla120[[#This Row],[Unidades2]]*Tabla120[[#This Row],[Precio Unitario]]</f>
        <v>0</v>
      </c>
      <c r="T154" s="126" t="s">
        <v>270</v>
      </c>
      <c r="U154" s="122"/>
      <c r="V154" s="65"/>
      <c r="W154" s="64"/>
      <c r="X154" s="66"/>
      <c r="Y154" s="65"/>
      <c r="Z154" s="65"/>
      <c r="AA154" s="65"/>
    </row>
    <row r="155" spans="1:27" ht="11.25" x14ac:dyDescent="0.2">
      <c r="A155" s="150" t="s">
        <v>6389</v>
      </c>
      <c r="B155" s="118" t="s">
        <v>6390</v>
      </c>
      <c r="C155" s="119" t="s">
        <v>5865</v>
      </c>
      <c r="D155" s="2" t="s">
        <v>6391</v>
      </c>
      <c r="E155" s="2" t="s">
        <v>6392</v>
      </c>
      <c r="F155" s="86">
        <v>580000</v>
      </c>
      <c r="G155" s="171">
        <f>Tabla120[[#This Row],[Presupuesto]]/(1+'Lista Datos'!$B$1)</f>
        <v>487394.95798319328</v>
      </c>
      <c r="H155" s="118" t="s">
        <v>14</v>
      </c>
      <c r="I155" s="118" t="s">
        <v>6289</v>
      </c>
      <c r="J155" s="26">
        <v>44988</v>
      </c>
      <c r="K155" s="85"/>
      <c r="L155" s="2"/>
      <c r="M155" s="2"/>
      <c r="N155" s="18"/>
      <c r="O155" s="135">
        <f>Tabla120[[#This Row],[Presupuesto]]</f>
        <v>580000</v>
      </c>
      <c r="P155" s="136">
        <f>Tabla120[[#This Row],[PPTO]]/(1+'Lista Datos'!$B$1)</f>
        <v>487394.95798319328</v>
      </c>
      <c r="Q155" s="68"/>
      <c r="R155" s="136"/>
      <c r="S155" s="142">
        <f>Tabla120[[#This Row],[Unidades2]]*Tabla120[[#This Row],[Precio Unitario]]</f>
        <v>0</v>
      </c>
      <c r="T155" s="126" t="s">
        <v>270</v>
      </c>
      <c r="U155" s="127"/>
      <c r="V155" s="68"/>
      <c r="W155" s="67"/>
      <c r="X155" s="69"/>
      <c r="Y155" s="68"/>
      <c r="Z155" s="68"/>
      <c r="AA155" s="68"/>
    </row>
    <row r="156" spans="1:27" ht="11.25" x14ac:dyDescent="0.2">
      <c r="A156" s="150" t="s">
        <v>6393</v>
      </c>
      <c r="B156" s="118" t="s">
        <v>6394</v>
      </c>
      <c r="C156" s="119" t="s">
        <v>5276</v>
      </c>
      <c r="D156" s="2" t="s">
        <v>6395</v>
      </c>
      <c r="E156" s="2" t="s">
        <v>6396</v>
      </c>
      <c r="F156" s="86">
        <v>1300000</v>
      </c>
      <c r="G156" s="171">
        <f>Tabla120[[#This Row],[Presupuesto]]/(1+'Lista Datos'!$B$1)</f>
        <v>1092436.9747899161</v>
      </c>
      <c r="H156" s="118" t="s">
        <v>18</v>
      </c>
      <c r="I156" s="118" t="s">
        <v>213</v>
      </c>
      <c r="J156" s="26">
        <v>44988</v>
      </c>
      <c r="K156" s="85" t="s">
        <v>10</v>
      </c>
      <c r="L156" s="2"/>
      <c r="M156" s="2"/>
      <c r="N156" s="18"/>
      <c r="O156" s="135">
        <f>Tabla120[[#This Row],[Presupuesto]]</f>
        <v>1300000</v>
      </c>
      <c r="P156" s="136">
        <f>Tabla120[[#This Row],[PPTO]]/(1+'Lista Datos'!$B$1)</f>
        <v>1092436.9747899161</v>
      </c>
      <c r="Q156" s="68"/>
      <c r="R156" s="136"/>
      <c r="S156" s="142">
        <f>Tabla120[[#This Row],[Unidades2]]*Tabla120[[#This Row],[Precio Unitario]]</f>
        <v>0</v>
      </c>
      <c r="T156" s="126" t="s">
        <v>270</v>
      </c>
      <c r="U156" s="127"/>
      <c r="V156" s="68"/>
      <c r="W156" s="67"/>
      <c r="X156" s="69"/>
      <c r="Y156" s="68"/>
      <c r="Z156" s="68"/>
      <c r="AA156" s="68"/>
    </row>
    <row r="157" spans="1:27" ht="11.25" x14ac:dyDescent="0.2">
      <c r="A157" s="150" t="s">
        <v>6397</v>
      </c>
      <c r="B157" s="118" t="s">
        <v>6398</v>
      </c>
      <c r="C157" s="119" t="s">
        <v>4099</v>
      </c>
      <c r="D157" s="2" t="s">
        <v>6399</v>
      </c>
      <c r="E157" s="2" t="s">
        <v>6400</v>
      </c>
      <c r="F157" s="86">
        <v>330000</v>
      </c>
      <c r="G157" s="171">
        <f>Tabla120[[#This Row],[Presupuesto]]/(1+'Lista Datos'!$B$1)</f>
        <v>277310.92436974793</v>
      </c>
      <c r="H157" s="118" t="s">
        <v>21</v>
      </c>
      <c r="I157" s="118" t="s">
        <v>106</v>
      </c>
      <c r="J157" s="26">
        <v>44988</v>
      </c>
      <c r="K157" s="85" t="s">
        <v>10</v>
      </c>
      <c r="L157" s="2" t="s">
        <v>27</v>
      </c>
      <c r="M157" s="2" t="s">
        <v>10</v>
      </c>
      <c r="N157" s="18"/>
      <c r="O157" s="135">
        <f>Tabla120[[#This Row],[Presupuesto]]</f>
        <v>330000</v>
      </c>
      <c r="P157" s="136">
        <f>Tabla120[[#This Row],[PPTO]]/(1+'Lista Datos'!$B$1)</f>
        <v>277310.92436974793</v>
      </c>
      <c r="Q157" s="68"/>
      <c r="R157" s="136"/>
      <c r="S157" s="142">
        <f>Tabla120[[#This Row],[Unidades2]]*Tabla120[[#This Row],[Precio Unitario]]</f>
        <v>0</v>
      </c>
      <c r="T157" s="126" t="s">
        <v>270</v>
      </c>
      <c r="U157" s="127"/>
      <c r="V157" s="68"/>
      <c r="W157" s="67"/>
      <c r="X157" s="69"/>
      <c r="Y157" s="68"/>
      <c r="Z157" s="68"/>
      <c r="AA157" s="68"/>
    </row>
    <row r="158" spans="1:27" ht="11.25" x14ac:dyDescent="0.2">
      <c r="A158" s="150" t="s">
        <v>6401</v>
      </c>
      <c r="B158" s="118" t="s">
        <v>6402</v>
      </c>
      <c r="C158" s="119" t="s">
        <v>6403</v>
      </c>
      <c r="D158" s="2" t="s">
        <v>6404</v>
      </c>
      <c r="E158" s="2" t="s">
        <v>6405</v>
      </c>
      <c r="F158" s="86">
        <v>1100000</v>
      </c>
      <c r="G158" s="171">
        <f>Tabla120[[#This Row],[Presupuesto]]/(1+'Lista Datos'!$B$1)</f>
        <v>924369.74789915967</v>
      </c>
      <c r="H158" s="118" t="s">
        <v>14</v>
      </c>
      <c r="I158" s="118" t="s">
        <v>345</v>
      </c>
      <c r="J158" s="26">
        <v>44988</v>
      </c>
      <c r="K158" s="85" t="s">
        <v>10</v>
      </c>
      <c r="L158" s="2" t="s">
        <v>35</v>
      </c>
      <c r="M158" s="2"/>
      <c r="N158" s="18"/>
      <c r="O158" s="135">
        <f>Tabla120[[#This Row],[Presupuesto]]</f>
        <v>1100000</v>
      </c>
      <c r="P158" s="136">
        <f>Tabla120[[#This Row],[PPTO]]/(1+'Lista Datos'!$B$1)</f>
        <v>924369.74789915967</v>
      </c>
      <c r="Q158" s="68"/>
      <c r="R158" s="136"/>
      <c r="S158" s="142">
        <f>Tabla120[[#This Row],[Unidades2]]*Tabla120[[#This Row],[Precio Unitario]]</f>
        <v>0</v>
      </c>
      <c r="T158" s="126" t="s">
        <v>270</v>
      </c>
      <c r="U158" s="127"/>
      <c r="V158" s="68"/>
      <c r="W158" s="67"/>
      <c r="X158" s="69"/>
      <c r="Y158" s="68"/>
      <c r="Z158" s="68"/>
      <c r="AA158" s="68"/>
    </row>
    <row r="159" spans="1:27" ht="11.25" x14ac:dyDescent="0.2">
      <c r="A159" s="150" t="s">
        <v>6406</v>
      </c>
      <c r="B159" s="118" t="s">
        <v>6407</v>
      </c>
      <c r="C159" s="119" t="s">
        <v>2922</v>
      </c>
      <c r="D159" s="2" t="s">
        <v>6408</v>
      </c>
      <c r="E159" s="2" t="s">
        <v>6409</v>
      </c>
      <c r="F159" s="86">
        <v>40000</v>
      </c>
      <c r="G159" s="171">
        <f>Tabla120[[#This Row],[Presupuesto]]/(1+'Lista Datos'!$B$1)</f>
        <v>33613.445378151264</v>
      </c>
      <c r="H159" s="118" t="s">
        <v>21</v>
      </c>
      <c r="I159" s="118" t="s">
        <v>106</v>
      </c>
      <c r="J159" s="26">
        <v>44988</v>
      </c>
      <c r="K159" s="85" t="s">
        <v>10</v>
      </c>
      <c r="L159" s="2" t="s">
        <v>27</v>
      </c>
      <c r="M159" s="2"/>
      <c r="N159" s="18"/>
      <c r="O159" s="135">
        <f>Tabla120[[#This Row],[Presupuesto]]</f>
        <v>40000</v>
      </c>
      <c r="P159" s="136">
        <f>Tabla120[[#This Row],[PPTO]]/(1+'Lista Datos'!$B$1)</f>
        <v>33613.445378151264</v>
      </c>
      <c r="Q159" s="68"/>
      <c r="R159" s="136"/>
      <c r="S159" s="142">
        <f>Tabla120[[#This Row],[Unidades2]]*Tabla120[[#This Row],[Precio Unitario]]</f>
        <v>0</v>
      </c>
      <c r="T159" s="126" t="s">
        <v>270</v>
      </c>
      <c r="U159" s="127"/>
      <c r="V159" s="68"/>
      <c r="W159" s="67"/>
      <c r="X159" s="69"/>
      <c r="Y159" s="68"/>
      <c r="Z159" s="68"/>
      <c r="AA159" s="68"/>
    </row>
    <row r="160" spans="1:27" ht="11.25" x14ac:dyDescent="0.2">
      <c r="A160" s="150" t="s">
        <v>6410</v>
      </c>
      <c r="B160" s="118" t="s">
        <v>6411</v>
      </c>
      <c r="C160" s="119" t="s">
        <v>6412</v>
      </c>
      <c r="D160" s="2" t="s">
        <v>6413</v>
      </c>
      <c r="E160" s="2" t="s">
        <v>6414</v>
      </c>
      <c r="F160" s="86">
        <v>210000</v>
      </c>
      <c r="G160" s="171">
        <f>Tabla120[[#This Row],[Presupuesto]]/(1+'Lista Datos'!$B$1)</f>
        <v>176470.58823529413</v>
      </c>
      <c r="H160" s="118" t="s">
        <v>21</v>
      </c>
      <c r="I160" s="118" t="s">
        <v>106</v>
      </c>
      <c r="J160" s="26">
        <v>44988</v>
      </c>
      <c r="K160" s="85" t="s">
        <v>10</v>
      </c>
      <c r="L160" s="2" t="s">
        <v>27</v>
      </c>
      <c r="M160" s="2"/>
      <c r="N160" s="18"/>
      <c r="O160" s="135">
        <f>Tabla120[[#This Row],[Presupuesto]]</f>
        <v>210000</v>
      </c>
      <c r="P160" s="136">
        <f>Tabla120[[#This Row],[PPTO]]/(1+'Lista Datos'!$B$1)</f>
        <v>176470.58823529413</v>
      </c>
      <c r="Q160" s="68"/>
      <c r="R160" s="136"/>
      <c r="S160" s="142">
        <f>Tabla120[[#This Row],[Unidades2]]*Tabla120[[#This Row],[Precio Unitario]]</f>
        <v>0</v>
      </c>
      <c r="T160" s="126" t="s">
        <v>270</v>
      </c>
      <c r="U160" s="127"/>
      <c r="V160" s="68"/>
      <c r="W160" s="67"/>
      <c r="X160" s="69"/>
      <c r="Y160" s="68"/>
      <c r="Z160" s="68"/>
      <c r="AA160" s="68"/>
    </row>
    <row r="161" spans="1:27" ht="11.25" x14ac:dyDescent="0.2">
      <c r="A161" s="150" t="s">
        <v>6415</v>
      </c>
      <c r="B161" s="118" t="s">
        <v>6416</v>
      </c>
      <c r="C161" s="119" t="s">
        <v>4810</v>
      </c>
      <c r="D161" s="2" t="s">
        <v>6417</v>
      </c>
      <c r="E161" s="2" t="s">
        <v>6418</v>
      </c>
      <c r="F161" s="86">
        <v>165045</v>
      </c>
      <c r="G161" s="171">
        <f>Tabla120[[#This Row],[Presupuesto]]/(1+'Lista Datos'!$B$1)</f>
        <v>138693.27731092437</v>
      </c>
      <c r="H161" s="118" t="s">
        <v>21</v>
      </c>
      <c r="I161" s="118" t="s">
        <v>106</v>
      </c>
      <c r="J161" s="26">
        <v>44988</v>
      </c>
      <c r="K161" s="85" t="s">
        <v>10</v>
      </c>
      <c r="L161" s="2" t="s">
        <v>27</v>
      </c>
      <c r="M161" s="2"/>
      <c r="N161" s="18"/>
      <c r="O161" s="135">
        <f>Tabla120[[#This Row],[Presupuesto]]</f>
        <v>165045</v>
      </c>
      <c r="P161" s="136">
        <f>Tabla120[[#This Row],[PPTO]]/(1+'Lista Datos'!$B$1)</f>
        <v>138693.27731092437</v>
      </c>
      <c r="Q161" s="68"/>
      <c r="R161" s="136"/>
      <c r="S161" s="142">
        <f>Tabla120[[#This Row],[Unidades2]]*Tabla120[[#This Row],[Precio Unitario]]</f>
        <v>0</v>
      </c>
      <c r="T161" s="126" t="s">
        <v>270</v>
      </c>
      <c r="U161" s="127"/>
      <c r="V161" s="68"/>
      <c r="W161" s="67"/>
      <c r="X161" s="69"/>
      <c r="Y161" s="68"/>
      <c r="Z161" s="68"/>
      <c r="AA161" s="68"/>
    </row>
    <row r="162" spans="1:27" ht="11.25" x14ac:dyDescent="0.2">
      <c r="A162" s="150" t="s">
        <v>6419</v>
      </c>
      <c r="B162" s="118" t="s">
        <v>6420</v>
      </c>
      <c r="C162" s="119" t="s">
        <v>2990</v>
      </c>
      <c r="D162" s="2" t="s">
        <v>6421</v>
      </c>
      <c r="E162" s="2" t="s">
        <v>6422</v>
      </c>
      <c r="F162" s="86">
        <v>95325</v>
      </c>
      <c r="G162" s="171">
        <f>Tabla120[[#This Row],[Presupuesto]]/(1+'Lista Datos'!$B$1)</f>
        <v>80105.042016806721</v>
      </c>
      <c r="H162" s="118" t="s">
        <v>16</v>
      </c>
      <c r="I162" s="118" t="s">
        <v>145</v>
      </c>
      <c r="J162" s="26">
        <v>44988</v>
      </c>
      <c r="K162" s="85"/>
      <c r="L162" s="2"/>
      <c r="M162" s="2"/>
      <c r="N162" s="18"/>
      <c r="O162" s="135">
        <f>Tabla120[[#This Row],[Presupuesto]]</f>
        <v>95325</v>
      </c>
      <c r="P162" s="136">
        <f>Tabla120[[#This Row],[PPTO]]/(1+'Lista Datos'!$B$1)</f>
        <v>80105.042016806721</v>
      </c>
      <c r="Q162" s="68"/>
      <c r="R162" s="136"/>
      <c r="S162" s="142">
        <f>Tabla120[[#This Row],[Unidades2]]*Tabla120[[#This Row],[Precio Unitario]]</f>
        <v>0</v>
      </c>
      <c r="T162" s="126" t="s">
        <v>270</v>
      </c>
      <c r="U162" s="127"/>
      <c r="V162" s="68"/>
      <c r="W162" s="67"/>
      <c r="X162" s="69"/>
      <c r="Y162" s="68"/>
      <c r="Z162" s="68"/>
      <c r="AA162" s="68"/>
    </row>
    <row r="163" spans="1:27" ht="11.25" x14ac:dyDescent="0.2">
      <c r="A163" s="150" t="s">
        <v>6423</v>
      </c>
      <c r="B163" s="118" t="s">
        <v>6424</v>
      </c>
      <c r="C163" s="119" t="s">
        <v>2429</v>
      </c>
      <c r="D163" s="2" t="s">
        <v>6425</v>
      </c>
      <c r="E163" s="2" t="s">
        <v>6426</v>
      </c>
      <c r="F163" s="86">
        <v>400000</v>
      </c>
      <c r="G163" s="171">
        <f>Tabla120[[#This Row],[Presupuesto]]/(1+'Lista Datos'!$B$1)</f>
        <v>336134.45378151262</v>
      </c>
      <c r="H163" s="118" t="s">
        <v>21</v>
      </c>
      <c r="I163" s="118" t="s">
        <v>106</v>
      </c>
      <c r="J163" s="26">
        <v>44988</v>
      </c>
      <c r="K163" s="85" t="s">
        <v>10</v>
      </c>
      <c r="L163" s="2" t="s">
        <v>26</v>
      </c>
      <c r="M163" s="2" t="s">
        <v>11</v>
      </c>
      <c r="N163" s="18"/>
      <c r="O163" s="135">
        <f>Tabla120[[#This Row],[Presupuesto]]</f>
        <v>400000</v>
      </c>
      <c r="P163" s="136">
        <f>Tabla120[[#This Row],[PPTO]]/(1+'Lista Datos'!$B$1)</f>
        <v>336134.45378151262</v>
      </c>
      <c r="Q163" s="68"/>
      <c r="R163" s="136"/>
      <c r="S163" s="142">
        <f>Tabla120[[#This Row],[Unidades2]]*Tabla120[[#This Row],[Precio Unitario]]</f>
        <v>0</v>
      </c>
      <c r="T163" s="126" t="s">
        <v>270</v>
      </c>
      <c r="U163" s="127"/>
      <c r="V163" s="68"/>
      <c r="W163" s="67"/>
      <c r="X163" s="69"/>
      <c r="Y163" s="68"/>
      <c r="Z163" s="68"/>
      <c r="AA163" s="68"/>
    </row>
    <row r="164" spans="1:27" ht="11.25" x14ac:dyDescent="0.2">
      <c r="A164" s="151" t="s">
        <v>6427</v>
      </c>
      <c r="B164" s="118" t="s">
        <v>6428</v>
      </c>
      <c r="C164" s="119" t="s">
        <v>2767</v>
      </c>
      <c r="D164" s="40" t="s">
        <v>6429</v>
      </c>
      <c r="E164" s="40" t="s">
        <v>6430</v>
      </c>
      <c r="F164" s="152">
        <v>200000</v>
      </c>
      <c r="G164" s="171">
        <f>Tabla120[[#This Row],[Presupuesto]]/(1+'Lista Datos'!$B$1)</f>
        <v>168067.22689075631</v>
      </c>
      <c r="H164" s="118" t="s">
        <v>14</v>
      </c>
      <c r="I164" s="118" t="s">
        <v>6289</v>
      </c>
      <c r="J164" s="41">
        <v>44988</v>
      </c>
      <c r="K164" s="120" t="s">
        <v>10</v>
      </c>
      <c r="L164" s="40" t="s">
        <v>27</v>
      </c>
      <c r="M164" s="40"/>
      <c r="N164" s="19"/>
      <c r="O164" s="137">
        <f>Tabla120[[#This Row],[Presupuesto]]</f>
        <v>200000</v>
      </c>
      <c r="P164" s="138">
        <f>Tabla120[[#This Row],[PPTO]]/(1+'Lista Datos'!$B$1)</f>
        <v>168067.22689075631</v>
      </c>
      <c r="Q164" s="65"/>
      <c r="R164" s="138"/>
      <c r="S164" s="143">
        <f>Tabla120[[#This Row],[Unidades2]]*Tabla120[[#This Row],[Precio Unitario]]</f>
        <v>0</v>
      </c>
      <c r="T164" s="126" t="s">
        <v>270</v>
      </c>
      <c r="U164" s="122"/>
      <c r="V164" s="65"/>
      <c r="W164" s="64"/>
      <c r="X164" s="66"/>
      <c r="Y164" s="65"/>
      <c r="Z164" s="65"/>
      <c r="AA164" s="65"/>
    </row>
    <row r="165" spans="1:27" ht="11.25" x14ac:dyDescent="0.2">
      <c r="A165" s="150" t="s">
        <v>6431</v>
      </c>
      <c r="B165" s="118" t="s">
        <v>6432</v>
      </c>
      <c r="C165" s="119" t="s">
        <v>1880</v>
      </c>
      <c r="D165" s="2" t="s">
        <v>6433</v>
      </c>
      <c r="E165" s="2" t="s">
        <v>6434</v>
      </c>
      <c r="F165" s="86">
        <v>200000</v>
      </c>
      <c r="G165" s="171">
        <f>Tabla120[[#This Row],[Presupuesto]]/(1+'Lista Datos'!$B$1)</f>
        <v>168067.22689075631</v>
      </c>
      <c r="H165" s="118" t="s">
        <v>14</v>
      </c>
      <c r="I165" s="118" t="s">
        <v>6289</v>
      </c>
      <c r="J165" s="26">
        <v>44992</v>
      </c>
      <c r="K165" s="85" t="s">
        <v>10</v>
      </c>
      <c r="L165" s="2" t="s">
        <v>27</v>
      </c>
      <c r="M165" s="2"/>
      <c r="N165" s="18"/>
      <c r="O165" s="135">
        <f>Tabla120[[#This Row],[Presupuesto]]</f>
        <v>200000</v>
      </c>
      <c r="P165" s="136">
        <f>Tabla120[[#This Row],[PPTO]]/(1+'Lista Datos'!$B$1)</f>
        <v>168067.22689075631</v>
      </c>
      <c r="Q165" s="68"/>
      <c r="R165" s="136"/>
      <c r="S165" s="142">
        <f>Tabla120[[#This Row],[Unidades2]]*Tabla120[[#This Row],[Precio Unitario]]</f>
        <v>0</v>
      </c>
      <c r="T165" s="126" t="s">
        <v>270</v>
      </c>
      <c r="U165" s="127"/>
      <c r="V165" s="68"/>
      <c r="W165" s="67"/>
      <c r="X165" s="69"/>
      <c r="Y165" s="68"/>
      <c r="Z165" s="68"/>
      <c r="AA165" s="68"/>
    </row>
    <row r="166" spans="1:27" ht="11.25" x14ac:dyDescent="0.2">
      <c r="A166" s="150" t="s">
        <v>6435</v>
      </c>
      <c r="B166" s="118" t="s">
        <v>6436</v>
      </c>
      <c r="C166" s="119" t="s">
        <v>2396</v>
      </c>
      <c r="D166" s="2" t="s">
        <v>6437</v>
      </c>
      <c r="E166" s="2" t="s">
        <v>6438</v>
      </c>
      <c r="F166" s="86">
        <v>70000</v>
      </c>
      <c r="G166" s="171">
        <f>Tabla120[[#This Row],[Presupuesto]]/(1+'Lista Datos'!$B$1)</f>
        <v>58823.529411764706</v>
      </c>
      <c r="H166" s="118" t="s">
        <v>14</v>
      </c>
      <c r="I166" s="118" t="s">
        <v>6289</v>
      </c>
      <c r="J166" s="26">
        <v>44992</v>
      </c>
      <c r="K166" s="85" t="s">
        <v>10</v>
      </c>
      <c r="L166" s="2" t="s">
        <v>27</v>
      </c>
      <c r="M166" s="2"/>
      <c r="N166" s="18"/>
      <c r="O166" s="135">
        <f>Tabla120[[#This Row],[Presupuesto]]</f>
        <v>70000</v>
      </c>
      <c r="P166" s="136">
        <f>Tabla120[[#This Row],[PPTO]]/(1+'Lista Datos'!$B$1)</f>
        <v>58823.529411764706</v>
      </c>
      <c r="Q166" s="68"/>
      <c r="R166" s="136"/>
      <c r="S166" s="142">
        <f>Tabla120[[#This Row],[Unidades2]]*Tabla120[[#This Row],[Precio Unitario]]</f>
        <v>0</v>
      </c>
      <c r="T166" s="126" t="s">
        <v>270</v>
      </c>
      <c r="U166" s="127"/>
      <c r="V166" s="68"/>
      <c r="W166" s="67"/>
      <c r="X166" s="69"/>
      <c r="Y166" s="68"/>
      <c r="Z166" s="68"/>
      <c r="AA166" s="68"/>
    </row>
    <row r="167" spans="1:27" ht="11.25" x14ac:dyDescent="0.2">
      <c r="A167" s="150" t="s">
        <v>6439</v>
      </c>
      <c r="B167" s="118" t="s">
        <v>6440</v>
      </c>
      <c r="C167" s="119" t="s">
        <v>770</v>
      </c>
      <c r="D167" s="2" t="s">
        <v>6441</v>
      </c>
      <c r="E167" s="2" t="s">
        <v>6442</v>
      </c>
      <c r="F167" s="86">
        <v>1330000</v>
      </c>
      <c r="G167" s="171">
        <f>Tabla120[[#This Row],[Presupuesto]]/(1+'Lista Datos'!$B$1)</f>
        <v>1117647.0588235294</v>
      </c>
      <c r="H167" s="118" t="s">
        <v>21</v>
      </c>
      <c r="I167" s="118" t="s">
        <v>106</v>
      </c>
      <c r="J167" s="26">
        <v>44992</v>
      </c>
      <c r="K167" s="85" t="s">
        <v>11</v>
      </c>
      <c r="L167" s="2"/>
      <c r="M167" s="2" t="s">
        <v>11</v>
      </c>
      <c r="N167" s="18"/>
      <c r="O167" s="135">
        <f>Tabla120[[#This Row],[Presupuesto]]</f>
        <v>1330000</v>
      </c>
      <c r="P167" s="136">
        <f>Tabla120[[#This Row],[PPTO]]/(1+'Lista Datos'!$B$1)</f>
        <v>1117647.0588235294</v>
      </c>
      <c r="Q167" s="68">
        <v>7</v>
      </c>
      <c r="R167" s="136">
        <v>132905</v>
      </c>
      <c r="S167" s="142">
        <f>Tabla120[[#This Row],[Unidades2]]*Tabla120[[#This Row],[Precio Unitario]]</f>
        <v>930335</v>
      </c>
      <c r="T167" s="126" t="s">
        <v>270</v>
      </c>
      <c r="U167" s="127"/>
      <c r="V167" s="68"/>
      <c r="W167" s="67"/>
      <c r="X167" s="69"/>
      <c r="Y167" s="68"/>
      <c r="Z167" s="68"/>
      <c r="AA167" s="68"/>
    </row>
    <row r="168" spans="1:27" ht="11.25" x14ac:dyDescent="0.2">
      <c r="A168" s="151" t="s">
        <v>6443</v>
      </c>
      <c r="B168" s="118" t="s">
        <v>6440</v>
      </c>
      <c r="C168" s="119" t="s">
        <v>770</v>
      </c>
      <c r="D168" s="40" t="s">
        <v>6444</v>
      </c>
      <c r="E168" s="40" t="s">
        <v>6442</v>
      </c>
      <c r="F168" s="152">
        <v>1520000</v>
      </c>
      <c r="G168" s="171">
        <f>Tabla120[[#This Row],[Presupuesto]]/(1+'Lista Datos'!$B$1)</f>
        <v>1277310.924369748</v>
      </c>
      <c r="H168" s="118" t="s">
        <v>21</v>
      </c>
      <c r="I168" s="118" t="s">
        <v>106</v>
      </c>
      <c r="J168" s="26">
        <v>44992</v>
      </c>
      <c r="K168" s="120" t="s">
        <v>11</v>
      </c>
      <c r="L168" s="40"/>
      <c r="M168" s="2" t="s">
        <v>11</v>
      </c>
      <c r="N168" s="19"/>
      <c r="O168" s="137">
        <f>Tabla120[[#This Row],[Presupuesto]]</f>
        <v>1520000</v>
      </c>
      <c r="P168" s="138">
        <f>Tabla120[[#This Row],[PPTO]]/(1+'Lista Datos'!$B$1)</f>
        <v>1277310.924369748</v>
      </c>
      <c r="Q168" s="65">
        <v>8</v>
      </c>
      <c r="R168" s="138">
        <v>132905</v>
      </c>
      <c r="S168" s="143">
        <f>Tabla120[[#This Row],[Unidades2]]*Tabla120[[#This Row],[Precio Unitario]]</f>
        <v>1063240</v>
      </c>
      <c r="T168" s="126" t="s">
        <v>270</v>
      </c>
      <c r="U168" s="122"/>
      <c r="V168" s="65"/>
      <c r="W168" s="64"/>
      <c r="X168" s="66"/>
      <c r="Y168" s="65"/>
      <c r="Z168" s="65"/>
      <c r="AA168" s="65"/>
    </row>
    <row r="169" spans="1:27" ht="11.25" x14ac:dyDescent="0.2">
      <c r="A169" s="150" t="s">
        <v>6445</v>
      </c>
      <c r="B169" s="118" t="s">
        <v>6446</v>
      </c>
      <c r="C169" s="119" t="s">
        <v>3161</v>
      </c>
      <c r="D169" s="2" t="s">
        <v>6447</v>
      </c>
      <c r="E169" s="2" t="s">
        <v>6448</v>
      </c>
      <c r="F169" s="86">
        <v>800000</v>
      </c>
      <c r="G169" s="171">
        <f>Tabla120[[#This Row],[Presupuesto]]/(1+'Lista Datos'!$B$1)</f>
        <v>672268.90756302525</v>
      </c>
      <c r="H169" s="118" t="s">
        <v>21</v>
      </c>
      <c r="I169" s="118" t="s">
        <v>106</v>
      </c>
      <c r="J169" s="26">
        <v>44993</v>
      </c>
      <c r="K169" s="85" t="s">
        <v>10</v>
      </c>
      <c r="L169" s="2" t="s">
        <v>26</v>
      </c>
      <c r="M169" s="2" t="s">
        <v>10</v>
      </c>
      <c r="N169" s="18"/>
      <c r="O169" s="135">
        <f>Tabla120[[#This Row],[Presupuesto]]</f>
        <v>800000</v>
      </c>
      <c r="P169" s="136">
        <f>Tabla120[[#This Row],[PPTO]]/(1+'Lista Datos'!$B$1)</f>
        <v>672268.90756302525</v>
      </c>
      <c r="Q169" s="68">
        <v>60</v>
      </c>
      <c r="R169" s="136">
        <v>22093</v>
      </c>
      <c r="S169" s="142">
        <f>Tabla120[[#This Row],[Unidades2]]*Tabla120[[#This Row],[Precio Unitario]]</f>
        <v>1325580</v>
      </c>
      <c r="T169" s="126" t="s">
        <v>270</v>
      </c>
      <c r="U169" s="127"/>
      <c r="V169" s="68"/>
      <c r="W169" s="67"/>
      <c r="X169" s="69"/>
      <c r="Y169" s="68"/>
      <c r="Z169" s="68"/>
      <c r="AA169" s="68"/>
    </row>
    <row r="170" spans="1:27" ht="11.25" x14ac:dyDescent="0.2">
      <c r="A170" s="150" t="s">
        <v>6449</v>
      </c>
      <c r="B170" s="118" t="s">
        <v>6450</v>
      </c>
      <c r="C170" s="119" t="s">
        <v>3545</v>
      </c>
      <c r="D170" s="2" t="s">
        <v>6451</v>
      </c>
      <c r="E170" s="2" t="s">
        <v>6452</v>
      </c>
      <c r="F170" s="86">
        <v>1800000</v>
      </c>
      <c r="G170" s="171">
        <f>Tabla120[[#This Row],[Presupuesto]]/(1+'Lista Datos'!$B$1)</f>
        <v>1512605.0420168068</v>
      </c>
      <c r="H170" s="118" t="s">
        <v>18</v>
      </c>
      <c r="I170" s="118"/>
      <c r="J170" s="26">
        <v>44993</v>
      </c>
      <c r="K170" s="85" t="s">
        <v>10</v>
      </c>
      <c r="L170" s="2"/>
      <c r="M170" s="2"/>
      <c r="N170" s="18"/>
      <c r="O170" s="135">
        <f>Tabla120[[#This Row],[Presupuesto]]</f>
        <v>1800000</v>
      </c>
      <c r="P170" s="136">
        <f>Tabla120[[#This Row],[PPTO]]/(1+'Lista Datos'!$B$1)</f>
        <v>1512605.0420168068</v>
      </c>
      <c r="Q170" s="68"/>
      <c r="R170" s="136"/>
      <c r="S170" s="142">
        <f>Tabla120[[#This Row],[Unidades2]]*Tabla120[[#This Row],[Precio Unitario]]</f>
        <v>0</v>
      </c>
      <c r="T170" s="126" t="s">
        <v>270</v>
      </c>
      <c r="U170" s="127"/>
      <c r="V170" s="68"/>
      <c r="W170" s="67"/>
      <c r="X170" s="69"/>
      <c r="Y170" s="68"/>
      <c r="Z170" s="68"/>
      <c r="AA170" s="68"/>
    </row>
    <row r="171" spans="1:27" ht="11.25" x14ac:dyDescent="0.2">
      <c r="A171" s="150" t="s">
        <v>6453</v>
      </c>
      <c r="B171" s="118" t="s">
        <v>6454</v>
      </c>
      <c r="C171" s="119" t="s">
        <v>6455</v>
      </c>
      <c r="D171" s="2" t="s">
        <v>6456</v>
      </c>
      <c r="E171" s="2" t="s">
        <v>6457</v>
      </c>
      <c r="F171" s="86">
        <v>650000</v>
      </c>
      <c r="G171" s="171">
        <f>Tabla120[[#This Row],[Presupuesto]]/(1+'Lista Datos'!$B$1)</f>
        <v>546218.48739495804</v>
      </c>
      <c r="H171" s="118" t="s">
        <v>14</v>
      </c>
      <c r="I171" s="118" t="s">
        <v>145</v>
      </c>
      <c r="J171" s="26">
        <v>44993</v>
      </c>
      <c r="K171" s="85"/>
      <c r="L171" s="2"/>
      <c r="M171" s="2"/>
      <c r="N171" s="18"/>
      <c r="O171" s="135">
        <f>Tabla120[[#This Row],[Presupuesto]]</f>
        <v>650000</v>
      </c>
      <c r="P171" s="136">
        <f>Tabla120[[#This Row],[PPTO]]/(1+'Lista Datos'!$B$1)</f>
        <v>546218.48739495804</v>
      </c>
      <c r="Q171" s="68"/>
      <c r="R171" s="136"/>
      <c r="S171" s="142">
        <f>Tabla120[[#This Row],[Unidades2]]*Tabla120[[#This Row],[Precio Unitario]]</f>
        <v>0</v>
      </c>
      <c r="T171" s="126" t="s">
        <v>270</v>
      </c>
      <c r="U171" s="127"/>
      <c r="V171" s="68"/>
      <c r="W171" s="67"/>
      <c r="X171" s="69"/>
      <c r="Y171" s="68"/>
      <c r="Z171" s="68"/>
      <c r="AA171" s="68"/>
    </row>
    <row r="172" spans="1:27" ht="11.25" x14ac:dyDescent="0.2">
      <c r="A172" s="150" t="s">
        <v>6458</v>
      </c>
      <c r="B172" s="118" t="s">
        <v>6459</v>
      </c>
      <c r="C172" s="119" t="s">
        <v>2815</v>
      </c>
      <c r="D172" s="2" t="s">
        <v>6460</v>
      </c>
      <c r="E172" s="2" t="s">
        <v>6461</v>
      </c>
      <c r="F172" s="86">
        <v>1850000</v>
      </c>
      <c r="G172" s="171">
        <f>Tabla120[[#This Row],[Presupuesto]]/(1+'Lista Datos'!$B$1)</f>
        <v>1554621.848739496</v>
      </c>
      <c r="H172" s="118" t="s">
        <v>16</v>
      </c>
      <c r="I172" s="118" t="s">
        <v>6289</v>
      </c>
      <c r="J172" s="26">
        <v>44993</v>
      </c>
      <c r="K172" s="85" t="s">
        <v>10</v>
      </c>
      <c r="L172" s="2"/>
      <c r="M172" s="2"/>
      <c r="N172" s="18"/>
      <c r="O172" s="135">
        <f>Tabla120[[#This Row],[Presupuesto]]</f>
        <v>1850000</v>
      </c>
      <c r="P172" s="136">
        <f>Tabla120[[#This Row],[PPTO]]/(1+'Lista Datos'!$B$1)</f>
        <v>1554621.848739496</v>
      </c>
      <c r="Q172" s="68"/>
      <c r="R172" s="136"/>
      <c r="S172" s="142">
        <f>Tabla120[[#This Row],[Unidades2]]*Tabla120[[#This Row],[Precio Unitario]]</f>
        <v>0</v>
      </c>
      <c r="T172" s="126" t="s">
        <v>270</v>
      </c>
      <c r="U172" s="127"/>
      <c r="V172" s="68"/>
      <c r="W172" s="67"/>
      <c r="X172" s="69"/>
      <c r="Y172" s="68"/>
      <c r="Z172" s="68"/>
      <c r="AA172" s="68"/>
    </row>
    <row r="173" spans="1:27" ht="11.25" x14ac:dyDescent="0.2">
      <c r="A173" s="151" t="s">
        <v>6462</v>
      </c>
      <c r="B173" s="118" t="s">
        <v>6463</v>
      </c>
      <c r="C173" s="119" t="s">
        <v>2815</v>
      </c>
      <c r="D173" s="40" t="s">
        <v>6464</v>
      </c>
      <c r="E173" s="40" t="s">
        <v>6461</v>
      </c>
      <c r="F173" s="152">
        <v>1850000</v>
      </c>
      <c r="G173" s="171">
        <f>Tabla120[[#This Row],[Presupuesto]]/(1+'Lista Datos'!$B$1)</f>
        <v>1554621.848739496</v>
      </c>
      <c r="H173" s="118" t="s">
        <v>16</v>
      </c>
      <c r="I173" s="118" t="s">
        <v>6289</v>
      </c>
      <c r="J173" s="41">
        <v>44993</v>
      </c>
      <c r="K173" s="120" t="s">
        <v>10</v>
      </c>
      <c r="L173" s="40"/>
      <c r="M173" s="40"/>
      <c r="N173" s="19"/>
      <c r="O173" s="137">
        <f>Tabla120[[#This Row],[Presupuesto]]</f>
        <v>1850000</v>
      </c>
      <c r="P173" s="138">
        <f>Tabla120[[#This Row],[PPTO]]/(1+'Lista Datos'!$B$1)</f>
        <v>1554621.848739496</v>
      </c>
      <c r="Q173" s="65"/>
      <c r="R173" s="138"/>
      <c r="S173" s="143">
        <f>Tabla120[[#This Row],[Unidades2]]*Tabla120[[#This Row],[Precio Unitario]]</f>
        <v>0</v>
      </c>
      <c r="T173" s="126" t="s">
        <v>270</v>
      </c>
      <c r="U173" s="122"/>
      <c r="V173" s="65"/>
      <c r="W173" s="64"/>
      <c r="X173" s="66"/>
      <c r="Y173" s="65"/>
      <c r="Z173" s="65"/>
      <c r="AA173" s="65"/>
    </row>
    <row r="174" spans="1:27" ht="11.25" x14ac:dyDescent="0.2">
      <c r="A174" s="150" t="s">
        <v>6465</v>
      </c>
      <c r="B174" s="118" t="s">
        <v>6466</v>
      </c>
      <c r="C174" s="119" t="s">
        <v>6467</v>
      </c>
      <c r="D174" s="2" t="s">
        <v>6468</v>
      </c>
      <c r="E174" s="2" t="s">
        <v>6469</v>
      </c>
      <c r="F174" s="86">
        <v>1785000</v>
      </c>
      <c r="G174" s="171">
        <f>Tabla120[[#This Row],[Presupuesto]]/(1+'Lista Datos'!$B$1)</f>
        <v>1500000</v>
      </c>
      <c r="H174" s="118" t="s">
        <v>16</v>
      </c>
      <c r="I174" s="118" t="s">
        <v>6289</v>
      </c>
      <c r="J174" s="26">
        <v>44994</v>
      </c>
      <c r="K174" s="85" t="s">
        <v>10</v>
      </c>
      <c r="L174" s="2" t="s">
        <v>33</v>
      </c>
      <c r="M174" s="2"/>
      <c r="N174" s="18"/>
      <c r="O174" s="135">
        <f>Tabla120[[#This Row],[Presupuesto]]</f>
        <v>1785000</v>
      </c>
      <c r="P174" s="136">
        <f>Tabla120[[#This Row],[PPTO]]/(1+'Lista Datos'!$B$1)</f>
        <v>1500000</v>
      </c>
      <c r="Q174" s="68"/>
      <c r="R174" s="136"/>
      <c r="S174" s="142">
        <f>Tabla120[[#This Row],[Unidades2]]*Tabla120[[#This Row],[Precio Unitario]]</f>
        <v>0</v>
      </c>
      <c r="T174" s="126" t="s">
        <v>270</v>
      </c>
      <c r="U174" s="127"/>
      <c r="V174" s="68"/>
      <c r="W174" s="67"/>
      <c r="X174" s="69"/>
      <c r="Y174" s="68"/>
      <c r="Z174" s="68"/>
      <c r="AA174" s="68"/>
    </row>
    <row r="175" spans="1:27" ht="11.25" x14ac:dyDescent="0.2">
      <c r="A175" s="150" t="s">
        <v>6470</v>
      </c>
      <c r="B175" s="118" t="s">
        <v>6471</v>
      </c>
      <c r="C175" s="119" t="s">
        <v>6467</v>
      </c>
      <c r="D175" s="2" t="s">
        <v>6472</v>
      </c>
      <c r="E175" s="2" t="s">
        <v>6473</v>
      </c>
      <c r="F175" s="86">
        <v>1502970</v>
      </c>
      <c r="G175" s="171">
        <f>Tabla120[[#This Row],[Presupuesto]]/(1+'Lista Datos'!$B$1)</f>
        <v>1263000</v>
      </c>
      <c r="H175" s="118" t="s">
        <v>16</v>
      </c>
      <c r="I175" s="118" t="s">
        <v>6289</v>
      </c>
      <c r="J175" s="26">
        <v>44994</v>
      </c>
      <c r="K175" s="85" t="s">
        <v>10</v>
      </c>
      <c r="L175" s="2" t="s">
        <v>33</v>
      </c>
      <c r="M175" s="2"/>
      <c r="N175" s="18"/>
      <c r="O175" s="135">
        <f>Tabla120[[#This Row],[Presupuesto]]</f>
        <v>1502970</v>
      </c>
      <c r="P175" s="136">
        <f>Tabla120[[#This Row],[PPTO]]/(1+'Lista Datos'!$B$1)</f>
        <v>1263000</v>
      </c>
      <c r="Q175" s="68"/>
      <c r="R175" s="136"/>
      <c r="S175" s="142">
        <f>Tabla120[[#This Row],[Unidades2]]*Tabla120[[#This Row],[Precio Unitario]]</f>
        <v>0</v>
      </c>
      <c r="T175" s="126" t="s">
        <v>270</v>
      </c>
      <c r="U175" s="127"/>
      <c r="V175" s="68"/>
      <c r="W175" s="67"/>
      <c r="X175" s="69"/>
      <c r="Y175" s="68"/>
      <c r="Z175" s="68"/>
      <c r="AA175" s="68"/>
    </row>
    <row r="176" spans="1:27" ht="11.25" x14ac:dyDescent="0.2">
      <c r="A176" s="150" t="s">
        <v>6474</v>
      </c>
      <c r="B176" s="118" t="s">
        <v>6475</v>
      </c>
      <c r="C176" s="119" t="s">
        <v>6476</v>
      </c>
      <c r="D176" s="2" t="s">
        <v>6477</v>
      </c>
      <c r="E176" s="2" t="s">
        <v>6478</v>
      </c>
      <c r="F176" s="86">
        <v>150000</v>
      </c>
      <c r="G176" s="171">
        <f>Tabla120[[#This Row],[Presupuesto]]/(1+'Lista Datos'!$B$1)</f>
        <v>126050.42016806723</v>
      </c>
      <c r="H176" s="118" t="s">
        <v>21</v>
      </c>
      <c r="I176" s="118" t="s">
        <v>106</v>
      </c>
      <c r="J176" s="26">
        <v>44994</v>
      </c>
      <c r="K176" s="85" t="s">
        <v>10</v>
      </c>
      <c r="L176" s="2" t="s">
        <v>27</v>
      </c>
      <c r="M176" s="2"/>
      <c r="N176" s="18"/>
      <c r="O176" s="135">
        <f>Tabla120[[#This Row],[Presupuesto]]</f>
        <v>150000</v>
      </c>
      <c r="P176" s="136">
        <f>Tabla120[[#This Row],[PPTO]]/(1+'Lista Datos'!$B$1)</f>
        <v>126050.42016806723</v>
      </c>
      <c r="Q176" s="68"/>
      <c r="R176" s="136"/>
      <c r="S176" s="142">
        <f>Tabla120[[#This Row],[Unidades2]]*Tabla120[[#This Row],[Precio Unitario]]</f>
        <v>0</v>
      </c>
      <c r="T176" s="126" t="s">
        <v>270</v>
      </c>
      <c r="U176" s="127"/>
      <c r="V176" s="68"/>
      <c r="W176" s="67"/>
      <c r="X176" s="69"/>
      <c r="Y176" s="68"/>
      <c r="Z176" s="68"/>
      <c r="AA176" s="68"/>
    </row>
    <row r="177" spans="1:27" ht="11.25" x14ac:dyDescent="0.2">
      <c r="A177" s="150" t="s">
        <v>6479</v>
      </c>
      <c r="B177" s="118" t="s">
        <v>5936</v>
      </c>
      <c r="C177" s="119" t="s">
        <v>144</v>
      </c>
      <c r="D177" s="2" t="s">
        <v>6480</v>
      </c>
      <c r="E177" s="2" t="s">
        <v>6481</v>
      </c>
      <c r="F177" s="86">
        <v>300000</v>
      </c>
      <c r="G177" s="171">
        <f>Tabla120[[#This Row],[Presupuesto]]/(1+'Lista Datos'!$B$1)</f>
        <v>252100.84033613445</v>
      </c>
      <c r="H177" s="118" t="s">
        <v>21</v>
      </c>
      <c r="I177" s="118" t="s">
        <v>106</v>
      </c>
      <c r="J177" s="26">
        <v>44994</v>
      </c>
      <c r="K177" s="85" t="s">
        <v>10</v>
      </c>
      <c r="L177" s="2" t="s">
        <v>28</v>
      </c>
      <c r="M177" s="2"/>
      <c r="N177" s="18"/>
      <c r="O177" s="135">
        <f>Tabla120[[#This Row],[Presupuesto]]</f>
        <v>300000</v>
      </c>
      <c r="P177" s="136">
        <f>Tabla120[[#This Row],[PPTO]]/(1+'Lista Datos'!$B$1)</f>
        <v>252100.84033613445</v>
      </c>
      <c r="Q177" s="68"/>
      <c r="R177" s="136"/>
      <c r="S177" s="142">
        <f>Tabla120[[#This Row],[Unidades2]]*Tabla120[[#This Row],[Precio Unitario]]</f>
        <v>0</v>
      </c>
      <c r="T177" s="126" t="s">
        <v>270</v>
      </c>
      <c r="U177" s="127"/>
      <c r="V177" s="68"/>
      <c r="W177" s="67"/>
      <c r="X177" s="69"/>
      <c r="Y177" s="68"/>
      <c r="Z177" s="68"/>
      <c r="AA177" s="68"/>
    </row>
    <row r="178" spans="1:27" ht="11.25" x14ac:dyDescent="0.2">
      <c r="A178" s="150" t="s">
        <v>6482</v>
      </c>
      <c r="B178" s="118" t="s">
        <v>6483</v>
      </c>
      <c r="C178" s="119" t="s">
        <v>688</v>
      </c>
      <c r="D178" s="2" t="s">
        <v>6484</v>
      </c>
      <c r="E178" s="2" t="s">
        <v>6485</v>
      </c>
      <c r="F178" s="86">
        <v>830000</v>
      </c>
      <c r="G178" s="171">
        <f>Tabla120[[#This Row],[Presupuesto]]/(1+'Lista Datos'!$B$1)</f>
        <v>697478.99159663869</v>
      </c>
      <c r="H178" s="118" t="s">
        <v>16</v>
      </c>
      <c r="I178" s="118" t="s">
        <v>145</v>
      </c>
      <c r="J178" s="26">
        <v>44994</v>
      </c>
      <c r="K178" s="85" t="s">
        <v>10</v>
      </c>
      <c r="L178" s="2" t="s">
        <v>27</v>
      </c>
      <c r="M178" s="2"/>
      <c r="N178" s="18"/>
      <c r="O178" s="135">
        <f>Tabla120[[#This Row],[Presupuesto]]</f>
        <v>830000</v>
      </c>
      <c r="P178" s="136">
        <f>Tabla120[[#This Row],[PPTO]]/(1+'Lista Datos'!$B$1)</f>
        <v>697478.99159663869</v>
      </c>
      <c r="Q178" s="68"/>
      <c r="R178" s="136"/>
      <c r="S178" s="142">
        <f>Tabla120[[#This Row],[Unidades2]]*Tabla120[[#This Row],[Precio Unitario]]</f>
        <v>0</v>
      </c>
      <c r="T178" s="126" t="s">
        <v>270</v>
      </c>
      <c r="U178" s="127"/>
      <c r="V178" s="68"/>
      <c r="W178" s="67"/>
      <c r="X178" s="69"/>
      <c r="Y178" s="68"/>
      <c r="Z178" s="68"/>
      <c r="AA178" s="68"/>
    </row>
    <row r="179" spans="1:27" ht="11.25" x14ac:dyDescent="0.2">
      <c r="A179" s="151" t="s">
        <v>6486</v>
      </c>
      <c r="B179" s="118" t="s">
        <v>6487</v>
      </c>
      <c r="C179" s="119" t="s">
        <v>291</v>
      </c>
      <c r="D179" s="40" t="s">
        <v>6488</v>
      </c>
      <c r="E179" s="40" t="s">
        <v>6489</v>
      </c>
      <c r="F179" s="152">
        <v>290000</v>
      </c>
      <c r="G179" s="171">
        <f>Tabla120[[#This Row],[Presupuesto]]/(1+'Lista Datos'!$B$1)</f>
        <v>243697.47899159664</v>
      </c>
      <c r="H179" s="118" t="s">
        <v>21</v>
      </c>
      <c r="I179" s="118" t="s">
        <v>106</v>
      </c>
      <c r="J179" s="41">
        <v>44994</v>
      </c>
      <c r="K179" s="120" t="s">
        <v>10</v>
      </c>
      <c r="L179" s="40" t="s">
        <v>27</v>
      </c>
      <c r="M179" s="40"/>
      <c r="N179" s="19"/>
      <c r="O179" s="137">
        <f>Tabla120[[#This Row],[Presupuesto]]</f>
        <v>290000</v>
      </c>
      <c r="P179" s="138">
        <f>Tabla120[[#This Row],[PPTO]]/(1+'Lista Datos'!$B$1)</f>
        <v>243697.47899159664</v>
      </c>
      <c r="Q179" s="65"/>
      <c r="R179" s="138"/>
      <c r="S179" s="143">
        <f>Tabla120[[#This Row],[Unidades2]]*Tabla120[[#This Row],[Precio Unitario]]</f>
        <v>0</v>
      </c>
      <c r="T179" s="126" t="s">
        <v>270</v>
      </c>
      <c r="U179" s="122"/>
      <c r="V179" s="65"/>
      <c r="W179" s="64"/>
      <c r="X179" s="66"/>
      <c r="Y179" s="65"/>
      <c r="Z179" s="65"/>
      <c r="AA179" s="65"/>
    </row>
    <row r="180" spans="1:27" ht="11.25" x14ac:dyDescent="0.2">
      <c r="A180" s="150" t="s">
        <v>6490</v>
      </c>
      <c r="B180" s="118" t="s">
        <v>6491</v>
      </c>
      <c r="C180" s="119" t="s">
        <v>3047</v>
      </c>
      <c r="D180" s="2" t="s">
        <v>6492</v>
      </c>
      <c r="E180" s="2" t="s">
        <v>6493</v>
      </c>
      <c r="F180" s="86">
        <v>800000</v>
      </c>
      <c r="G180" s="171">
        <f>Tabla120[[#This Row],[Presupuesto]]/(1+'Lista Datos'!$B$1)</f>
        <v>672268.90756302525</v>
      </c>
      <c r="H180" s="118" t="s">
        <v>14</v>
      </c>
      <c r="I180" s="118" t="s">
        <v>533</v>
      </c>
      <c r="J180" s="26">
        <v>44998</v>
      </c>
      <c r="K180" s="85"/>
      <c r="L180" s="2"/>
      <c r="M180" s="2"/>
      <c r="N180" s="18"/>
      <c r="O180" s="135">
        <f>Tabla120[[#This Row],[Presupuesto]]</f>
        <v>800000</v>
      </c>
      <c r="P180" s="136">
        <f>Tabla120[[#This Row],[PPTO]]/(1+'Lista Datos'!$B$1)</f>
        <v>672268.90756302525</v>
      </c>
      <c r="Q180" s="68"/>
      <c r="R180" s="136"/>
      <c r="S180" s="142">
        <f>Tabla120[[#This Row],[Unidades2]]*Tabla120[[#This Row],[Precio Unitario]]</f>
        <v>0</v>
      </c>
      <c r="T180" s="126" t="s">
        <v>270</v>
      </c>
      <c r="U180" s="127"/>
      <c r="V180" s="68"/>
      <c r="W180" s="67"/>
      <c r="X180" s="69"/>
      <c r="Y180" s="68"/>
      <c r="Z180" s="68"/>
      <c r="AA180" s="68"/>
    </row>
    <row r="181" spans="1:27" ht="11.25" x14ac:dyDescent="0.2">
      <c r="A181" s="150" t="s">
        <v>6494</v>
      </c>
      <c r="B181" s="118" t="s">
        <v>6495</v>
      </c>
      <c r="C181" s="119" t="s">
        <v>6496</v>
      </c>
      <c r="D181" s="2" t="s">
        <v>6497</v>
      </c>
      <c r="E181" s="2" t="s">
        <v>6498</v>
      </c>
      <c r="F181" s="86">
        <v>140000</v>
      </c>
      <c r="G181" s="171">
        <f>Tabla120[[#This Row],[Presupuesto]]/(1+'Lista Datos'!$B$1)</f>
        <v>117647.05882352941</v>
      </c>
      <c r="H181" s="118" t="s">
        <v>16</v>
      </c>
      <c r="I181" s="118" t="s">
        <v>1983</v>
      </c>
      <c r="J181" s="26">
        <v>44998</v>
      </c>
      <c r="K181" s="85" t="s">
        <v>10</v>
      </c>
      <c r="L181" s="2" t="s">
        <v>27</v>
      </c>
      <c r="M181" s="2"/>
      <c r="N181" s="18"/>
      <c r="O181" s="135">
        <f>Tabla120[[#This Row],[Presupuesto]]</f>
        <v>140000</v>
      </c>
      <c r="P181" s="136">
        <f>Tabla120[[#This Row],[PPTO]]/(1+'Lista Datos'!$B$1)</f>
        <v>117647.05882352941</v>
      </c>
      <c r="Q181" s="68"/>
      <c r="R181" s="136"/>
      <c r="S181" s="142">
        <f>Tabla120[[#This Row],[Unidades2]]*Tabla120[[#This Row],[Precio Unitario]]</f>
        <v>0</v>
      </c>
      <c r="T181" s="126" t="s">
        <v>270</v>
      </c>
      <c r="U181" s="127"/>
      <c r="V181" s="68"/>
      <c r="W181" s="67"/>
      <c r="X181" s="69"/>
      <c r="Y181" s="68"/>
      <c r="Z181" s="68"/>
      <c r="AA181" s="68"/>
    </row>
    <row r="182" spans="1:27" ht="11.25" x14ac:dyDescent="0.2">
      <c r="A182" s="150" t="s">
        <v>6499</v>
      </c>
      <c r="B182" s="118" t="s">
        <v>6500</v>
      </c>
      <c r="C182" s="119" t="s">
        <v>6501</v>
      </c>
      <c r="D182" s="2" t="s">
        <v>6502</v>
      </c>
      <c r="E182" s="2" t="s">
        <v>6503</v>
      </c>
      <c r="F182" s="86">
        <v>700000</v>
      </c>
      <c r="G182" s="171">
        <f>Tabla120[[#This Row],[Presupuesto]]/(1+'Lista Datos'!$B$1)</f>
        <v>588235.29411764711</v>
      </c>
      <c r="H182" s="118" t="s">
        <v>14</v>
      </c>
      <c r="I182" s="118" t="s">
        <v>345</v>
      </c>
      <c r="J182" s="26">
        <v>44998</v>
      </c>
      <c r="K182" s="85"/>
      <c r="L182" s="2"/>
      <c r="M182" s="2"/>
      <c r="N182" s="18"/>
      <c r="O182" s="135">
        <f>Tabla120[[#This Row],[Presupuesto]]</f>
        <v>700000</v>
      </c>
      <c r="P182" s="136">
        <f>Tabla120[[#This Row],[PPTO]]/(1+'Lista Datos'!$B$1)</f>
        <v>588235.29411764711</v>
      </c>
      <c r="Q182" s="68"/>
      <c r="R182" s="136"/>
      <c r="S182" s="142">
        <f>Tabla120[[#This Row],[Unidades2]]*Tabla120[[#This Row],[Precio Unitario]]</f>
        <v>0</v>
      </c>
      <c r="T182" s="126" t="s">
        <v>270</v>
      </c>
      <c r="U182" s="127"/>
      <c r="V182" s="68"/>
      <c r="W182" s="67"/>
      <c r="X182" s="69"/>
      <c r="Y182" s="68"/>
      <c r="Z182" s="68"/>
      <c r="AA182" s="68"/>
    </row>
    <row r="183" spans="1:27" ht="11.25" x14ac:dyDescent="0.2">
      <c r="A183" s="151" t="s">
        <v>6504</v>
      </c>
      <c r="B183" s="118" t="s">
        <v>6505</v>
      </c>
      <c r="C183" s="119" t="s">
        <v>1020</v>
      </c>
      <c r="D183" s="40" t="s">
        <v>6506</v>
      </c>
      <c r="E183" s="40" t="s">
        <v>6507</v>
      </c>
      <c r="F183" s="152">
        <v>535000</v>
      </c>
      <c r="G183" s="171">
        <f>Tabla120[[#This Row],[Presupuesto]]/(1+'Lista Datos'!$B$1)</f>
        <v>449579.83193277312</v>
      </c>
      <c r="H183" s="118" t="s">
        <v>14</v>
      </c>
      <c r="I183" s="118" t="s">
        <v>6289</v>
      </c>
      <c r="J183" s="41">
        <v>44998</v>
      </c>
      <c r="K183" s="120" t="s">
        <v>10</v>
      </c>
      <c r="L183" s="40" t="s">
        <v>27</v>
      </c>
      <c r="M183" s="40"/>
      <c r="N183" s="19"/>
      <c r="O183" s="137">
        <f>Tabla120[[#This Row],[Presupuesto]]</f>
        <v>535000</v>
      </c>
      <c r="P183" s="138">
        <f>Tabla120[[#This Row],[PPTO]]/(1+'Lista Datos'!$B$1)</f>
        <v>449579.83193277312</v>
      </c>
      <c r="Q183" s="65">
        <v>2</v>
      </c>
      <c r="R183" s="138"/>
      <c r="S183" s="143">
        <f>Tabla120[[#This Row],[Unidades2]]*Tabla120[[#This Row],[Precio Unitario]]</f>
        <v>0</v>
      </c>
      <c r="T183" s="126" t="s">
        <v>270</v>
      </c>
      <c r="U183" s="122"/>
      <c r="V183" s="65"/>
      <c r="W183" s="64"/>
      <c r="X183" s="66"/>
      <c r="Y183" s="65"/>
      <c r="Z183" s="65"/>
      <c r="AA183" s="65"/>
    </row>
    <row r="184" spans="1:27" ht="11.25" x14ac:dyDescent="0.2">
      <c r="A184" s="150" t="s">
        <v>6508</v>
      </c>
      <c r="B184" s="118" t="s">
        <v>6509</v>
      </c>
      <c r="C184" s="119" t="s">
        <v>738</v>
      </c>
      <c r="D184" s="2" t="s">
        <v>6510</v>
      </c>
      <c r="E184" s="2" t="s">
        <v>6511</v>
      </c>
      <c r="F184" s="86">
        <v>1410000</v>
      </c>
      <c r="G184" s="171">
        <f>Tabla120[[#This Row],[Presupuesto]]/(1+'Lista Datos'!$B$1)</f>
        <v>1184873.9495798319</v>
      </c>
      <c r="H184" s="118" t="s">
        <v>16</v>
      </c>
      <c r="I184" s="118" t="s">
        <v>6289</v>
      </c>
      <c r="J184" s="26">
        <v>45000</v>
      </c>
      <c r="K184" s="85" t="s">
        <v>10</v>
      </c>
      <c r="L184" s="2" t="s">
        <v>33</v>
      </c>
      <c r="M184" s="2"/>
      <c r="N184" s="18"/>
      <c r="O184" s="135">
        <f>Tabla120[[#This Row],[Presupuesto]]</f>
        <v>1410000</v>
      </c>
      <c r="P184" s="136">
        <f>Tabla120[[#This Row],[PPTO]]/(1+'Lista Datos'!$B$1)</f>
        <v>1184873.9495798319</v>
      </c>
      <c r="Q184" s="68"/>
      <c r="R184" s="136"/>
      <c r="S184" s="142">
        <f>Tabla120[[#This Row],[Unidades2]]*Tabla120[[#This Row],[Precio Unitario]]</f>
        <v>0</v>
      </c>
      <c r="T184" s="126" t="s">
        <v>270</v>
      </c>
      <c r="U184" s="127"/>
      <c r="V184" s="68"/>
      <c r="W184" s="67"/>
      <c r="X184" s="69"/>
      <c r="Y184" s="68"/>
      <c r="Z184" s="68"/>
      <c r="AA184" s="68"/>
    </row>
    <row r="185" spans="1:27" ht="11.25" x14ac:dyDescent="0.2">
      <c r="A185" s="151" t="s">
        <v>6512</v>
      </c>
      <c r="B185" s="118" t="s">
        <v>6513</v>
      </c>
      <c r="C185" s="119" t="s">
        <v>3207</v>
      </c>
      <c r="D185" s="40" t="s">
        <v>6514</v>
      </c>
      <c r="E185" s="40" t="s">
        <v>6515</v>
      </c>
      <c r="F185" s="152">
        <v>1390000</v>
      </c>
      <c r="G185" s="171">
        <f>Tabla120[[#This Row],[Presupuesto]]/(1+'Lista Datos'!$B$1)</f>
        <v>1168067.2268907563</v>
      </c>
      <c r="H185" s="118" t="s">
        <v>21</v>
      </c>
      <c r="I185" s="118" t="s">
        <v>106</v>
      </c>
      <c r="J185" s="41">
        <v>45000</v>
      </c>
      <c r="K185" s="120" t="s">
        <v>10</v>
      </c>
      <c r="L185" s="40" t="s">
        <v>28</v>
      </c>
      <c r="M185" s="40"/>
      <c r="N185" s="19"/>
      <c r="O185" s="137">
        <f>Tabla120[[#This Row],[Presupuesto]]</f>
        <v>1390000</v>
      </c>
      <c r="P185" s="138">
        <f>Tabla120[[#This Row],[PPTO]]/(1+'Lista Datos'!$B$1)</f>
        <v>1168067.2268907563</v>
      </c>
      <c r="Q185" s="65"/>
      <c r="R185" s="138"/>
      <c r="S185" s="143">
        <f>Tabla120[[#This Row],[Unidades2]]*Tabla120[[#This Row],[Precio Unitario]]</f>
        <v>0</v>
      </c>
      <c r="T185" s="126" t="s">
        <v>270</v>
      </c>
      <c r="U185" s="122"/>
      <c r="V185" s="65"/>
      <c r="W185" s="64"/>
      <c r="X185" s="66"/>
      <c r="Y185" s="65"/>
      <c r="Z185" s="65"/>
      <c r="AA185" s="65"/>
    </row>
    <row r="186" spans="1:27" ht="11.25" x14ac:dyDescent="0.2">
      <c r="A186" s="150" t="s">
        <v>6516</v>
      </c>
      <c r="B186" s="118" t="s">
        <v>6328</v>
      </c>
      <c r="C186" s="119" t="s">
        <v>847</v>
      </c>
      <c r="D186" s="2" t="s">
        <v>6517</v>
      </c>
      <c r="E186" s="2" t="s">
        <v>6518</v>
      </c>
      <c r="F186" s="86">
        <v>100000</v>
      </c>
      <c r="G186" s="171">
        <f>Tabla120[[#This Row],[Presupuesto]]/(1+'Lista Datos'!$B$1)</f>
        <v>84033.613445378156</v>
      </c>
      <c r="H186" s="118" t="s">
        <v>21</v>
      </c>
      <c r="I186" s="118" t="s">
        <v>106</v>
      </c>
      <c r="J186" s="26">
        <v>45012</v>
      </c>
      <c r="K186" s="85" t="s">
        <v>10</v>
      </c>
      <c r="L186" s="2" t="s">
        <v>27</v>
      </c>
      <c r="M186" s="2"/>
      <c r="N186" s="18"/>
      <c r="O186" s="135">
        <f>Tabla120[[#This Row],[Presupuesto]]</f>
        <v>100000</v>
      </c>
      <c r="P186" s="136">
        <f>Tabla120[[#This Row],[PPTO]]/(1+'Lista Datos'!$B$1)</f>
        <v>84033.613445378156</v>
      </c>
      <c r="Q186" s="68"/>
      <c r="R186" s="136"/>
      <c r="S186" s="142">
        <f>Tabla120[[#This Row],[Unidades2]]*Tabla120[[#This Row],[Precio Unitario]]</f>
        <v>0</v>
      </c>
      <c r="T186" s="126" t="s">
        <v>270</v>
      </c>
      <c r="U186" s="127"/>
      <c r="V186" s="68"/>
      <c r="W186" s="67"/>
      <c r="X186" s="69"/>
      <c r="Y186" s="68"/>
      <c r="Z186" s="68"/>
      <c r="AA186" s="68"/>
    </row>
    <row r="187" spans="1:27" ht="11.25" x14ac:dyDescent="0.2">
      <c r="A187" s="150" t="s">
        <v>6519</v>
      </c>
      <c r="B187" s="118" t="s">
        <v>6520</v>
      </c>
      <c r="C187" s="119" t="s">
        <v>2869</v>
      </c>
      <c r="D187" s="2" t="s">
        <v>6521</v>
      </c>
      <c r="E187" s="2" t="s">
        <v>6522</v>
      </c>
      <c r="F187" s="86">
        <v>1200000</v>
      </c>
      <c r="G187" s="171">
        <f>Tabla120[[#This Row],[Presupuesto]]/(1+'Lista Datos'!$B$1)</f>
        <v>1008403.3613445378</v>
      </c>
      <c r="H187" s="118" t="s">
        <v>16</v>
      </c>
      <c r="I187" s="118" t="s">
        <v>6289</v>
      </c>
      <c r="J187" s="26">
        <v>45012</v>
      </c>
      <c r="K187" s="85"/>
      <c r="L187" s="2"/>
      <c r="M187" s="2"/>
      <c r="N187" s="18"/>
      <c r="O187" s="135">
        <f>Tabla120[[#This Row],[Presupuesto]]</f>
        <v>1200000</v>
      </c>
      <c r="P187" s="136">
        <f>Tabla120[[#This Row],[PPTO]]/(1+'Lista Datos'!$B$1)</f>
        <v>1008403.3613445378</v>
      </c>
      <c r="Q187" s="68"/>
      <c r="R187" s="136"/>
      <c r="S187" s="142">
        <f>Tabla120[[#This Row],[Unidades2]]*Tabla120[[#This Row],[Precio Unitario]]</f>
        <v>0</v>
      </c>
      <c r="T187" s="126" t="s">
        <v>270</v>
      </c>
      <c r="U187" s="127"/>
      <c r="V187" s="68"/>
      <c r="W187" s="67"/>
      <c r="X187" s="69"/>
      <c r="Y187" s="68"/>
      <c r="Z187" s="68"/>
      <c r="AA187" s="68"/>
    </row>
    <row r="188" spans="1:27" ht="11.25" x14ac:dyDescent="0.2">
      <c r="A188" s="151" t="s">
        <v>6523</v>
      </c>
      <c r="B188" s="118" t="s">
        <v>6524</v>
      </c>
      <c r="C188" s="119" t="s">
        <v>5618</v>
      </c>
      <c r="D188" s="40" t="s">
        <v>6525</v>
      </c>
      <c r="E188" s="40" t="s">
        <v>6526</v>
      </c>
      <c r="F188" s="152">
        <v>300000</v>
      </c>
      <c r="G188" s="171">
        <f>Tabla120[[#This Row],[Presupuesto]]/(1+'Lista Datos'!$B$1)</f>
        <v>252100.84033613445</v>
      </c>
      <c r="H188" s="118" t="s">
        <v>14</v>
      </c>
      <c r="I188" s="118" t="s">
        <v>145</v>
      </c>
      <c r="J188" s="41">
        <v>45012</v>
      </c>
      <c r="K188" s="120" t="s">
        <v>10</v>
      </c>
      <c r="L188" s="40" t="s">
        <v>27</v>
      </c>
      <c r="M188" s="40"/>
      <c r="N188" s="19"/>
      <c r="O188" s="137">
        <f>Tabla120[[#This Row],[Presupuesto]]</f>
        <v>300000</v>
      </c>
      <c r="P188" s="138">
        <f>Tabla120[[#This Row],[PPTO]]/(1+'Lista Datos'!$B$1)</f>
        <v>252100.84033613445</v>
      </c>
      <c r="Q188" s="65"/>
      <c r="R188" s="138"/>
      <c r="S188" s="143">
        <f>Tabla120[[#This Row],[Unidades2]]*Tabla120[[#This Row],[Precio Unitario]]</f>
        <v>0</v>
      </c>
      <c r="T188" s="126" t="s">
        <v>270</v>
      </c>
      <c r="U188" s="122"/>
      <c r="V188" s="65"/>
      <c r="W188" s="64"/>
      <c r="X188" s="66"/>
      <c r="Y188" s="65"/>
      <c r="Z188" s="65"/>
      <c r="AA188" s="65"/>
    </row>
    <row r="189" spans="1:27" ht="11.25" x14ac:dyDescent="0.2">
      <c r="A189" s="151" t="s">
        <v>6527</v>
      </c>
      <c r="B189" s="118" t="s">
        <v>6528</v>
      </c>
      <c r="C189" s="119" t="s">
        <v>6529</v>
      </c>
      <c r="D189" s="40" t="s">
        <v>6530</v>
      </c>
      <c r="E189" s="40" t="s">
        <v>6531</v>
      </c>
      <c r="F189" s="112" t="s">
        <v>6532</v>
      </c>
      <c r="G189" s="171"/>
      <c r="H189" s="118" t="s">
        <v>14</v>
      </c>
      <c r="I189" s="118" t="s">
        <v>145</v>
      </c>
      <c r="J189" s="41">
        <v>45022</v>
      </c>
      <c r="K189" s="120"/>
      <c r="L189" s="40"/>
      <c r="M189" s="40"/>
      <c r="N189" s="19"/>
      <c r="O189" s="137" t="str">
        <f>Tabla120[[#This Row],[Presupuesto]]</f>
        <v>30 UTM</v>
      </c>
      <c r="P189" s="138" t="e">
        <f>Tabla120[[#This Row],[PPTO]]/(1+'Lista Datos'!$B$1)</f>
        <v>#VALUE!</v>
      </c>
      <c r="Q189" s="65"/>
      <c r="R189" s="138"/>
      <c r="S189" s="143">
        <f>Tabla120[[#This Row],[Unidades2]]*Tabla120[[#This Row],[Precio Unitario]]</f>
        <v>0</v>
      </c>
      <c r="T189" s="126" t="s">
        <v>270</v>
      </c>
      <c r="U189" s="122"/>
      <c r="V189" s="65"/>
      <c r="W189" s="64"/>
      <c r="X189" s="66"/>
      <c r="Y189" s="65"/>
      <c r="Z189" s="65"/>
      <c r="AA189" s="65"/>
    </row>
    <row r="190" spans="1:27" ht="11.25" x14ac:dyDescent="0.2">
      <c r="A190" s="150" t="s">
        <v>6533</v>
      </c>
      <c r="B190" s="118" t="s">
        <v>6534</v>
      </c>
      <c r="C190" s="119" t="s">
        <v>6535</v>
      </c>
      <c r="D190" s="2" t="s">
        <v>6536</v>
      </c>
      <c r="E190" s="2" t="s">
        <v>6537</v>
      </c>
      <c r="F190" s="86">
        <v>280000</v>
      </c>
      <c r="G190" s="171">
        <f>Tabla120[[#This Row],[Presupuesto]]/(1+'Lista Datos'!$B$1)</f>
        <v>235294.11764705883</v>
      </c>
      <c r="H190" s="118" t="s">
        <v>16</v>
      </c>
      <c r="I190" s="118" t="s">
        <v>520</v>
      </c>
      <c r="J190" s="26">
        <v>45044</v>
      </c>
      <c r="K190" s="85" t="s">
        <v>10</v>
      </c>
      <c r="L190" s="2" t="s">
        <v>27</v>
      </c>
      <c r="M190" s="2"/>
      <c r="N190" s="18"/>
      <c r="O190" s="135">
        <f>Tabla120[[#This Row],[Presupuesto]]</f>
        <v>280000</v>
      </c>
      <c r="P190" s="136">
        <f>Tabla120[[#This Row],[PPTO]]/(1+'Lista Datos'!$B$1)</f>
        <v>235294.11764705883</v>
      </c>
      <c r="Q190" s="68"/>
      <c r="R190" s="136"/>
      <c r="S190" s="142">
        <f>Tabla120[[#This Row],[Unidades2]]*Tabla120[[#This Row],[Precio Unitario]]</f>
        <v>0</v>
      </c>
      <c r="T190" s="126" t="s">
        <v>270</v>
      </c>
      <c r="U190" s="127"/>
      <c r="V190" s="68"/>
      <c r="W190" s="67"/>
      <c r="X190" s="69"/>
      <c r="Y190" s="68"/>
      <c r="Z190" s="68"/>
      <c r="AA190" s="68"/>
    </row>
    <row r="191" spans="1:27" ht="11.25" x14ac:dyDescent="0.2">
      <c r="A191" s="151" t="s">
        <v>6538</v>
      </c>
      <c r="B191" s="118" t="s">
        <v>6539</v>
      </c>
      <c r="C191" s="119" t="s">
        <v>6540</v>
      </c>
      <c r="D191" s="40" t="s">
        <v>6541</v>
      </c>
      <c r="E191" s="40" t="s">
        <v>6542</v>
      </c>
      <c r="F191" s="152">
        <v>1100000</v>
      </c>
      <c r="G191" s="171">
        <f>Tabla120[[#This Row],[Presupuesto]]/(1+'Lista Datos'!$B$1)</f>
        <v>924369.74789915967</v>
      </c>
      <c r="H191" s="118" t="s">
        <v>16</v>
      </c>
      <c r="I191" s="118" t="s">
        <v>145</v>
      </c>
      <c r="J191" s="41">
        <v>45044</v>
      </c>
      <c r="K191" s="120"/>
      <c r="L191" s="40"/>
      <c r="M191" s="40"/>
      <c r="N191" s="19"/>
      <c r="O191" s="137">
        <f>Tabla120[[#This Row],[Presupuesto]]</f>
        <v>1100000</v>
      </c>
      <c r="P191" s="138">
        <f>Tabla120[[#This Row],[PPTO]]/(1+'Lista Datos'!$B$1)</f>
        <v>924369.74789915967</v>
      </c>
      <c r="Q191" s="65"/>
      <c r="R191" s="138"/>
      <c r="S191" s="143">
        <f>Tabla120[[#This Row],[Unidades2]]*Tabla120[[#This Row],[Precio Unitario]]</f>
        <v>0</v>
      </c>
      <c r="T191" s="126" t="s">
        <v>270</v>
      </c>
      <c r="U191" s="122"/>
      <c r="V191" s="65"/>
      <c r="W191" s="64"/>
      <c r="X191" s="66"/>
      <c r="Y191" s="65"/>
      <c r="Z191" s="65"/>
      <c r="AA191" s="65"/>
    </row>
    <row r="192" spans="1:27" ht="11.25" x14ac:dyDescent="0.2">
      <c r="A192" s="151" t="s">
        <v>6543</v>
      </c>
      <c r="B192" s="118" t="s">
        <v>6544</v>
      </c>
      <c r="C192" s="119" t="s">
        <v>6545</v>
      </c>
      <c r="D192" s="206">
        <v>44992</v>
      </c>
      <c r="E192" s="206"/>
      <c r="F192" s="152"/>
      <c r="G192" s="171">
        <f>Tabla120[[#This Row],[Presupuesto]]/(1+'Lista Datos'!$B$1)</f>
        <v>0</v>
      </c>
      <c r="H192" s="118"/>
      <c r="I192" s="118" t="s">
        <v>778</v>
      </c>
      <c r="J192" s="211"/>
      <c r="K192" s="207"/>
      <c r="L192" s="206"/>
      <c r="M192" s="206"/>
      <c r="N192" s="19"/>
      <c r="O192" s="137">
        <f>Tabla120[[#This Row],[Presupuesto]]</f>
        <v>0</v>
      </c>
      <c r="P192" s="138">
        <f>Tabla120[[#This Row],[PPTO]]/(1+'Lista Datos'!$B$1)</f>
        <v>0</v>
      </c>
      <c r="Q192" s="65"/>
      <c r="R192" s="138"/>
      <c r="S192" s="143">
        <f>Tabla120[[#This Row],[Unidades2]]*Tabla120[[#This Row],[Precio Unitario]]</f>
        <v>0</v>
      </c>
      <c r="T192" s="126" t="s">
        <v>270</v>
      </c>
      <c r="U192" s="122"/>
      <c r="V192" s="65"/>
      <c r="W192" s="64"/>
      <c r="X192" s="66"/>
      <c r="Y192" s="65"/>
      <c r="Z192" s="65"/>
      <c r="AA192" s="65"/>
    </row>
    <row r="193" spans="1:27" ht="11.25" x14ac:dyDescent="0.2">
      <c r="A193" s="150" t="s">
        <v>6546</v>
      </c>
      <c r="B193" s="118" t="s">
        <v>6547</v>
      </c>
      <c r="C193" s="119" t="s">
        <v>5962</v>
      </c>
      <c r="D193" s="203" t="s">
        <v>6548</v>
      </c>
      <c r="E193" s="203" t="s">
        <v>6549</v>
      </c>
      <c r="F193" s="86">
        <v>165000</v>
      </c>
      <c r="G193" s="171">
        <f>Tabla120[[#This Row],[Presupuesto]]/(1+'Lista Datos'!$B$1)</f>
        <v>138655.46218487396</v>
      </c>
      <c r="H193" s="118" t="s">
        <v>14</v>
      </c>
      <c r="I193" s="118"/>
      <c r="J193" s="204">
        <v>45125</v>
      </c>
      <c r="K193" s="205" t="s">
        <v>10</v>
      </c>
      <c r="L193" s="203" t="s">
        <v>27</v>
      </c>
      <c r="M193" s="203"/>
      <c r="N193" s="18"/>
      <c r="O193" s="135">
        <f>Tabla120[[#This Row],[Presupuesto]]</f>
        <v>165000</v>
      </c>
      <c r="P193" s="136">
        <f>Tabla120[[#This Row],[PPTO]]/(1+'Lista Datos'!$B$1)</f>
        <v>138655.46218487396</v>
      </c>
      <c r="Q193" s="68"/>
      <c r="R193" s="136"/>
      <c r="S193" s="142">
        <f>Tabla120[[#This Row],[Unidades2]]*Tabla120[[#This Row],[Precio Unitario]]</f>
        <v>0</v>
      </c>
      <c r="T193" s="126" t="s">
        <v>270</v>
      </c>
      <c r="U193" s="127"/>
      <c r="V193" s="68"/>
      <c r="W193" s="67"/>
      <c r="X193" s="69"/>
      <c r="Y193" s="68"/>
      <c r="Z193" s="68"/>
      <c r="AA193" s="68"/>
    </row>
    <row r="194" spans="1:27" ht="11.25" x14ac:dyDescent="0.2">
      <c r="A194" s="150" t="s">
        <v>6550</v>
      </c>
      <c r="B194" s="118" t="s">
        <v>6551</v>
      </c>
      <c r="C194" s="119" t="s">
        <v>3047</v>
      </c>
      <c r="D194" s="203" t="s">
        <v>6552</v>
      </c>
      <c r="E194" s="203" t="s">
        <v>6553</v>
      </c>
      <c r="F194" s="86">
        <v>170000</v>
      </c>
      <c r="G194" s="171">
        <f>Tabla120[[#This Row],[Presupuesto]]/(1+'Lista Datos'!$B$1)</f>
        <v>142857.14285714287</v>
      </c>
      <c r="H194" s="118" t="s">
        <v>14</v>
      </c>
      <c r="I194" s="118" t="s">
        <v>533</v>
      </c>
      <c r="J194" s="204">
        <v>45125</v>
      </c>
      <c r="K194" s="205" t="s">
        <v>10</v>
      </c>
      <c r="L194" s="203" t="s">
        <v>27</v>
      </c>
      <c r="M194" s="203"/>
      <c r="N194" s="18"/>
      <c r="O194" s="135">
        <f>Tabla120[[#This Row],[Presupuesto]]</f>
        <v>170000</v>
      </c>
      <c r="P194" s="136">
        <f>Tabla120[[#This Row],[PPTO]]/(1+'Lista Datos'!$B$1)</f>
        <v>142857.14285714287</v>
      </c>
      <c r="Q194" s="68"/>
      <c r="R194" s="136"/>
      <c r="S194" s="142">
        <f>Tabla120[[#This Row],[Unidades2]]*Tabla120[[#This Row],[Precio Unitario]]</f>
        <v>0</v>
      </c>
      <c r="T194" s="126" t="s">
        <v>270</v>
      </c>
      <c r="U194" s="127"/>
      <c r="V194" s="68"/>
      <c r="W194" s="67"/>
      <c r="X194" s="69"/>
      <c r="Y194" s="68"/>
      <c r="Z194" s="68"/>
      <c r="AA194" s="68"/>
    </row>
    <row r="195" spans="1:27" ht="11.25" x14ac:dyDescent="0.2">
      <c r="A195" s="150" t="s">
        <v>6554</v>
      </c>
      <c r="B195" s="118" t="s">
        <v>6555</v>
      </c>
      <c r="C195" s="119" t="s">
        <v>6556</v>
      </c>
      <c r="D195" s="203" t="s">
        <v>6557</v>
      </c>
      <c r="E195" s="203" t="s">
        <v>6558</v>
      </c>
      <c r="F195" s="86">
        <v>1777950</v>
      </c>
      <c r="G195" s="171">
        <f>Tabla120[[#This Row],[Presupuesto]]/(1+'Lista Datos'!$B$1)</f>
        <v>1494075.630252101</v>
      </c>
      <c r="H195" s="118" t="s">
        <v>15</v>
      </c>
      <c r="I195" s="118" t="s">
        <v>114</v>
      </c>
      <c r="J195" s="204">
        <v>45125</v>
      </c>
      <c r="K195" s="205"/>
      <c r="L195" s="203"/>
      <c r="M195" s="203"/>
      <c r="N195" s="18"/>
      <c r="O195" s="135">
        <f>Tabla120[[#This Row],[Presupuesto]]</f>
        <v>1777950</v>
      </c>
      <c r="P195" s="136">
        <f>Tabla120[[#This Row],[PPTO]]/(1+'Lista Datos'!$B$1)</f>
        <v>1494075.630252101</v>
      </c>
      <c r="Q195" s="68"/>
      <c r="R195" s="136"/>
      <c r="S195" s="142">
        <f>Tabla120[[#This Row],[Unidades2]]*Tabla120[[#This Row],[Precio Unitario]]</f>
        <v>0</v>
      </c>
      <c r="T195" s="126" t="s">
        <v>270</v>
      </c>
      <c r="U195" s="127"/>
      <c r="V195" s="68"/>
      <c r="W195" s="67"/>
      <c r="X195" s="69"/>
      <c r="Y195" s="68"/>
      <c r="Z195" s="68"/>
      <c r="AA195" s="68"/>
    </row>
    <row r="196" spans="1:27" ht="11.25" x14ac:dyDescent="0.2">
      <c r="A196" s="150" t="s">
        <v>6559</v>
      </c>
      <c r="B196" s="118" t="s">
        <v>6560</v>
      </c>
      <c r="C196" s="119" t="s">
        <v>4929</v>
      </c>
      <c r="D196" s="203" t="s">
        <v>6561</v>
      </c>
      <c r="E196" s="203" t="s">
        <v>6562</v>
      </c>
      <c r="F196" s="86">
        <v>541212</v>
      </c>
      <c r="G196" s="171">
        <f>Tabla120[[#This Row],[Presupuesto]]/(1+'Lista Datos'!$B$1)</f>
        <v>454800</v>
      </c>
      <c r="H196" s="118" t="s">
        <v>16</v>
      </c>
      <c r="I196" s="118" t="s">
        <v>6289</v>
      </c>
      <c r="J196" s="204">
        <v>45125</v>
      </c>
      <c r="K196" s="205" t="s">
        <v>10</v>
      </c>
      <c r="L196" s="203" t="s">
        <v>33</v>
      </c>
      <c r="M196" s="203"/>
      <c r="N196" s="18"/>
      <c r="O196" s="135">
        <f>Tabla120[[#This Row],[Presupuesto]]</f>
        <v>541212</v>
      </c>
      <c r="P196" s="136">
        <f>Tabla120[[#This Row],[PPTO]]/(1+'Lista Datos'!$B$1)</f>
        <v>454800</v>
      </c>
      <c r="Q196" s="68"/>
      <c r="R196" s="136"/>
      <c r="S196" s="142">
        <f>Tabla120[[#This Row],[Unidades2]]*Tabla120[[#This Row],[Precio Unitario]]</f>
        <v>0</v>
      </c>
      <c r="T196" s="126" t="s">
        <v>270</v>
      </c>
      <c r="U196" s="127"/>
      <c r="V196" s="68"/>
      <c r="W196" s="67"/>
      <c r="X196" s="69"/>
      <c r="Y196" s="68"/>
      <c r="Z196" s="68"/>
      <c r="AA196" s="68"/>
    </row>
    <row r="197" spans="1:27" ht="11.25" x14ac:dyDescent="0.2">
      <c r="A197" s="150" t="s">
        <v>6563</v>
      </c>
      <c r="B197" s="118" t="s">
        <v>6564</v>
      </c>
      <c r="C197" s="119" t="s">
        <v>6565</v>
      </c>
      <c r="D197" s="203" t="s">
        <v>6566</v>
      </c>
      <c r="E197" s="203" t="s">
        <v>6567</v>
      </c>
      <c r="F197" s="86">
        <v>350000</v>
      </c>
      <c r="G197" s="171">
        <f>Tabla120[[#This Row],[Presupuesto]]/(1+'Lista Datos'!$B$1)</f>
        <v>294117.64705882355</v>
      </c>
      <c r="H197" s="118" t="s">
        <v>14</v>
      </c>
      <c r="I197" s="118" t="s">
        <v>533</v>
      </c>
      <c r="J197" s="204">
        <v>45125</v>
      </c>
      <c r="K197" s="205" t="s">
        <v>10</v>
      </c>
      <c r="L197" s="203" t="s">
        <v>27</v>
      </c>
      <c r="M197" s="203"/>
      <c r="N197" s="18"/>
      <c r="O197" s="135">
        <f>Tabla120[[#This Row],[Presupuesto]]</f>
        <v>350000</v>
      </c>
      <c r="P197" s="136">
        <f>Tabla120[[#This Row],[PPTO]]/(1+'Lista Datos'!$B$1)</f>
        <v>294117.64705882355</v>
      </c>
      <c r="Q197" s="68"/>
      <c r="R197" s="136"/>
      <c r="S197" s="142">
        <f>Tabla120[[#This Row],[Unidades2]]*Tabla120[[#This Row],[Precio Unitario]]</f>
        <v>0</v>
      </c>
      <c r="T197" s="126" t="s">
        <v>270</v>
      </c>
      <c r="U197" s="127"/>
      <c r="V197" s="68"/>
      <c r="W197" s="67"/>
      <c r="X197" s="69"/>
      <c r="Y197" s="68"/>
      <c r="Z197" s="68"/>
      <c r="AA197" s="68"/>
    </row>
    <row r="198" spans="1:27" ht="11.25" x14ac:dyDescent="0.2">
      <c r="A198" s="150" t="s">
        <v>6568</v>
      </c>
      <c r="B198" s="118" t="s">
        <v>6569</v>
      </c>
      <c r="C198" s="119" t="s">
        <v>4317</v>
      </c>
      <c r="D198" s="203" t="s">
        <v>6570</v>
      </c>
      <c r="E198" s="203" t="s">
        <v>6571</v>
      </c>
      <c r="F198" s="86">
        <v>1547000</v>
      </c>
      <c r="G198" s="171">
        <f>Tabla120[[#This Row],[Presupuesto]]/(1+'Lista Datos'!$B$1)</f>
        <v>1300000</v>
      </c>
      <c r="H198" s="118" t="s">
        <v>16</v>
      </c>
      <c r="I198" s="118" t="s">
        <v>145</v>
      </c>
      <c r="J198" s="204">
        <v>45125</v>
      </c>
      <c r="K198" s="205"/>
      <c r="L198" s="203"/>
      <c r="M198" s="203"/>
      <c r="N198" s="18"/>
      <c r="O198" s="135">
        <f>Tabla120[[#This Row],[Presupuesto]]</f>
        <v>1547000</v>
      </c>
      <c r="P198" s="136">
        <f>Tabla120[[#This Row],[PPTO]]/(1+'Lista Datos'!$B$1)</f>
        <v>1300000</v>
      </c>
      <c r="Q198" s="68"/>
      <c r="R198" s="136"/>
      <c r="S198" s="142">
        <f>Tabla120[[#This Row],[Unidades2]]*Tabla120[[#This Row],[Precio Unitario]]</f>
        <v>0</v>
      </c>
      <c r="T198" s="126" t="s">
        <v>270</v>
      </c>
      <c r="U198" s="127"/>
      <c r="V198" s="68"/>
      <c r="W198" s="67"/>
      <c r="X198" s="69"/>
      <c r="Y198" s="68"/>
      <c r="Z198" s="68"/>
      <c r="AA198" s="68"/>
    </row>
    <row r="199" spans="1:27" ht="11.25" x14ac:dyDescent="0.2">
      <c r="A199" s="150" t="s">
        <v>6572</v>
      </c>
      <c r="B199" s="118" t="s">
        <v>6573</v>
      </c>
      <c r="C199" s="119" t="s">
        <v>1066</v>
      </c>
      <c r="D199" s="203" t="s">
        <v>6574</v>
      </c>
      <c r="E199" s="203" t="s">
        <v>6575</v>
      </c>
      <c r="F199" s="86">
        <v>1500000</v>
      </c>
      <c r="G199" s="171">
        <f>Tabla120[[#This Row],[Presupuesto]]/(1+'Lista Datos'!$B$1)</f>
        <v>1260504.2016806724</v>
      </c>
      <c r="H199" s="118" t="s">
        <v>14</v>
      </c>
      <c r="I199" s="118" t="s">
        <v>778</v>
      </c>
      <c r="J199" s="204">
        <v>45125</v>
      </c>
      <c r="K199" s="205"/>
      <c r="L199" s="203"/>
      <c r="M199" s="203"/>
      <c r="N199" s="18"/>
      <c r="O199" s="135">
        <f>Tabla120[[#This Row],[Presupuesto]]</f>
        <v>1500000</v>
      </c>
      <c r="P199" s="136">
        <f>Tabla120[[#This Row],[PPTO]]/(1+'Lista Datos'!$B$1)</f>
        <v>1260504.2016806724</v>
      </c>
      <c r="Q199" s="68"/>
      <c r="R199" s="136"/>
      <c r="S199" s="142">
        <f>Tabla120[[#This Row],[Unidades2]]*Tabla120[[#This Row],[Precio Unitario]]</f>
        <v>0</v>
      </c>
      <c r="T199" s="126" t="s">
        <v>270</v>
      </c>
      <c r="U199" s="127"/>
      <c r="V199" s="68"/>
      <c r="W199" s="67"/>
      <c r="X199" s="69"/>
      <c r="Y199" s="68"/>
      <c r="Z199" s="68"/>
      <c r="AA199" s="68"/>
    </row>
    <row r="200" spans="1:27" ht="11.25" x14ac:dyDescent="0.2">
      <c r="A200" s="150" t="s">
        <v>6576</v>
      </c>
      <c r="B200" s="118" t="s">
        <v>6577</v>
      </c>
      <c r="C200" s="119" t="s">
        <v>6476</v>
      </c>
      <c r="D200" s="203" t="s">
        <v>6578</v>
      </c>
      <c r="E200" s="203" t="s">
        <v>6579</v>
      </c>
      <c r="F200" s="86">
        <v>300000</v>
      </c>
      <c r="G200" s="171">
        <f>Tabla120[[#This Row],[Presupuesto]]/(1+'Lista Datos'!$B$1)</f>
        <v>252100.84033613445</v>
      </c>
      <c r="H200" s="118" t="s">
        <v>21</v>
      </c>
      <c r="I200" s="118" t="s">
        <v>106</v>
      </c>
      <c r="J200" s="204">
        <v>45125</v>
      </c>
      <c r="K200" s="205" t="s">
        <v>10</v>
      </c>
      <c r="L200" s="203" t="s">
        <v>35</v>
      </c>
      <c r="M200" s="203"/>
      <c r="N200" s="18"/>
      <c r="O200" s="135">
        <f>Tabla120[[#This Row],[Presupuesto]]</f>
        <v>300000</v>
      </c>
      <c r="P200" s="136">
        <f>Tabla120[[#This Row],[PPTO]]/(1+'Lista Datos'!$B$1)</f>
        <v>252100.84033613445</v>
      </c>
      <c r="Q200" s="68"/>
      <c r="R200" s="136"/>
      <c r="S200" s="142">
        <f>Tabla120[[#This Row],[Unidades2]]*Tabla120[[#This Row],[Precio Unitario]]</f>
        <v>0</v>
      </c>
      <c r="T200" s="126" t="s">
        <v>270</v>
      </c>
      <c r="U200" s="127"/>
      <c r="V200" s="68"/>
      <c r="W200" s="67"/>
      <c r="X200" s="69"/>
      <c r="Y200" s="68"/>
      <c r="Z200" s="68"/>
      <c r="AA200" s="68"/>
    </row>
    <row r="201" spans="1:27" ht="11.25" x14ac:dyDescent="0.2">
      <c r="A201" s="150" t="s">
        <v>6580</v>
      </c>
      <c r="B201" s="118" t="s">
        <v>6581</v>
      </c>
      <c r="C201" s="119" t="s">
        <v>2815</v>
      </c>
      <c r="D201" s="203" t="s">
        <v>6582</v>
      </c>
      <c r="E201" s="203" t="s">
        <v>6583</v>
      </c>
      <c r="F201" s="86">
        <v>1850000</v>
      </c>
      <c r="G201" s="171">
        <f>Tabla120[[#This Row],[Presupuesto]]/(1+'Lista Datos'!$B$1)</f>
        <v>1554621.848739496</v>
      </c>
      <c r="H201" s="118" t="s">
        <v>16</v>
      </c>
      <c r="I201" s="118" t="s">
        <v>6289</v>
      </c>
      <c r="J201" s="204">
        <v>45125</v>
      </c>
      <c r="K201" s="205"/>
      <c r="L201" s="203"/>
      <c r="M201" s="203"/>
      <c r="N201" s="18"/>
      <c r="O201" s="135">
        <f>Tabla120[[#This Row],[Presupuesto]]</f>
        <v>1850000</v>
      </c>
      <c r="P201" s="136">
        <f>Tabla120[[#This Row],[PPTO]]/(1+'Lista Datos'!$B$1)</f>
        <v>1554621.848739496</v>
      </c>
      <c r="Q201" s="68"/>
      <c r="R201" s="136"/>
      <c r="S201" s="142">
        <f>Tabla120[[#This Row],[Unidades2]]*Tabla120[[#This Row],[Precio Unitario]]</f>
        <v>0</v>
      </c>
      <c r="T201" s="126" t="s">
        <v>270</v>
      </c>
      <c r="U201" s="127"/>
      <c r="V201" s="68"/>
      <c r="W201" s="67"/>
      <c r="X201" s="69"/>
      <c r="Y201" s="68"/>
      <c r="Z201" s="68"/>
      <c r="AA201" s="68"/>
    </row>
    <row r="202" spans="1:27" ht="11.25" x14ac:dyDescent="0.2">
      <c r="A202" s="150" t="s">
        <v>6584</v>
      </c>
      <c r="B202" s="118" t="s">
        <v>6585</v>
      </c>
      <c r="C202" s="119" t="s">
        <v>6586</v>
      </c>
      <c r="D202" s="203" t="s">
        <v>6587</v>
      </c>
      <c r="E202" s="203" t="s">
        <v>6588</v>
      </c>
      <c r="F202" s="86">
        <v>100000</v>
      </c>
      <c r="G202" s="171">
        <f>Tabla120[[#This Row],[Presupuesto]]/(1+'Lista Datos'!$B$1)</f>
        <v>84033.613445378156</v>
      </c>
      <c r="H202" s="118" t="s">
        <v>21</v>
      </c>
      <c r="I202" s="118" t="s">
        <v>106</v>
      </c>
      <c r="J202" s="204">
        <v>45125</v>
      </c>
      <c r="K202" s="205" t="s">
        <v>10</v>
      </c>
      <c r="L202" s="203" t="s">
        <v>35</v>
      </c>
      <c r="M202" s="203"/>
      <c r="N202" s="18"/>
      <c r="O202" s="135">
        <f>Tabla120[[#This Row],[Presupuesto]]</f>
        <v>100000</v>
      </c>
      <c r="P202" s="136">
        <f>Tabla120[[#This Row],[PPTO]]/(1+'Lista Datos'!$B$1)</f>
        <v>84033.613445378156</v>
      </c>
      <c r="Q202" s="68"/>
      <c r="R202" s="136"/>
      <c r="S202" s="142">
        <f>Tabla120[[#This Row],[Unidades2]]*Tabla120[[#This Row],[Precio Unitario]]</f>
        <v>0</v>
      </c>
      <c r="T202" s="126" t="s">
        <v>270</v>
      </c>
      <c r="U202" s="127"/>
      <c r="V202" s="68"/>
      <c r="W202" s="67"/>
      <c r="X202" s="69"/>
      <c r="Y202" s="68"/>
      <c r="Z202" s="68"/>
      <c r="AA202" s="68"/>
    </row>
    <row r="203" spans="1:27" ht="11.25" x14ac:dyDescent="0.2">
      <c r="A203" s="150" t="s">
        <v>6589</v>
      </c>
      <c r="B203" s="118" t="s">
        <v>6590</v>
      </c>
      <c r="C203" s="119" t="s">
        <v>1533</v>
      </c>
      <c r="D203" s="203" t="s">
        <v>6591</v>
      </c>
      <c r="E203" s="203" t="s">
        <v>6592</v>
      </c>
      <c r="F203" s="86">
        <v>1899000</v>
      </c>
      <c r="G203" s="171">
        <f>Tabla120[[#This Row],[Presupuesto]]/(1+'Lista Datos'!$B$1)</f>
        <v>1595798.3193277312</v>
      </c>
      <c r="H203" s="118" t="s">
        <v>14</v>
      </c>
      <c r="I203" s="118" t="s">
        <v>6289</v>
      </c>
      <c r="J203" s="204">
        <v>45125</v>
      </c>
      <c r="K203" s="205"/>
      <c r="L203" s="203"/>
      <c r="M203" s="203"/>
      <c r="N203" s="18"/>
      <c r="O203" s="135">
        <f>Tabla120[[#This Row],[Presupuesto]]</f>
        <v>1899000</v>
      </c>
      <c r="P203" s="136">
        <f>Tabla120[[#This Row],[PPTO]]/(1+'Lista Datos'!$B$1)</f>
        <v>1595798.3193277312</v>
      </c>
      <c r="Q203" s="68"/>
      <c r="R203" s="136"/>
      <c r="S203" s="142">
        <f>Tabla120[[#This Row],[Unidades2]]*Tabla120[[#This Row],[Precio Unitario]]</f>
        <v>0</v>
      </c>
      <c r="T203" s="126" t="s">
        <v>270</v>
      </c>
      <c r="U203" s="127"/>
      <c r="V203" s="68"/>
      <c r="W203" s="67"/>
      <c r="X203" s="69"/>
      <c r="Y203" s="68"/>
      <c r="Z203" s="68"/>
      <c r="AA203" s="68"/>
    </row>
    <row r="204" spans="1:27" ht="11.25" x14ac:dyDescent="0.2">
      <c r="A204" s="150" t="s">
        <v>6593</v>
      </c>
      <c r="B204" s="118" t="s">
        <v>6594</v>
      </c>
      <c r="C204" s="119" t="s">
        <v>1073</v>
      </c>
      <c r="D204" s="203" t="s">
        <v>6595</v>
      </c>
      <c r="E204" s="203" t="s">
        <v>6596</v>
      </c>
      <c r="F204" s="86">
        <v>600000</v>
      </c>
      <c r="G204" s="171">
        <f>Tabla120[[#This Row],[Presupuesto]]/(1+'Lista Datos'!$B$1)</f>
        <v>504201.68067226891</v>
      </c>
      <c r="H204" s="118" t="s">
        <v>16</v>
      </c>
      <c r="I204" s="118" t="s">
        <v>145</v>
      </c>
      <c r="J204" s="204">
        <v>45125</v>
      </c>
      <c r="K204" s="205"/>
      <c r="L204" s="203"/>
      <c r="M204" s="203"/>
      <c r="N204" s="18"/>
      <c r="O204" s="135">
        <f>Tabla120[[#This Row],[Presupuesto]]</f>
        <v>600000</v>
      </c>
      <c r="P204" s="136">
        <f>Tabla120[[#This Row],[PPTO]]/(1+'Lista Datos'!$B$1)</f>
        <v>504201.68067226891</v>
      </c>
      <c r="Q204" s="68"/>
      <c r="R204" s="136"/>
      <c r="S204" s="142">
        <f>Tabla120[[#This Row],[Unidades2]]*Tabla120[[#This Row],[Precio Unitario]]</f>
        <v>0</v>
      </c>
      <c r="T204" s="126" t="s">
        <v>270</v>
      </c>
      <c r="U204" s="127"/>
      <c r="V204" s="68"/>
      <c r="W204" s="67"/>
      <c r="X204" s="69"/>
      <c r="Y204" s="68"/>
      <c r="Z204" s="68"/>
      <c r="AA204" s="68"/>
    </row>
    <row r="205" spans="1:27" ht="11.25" x14ac:dyDescent="0.2">
      <c r="A205" s="150" t="s">
        <v>6597</v>
      </c>
      <c r="B205" s="118" t="s">
        <v>6598</v>
      </c>
      <c r="C205" s="119" t="s">
        <v>6599</v>
      </c>
      <c r="D205" s="203" t="s">
        <v>6600</v>
      </c>
      <c r="E205" s="203" t="s">
        <v>6601</v>
      </c>
      <c r="F205" s="86">
        <v>1300000</v>
      </c>
      <c r="G205" s="171">
        <f>Tabla120[[#This Row],[Presupuesto]]/(1+'Lista Datos'!$B$1)</f>
        <v>1092436.9747899161</v>
      </c>
      <c r="H205" s="118" t="s">
        <v>21</v>
      </c>
      <c r="I205" s="118" t="s">
        <v>106</v>
      </c>
      <c r="J205" s="204">
        <v>45125</v>
      </c>
      <c r="K205" s="205" t="s">
        <v>10</v>
      </c>
      <c r="L205" s="203" t="s">
        <v>33</v>
      </c>
      <c r="M205" s="203"/>
      <c r="N205" s="18"/>
      <c r="O205" s="135">
        <f>Tabla120[[#This Row],[Presupuesto]]</f>
        <v>1300000</v>
      </c>
      <c r="P205" s="136">
        <f>Tabla120[[#This Row],[PPTO]]/(1+'Lista Datos'!$B$1)</f>
        <v>1092436.9747899161</v>
      </c>
      <c r="Q205" s="68"/>
      <c r="R205" s="136"/>
      <c r="S205" s="142">
        <f>Tabla120[[#This Row],[Unidades2]]*Tabla120[[#This Row],[Precio Unitario]]</f>
        <v>0</v>
      </c>
      <c r="T205" s="126" t="s">
        <v>270</v>
      </c>
      <c r="U205" s="127"/>
      <c r="V205" s="68"/>
      <c r="W205" s="67"/>
      <c r="X205" s="69"/>
      <c r="Y205" s="68"/>
      <c r="Z205" s="68"/>
      <c r="AA205" s="68"/>
    </row>
    <row r="206" spans="1:27" ht="11.25" x14ac:dyDescent="0.2">
      <c r="A206" s="150" t="s">
        <v>6602</v>
      </c>
      <c r="B206" s="118" t="s">
        <v>6603</v>
      </c>
      <c r="C206" s="119" t="s">
        <v>6403</v>
      </c>
      <c r="D206" s="203" t="s">
        <v>6604</v>
      </c>
      <c r="E206" s="203" t="s">
        <v>6605</v>
      </c>
      <c r="F206" s="86">
        <v>1800000</v>
      </c>
      <c r="G206" s="171">
        <f>Tabla120[[#This Row],[Presupuesto]]/(1+'Lista Datos'!$B$1)</f>
        <v>1512605.0420168068</v>
      </c>
      <c r="H206" s="118" t="s">
        <v>14</v>
      </c>
      <c r="I206" s="118" t="s">
        <v>1983</v>
      </c>
      <c r="J206" s="204">
        <v>45125</v>
      </c>
      <c r="K206" s="205"/>
      <c r="L206" s="203"/>
      <c r="M206" s="203"/>
      <c r="N206" s="18"/>
      <c r="O206" s="135">
        <f>Tabla120[[#This Row],[Presupuesto]]</f>
        <v>1800000</v>
      </c>
      <c r="P206" s="136">
        <f>Tabla120[[#This Row],[PPTO]]/(1+'Lista Datos'!$B$1)</f>
        <v>1512605.0420168068</v>
      </c>
      <c r="Q206" s="68"/>
      <c r="R206" s="136"/>
      <c r="S206" s="142">
        <f>Tabla120[[#This Row],[Unidades2]]*Tabla120[[#This Row],[Precio Unitario]]</f>
        <v>0</v>
      </c>
      <c r="T206" s="126" t="s">
        <v>270</v>
      </c>
      <c r="U206" s="127"/>
      <c r="V206" s="68"/>
      <c r="W206" s="67"/>
      <c r="X206" s="69"/>
      <c r="Y206" s="68"/>
      <c r="Z206" s="68"/>
      <c r="AA206" s="68"/>
    </row>
    <row r="207" spans="1:27" ht="11.25" x14ac:dyDescent="0.2">
      <c r="A207" s="150" t="s">
        <v>6606</v>
      </c>
      <c r="B207" s="118" t="s">
        <v>6607</v>
      </c>
      <c r="C207" s="119" t="s">
        <v>890</v>
      </c>
      <c r="D207" s="203" t="s">
        <v>6608</v>
      </c>
      <c r="E207" s="203" t="s">
        <v>6609</v>
      </c>
      <c r="F207" s="86">
        <v>598000</v>
      </c>
      <c r="G207" s="171">
        <f>Tabla120[[#This Row],[Presupuesto]]/(1+'Lista Datos'!$B$1)</f>
        <v>502521.00840336137</v>
      </c>
      <c r="H207" s="118" t="s">
        <v>16</v>
      </c>
      <c r="I207" s="118" t="s">
        <v>1983</v>
      </c>
      <c r="J207" s="204">
        <v>45125</v>
      </c>
      <c r="K207" s="205"/>
      <c r="L207" s="203"/>
      <c r="M207" s="203"/>
      <c r="N207" s="18"/>
      <c r="O207" s="135">
        <f>Tabla120[[#This Row],[Presupuesto]]</f>
        <v>598000</v>
      </c>
      <c r="P207" s="136">
        <f>Tabla120[[#This Row],[PPTO]]/(1+'Lista Datos'!$B$1)</f>
        <v>502521.00840336137</v>
      </c>
      <c r="Q207" s="68"/>
      <c r="R207" s="136"/>
      <c r="S207" s="142">
        <f>Tabla120[[#This Row],[Unidades2]]*Tabla120[[#This Row],[Precio Unitario]]</f>
        <v>0</v>
      </c>
      <c r="T207" s="126" t="s">
        <v>270</v>
      </c>
      <c r="U207" s="127"/>
      <c r="V207" s="68"/>
      <c r="W207" s="67"/>
      <c r="X207" s="69"/>
      <c r="Y207" s="68"/>
      <c r="Z207" s="68"/>
      <c r="AA207" s="68"/>
    </row>
    <row r="208" spans="1:27" ht="11.25" x14ac:dyDescent="0.2">
      <c r="A208" s="150" t="s">
        <v>6610</v>
      </c>
      <c r="B208" s="118" t="s">
        <v>6611</v>
      </c>
      <c r="C208" s="119" t="s">
        <v>277</v>
      </c>
      <c r="D208" s="203" t="s">
        <v>6612</v>
      </c>
      <c r="E208" s="203" t="s">
        <v>6613</v>
      </c>
      <c r="F208" s="86">
        <v>942184</v>
      </c>
      <c r="G208" s="171">
        <f>Tabla120[[#This Row],[Presupuesto]]/(1+'Lista Datos'!$B$1)</f>
        <v>791751.26050420175</v>
      </c>
      <c r="H208" s="118" t="s">
        <v>15</v>
      </c>
      <c r="I208" s="118" t="s">
        <v>114</v>
      </c>
      <c r="J208" s="204">
        <v>45125</v>
      </c>
      <c r="K208" s="205"/>
      <c r="L208" s="203"/>
      <c r="M208" s="203"/>
      <c r="N208" s="18"/>
      <c r="O208" s="135">
        <f>Tabla120[[#This Row],[Presupuesto]]</f>
        <v>942184</v>
      </c>
      <c r="P208" s="136">
        <f>Tabla120[[#This Row],[PPTO]]/(1+'Lista Datos'!$B$1)</f>
        <v>791751.26050420175</v>
      </c>
      <c r="Q208" s="68"/>
      <c r="R208" s="136"/>
      <c r="S208" s="142">
        <f>Tabla120[[#This Row],[Unidades2]]*Tabla120[[#This Row],[Precio Unitario]]</f>
        <v>0</v>
      </c>
      <c r="T208" s="126" t="s">
        <v>270</v>
      </c>
      <c r="U208" s="127"/>
      <c r="V208" s="68"/>
      <c r="W208" s="67"/>
      <c r="X208" s="69"/>
      <c r="Y208" s="68"/>
      <c r="Z208" s="68"/>
      <c r="AA208" s="68"/>
    </row>
    <row r="209" spans="1:27" ht="11.25" x14ac:dyDescent="0.2">
      <c r="A209" s="151" t="s">
        <v>6614</v>
      </c>
      <c r="B209" s="118" t="s">
        <v>6615</v>
      </c>
      <c r="C209" s="119" t="s">
        <v>6616</v>
      </c>
      <c r="D209" s="206" t="s">
        <v>6617</v>
      </c>
      <c r="E209" s="206" t="s">
        <v>6618</v>
      </c>
      <c r="F209" s="152">
        <v>1500000</v>
      </c>
      <c r="G209" s="171">
        <f>Tabla120[[#This Row],[Presupuesto]]/(1+'Lista Datos'!$B$1)</f>
        <v>1260504.2016806724</v>
      </c>
      <c r="H209" s="118" t="s">
        <v>14</v>
      </c>
      <c r="I209" s="118" t="s">
        <v>145</v>
      </c>
      <c r="J209" s="204">
        <v>45125</v>
      </c>
      <c r="K209" s="207"/>
      <c r="L209" s="206"/>
      <c r="M209" s="206"/>
      <c r="N209" s="19"/>
      <c r="O209" s="137">
        <f>Tabla120[[#This Row],[Presupuesto]]</f>
        <v>1500000</v>
      </c>
      <c r="P209" s="138">
        <f>Tabla120[[#This Row],[PPTO]]/(1+'Lista Datos'!$B$1)</f>
        <v>1260504.2016806724</v>
      </c>
      <c r="Q209" s="65"/>
      <c r="R209" s="138"/>
      <c r="S209" s="143">
        <f>Tabla120[[#This Row],[Unidades2]]*Tabla120[[#This Row],[Precio Unitario]]</f>
        <v>0</v>
      </c>
      <c r="T209" s="126" t="s">
        <v>270</v>
      </c>
      <c r="U209" s="122"/>
      <c r="V209" s="65"/>
      <c r="W209" s="64"/>
      <c r="X209" s="66"/>
      <c r="Y209" s="65"/>
      <c r="Z209" s="65"/>
      <c r="AA209" s="65"/>
    </row>
    <row r="210" spans="1:27" ht="11.25" x14ac:dyDescent="0.2">
      <c r="A210" s="150" t="s">
        <v>6619</v>
      </c>
      <c r="B210" s="118" t="s">
        <v>6620</v>
      </c>
      <c r="C210" s="119" t="s">
        <v>6621</v>
      </c>
      <c r="D210" s="203" t="s">
        <v>6622</v>
      </c>
      <c r="E210" s="203" t="s">
        <v>6623</v>
      </c>
      <c r="F210" s="86">
        <v>220000</v>
      </c>
      <c r="G210" s="171">
        <f>Tabla120[[#This Row],[Presupuesto]]/(1+'Lista Datos'!$B$1)</f>
        <v>184873.94957983194</v>
      </c>
      <c r="H210" s="118" t="s">
        <v>21</v>
      </c>
      <c r="I210" s="118" t="s">
        <v>106</v>
      </c>
      <c r="J210" s="204">
        <v>45126</v>
      </c>
      <c r="K210" s="205" t="s">
        <v>10</v>
      </c>
      <c r="L210" s="203" t="s">
        <v>33</v>
      </c>
      <c r="M210" s="203"/>
      <c r="N210" s="18"/>
      <c r="O210" s="135">
        <f>Tabla120[[#This Row],[Presupuesto]]</f>
        <v>220000</v>
      </c>
      <c r="P210" s="136">
        <f>Tabla120[[#This Row],[PPTO]]/(1+'Lista Datos'!$B$1)</f>
        <v>184873.94957983194</v>
      </c>
      <c r="Q210" s="68"/>
      <c r="R210" s="136"/>
      <c r="S210" s="142">
        <f>Tabla120[[#This Row],[Unidades2]]*Tabla120[[#This Row],[Precio Unitario]]</f>
        <v>0</v>
      </c>
      <c r="T210" s="126" t="s">
        <v>270</v>
      </c>
      <c r="U210" s="127"/>
      <c r="V210" s="68"/>
      <c r="W210" s="67"/>
      <c r="X210" s="69"/>
      <c r="Y210" s="68"/>
      <c r="Z210" s="68"/>
      <c r="AA210" s="68"/>
    </row>
    <row r="211" spans="1:27" ht="11.25" x14ac:dyDescent="0.2">
      <c r="A211" s="150" t="s">
        <v>6624</v>
      </c>
      <c r="B211" s="118" t="s">
        <v>6625</v>
      </c>
      <c r="C211" s="119" t="s">
        <v>6621</v>
      </c>
      <c r="D211" s="203" t="s">
        <v>6626</v>
      </c>
      <c r="E211" s="203" t="s">
        <v>6627</v>
      </c>
      <c r="F211" s="86">
        <v>315000</v>
      </c>
      <c r="G211" s="171">
        <f>Tabla120[[#This Row],[Presupuesto]]/(1+'Lista Datos'!$B$1)</f>
        <v>264705.8823529412</v>
      </c>
      <c r="H211" s="118" t="s">
        <v>16</v>
      </c>
      <c r="I211" s="118" t="s">
        <v>345</v>
      </c>
      <c r="J211" s="204">
        <v>45126</v>
      </c>
      <c r="K211" s="205"/>
      <c r="L211" s="203"/>
      <c r="M211" s="203"/>
      <c r="N211" s="18"/>
      <c r="O211" s="135">
        <f>Tabla120[[#This Row],[Presupuesto]]</f>
        <v>315000</v>
      </c>
      <c r="P211" s="136">
        <f>Tabla120[[#This Row],[PPTO]]/(1+'Lista Datos'!$B$1)</f>
        <v>264705.8823529412</v>
      </c>
      <c r="Q211" s="68"/>
      <c r="R211" s="136"/>
      <c r="S211" s="142">
        <f>Tabla120[[#This Row],[Unidades2]]*Tabla120[[#This Row],[Precio Unitario]]</f>
        <v>0</v>
      </c>
      <c r="T211" s="126" t="s">
        <v>270</v>
      </c>
      <c r="U211" s="127"/>
      <c r="V211" s="68"/>
      <c r="W211" s="67"/>
      <c r="X211" s="69"/>
      <c r="Y211" s="68"/>
      <c r="Z211" s="68"/>
      <c r="AA211" s="68"/>
    </row>
    <row r="212" spans="1:27" ht="11.25" x14ac:dyDescent="0.2">
      <c r="A212" s="150" t="s">
        <v>6628</v>
      </c>
      <c r="B212" s="118" t="s">
        <v>6629</v>
      </c>
      <c r="C212" s="119" t="s">
        <v>6630</v>
      </c>
      <c r="D212" s="203" t="s">
        <v>6631</v>
      </c>
      <c r="E212" s="203" t="s">
        <v>6632</v>
      </c>
      <c r="F212" s="86">
        <v>80000</v>
      </c>
      <c r="G212" s="171">
        <f>Tabla120[[#This Row],[Presupuesto]]/(1+'Lista Datos'!$B$1)</f>
        <v>67226.890756302528</v>
      </c>
      <c r="H212" s="118" t="s">
        <v>16</v>
      </c>
      <c r="I212" s="118" t="s">
        <v>1983</v>
      </c>
      <c r="J212" s="204">
        <v>45126</v>
      </c>
      <c r="K212" s="205" t="s">
        <v>10</v>
      </c>
      <c r="L212" s="203" t="s">
        <v>27</v>
      </c>
      <c r="M212" s="203"/>
      <c r="N212" s="18"/>
      <c r="O212" s="135">
        <f>Tabla120[[#This Row],[Presupuesto]]</f>
        <v>80000</v>
      </c>
      <c r="P212" s="136">
        <f>Tabla120[[#This Row],[PPTO]]/(1+'Lista Datos'!$B$1)</f>
        <v>67226.890756302528</v>
      </c>
      <c r="Q212" s="68"/>
      <c r="R212" s="136"/>
      <c r="S212" s="142">
        <f>Tabla120[[#This Row],[Unidades2]]*Tabla120[[#This Row],[Precio Unitario]]</f>
        <v>0</v>
      </c>
      <c r="T212" s="126" t="s">
        <v>270</v>
      </c>
      <c r="U212" s="127"/>
      <c r="V212" s="68"/>
      <c r="W212" s="67"/>
      <c r="X212" s="69"/>
      <c r="Y212" s="68"/>
      <c r="Z212" s="68"/>
      <c r="AA212" s="68"/>
    </row>
    <row r="213" spans="1:27" ht="11.25" x14ac:dyDescent="0.2">
      <c r="A213" s="150" t="s">
        <v>6633</v>
      </c>
      <c r="B213" s="118" t="s">
        <v>6634</v>
      </c>
      <c r="C213" s="119" t="s">
        <v>1183</v>
      </c>
      <c r="D213" s="203" t="s">
        <v>6635</v>
      </c>
      <c r="E213" s="203" t="s">
        <v>6618</v>
      </c>
      <c r="F213" s="86">
        <v>1000000</v>
      </c>
      <c r="G213" s="171">
        <f>Tabla120[[#This Row],[Presupuesto]]/(1+'Lista Datos'!$B$1)</f>
        <v>840336.13445378153</v>
      </c>
      <c r="H213" s="118" t="s">
        <v>14</v>
      </c>
      <c r="I213" s="118" t="s">
        <v>345</v>
      </c>
      <c r="J213" s="204">
        <v>45126</v>
      </c>
      <c r="K213" s="205"/>
      <c r="L213" s="203"/>
      <c r="M213" s="203"/>
      <c r="N213" s="18"/>
      <c r="O213" s="135">
        <f>Tabla120[[#This Row],[Presupuesto]]</f>
        <v>1000000</v>
      </c>
      <c r="P213" s="136">
        <f>Tabla120[[#This Row],[PPTO]]/(1+'Lista Datos'!$B$1)</f>
        <v>840336.13445378153</v>
      </c>
      <c r="Q213" s="68"/>
      <c r="R213" s="136"/>
      <c r="S213" s="142">
        <f>Tabla120[[#This Row],[Unidades2]]*Tabla120[[#This Row],[Precio Unitario]]</f>
        <v>0</v>
      </c>
      <c r="T213" s="126" t="s">
        <v>270</v>
      </c>
      <c r="U213" s="127"/>
      <c r="V213" s="68"/>
      <c r="W213" s="67"/>
      <c r="X213" s="69"/>
      <c r="Y213" s="68"/>
      <c r="Z213" s="68"/>
      <c r="AA213" s="68"/>
    </row>
    <row r="214" spans="1:27" ht="11.25" x14ac:dyDescent="0.2">
      <c r="A214" s="150" t="s">
        <v>6636</v>
      </c>
      <c r="B214" s="118" t="s">
        <v>6637</v>
      </c>
      <c r="C214" s="119" t="s">
        <v>6638</v>
      </c>
      <c r="D214" s="203" t="s">
        <v>6639</v>
      </c>
      <c r="E214" s="203" t="s">
        <v>6640</v>
      </c>
      <c r="F214" s="86">
        <v>400000</v>
      </c>
      <c r="G214" s="171">
        <f>Tabla120[[#This Row],[Presupuesto]]/(1+'Lista Datos'!$B$1)</f>
        <v>336134.45378151262</v>
      </c>
      <c r="H214" s="118" t="s">
        <v>21</v>
      </c>
      <c r="I214" s="118" t="s">
        <v>106</v>
      </c>
      <c r="J214" s="204">
        <v>45126</v>
      </c>
      <c r="K214" s="205" t="s">
        <v>10</v>
      </c>
      <c r="L214" s="203" t="s">
        <v>34</v>
      </c>
      <c r="M214" s="203"/>
      <c r="N214" s="18"/>
      <c r="O214" s="135">
        <f>Tabla120[[#This Row],[Presupuesto]]</f>
        <v>400000</v>
      </c>
      <c r="P214" s="136">
        <f>Tabla120[[#This Row],[PPTO]]/(1+'Lista Datos'!$B$1)</f>
        <v>336134.45378151262</v>
      </c>
      <c r="Q214" s="68"/>
      <c r="R214" s="136"/>
      <c r="S214" s="142">
        <f>Tabla120[[#This Row],[Unidades2]]*Tabla120[[#This Row],[Precio Unitario]]</f>
        <v>0</v>
      </c>
      <c r="T214" s="126" t="s">
        <v>270</v>
      </c>
      <c r="U214" s="127"/>
      <c r="V214" s="68"/>
      <c r="W214" s="67"/>
      <c r="X214" s="69"/>
      <c r="Y214" s="68"/>
      <c r="Z214" s="68"/>
      <c r="AA214" s="68"/>
    </row>
    <row r="215" spans="1:27" ht="11.25" x14ac:dyDescent="0.2">
      <c r="A215" s="150" t="s">
        <v>6641</v>
      </c>
      <c r="B215" s="118" t="s">
        <v>6642</v>
      </c>
      <c r="C215" s="119" t="s">
        <v>6643</v>
      </c>
      <c r="D215" s="203" t="s">
        <v>6644</v>
      </c>
      <c r="E215" s="203" t="s">
        <v>6596</v>
      </c>
      <c r="F215" s="86">
        <v>900000</v>
      </c>
      <c r="G215" s="171">
        <f>Tabla120[[#This Row],[Presupuesto]]/(1+'Lista Datos'!$B$1)</f>
        <v>756302.52100840339</v>
      </c>
      <c r="H215" s="118" t="s">
        <v>16</v>
      </c>
      <c r="I215" s="118" t="s">
        <v>145</v>
      </c>
      <c r="J215" s="204">
        <v>45126</v>
      </c>
      <c r="K215" s="205"/>
      <c r="L215" s="203"/>
      <c r="M215" s="203"/>
      <c r="N215" s="18"/>
      <c r="O215" s="135">
        <f>Tabla120[[#This Row],[Presupuesto]]</f>
        <v>900000</v>
      </c>
      <c r="P215" s="136">
        <f>Tabla120[[#This Row],[PPTO]]/(1+'Lista Datos'!$B$1)</f>
        <v>756302.52100840339</v>
      </c>
      <c r="Q215" s="68"/>
      <c r="R215" s="136"/>
      <c r="S215" s="142">
        <f>Tabla120[[#This Row],[Unidades2]]*Tabla120[[#This Row],[Precio Unitario]]</f>
        <v>0</v>
      </c>
      <c r="T215" s="126" t="s">
        <v>270</v>
      </c>
      <c r="U215" s="127"/>
      <c r="V215" s="68"/>
      <c r="W215" s="67"/>
      <c r="X215" s="69"/>
      <c r="Y215" s="68"/>
      <c r="Z215" s="68"/>
      <c r="AA215" s="68"/>
    </row>
    <row r="216" spans="1:27" ht="11.25" x14ac:dyDescent="0.2">
      <c r="A216" s="150" t="s">
        <v>6645</v>
      </c>
      <c r="B216" s="118" t="s">
        <v>6646</v>
      </c>
      <c r="C216" s="119" t="s">
        <v>3047</v>
      </c>
      <c r="D216" s="203" t="s">
        <v>6647</v>
      </c>
      <c r="E216" s="203" t="s">
        <v>6648</v>
      </c>
      <c r="F216" s="86">
        <v>1700000</v>
      </c>
      <c r="G216" s="171">
        <f>Tabla120[[#This Row],[Presupuesto]]/(1+'Lista Datos'!$B$1)</f>
        <v>1428571.4285714286</v>
      </c>
      <c r="H216" s="118" t="s">
        <v>14</v>
      </c>
      <c r="I216" s="118" t="s">
        <v>533</v>
      </c>
      <c r="J216" s="204">
        <v>45126</v>
      </c>
      <c r="K216" s="205"/>
      <c r="L216" s="203"/>
      <c r="M216" s="203"/>
      <c r="N216" s="18"/>
      <c r="O216" s="135">
        <f>Tabla120[[#This Row],[Presupuesto]]</f>
        <v>1700000</v>
      </c>
      <c r="P216" s="136">
        <f>Tabla120[[#This Row],[PPTO]]/(1+'Lista Datos'!$B$1)</f>
        <v>1428571.4285714286</v>
      </c>
      <c r="Q216" s="68"/>
      <c r="R216" s="136"/>
      <c r="S216" s="142">
        <f>Tabla120[[#This Row],[Unidades2]]*Tabla120[[#This Row],[Precio Unitario]]</f>
        <v>0</v>
      </c>
      <c r="T216" s="126" t="s">
        <v>270</v>
      </c>
      <c r="U216" s="127"/>
      <c r="V216" s="68"/>
      <c r="W216" s="67"/>
      <c r="X216" s="69"/>
      <c r="Y216" s="68"/>
      <c r="Z216" s="68"/>
      <c r="AA216" s="68"/>
    </row>
    <row r="217" spans="1:27" ht="11.25" x14ac:dyDescent="0.2">
      <c r="A217" s="150" t="s">
        <v>6649</v>
      </c>
      <c r="B217" s="118" t="s">
        <v>6650</v>
      </c>
      <c r="C217" s="119" t="s">
        <v>3951</v>
      </c>
      <c r="D217" s="203" t="s">
        <v>6651</v>
      </c>
      <c r="E217" s="203" t="s">
        <v>6652</v>
      </c>
      <c r="F217" s="86">
        <v>1890000</v>
      </c>
      <c r="G217" s="171">
        <f>Tabla120[[#This Row],[Presupuesto]]/(1+'Lista Datos'!$B$1)</f>
        <v>1588235.2941176472</v>
      </c>
      <c r="H217" s="118" t="s">
        <v>21</v>
      </c>
      <c r="I217" s="118" t="s">
        <v>106</v>
      </c>
      <c r="J217" s="204">
        <v>45126</v>
      </c>
      <c r="K217" s="205" t="s">
        <v>10</v>
      </c>
      <c r="L217" s="203" t="s">
        <v>35</v>
      </c>
      <c r="M217" s="203"/>
      <c r="N217" s="18"/>
      <c r="O217" s="135">
        <f>Tabla120[[#This Row],[Presupuesto]]</f>
        <v>1890000</v>
      </c>
      <c r="P217" s="136">
        <f>Tabla120[[#This Row],[PPTO]]/(1+'Lista Datos'!$B$1)</f>
        <v>1588235.2941176472</v>
      </c>
      <c r="Q217" s="68"/>
      <c r="R217" s="136"/>
      <c r="S217" s="142">
        <f>Tabla120[[#This Row],[Unidades2]]*Tabla120[[#This Row],[Precio Unitario]]</f>
        <v>0</v>
      </c>
      <c r="T217" s="126" t="s">
        <v>270</v>
      </c>
      <c r="U217" s="127"/>
      <c r="V217" s="68"/>
      <c r="W217" s="67"/>
      <c r="X217" s="69"/>
      <c r="Y217" s="68"/>
      <c r="Z217" s="68"/>
      <c r="AA217" s="68"/>
    </row>
    <row r="218" spans="1:27" ht="11.25" x14ac:dyDescent="0.2">
      <c r="A218" s="150" t="s">
        <v>6653</v>
      </c>
      <c r="B218" s="118" t="s">
        <v>6654</v>
      </c>
      <c r="C218" s="119" t="s">
        <v>6655</v>
      </c>
      <c r="D218" s="203" t="s">
        <v>6656</v>
      </c>
      <c r="E218" s="203" t="s">
        <v>6657</v>
      </c>
      <c r="F218" s="86">
        <v>900000</v>
      </c>
      <c r="G218" s="171">
        <f>Tabla120[[#This Row],[Presupuesto]]/(1+'Lista Datos'!$B$1)</f>
        <v>756302.52100840339</v>
      </c>
      <c r="H218" s="118" t="s">
        <v>21</v>
      </c>
      <c r="I218" s="118" t="s">
        <v>106</v>
      </c>
      <c r="J218" s="204">
        <v>45126</v>
      </c>
      <c r="K218" s="205" t="s">
        <v>10</v>
      </c>
      <c r="L218" s="203" t="s">
        <v>34</v>
      </c>
      <c r="M218" s="203"/>
      <c r="N218" s="18"/>
      <c r="O218" s="135">
        <f>Tabla120[[#This Row],[Presupuesto]]</f>
        <v>900000</v>
      </c>
      <c r="P218" s="136">
        <f>Tabla120[[#This Row],[PPTO]]/(1+'Lista Datos'!$B$1)</f>
        <v>756302.52100840339</v>
      </c>
      <c r="Q218" s="68"/>
      <c r="R218" s="136"/>
      <c r="S218" s="142">
        <f>Tabla120[[#This Row],[Unidades2]]*Tabla120[[#This Row],[Precio Unitario]]</f>
        <v>0</v>
      </c>
      <c r="T218" s="126" t="s">
        <v>270</v>
      </c>
      <c r="U218" s="127"/>
      <c r="V218" s="68"/>
      <c r="W218" s="67"/>
      <c r="X218" s="69"/>
      <c r="Y218" s="68"/>
      <c r="Z218" s="68"/>
      <c r="AA218" s="68"/>
    </row>
    <row r="219" spans="1:27" ht="11.25" x14ac:dyDescent="0.2">
      <c r="A219" s="150" t="s">
        <v>6658</v>
      </c>
      <c r="B219" s="118" t="s">
        <v>6659</v>
      </c>
      <c r="C219" s="119" t="s">
        <v>6363</v>
      </c>
      <c r="D219" s="203" t="s">
        <v>6660</v>
      </c>
      <c r="E219" s="203" t="s">
        <v>6661</v>
      </c>
      <c r="F219" s="86">
        <v>78540</v>
      </c>
      <c r="G219" s="171">
        <f>Tabla120[[#This Row],[Presupuesto]]/(1+'Lista Datos'!$B$1)</f>
        <v>66000</v>
      </c>
      <c r="H219" s="118" t="s">
        <v>16</v>
      </c>
      <c r="I219" s="118" t="s">
        <v>1983</v>
      </c>
      <c r="J219" s="204">
        <v>45126</v>
      </c>
      <c r="K219" s="205"/>
      <c r="L219" s="203"/>
      <c r="M219" s="203"/>
      <c r="N219" s="18"/>
      <c r="O219" s="135">
        <f>Tabla120[[#This Row],[Presupuesto]]</f>
        <v>78540</v>
      </c>
      <c r="P219" s="136">
        <f>Tabla120[[#This Row],[PPTO]]/(1+'Lista Datos'!$B$1)</f>
        <v>66000</v>
      </c>
      <c r="Q219" s="68"/>
      <c r="R219" s="136"/>
      <c r="S219" s="142">
        <f>Tabla120[[#This Row],[Unidades2]]*Tabla120[[#This Row],[Precio Unitario]]</f>
        <v>0</v>
      </c>
      <c r="T219" s="126" t="s">
        <v>270</v>
      </c>
      <c r="U219" s="127"/>
      <c r="V219" s="68"/>
      <c r="W219" s="67"/>
      <c r="X219" s="69"/>
      <c r="Y219" s="68"/>
      <c r="Z219" s="68"/>
      <c r="AA219" s="68"/>
    </row>
    <row r="220" spans="1:27" ht="11.25" x14ac:dyDescent="0.2">
      <c r="A220" s="150" t="s">
        <v>6662</v>
      </c>
      <c r="B220" s="118" t="s">
        <v>6663</v>
      </c>
      <c r="C220" s="119" t="s">
        <v>6664</v>
      </c>
      <c r="D220" s="203" t="s">
        <v>6665</v>
      </c>
      <c r="E220" s="203" t="s">
        <v>6666</v>
      </c>
      <c r="F220" s="86">
        <v>350000</v>
      </c>
      <c r="G220" s="171">
        <f>Tabla120[[#This Row],[Presupuesto]]/(1+'Lista Datos'!$B$1)</f>
        <v>294117.64705882355</v>
      </c>
      <c r="H220" s="118" t="s">
        <v>14</v>
      </c>
      <c r="I220" s="118" t="s">
        <v>1983</v>
      </c>
      <c r="J220" s="204">
        <v>45126</v>
      </c>
      <c r="K220" s="205"/>
      <c r="L220" s="203"/>
      <c r="M220" s="203"/>
      <c r="N220" s="18"/>
      <c r="O220" s="135">
        <f>Tabla120[[#This Row],[Presupuesto]]</f>
        <v>350000</v>
      </c>
      <c r="P220" s="136">
        <f>Tabla120[[#This Row],[PPTO]]/(1+'Lista Datos'!$B$1)</f>
        <v>294117.64705882355</v>
      </c>
      <c r="Q220" s="68"/>
      <c r="R220" s="136"/>
      <c r="S220" s="142">
        <f>Tabla120[[#This Row],[Unidades2]]*Tabla120[[#This Row],[Precio Unitario]]</f>
        <v>0</v>
      </c>
      <c r="T220" s="126" t="s">
        <v>270</v>
      </c>
      <c r="U220" s="127"/>
      <c r="V220" s="68"/>
      <c r="W220" s="67"/>
      <c r="X220" s="69"/>
      <c r="Y220" s="68"/>
      <c r="Z220" s="68"/>
      <c r="AA220" s="68"/>
    </row>
    <row r="221" spans="1:27" ht="11.25" x14ac:dyDescent="0.2">
      <c r="A221" s="150" t="s">
        <v>6667</v>
      </c>
      <c r="B221" s="118" t="s">
        <v>6668</v>
      </c>
      <c r="C221" s="119" t="s">
        <v>4655</v>
      </c>
      <c r="D221" s="203" t="s">
        <v>6669</v>
      </c>
      <c r="E221" s="203" t="s">
        <v>6648</v>
      </c>
      <c r="F221" s="86">
        <v>180000</v>
      </c>
      <c r="G221" s="171">
        <f>Tabla120[[#This Row],[Presupuesto]]/(1+'Lista Datos'!$B$1)</f>
        <v>151260.50420168068</v>
      </c>
      <c r="H221" s="118" t="s">
        <v>16</v>
      </c>
      <c r="I221" s="118" t="s">
        <v>345</v>
      </c>
      <c r="J221" s="204">
        <v>45126</v>
      </c>
      <c r="K221" s="205"/>
      <c r="L221" s="203"/>
      <c r="M221" s="203"/>
      <c r="N221" s="18"/>
      <c r="O221" s="135">
        <f>Tabla120[[#This Row],[Presupuesto]]</f>
        <v>180000</v>
      </c>
      <c r="P221" s="136">
        <f>Tabla120[[#This Row],[PPTO]]/(1+'Lista Datos'!$B$1)</f>
        <v>151260.50420168068</v>
      </c>
      <c r="Q221" s="68"/>
      <c r="R221" s="136"/>
      <c r="S221" s="142">
        <f>Tabla120[[#This Row],[Unidades2]]*Tabla120[[#This Row],[Precio Unitario]]</f>
        <v>0</v>
      </c>
      <c r="T221" s="126" t="s">
        <v>270</v>
      </c>
      <c r="U221" s="127"/>
      <c r="V221" s="68"/>
      <c r="W221" s="67"/>
      <c r="X221" s="69"/>
      <c r="Y221" s="68"/>
      <c r="Z221" s="68"/>
      <c r="AA221" s="68"/>
    </row>
    <row r="222" spans="1:27" ht="11.25" x14ac:dyDescent="0.2">
      <c r="A222" s="150" t="s">
        <v>6670</v>
      </c>
      <c r="B222" s="118" t="s">
        <v>6671</v>
      </c>
      <c r="C222" s="119" t="s">
        <v>3109</v>
      </c>
      <c r="D222" s="203" t="s">
        <v>6672</v>
      </c>
      <c r="E222" s="203" t="s">
        <v>6673</v>
      </c>
      <c r="F222" s="86">
        <v>200000</v>
      </c>
      <c r="G222" s="171">
        <f>Tabla120[[#This Row],[Presupuesto]]/(1+'Lista Datos'!$B$1)</f>
        <v>168067.22689075631</v>
      </c>
      <c r="H222" s="118" t="s">
        <v>21</v>
      </c>
      <c r="I222" s="118" t="s">
        <v>106</v>
      </c>
      <c r="J222" s="204">
        <v>45126</v>
      </c>
      <c r="K222" s="205" t="s">
        <v>10</v>
      </c>
      <c r="L222" s="203" t="s">
        <v>35</v>
      </c>
      <c r="M222" s="203"/>
      <c r="N222" s="18"/>
      <c r="O222" s="135">
        <f>Tabla120[[#This Row],[Presupuesto]]</f>
        <v>200000</v>
      </c>
      <c r="P222" s="136">
        <f>Tabla120[[#This Row],[PPTO]]/(1+'Lista Datos'!$B$1)</f>
        <v>168067.22689075631</v>
      </c>
      <c r="Q222" s="68"/>
      <c r="R222" s="136"/>
      <c r="S222" s="142">
        <f>Tabla120[[#This Row],[Unidades2]]*Tabla120[[#This Row],[Precio Unitario]]</f>
        <v>0</v>
      </c>
      <c r="T222" s="126" t="s">
        <v>270</v>
      </c>
      <c r="U222" s="127"/>
      <c r="V222" s="68"/>
      <c r="W222" s="67"/>
      <c r="X222" s="69"/>
      <c r="Y222" s="68"/>
      <c r="Z222" s="68"/>
      <c r="AA222" s="68"/>
    </row>
    <row r="223" spans="1:27" ht="11.25" x14ac:dyDescent="0.2">
      <c r="A223" s="151" t="s">
        <v>6674</v>
      </c>
      <c r="B223" s="118" t="s">
        <v>6675</v>
      </c>
      <c r="C223" s="119" t="s">
        <v>3964</v>
      </c>
      <c r="D223" s="206" t="s">
        <v>6676</v>
      </c>
      <c r="E223" s="206" t="s">
        <v>6677</v>
      </c>
      <c r="F223" s="152">
        <v>360000</v>
      </c>
      <c r="G223" s="171">
        <f>Tabla120[[#This Row],[Presupuesto]]/(1+'Lista Datos'!$B$1)</f>
        <v>302521.00840336137</v>
      </c>
      <c r="H223" s="118" t="s">
        <v>21</v>
      </c>
      <c r="I223" s="118" t="s">
        <v>106</v>
      </c>
      <c r="J223" s="211">
        <v>45126</v>
      </c>
      <c r="K223" s="207" t="s">
        <v>10</v>
      </c>
      <c r="L223" s="206" t="s">
        <v>33</v>
      </c>
      <c r="M223" s="206"/>
      <c r="N223" s="19"/>
      <c r="O223" s="137">
        <f>Tabla120[[#This Row],[Presupuesto]]</f>
        <v>360000</v>
      </c>
      <c r="P223" s="138">
        <f>Tabla120[[#This Row],[PPTO]]/(1+'Lista Datos'!$B$1)</f>
        <v>302521.00840336137</v>
      </c>
      <c r="Q223" s="65"/>
      <c r="R223" s="138"/>
      <c r="S223" s="143">
        <f>Tabla120[[#This Row],[Unidades2]]*Tabla120[[#This Row],[Precio Unitario]]</f>
        <v>0</v>
      </c>
      <c r="T223" s="126" t="s">
        <v>270</v>
      </c>
      <c r="U223" s="122"/>
      <c r="V223" s="65"/>
      <c r="W223" s="64"/>
      <c r="X223" s="66"/>
      <c r="Y223" s="65"/>
      <c r="Z223" s="65"/>
      <c r="AA223" s="65"/>
    </row>
    <row r="224" spans="1:27" ht="11.25" x14ac:dyDescent="0.2">
      <c r="A224" s="150" t="s">
        <v>6678</v>
      </c>
      <c r="B224" s="118" t="s">
        <v>6679</v>
      </c>
      <c r="C224" s="119" t="s">
        <v>1836</v>
      </c>
      <c r="D224" s="203" t="s">
        <v>6680</v>
      </c>
      <c r="E224" s="203" t="s">
        <v>6681</v>
      </c>
      <c r="F224" s="86">
        <v>714000</v>
      </c>
      <c r="G224" s="171">
        <f>Tabla120[[#This Row],[Presupuesto]]/(1+'Lista Datos'!$B$1)</f>
        <v>600000</v>
      </c>
      <c r="H224" s="118" t="s">
        <v>16</v>
      </c>
      <c r="I224" s="118" t="s">
        <v>1596</v>
      </c>
      <c r="J224" s="204">
        <v>45128</v>
      </c>
      <c r="K224" s="205" t="s">
        <v>11</v>
      </c>
      <c r="L224" s="203"/>
      <c r="M224" s="203"/>
      <c r="N224" s="18"/>
      <c r="O224" s="135">
        <f>Tabla120[[#This Row],[Presupuesto]]</f>
        <v>714000</v>
      </c>
      <c r="P224" s="136">
        <f>Tabla120[[#This Row],[PPTO]]/(1+'Lista Datos'!$B$1)</f>
        <v>600000</v>
      </c>
      <c r="Q224" s="68"/>
      <c r="R224" s="136"/>
      <c r="S224" s="142">
        <f>Tabla120[[#This Row],[Unidades2]]*Tabla120[[#This Row],[Precio Unitario]]</f>
        <v>0</v>
      </c>
      <c r="T224" s="126" t="s">
        <v>270</v>
      </c>
      <c r="U224" s="127"/>
      <c r="V224" s="68"/>
      <c r="W224" s="67"/>
      <c r="X224" s="69"/>
      <c r="Y224" s="68"/>
      <c r="Z224" s="68"/>
      <c r="AA224" s="68"/>
    </row>
    <row r="225" spans="1:27" ht="11.25" x14ac:dyDescent="0.2">
      <c r="A225" s="150" t="s">
        <v>6682</v>
      </c>
      <c r="B225" s="118" t="s">
        <v>6683</v>
      </c>
      <c r="C225" s="119" t="s">
        <v>2873</v>
      </c>
      <c r="D225" s="203" t="s">
        <v>6684</v>
      </c>
      <c r="E225" s="203" t="s">
        <v>6685</v>
      </c>
      <c r="F225" s="86">
        <v>1200000</v>
      </c>
      <c r="G225" s="171">
        <f>Tabla120[[#This Row],[Presupuesto]]/(1+'Lista Datos'!$B$1)</f>
        <v>1008403.3613445378</v>
      </c>
      <c r="H225" s="118" t="s">
        <v>14</v>
      </c>
      <c r="I225" s="118" t="s">
        <v>533</v>
      </c>
      <c r="J225" s="204">
        <v>45128</v>
      </c>
      <c r="K225" s="205"/>
      <c r="L225" s="203"/>
      <c r="M225" s="203"/>
      <c r="N225" s="18"/>
      <c r="O225" s="135">
        <f>Tabla120[[#This Row],[Presupuesto]]</f>
        <v>1200000</v>
      </c>
      <c r="P225" s="136">
        <f>Tabla120[[#This Row],[PPTO]]/(1+'Lista Datos'!$B$1)</f>
        <v>1008403.3613445378</v>
      </c>
      <c r="Q225" s="68"/>
      <c r="R225" s="136"/>
      <c r="S225" s="142">
        <f>Tabla120[[#This Row],[Unidades2]]*Tabla120[[#This Row],[Precio Unitario]]</f>
        <v>0</v>
      </c>
      <c r="T225" s="126" t="s">
        <v>270</v>
      </c>
      <c r="U225" s="127"/>
      <c r="V225" s="68"/>
      <c r="W225" s="67"/>
      <c r="X225" s="69"/>
      <c r="Y225" s="68"/>
      <c r="Z225" s="68"/>
      <c r="AA225" s="68"/>
    </row>
    <row r="226" spans="1:27" ht="11.25" x14ac:dyDescent="0.2">
      <c r="A226" s="150" t="s">
        <v>6686</v>
      </c>
      <c r="B226" s="118" t="s">
        <v>6687</v>
      </c>
      <c r="C226" s="119" t="s">
        <v>1836</v>
      </c>
      <c r="D226" s="203" t="s">
        <v>6688</v>
      </c>
      <c r="E226" s="203" t="s">
        <v>6681</v>
      </c>
      <c r="F226" s="86">
        <v>1080000</v>
      </c>
      <c r="G226" s="171">
        <f>Tabla120[[#This Row],[Presupuesto]]/(1+'Lista Datos'!$B$1)</f>
        <v>907563.02521008404</v>
      </c>
      <c r="H226" s="118" t="s">
        <v>21</v>
      </c>
      <c r="I226" s="118" t="s">
        <v>106</v>
      </c>
      <c r="J226" s="204">
        <v>45128</v>
      </c>
      <c r="K226" s="205" t="s">
        <v>10</v>
      </c>
      <c r="L226" s="203" t="s">
        <v>29</v>
      </c>
      <c r="M226" s="203"/>
      <c r="N226" s="18"/>
      <c r="O226" s="135">
        <f>Tabla120[[#This Row],[Presupuesto]]</f>
        <v>1080000</v>
      </c>
      <c r="P226" s="136">
        <f>Tabla120[[#This Row],[PPTO]]/(1+'Lista Datos'!$B$1)</f>
        <v>907563.02521008404</v>
      </c>
      <c r="Q226" s="68"/>
      <c r="R226" s="136"/>
      <c r="S226" s="142">
        <f>Tabla120[[#This Row],[Unidades2]]*Tabla120[[#This Row],[Precio Unitario]]</f>
        <v>0</v>
      </c>
      <c r="T226" s="126" t="s">
        <v>270</v>
      </c>
      <c r="U226" s="127"/>
      <c r="V226" s="68"/>
      <c r="W226" s="67"/>
      <c r="X226" s="69"/>
      <c r="Y226" s="68"/>
      <c r="Z226" s="68"/>
      <c r="AA226" s="68"/>
    </row>
    <row r="227" spans="1:27" ht="11.25" x14ac:dyDescent="0.2">
      <c r="A227" s="150" t="s">
        <v>6689</v>
      </c>
      <c r="B227" s="118" t="s">
        <v>6690</v>
      </c>
      <c r="C227" s="119" t="s">
        <v>1448</v>
      </c>
      <c r="D227" s="203" t="s">
        <v>6691</v>
      </c>
      <c r="E227" s="203" t="s">
        <v>6692</v>
      </c>
      <c r="F227" s="86">
        <v>320000</v>
      </c>
      <c r="G227" s="171">
        <f>Tabla120[[#This Row],[Presupuesto]]/(1+'Lista Datos'!$B$1)</f>
        <v>268907.56302521011</v>
      </c>
      <c r="H227" s="118" t="s">
        <v>21</v>
      </c>
      <c r="I227" s="118" t="s">
        <v>106</v>
      </c>
      <c r="J227" s="204">
        <v>45128</v>
      </c>
      <c r="K227" s="205" t="s">
        <v>10</v>
      </c>
      <c r="L227" s="203" t="s">
        <v>29</v>
      </c>
      <c r="M227" s="203"/>
      <c r="N227" s="18"/>
      <c r="O227" s="135">
        <f>Tabla120[[#This Row],[Presupuesto]]</f>
        <v>320000</v>
      </c>
      <c r="P227" s="136">
        <f>Tabla120[[#This Row],[PPTO]]/(1+'Lista Datos'!$B$1)</f>
        <v>268907.56302521011</v>
      </c>
      <c r="Q227" s="68"/>
      <c r="R227" s="136"/>
      <c r="S227" s="142">
        <f>Tabla120[[#This Row],[Unidades2]]*Tabla120[[#This Row],[Precio Unitario]]</f>
        <v>0</v>
      </c>
      <c r="T227" s="126" t="s">
        <v>270</v>
      </c>
      <c r="U227" s="127"/>
      <c r="V227" s="68"/>
      <c r="W227" s="67"/>
      <c r="X227" s="69"/>
      <c r="Y227" s="68"/>
      <c r="Z227" s="68"/>
      <c r="AA227" s="68"/>
    </row>
    <row r="228" spans="1:27" ht="11.25" x14ac:dyDescent="0.2">
      <c r="A228" s="150" t="s">
        <v>6693</v>
      </c>
      <c r="B228" s="118" t="s">
        <v>6694</v>
      </c>
      <c r="C228" s="119" t="s">
        <v>5291</v>
      </c>
      <c r="D228" s="203" t="s">
        <v>6695</v>
      </c>
      <c r="E228" s="203" t="s">
        <v>6696</v>
      </c>
      <c r="F228" s="86">
        <v>160000</v>
      </c>
      <c r="G228" s="171">
        <f>Tabla120[[#This Row],[Presupuesto]]/(1+'Lista Datos'!$B$1)</f>
        <v>134453.78151260506</v>
      </c>
      <c r="H228" s="118" t="s">
        <v>21</v>
      </c>
      <c r="I228" s="118" t="s">
        <v>106</v>
      </c>
      <c r="J228" s="204">
        <v>45128</v>
      </c>
      <c r="K228" s="205" t="s">
        <v>10</v>
      </c>
      <c r="L228" s="203" t="s">
        <v>27</v>
      </c>
      <c r="M228" s="203"/>
      <c r="N228" s="18"/>
      <c r="O228" s="135">
        <f>Tabla120[[#This Row],[Presupuesto]]</f>
        <v>160000</v>
      </c>
      <c r="P228" s="136">
        <f>Tabla120[[#This Row],[PPTO]]/(1+'Lista Datos'!$B$1)</f>
        <v>134453.78151260506</v>
      </c>
      <c r="Q228" s="68"/>
      <c r="R228" s="136"/>
      <c r="S228" s="142">
        <f>Tabla120[[#This Row],[Unidades2]]*Tabla120[[#This Row],[Precio Unitario]]</f>
        <v>0</v>
      </c>
      <c r="T228" s="126" t="s">
        <v>270</v>
      </c>
      <c r="U228" s="127"/>
      <c r="V228" s="68"/>
      <c r="W228" s="67"/>
      <c r="X228" s="69"/>
      <c r="Y228" s="68"/>
      <c r="Z228" s="68"/>
      <c r="AA228" s="68"/>
    </row>
    <row r="229" spans="1:27" ht="11.25" x14ac:dyDescent="0.2">
      <c r="A229" s="150" t="s">
        <v>6697</v>
      </c>
      <c r="B229" s="118" t="s">
        <v>6698</v>
      </c>
      <c r="C229" s="119" t="s">
        <v>6699</v>
      </c>
      <c r="D229" s="203" t="s">
        <v>6700</v>
      </c>
      <c r="E229" s="203" t="s">
        <v>6701</v>
      </c>
      <c r="F229" s="86">
        <v>480000</v>
      </c>
      <c r="G229" s="171">
        <f>Tabla120[[#This Row],[Presupuesto]]/(1+'Lista Datos'!$B$1)</f>
        <v>403361.34453781514</v>
      </c>
      <c r="H229" s="118" t="s">
        <v>16</v>
      </c>
      <c r="I229" s="118" t="s">
        <v>6702</v>
      </c>
      <c r="J229" s="204">
        <v>45128</v>
      </c>
      <c r="K229" s="205"/>
      <c r="L229" s="203"/>
      <c r="M229" s="203"/>
      <c r="N229" s="18"/>
      <c r="O229" s="135">
        <f>Tabla120[[#This Row],[Presupuesto]]</f>
        <v>480000</v>
      </c>
      <c r="P229" s="136">
        <f>Tabla120[[#This Row],[PPTO]]/(1+'Lista Datos'!$B$1)</f>
        <v>403361.34453781514</v>
      </c>
      <c r="Q229" s="68"/>
      <c r="R229" s="136"/>
      <c r="S229" s="142">
        <f>Tabla120[[#This Row],[Unidades2]]*Tabla120[[#This Row],[Precio Unitario]]</f>
        <v>0</v>
      </c>
      <c r="T229" s="126" t="s">
        <v>270</v>
      </c>
      <c r="U229" s="127"/>
      <c r="V229" s="68"/>
      <c r="W229" s="67"/>
      <c r="X229" s="69"/>
      <c r="Y229" s="68"/>
      <c r="Z229" s="68"/>
      <c r="AA229" s="68"/>
    </row>
    <row r="230" spans="1:27" ht="11.25" x14ac:dyDescent="0.2">
      <c r="A230" s="150" t="s">
        <v>6703</v>
      </c>
      <c r="B230" s="118" t="s">
        <v>6581</v>
      </c>
      <c r="C230" s="119" t="s">
        <v>2815</v>
      </c>
      <c r="D230" s="203" t="s">
        <v>6704</v>
      </c>
      <c r="E230" s="203" t="s">
        <v>6705</v>
      </c>
      <c r="F230" s="86">
        <v>1850000</v>
      </c>
      <c r="G230" s="171">
        <f>Tabla120[[#This Row],[Presupuesto]]/(1+'Lista Datos'!$B$1)</f>
        <v>1554621.848739496</v>
      </c>
      <c r="H230" s="118" t="s">
        <v>16</v>
      </c>
      <c r="I230" s="118" t="s">
        <v>6289</v>
      </c>
      <c r="J230" s="204">
        <v>45128</v>
      </c>
      <c r="K230" s="205" t="s">
        <v>10</v>
      </c>
      <c r="L230" s="203" t="s">
        <v>33</v>
      </c>
      <c r="M230" s="203"/>
      <c r="N230" s="18"/>
      <c r="O230" s="135">
        <f>Tabla120[[#This Row],[Presupuesto]]</f>
        <v>1850000</v>
      </c>
      <c r="P230" s="136">
        <f>Tabla120[[#This Row],[PPTO]]/(1+'Lista Datos'!$B$1)</f>
        <v>1554621.848739496</v>
      </c>
      <c r="Q230" s="68"/>
      <c r="R230" s="136"/>
      <c r="S230" s="142">
        <f>Tabla120[[#This Row],[Unidades2]]*Tabla120[[#This Row],[Precio Unitario]]</f>
        <v>0</v>
      </c>
      <c r="T230" s="126" t="s">
        <v>270</v>
      </c>
      <c r="U230" s="127"/>
      <c r="V230" s="68"/>
      <c r="W230" s="67"/>
      <c r="X230" s="69"/>
      <c r="Y230" s="68"/>
      <c r="Z230" s="68"/>
      <c r="AA230" s="68"/>
    </row>
    <row r="231" spans="1:27" ht="11.25" x14ac:dyDescent="0.2">
      <c r="A231" s="150" t="s">
        <v>6706</v>
      </c>
      <c r="B231" s="118" t="s">
        <v>6707</v>
      </c>
      <c r="C231" s="119" t="s">
        <v>122</v>
      </c>
      <c r="D231" s="203" t="s">
        <v>6708</v>
      </c>
      <c r="E231" s="203" t="s">
        <v>6709</v>
      </c>
      <c r="F231" s="86">
        <v>400000</v>
      </c>
      <c r="G231" s="171">
        <f>Tabla120[[#This Row],[Presupuesto]]/(1+'Lista Datos'!$B$1)</f>
        <v>336134.45378151262</v>
      </c>
      <c r="H231" s="118" t="s">
        <v>16</v>
      </c>
      <c r="I231" s="118" t="s">
        <v>1983</v>
      </c>
      <c r="J231" s="204">
        <v>45128</v>
      </c>
      <c r="K231" s="205" t="s">
        <v>10</v>
      </c>
      <c r="L231" s="203" t="s">
        <v>35</v>
      </c>
      <c r="M231" s="203"/>
      <c r="N231" s="18"/>
      <c r="O231" s="135">
        <f>Tabla120[[#This Row],[Presupuesto]]</f>
        <v>400000</v>
      </c>
      <c r="P231" s="136">
        <f>Tabla120[[#This Row],[PPTO]]/(1+'Lista Datos'!$B$1)</f>
        <v>336134.45378151262</v>
      </c>
      <c r="Q231" s="68"/>
      <c r="R231" s="136"/>
      <c r="S231" s="142">
        <f>Tabla120[[#This Row],[Unidades2]]*Tabla120[[#This Row],[Precio Unitario]]</f>
        <v>0</v>
      </c>
      <c r="T231" s="126" t="s">
        <v>270</v>
      </c>
      <c r="U231" s="127"/>
      <c r="V231" s="68"/>
      <c r="W231" s="67"/>
      <c r="X231" s="69"/>
      <c r="Y231" s="68"/>
      <c r="Z231" s="68"/>
      <c r="AA231" s="68"/>
    </row>
    <row r="232" spans="1:27" ht="11.25" x14ac:dyDescent="0.2">
      <c r="A232" s="150" t="s">
        <v>6710</v>
      </c>
      <c r="B232" s="118" t="s">
        <v>6711</v>
      </c>
      <c r="C232" s="119" t="s">
        <v>6712</v>
      </c>
      <c r="D232" s="203" t="s">
        <v>6713</v>
      </c>
      <c r="E232" s="203" t="s">
        <v>6714</v>
      </c>
      <c r="F232" s="86">
        <v>1500000</v>
      </c>
      <c r="G232" s="171">
        <f>Tabla120[[#This Row],[Presupuesto]]/(1+'Lista Datos'!$B$1)</f>
        <v>1260504.2016806724</v>
      </c>
      <c r="H232" s="118" t="s">
        <v>14</v>
      </c>
      <c r="I232" s="118" t="s">
        <v>345</v>
      </c>
      <c r="J232" s="204">
        <v>45128</v>
      </c>
      <c r="K232" s="205"/>
      <c r="L232" s="203"/>
      <c r="M232" s="203"/>
      <c r="N232" s="18"/>
      <c r="O232" s="135">
        <f>Tabla120[[#This Row],[Presupuesto]]</f>
        <v>1500000</v>
      </c>
      <c r="P232" s="136">
        <f>Tabla120[[#This Row],[PPTO]]/(1+'Lista Datos'!$B$1)</f>
        <v>1260504.2016806724</v>
      </c>
      <c r="Q232" s="68"/>
      <c r="R232" s="136"/>
      <c r="S232" s="142">
        <f>Tabla120[[#This Row],[Unidades2]]*Tabla120[[#This Row],[Precio Unitario]]</f>
        <v>0</v>
      </c>
      <c r="T232" s="126" t="s">
        <v>270</v>
      </c>
      <c r="U232" s="127"/>
      <c r="V232" s="68"/>
      <c r="W232" s="67"/>
      <c r="X232" s="69"/>
      <c r="Y232" s="68"/>
      <c r="Z232" s="68"/>
      <c r="AA232" s="68"/>
    </row>
    <row r="233" spans="1:27" ht="11.25" x14ac:dyDescent="0.2">
      <c r="A233" s="150" t="s">
        <v>6715</v>
      </c>
      <c r="B233" s="118" t="s">
        <v>6716</v>
      </c>
      <c r="C233" s="119" t="s">
        <v>5634</v>
      </c>
      <c r="D233" s="203" t="s">
        <v>6717</v>
      </c>
      <c r="E233" s="203" t="s">
        <v>6549</v>
      </c>
      <c r="F233" s="86">
        <v>455175</v>
      </c>
      <c r="G233" s="171">
        <f>Tabla120[[#This Row],[Presupuesto]]/(1+'Lista Datos'!$B$1)</f>
        <v>382500</v>
      </c>
      <c r="H233" s="118" t="s">
        <v>16</v>
      </c>
      <c r="I233" s="118" t="s">
        <v>6289</v>
      </c>
      <c r="J233" s="204">
        <v>45128</v>
      </c>
      <c r="K233" s="205"/>
      <c r="L233" s="203"/>
      <c r="M233" s="203"/>
      <c r="N233" s="18"/>
      <c r="O233" s="135">
        <f>Tabla120[[#This Row],[Presupuesto]]</f>
        <v>455175</v>
      </c>
      <c r="P233" s="136">
        <f>Tabla120[[#This Row],[PPTO]]/(1+'Lista Datos'!$B$1)</f>
        <v>382500</v>
      </c>
      <c r="Q233" s="68"/>
      <c r="R233" s="136"/>
      <c r="S233" s="142">
        <f>Tabla120[[#This Row],[Unidades2]]*Tabla120[[#This Row],[Precio Unitario]]</f>
        <v>0</v>
      </c>
      <c r="T233" s="126" t="s">
        <v>270</v>
      </c>
      <c r="U233" s="127"/>
      <c r="V233" s="68"/>
      <c r="W233" s="67"/>
      <c r="X233" s="69"/>
      <c r="Y233" s="68"/>
      <c r="Z233" s="68"/>
      <c r="AA233" s="68"/>
    </row>
    <row r="234" spans="1:27" ht="11.25" x14ac:dyDescent="0.2">
      <c r="A234" s="150" t="s">
        <v>6718</v>
      </c>
      <c r="B234" s="118" t="s">
        <v>6719</v>
      </c>
      <c r="C234" s="119" t="s">
        <v>6720</v>
      </c>
      <c r="D234" s="203" t="s">
        <v>6721</v>
      </c>
      <c r="E234" s="203" t="s">
        <v>6722</v>
      </c>
      <c r="F234" s="86">
        <v>600000</v>
      </c>
      <c r="G234" s="171">
        <f>Tabla120[[#This Row],[Presupuesto]]/(1+'Lista Datos'!$B$1)</f>
        <v>504201.68067226891</v>
      </c>
      <c r="H234" s="118" t="s">
        <v>16</v>
      </c>
      <c r="I234" s="118" t="s">
        <v>6289</v>
      </c>
      <c r="J234" s="204">
        <v>45128</v>
      </c>
      <c r="K234" s="205"/>
      <c r="L234" s="203"/>
      <c r="M234" s="203"/>
      <c r="N234" s="18"/>
      <c r="O234" s="135">
        <f>Tabla120[[#This Row],[Presupuesto]]</f>
        <v>600000</v>
      </c>
      <c r="P234" s="136">
        <f>Tabla120[[#This Row],[PPTO]]/(1+'Lista Datos'!$B$1)</f>
        <v>504201.68067226891</v>
      </c>
      <c r="Q234" s="68"/>
      <c r="R234" s="136"/>
      <c r="S234" s="142">
        <f>Tabla120[[#This Row],[Unidades2]]*Tabla120[[#This Row],[Precio Unitario]]</f>
        <v>0</v>
      </c>
      <c r="T234" s="126" t="s">
        <v>270</v>
      </c>
      <c r="U234" s="127"/>
      <c r="V234" s="68"/>
      <c r="W234" s="67"/>
      <c r="X234" s="69"/>
      <c r="Y234" s="68"/>
      <c r="Z234" s="68"/>
      <c r="AA234" s="68"/>
    </row>
    <row r="235" spans="1:27" ht="11.25" x14ac:dyDescent="0.2">
      <c r="A235" s="150" t="s">
        <v>6723</v>
      </c>
      <c r="B235" s="118" t="s">
        <v>6724</v>
      </c>
      <c r="C235" s="119" t="s">
        <v>5634</v>
      </c>
      <c r="D235" s="203" t="s">
        <v>6725</v>
      </c>
      <c r="E235" s="203" t="s">
        <v>6681</v>
      </c>
      <c r="F235" s="86">
        <v>325000</v>
      </c>
      <c r="G235" s="171">
        <f>Tabla120[[#This Row],[Presupuesto]]/(1+'Lista Datos'!$B$1)</f>
        <v>273109.24369747902</v>
      </c>
      <c r="H235" s="118" t="s">
        <v>16</v>
      </c>
      <c r="I235" s="118" t="s">
        <v>6289</v>
      </c>
      <c r="J235" s="204">
        <v>45128</v>
      </c>
      <c r="K235" s="205" t="s">
        <v>10</v>
      </c>
      <c r="L235" s="203" t="s">
        <v>27</v>
      </c>
      <c r="M235" s="203"/>
      <c r="N235" s="18"/>
      <c r="O235" s="135">
        <f>Tabla120[[#This Row],[Presupuesto]]</f>
        <v>325000</v>
      </c>
      <c r="P235" s="136">
        <f>Tabla120[[#This Row],[PPTO]]/(1+'Lista Datos'!$B$1)</f>
        <v>273109.24369747902</v>
      </c>
      <c r="Q235" s="68"/>
      <c r="R235" s="136"/>
      <c r="S235" s="142">
        <f>Tabla120[[#This Row],[Unidades2]]*Tabla120[[#This Row],[Precio Unitario]]</f>
        <v>0</v>
      </c>
      <c r="T235" s="126" t="s">
        <v>270</v>
      </c>
      <c r="U235" s="127"/>
      <c r="V235" s="68"/>
      <c r="W235" s="67"/>
      <c r="X235" s="69"/>
      <c r="Y235" s="68"/>
      <c r="Z235" s="68"/>
      <c r="AA235" s="68"/>
    </row>
    <row r="236" spans="1:27" ht="11.25" x14ac:dyDescent="0.2">
      <c r="A236" s="150" t="s">
        <v>6726</v>
      </c>
      <c r="B236" s="118" t="s">
        <v>6727</v>
      </c>
      <c r="C236" s="119" t="s">
        <v>204</v>
      </c>
      <c r="D236" s="203" t="s">
        <v>6728</v>
      </c>
      <c r="E236" s="203" t="s">
        <v>6729</v>
      </c>
      <c r="F236" s="86">
        <v>90000</v>
      </c>
      <c r="G236" s="171">
        <f>Tabla120[[#This Row],[Presupuesto]]/(1+'Lista Datos'!$B$1)</f>
        <v>75630.252100840342</v>
      </c>
      <c r="H236" s="118" t="s">
        <v>14</v>
      </c>
      <c r="I236" s="118" t="s">
        <v>6289</v>
      </c>
      <c r="J236" s="204">
        <v>45128</v>
      </c>
      <c r="K236" s="205" t="s">
        <v>10</v>
      </c>
      <c r="L236" s="203" t="s">
        <v>27</v>
      </c>
      <c r="M236" s="203"/>
      <c r="N236" s="18"/>
      <c r="O236" s="135">
        <f>Tabla120[[#This Row],[Presupuesto]]</f>
        <v>90000</v>
      </c>
      <c r="P236" s="136">
        <f>Tabla120[[#This Row],[PPTO]]/(1+'Lista Datos'!$B$1)</f>
        <v>75630.252100840342</v>
      </c>
      <c r="Q236" s="68"/>
      <c r="R236" s="136"/>
      <c r="S236" s="142">
        <f>Tabla120[[#This Row],[Unidades2]]*Tabla120[[#This Row],[Precio Unitario]]</f>
        <v>0</v>
      </c>
      <c r="T236" s="126" t="s">
        <v>270</v>
      </c>
      <c r="U236" s="127"/>
      <c r="V236" s="68"/>
      <c r="W236" s="67"/>
      <c r="X236" s="69"/>
      <c r="Y236" s="68"/>
      <c r="Z236" s="68"/>
      <c r="AA236" s="68"/>
    </row>
    <row r="237" spans="1:27" ht="11.25" x14ac:dyDescent="0.2">
      <c r="A237" s="150" t="s">
        <v>6730</v>
      </c>
      <c r="B237" s="118" t="s">
        <v>6634</v>
      </c>
      <c r="C237" s="119" t="s">
        <v>1183</v>
      </c>
      <c r="D237" s="203" t="s">
        <v>6731</v>
      </c>
      <c r="E237" s="203" t="s">
        <v>6685</v>
      </c>
      <c r="F237" s="86">
        <v>100000</v>
      </c>
      <c r="G237" s="171">
        <f>Tabla120[[#This Row],[Presupuesto]]/(1+'Lista Datos'!$B$1)</f>
        <v>84033.613445378156</v>
      </c>
      <c r="H237" s="118" t="s">
        <v>14</v>
      </c>
      <c r="I237" s="118" t="s">
        <v>345</v>
      </c>
      <c r="J237" s="204">
        <v>45128</v>
      </c>
      <c r="K237" s="205" t="s">
        <v>10</v>
      </c>
      <c r="L237" s="203" t="s">
        <v>27</v>
      </c>
      <c r="M237" s="203"/>
      <c r="N237" s="18"/>
      <c r="O237" s="135">
        <f>Tabla120[[#This Row],[Presupuesto]]</f>
        <v>100000</v>
      </c>
      <c r="P237" s="136">
        <f>Tabla120[[#This Row],[PPTO]]/(1+'Lista Datos'!$B$1)</f>
        <v>84033.613445378156</v>
      </c>
      <c r="Q237" s="68"/>
      <c r="R237" s="136"/>
      <c r="S237" s="142">
        <f>Tabla120[[#This Row],[Unidades2]]*Tabla120[[#This Row],[Precio Unitario]]</f>
        <v>0</v>
      </c>
      <c r="T237" s="126" t="s">
        <v>270</v>
      </c>
      <c r="U237" s="127"/>
      <c r="V237" s="68"/>
      <c r="W237" s="67"/>
      <c r="X237" s="69"/>
      <c r="Y237" s="68"/>
      <c r="Z237" s="68"/>
      <c r="AA237" s="68"/>
    </row>
    <row r="238" spans="1:27" ht="11.25" x14ac:dyDescent="0.2">
      <c r="A238" s="151" t="s">
        <v>6732</v>
      </c>
      <c r="B238" s="118" t="s">
        <v>6733</v>
      </c>
      <c r="C238" s="119" t="s">
        <v>3215</v>
      </c>
      <c r="D238" s="206" t="s">
        <v>6734</v>
      </c>
      <c r="E238" s="206" t="s">
        <v>6735</v>
      </c>
      <c r="F238" s="152">
        <v>1850000</v>
      </c>
      <c r="G238" s="171">
        <f>Tabla120[[#This Row],[Presupuesto]]/(1+'Lista Datos'!$B$1)</f>
        <v>1554621.848739496</v>
      </c>
      <c r="H238" s="118" t="s">
        <v>14</v>
      </c>
      <c r="I238" s="118" t="s">
        <v>6289</v>
      </c>
      <c r="J238" s="204">
        <v>45128</v>
      </c>
      <c r="K238" s="207"/>
      <c r="L238" s="206"/>
      <c r="M238" s="206"/>
      <c r="N238" s="19"/>
      <c r="O238" s="137">
        <f>Tabla120[[#This Row],[Presupuesto]]</f>
        <v>1850000</v>
      </c>
      <c r="P238" s="138">
        <f>Tabla120[[#This Row],[PPTO]]/(1+'Lista Datos'!$B$1)</f>
        <v>1554621.848739496</v>
      </c>
      <c r="Q238" s="65"/>
      <c r="R238" s="138"/>
      <c r="S238" s="143">
        <f>Tabla120[[#This Row],[Unidades2]]*Tabla120[[#This Row],[Precio Unitario]]</f>
        <v>0</v>
      </c>
      <c r="T238" s="126" t="s">
        <v>270</v>
      </c>
      <c r="U238" s="122"/>
      <c r="V238" s="65"/>
      <c r="W238" s="64"/>
      <c r="X238" s="66"/>
      <c r="Y238" s="65"/>
      <c r="Z238" s="65"/>
      <c r="AA238" s="65"/>
    </row>
    <row r="239" spans="1:27" ht="11.25" x14ac:dyDescent="0.2">
      <c r="A239" s="150" t="s">
        <v>6736</v>
      </c>
      <c r="B239" s="118" t="s">
        <v>6737</v>
      </c>
      <c r="C239" s="119" t="s">
        <v>6738</v>
      </c>
      <c r="D239" s="203" t="s">
        <v>6739</v>
      </c>
      <c r="E239" s="203" t="s">
        <v>6740</v>
      </c>
      <c r="F239" s="86">
        <v>428000</v>
      </c>
      <c r="G239" s="171">
        <f>Tabla120[[#This Row],[Presupuesto]]/(1+'Lista Datos'!$B$1)</f>
        <v>359663.86554621853</v>
      </c>
      <c r="H239" s="118" t="s">
        <v>16</v>
      </c>
      <c r="I239" s="118" t="s">
        <v>6289</v>
      </c>
      <c r="J239" s="204">
        <v>45131</v>
      </c>
      <c r="K239" s="205"/>
      <c r="L239" s="203"/>
      <c r="M239" s="203"/>
      <c r="N239" s="18"/>
      <c r="O239" s="135">
        <f>Tabla120[[#This Row],[Presupuesto]]</f>
        <v>428000</v>
      </c>
      <c r="P239" s="136">
        <f>Tabla120[[#This Row],[PPTO]]/(1+'Lista Datos'!$B$1)</f>
        <v>359663.86554621853</v>
      </c>
      <c r="Q239" s="68"/>
      <c r="R239" s="136"/>
      <c r="S239" s="142">
        <f>Tabla120[[#This Row],[Unidades2]]*Tabla120[[#This Row],[Precio Unitario]]</f>
        <v>0</v>
      </c>
      <c r="T239" s="126" t="s">
        <v>270</v>
      </c>
      <c r="U239" s="127"/>
      <c r="V239" s="68"/>
      <c r="W239" s="67"/>
      <c r="X239" s="69"/>
      <c r="Y239" s="68"/>
      <c r="Z239" s="68"/>
      <c r="AA239" s="68"/>
    </row>
    <row r="240" spans="1:27" ht="11.25" x14ac:dyDescent="0.2">
      <c r="A240" s="150" t="s">
        <v>6741</v>
      </c>
      <c r="B240" s="118" t="s">
        <v>6742</v>
      </c>
      <c r="C240" s="119" t="s">
        <v>3733</v>
      </c>
      <c r="D240" s="203" t="s">
        <v>6743</v>
      </c>
      <c r="E240" s="203" t="s">
        <v>6744</v>
      </c>
      <c r="F240" s="86">
        <v>250000</v>
      </c>
      <c r="G240" s="171">
        <f>Tabla120[[#This Row],[Presupuesto]]/(1+'Lista Datos'!$B$1)</f>
        <v>210084.03361344538</v>
      </c>
      <c r="H240" s="118" t="s">
        <v>14</v>
      </c>
      <c r="I240" s="118" t="s">
        <v>6289</v>
      </c>
      <c r="J240" s="204">
        <v>45131</v>
      </c>
      <c r="K240" s="205" t="s">
        <v>10</v>
      </c>
      <c r="L240" s="203" t="s">
        <v>27</v>
      </c>
      <c r="M240" s="203"/>
      <c r="N240" s="18"/>
      <c r="O240" s="135">
        <f>Tabla120[[#This Row],[Presupuesto]]</f>
        <v>250000</v>
      </c>
      <c r="P240" s="136">
        <f>Tabla120[[#This Row],[PPTO]]/(1+'Lista Datos'!$B$1)</f>
        <v>210084.03361344538</v>
      </c>
      <c r="Q240" s="68"/>
      <c r="R240" s="136"/>
      <c r="S240" s="142">
        <f>Tabla120[[#This Row],[Unidades2]]*Tabla120[[#This Row],[Precio Unitario]]</f>
        <v>0</v>
      </c>
      <c r="T240" s="126" t="s">
        <v>270</v>
      </c>
      <c r="U240" s="127"/>
      <c r="V240" s="68"/>
      <c r="W240" s="67"/>
      <c r="X240" s="69"/>
      <c r="Y240" s="68"/>
      <c r="Z240" s="68"/>
      <c r="AA240" s="68"/>
    </row>
    <row r="241" spans="1:27" ht="11.25" x14ac:dyDescent="0.2">
      <c r="A241" s="150" t="s">
        <v>6745</v>
      </c>
      <c r="B241" s="118" t="s">
        <v>6746</v>
      </c>
      <c r="C241" s="119" t="s">
        <v>3224</v>
      </c>
      <c r="D241" s="203" t="s">
        <v>6747</v>
      </c>
      <c r="E241" s="203" t="s">
        <v>6748</v>
      </c>
      <c r="F241" s="86">
        <v>1899300</v>
      </c>
      <c r="G241" s="171">
        <f>Tabla120[[#This Row],[Presupuesto]]/(1+'Lista Datos'!$B$1)</f>
        <v>1596050.4201680673</v>
      </c>
      <c r="H241" s="118" t="s">
        <v>14</v>
      </c>
      <c r="I241" s="118" t="s">
        <v>6289</v>
      </c>
      <c r="J241" s="204">
        <v>45131</v>
      </c>
      <c r="K241" s="205"/>
      <c r="L241" s="203"/>
      <c r="M241" s="203"/>
      <c r="N241" s="18"/>
      <c r="O241" s="135">
        <f>Tabla120[[#This Row],[Presupuesto]]</f>
        <v>1899300</v>
      </c>
      <c r="P241" s="136">
        <f>Tabla120[[#This Row],[PPTO]]/(1+'Lista Datos'!$B$1)</f>
        <v>1596050.4201680673</v>
      </c>
      <c r="Q241" s="68"/>
      <c r="R241" s="136"/>
      <c r="S241" s="142">
        <f>Tabla120[[#This Row],[Unidades2]]*Tabla120[[#This Row],[Precio Unitario]]</f>
        <v>0</v>
      </c>
      <c r="T241" s="126" t="s">
        <v>270</v>
      </c>
      <c r="U241" s="127"/>
      <c r="V241" s="68"/>
      <c r="W241" s="67"/>
      <c r="X241" s="69"/>
      <c r="Y241" s="68"/>
      <c r="Z241" s="68"/>
      <c r="AA241" s="68"/>
    </row>
    <row r="242" spans="1:27" ht="11.25" x14ac:dyDescent="0.2">
      <c r="A242" s="151" t="s">
        <v>6749</v>
      </c>
      <c r="B242" s="118" t="s">
        <v>6750</v>
      </c>
      <c r="C242" s="119" t="s">
        <v>1965</v>
      </c>
      <c r="D242" s="206" t="s">
        <v>6751</v>
      </c>
      <c r="E242" s="206" t="s">
        <v>6752</v>
      </c>
      <c r="F242" s="152">
        <v>280846</v>
      </c>
      <c r="G242" s="171">
        <f>Tabla120[[#This Row],[Presupuesto]]/(1+'Lista Datos'!$B$1)</f>
        <v>236005.04201680672</v>
      </c>
      <c r="H242" s="118" t="s">
        <v>16</v>
      </c>
      <c r="I242" s="118" t="s">
        <v>145</v>
      </c>
      <c r="J242" s="211">
        <v>45131</v>
      </c>
      <c r="K242" s="207" t="s">
        <v>10</v>
      </c>
      <c r="L242" s="206" t="s">
        <v>27</v>
      </c>
      <c r="M242" s="206"/>
      <c r="N242" s="19"/>
      <c r="O242" s="137">
        <f>Tabla120[[#This Row],[Presupuesto]]</f>
        <v>280846</v>
      </c>
      <c r="P242" s="138">
        <f>Tabla120[[#This Row],[PPTO]]/(1+'Lista Datos'!$B$1)</f>
        <v>236005.04201680672</v>
      </c>
      <c r="Q242" s="65"/>
      <c r="R242" s="138"/>
      <c r="S242" s="143">
        <f>Tabla120[[#This Row],[Unidades2]]*Tabla120[[#This Row],[Precio Unitario]]</f>
        <v>0</v>
      </c>
      <c r="T242" s="126" t="s">
        <v>270</v>
      </c>
      <c r="U242" s="122"/>
      <c r="V242" s="65"/>
      <c r="W242" s="64"/>
      <c r="X242" s="66"/>
      <c r="Y242" s="65"/>
      <c r="Z242" s="65"/>
      <c r="AA242" s="65"/>
    </row>
    <row r="243" spans="1:27" ht="11.25" x14ac:dyDescent="0.2">
      <c r="A243" s="150" t="s">
        <v>6753</v>
      </c>
      <c r="B243" s="118" t="s">
        <v>6754</v>
      </c>
      <c r="C243" s="119" t="s">
        <v>3175</v>
      </c>
      <c r="D243" s="203" t="s">
        <v>6755</v>
      </c>
      <c r="E243" s="203" t="s">
        <v>6756</v>
      </c>
      <c r="F243" s="86">
        <v>1800000</v>
      </c>
      <c r="G243" s="171">
        <f>Tabla120[[#This Row],[Presupuesto]]/(1+'Lista Datos'!$B$1)</f>
        <v>1512605.0420168068</v>
      </c>
      <c r="H243" s="118" t="s">
        <v>16</v>
      </c>
      <c r="I243" s="118"/>
      <c r="J243" s="204">
        <v>45132</v>
      </c>
      <c r="K243" s="205"/>
      <c r="L243" s="203"/>
      <c r="M243" s="203"/>
      <c r="N243" s="18"/>
      <c r="O243" s="135">
        <f>Tabla120[[#This Row],[Presupuesto]]</f>
        <v>1800000</v>
      </c>
      <c r="P243" s="136">
        <f>Tabla120[[#This Row],[PPTO]]/(1+'Lista Datos'!$B$1)</f>
        <v>1512605.0420168068</v>
      </c>
      <c r="Q243" s="68"/>
      <c r="R243" s="136"/>
      <c r="S243" s="142">
        <f>Tabla120[[#This Row],[Unidades2]]*Tabla120[[#This Row],[Precio Unitario]]</f>
        <v>0</v>
      </c>
      <c r="T243" s="126" t="s">
        <v>270</v>
      </c>
      <c r="U243" s="127"/>
      <c r="V243" s="68"/>
      <c r="W243" s="67"/>
      <c r="X243" s="69"/>
      <c r="Y243" s="68"/>
      <c r="Z243" s="68"/>
      <c r="AA243" s="68"/>
    </row>
    <row r="244" spans="1:27" ht="11.25" x14ac:dyDescent="0.2">
      <c r="A244" s="151" t="s">
        <v>6757</v>
      </c>
      <c r="B244" s="118" t="s">
        <v>6758</v>
      </c>
      <c r="C244" s="119" t="s">
        <v>1909</v>
      </c>
      <c r="D244" s="206" t="s">
        <v>6759</v>
      </c>
      <c r="E244" s="206" t="s">
        <v>6760</v>
      </c>
      <c r="F244" s="152">
        <v>1800000</v>
      </c>
      <c r="G244" s="171">
        <f>Tabla120[[#This Row],[Presupuesto]]/(1+'Lista Datos'!$B$1)</f>
        <v>1512605.0420168068</v>
      </c>
      <c r="H244" s="118" t="s">
        <v>21</v>
      </c>
      <c r="I244" s="118" t="s">
        <v>106</v>
      </c>
      <c r="J244" s="211">
        <v>45132</v>
      </c>
      <c r="K244" s="207" t="s">
        <v>10</v>
      </c>
      <c r="L244" s="206" t="s">
        <v>28</v>
      </c>
      <c r="M244" s="206"/>
      <c r="N244" s="19"/>
      <c r="O244" s="137">
        <f>Tabla120[[#This Row],[Presupuesto]]</f>
        <v>1800000</v>
      </c>
      <c r="P244" s="138">
        <f>Tabla120[[#This Row],[PPTO]]/(1+'Lista Datos'!$B$1)</f>
        <v>1512605.0420168068</v>
      </c>
      <c r="Q244" s="65"/>
      <c r="R244" s="138"/>
      <c r="S244" s="143">
        <f>Tabla120[[#This Row],[Unidades2]]*Tabla120[[#This Row],[Precio Unitario]]</f>
        <v>0</v>
      </c>
      <c r="T244" s="126" t="s">
        <v>270</v>
      </c>
      <c r="U244" s="122"/>
      <c r="V244" s="65"/>
      <c r="W244" s="64"/>
      <c r="X244" s="66"/>
      <c r="Y244" s="65"/>
      <c r="Z244" s="65"/>
      <c r="AA244" s="65"/>
    </row>
    <row r="245" spans="1:27" ht="11.25" x14ac:dyDescent="0.2">
      <c r="A245" s="150" t="s">
        <v>6761</v>
      </c>
      <c r="B245" s="118" t="s">
        <v>6762</v>
      </c>
      <c r="C245" s="119" t="s">
        <v>1965</v>
      </c>
      <c r="D245" s="203" t="s">
        <v>6763</v>
      </c>
      <c r="E245" s="203" t="s">
        <v>6764</v>
      </c>
      <c r="F245" s="86">
        <v>410000</v>
      </c>
      <c r="G245" s="171">
        <f>Tabla120[[#This Row],[Presupuesto]]/(1+'Lista Datos'!$B$1)</f>
        <v>344537.81512605044</v>
      </c>
      <c r="H245" s="118" t="s">
        <v>14</v>
      </c>
      <c r="I245" s="118" t="s">
        <v>145</v>
      </c>
      <c r="J245" s="204">
        <v>45133</v>
      </c>
      <c r="K245" s="205" t="s">
        <v>10</v>
      </c>
      <c r="L245" s="203" t="s">
        <v>28</v>
      </c>
      <c r="M245" s="203"/>
      <c r="N245" s="18"/>
      <c r="O245" s="135">
        <f>Tabla120[[#This Row],[Presupuesto]]</f>
        <v>410000</v>
      </c>
      <c r="P245" s="136">
        <f>Tabla120[[#This Row],[PPTO]]/(1+'Lista Datos'!$B$1)</f>
        <v>344537.81512605044</v>
      </c>
      <c r="Q245" s="68"/>
      <c r="R245" s="136"/>
      <c r="S245" s="142">
        <f>Tabla120[[#This Row],[Unidades2]]*Tabla120[[#This Row],[Precio Unitario]]</f>
        <v>0</v>
      </c>
      <c r="T245" s="126" t="s">
        <v>270</v>
      </c>
      <c r="U245" s="127"/>
      <c r="V245" s="68"/>
      <c r="W245" s="67"/>
      <c r="X245" s="69"/>
      <c r="Y245" s="68"/>
      <c r="Z245" s="68"/>
      <c r="AA245" s="68"/>
    </row>
    <row r="246" spans="1:27" ht="11.25" x14ac:dyDescent="0.2">
      <c r="A246" s="150" t="s">
        <v>6765</v>
      </c>
      <c r="B246" s="118" t="s">
        <v>6766</v>
      </c>
      <c r="C246" s="119" t="s">
        <v>4843</v>
      </c>
      <c r="D246" s="203" t="s">
        <v>6767</v>
      </c>
      <c r="E246" s="203" t="s">
        <v>6768</v>
      </c>
      <c r="F246" s="86">
        <v>1200000</v>
      </c>
      <c r="G246" s="171">
        <f>Tabla120[[#This Row],[Presupuesto]]/(1+'Lista Datos'!$B$1)</f>
        <v>1008403.3613445378</v>
      </c>
      <c r="H246" s="118" t="s">
        <v>18</v>
      </c>
      <c r="I246" s="118" t="s">
        <v>213</v>
      </c>
      <c r="J246" s="204">
        <v>45133</v>
      </c>
      <c r="K246" s="205"/>
      <c r="L246" s="203"/>
      <c r="M246" s="203"/>
      <c r="N246" s="18"/>
      <c r="O246" s="135">
        <f>Tabla120[[#This Row],[Presupuesto]]</f>
        <v>1200000</v>
      </c>
      <c r="P246" s="136">
        <f>Tabla120[[#This Row],[PPTO]]/(1+'Lista Datos'!$B$1)</f>
        <v>1008403.3613445378</v>
      </c>
      <c r="Q246" s="68"/>
      <c r="R246" s="136"/>
      <c r="S246" s="142">
        <f>Tabla120[[#This Row],[Unidades2]]*Tabla120[[#This Row],[Precio Unitario]]</f>
        <v>0</v>
      </c>
      <c r="T246" s="126" t="s">
        <v>270</v>
      </c>
      <c r="U246" s="127"/>
      <c r="V246" s="68"/>
      <c r="W246" s="67"/>
      <c r="X246" s="69"/>
      <c r="Y246" s="68"/>
      <c r="Z246" s="68"/>
      <c r="AA246" s="68"/>
    </row>
    <row r="247" spans="1:27" ht="11.25" x14ac:dyDescent="0.2">
      <c r="A247" s="150" t="s">
        <v>6769</v>
      </c>
      <c r="B247" s="118" t="s">
        <v>6770</v>
      </c>
      <c r="C247" s="119" t="s">
        <v>4233</v>
      </c>
      <c r="D247" s="203" t="s">
        <v>6771</v>
      </c>
      <c r="E247" s="203" t="s">
        <v>6772</v>
      </c>
      <c r="F247" s="86">
        <v>1210000</v>
      </c>
      <c r="G247" s="171">
        <f>Tabla120[[#This Row],[Presupuesto]]/(1+'Lista Datos'!$B$1)</f>
        <v>1016806.7226890756</v>
      </c>
      <c r="H247" s="118" t="s">
        <v>21</v>
      </c>
      <c r="I247" s="118" t="s">
        <v>106</v>
      </c>
      <c r="J247" s="204">
        <v>45133</v>
      </c>
      <c r="K247" s="205" t="s">
        <v>10</v>
      </c>
      <c r="L247" s="203" t="s">
        <v>35</v>
      </c>
      <c r="M247" s="203"/>
      <c r="N247" s="18"/>
      <c r="O247" s="135">
        <f>Tabla120[[#This Row],[Presupuesto]]</f>
        <v>1210000</v>
      </c>
      <c r="P247" s="136">
        <f>Tabla120[[#This Row],[PPTO]]/(1+'Lista Datos'!$B$1)</f>
        <v>1016806.7226890756</v>
      </c>
      <c r="Q247" s="68"/>
      <c r="R247" s="136"/>
      <c r="S247" s="142">
        <f>Tabla120[[#This Row],[Unidades2]]*Tabla120[[#This Row],[Precio Unitario]]</f>
        <v>0</v>
      </c>
      <c r="T247" s="126" t="s">
        <v>270</v>
      </c>
      <c r="U247" s="127"/>
      <c r="V247" s="68"/>
      <c r="W247" s="67"/>
      <c r="X247" s="69"/>
      <c r="Y247" s="68"/>
      <c r="Z247" s="68"/>
      <c r="AA247" s="68"/>
    </row>
    <row r="248" spans="1:27" ht="11.25" x14ac:dyDescent="0.2">
      <c r="A248" s="151" t="s">
        <v>6773</v>
      </c>
      <c r="B248" s="118" t="s">
        <v>6774</v>
      </c>
      <c r="C248" s="119" t="s">
        <v>6775</v>
      </c>
      <c r="D248" s="206" t="s">
        <v>6776</v>
      </c>
      <c r="E248" s="206" t="s">
        <v>6777</v>
      </c>
      <c r="F248" s="152">
        <v>150000</v>
      </c>
      <c r="G248" s="171">
        <f>Tabla120[[#This Row],[Presupuesto]]/(1+'Lista Datos'!$B$1)</f>
        <v>126050.42016806723</v>
      </c>
      <c r="H248" s="118" t="s">
        <v>21</v>
      </c>
      <c r="I248" s="118" t="s">
        <v>106</v>
      </c>
      <c r="J248" s="204">
        <v>45133</v>
      </c>
      <c r="K248" s="207" t="s">
        <v>10</v>
      </c>
      <c r="L248" s="206" t="s">
        <v>27</v>
      </c>
      <c r="M248" s="206"/>
      <c r="N248" s="19"/>
      <c r="O248" s="137">
        <f>Tabla120[[#This Row],[Presupuesto]]</f>
        <v>150000</v>
      </c>
      <c r="P248" s="138">
        <f>Tabla120[[#This Row],[PPTO]]/(1+'Lista Datos'!$B$1)</f>
        <v>126050.42016806723</v>
      </c>
      <c r="Q248" s="65"/>
      <c r="R248" s="138"/>
      <c r="S248" s="143">
        <f>Tabla120[[#This Row],[Unidades2]]*Tabla120[[#This Row],[Precio Unitario]]</f>
        <v>0</v>
      </c>
      <c r="T248" s="126" t="s">
        <v>270</v>
      </c>
      <c r="U248" s="122"/>
      <c r="V248" s="65"/>
      <c r="W248" s="64"/>
      <c r="X248" s="66"/>
      <c r="Y248" s="65"/>
      <c r="Z248" s="65"/>
      <c r="AA248" s="65"/>
    </row>
    <row r="249" spans="1:27" ht="11.25" x14ac:dyDescent="0.2">
      <c r="A249" s="150" t="s">
        <v>6778</v>
      </c>
      <c r="B249" s="118" t="s">
        <v>6779</v>
      </c>
      <c r="C249" s="119" t="s">
        <v>6412</v>
      </c>
      <c r="D249" s="203" t="s">
        <v>6780</v>
      </c>
      <c r="E249" s="203" t="s">
        <v>6781</v>
      </c>
      <c r="F249" s="86">
        <v>595000</v>
      </c>
      <c r="G249" s="171">
        <f>Tabla120[[#This Row],[Presupuesto]]/(1+'Lista Datos'!$B$1)</f>
        <v>500000</v>
      </c>
      <c r="H249" s="118" t="s">
        <v>14</v>
      </c>
      <c r="I249" s="118" t="s">
        <v>6289</v>
      </c>
      <c r="J249" s="204">
        <v>45134</v>
      </c>
      <c r="K249" s="205"/>
      <c r="L249" s="203"/>
      <c r="M249" s="203"/>
      <c r="N249" s="18"/>
      <c r="O249" s="135">
        <f>Tabla120[[#This Row],[Presupuesto]]</f>
        <v>595000</v>
      </c>
      <c r="P249" s="136">
        <f>Tabla120[[#This Row],[PPTO]]/(1+'Lista Datos'!$B$1)</f>
        <v>500000</v>
      </c>
      <c r="Q249" s="68"/>
      <c r="R249" s="136"/>
      <c r="S249" s="142">
        <f>Tabla120[[#This Row],[Unidades2]]*Tabla120[[#This Row],[Precio Unitario]]</f>
        <v>0</v>
      </c>
      <c r="T249" s="126" t="s">
        <v>270</v>
      </c>
      <c r="U249" s="127"/>
      <c r="V249" s="68"/>
      <c r="W249" s="67"/>
      <c r="X249" s="69"/>
      <c r="Y249" s="68"/>
      <c r="Z249" s="68"/>
      <c r="AA249" s="68"/>
    </row>
    <row r="250" spans="1:27" ht="11.25" x14ac:dyDescent="0.2">
      <c r="A250" s="150" t="s">
        <v>6782</v>
      </c>
      <c r="B250" s="118" t="s">
        <v>6783</v>
      </c>
      <c r="C250" s="119" t="s">
        <v>6784</v>
      </c>
      <c r="D250" s="203" t="s">
        <v>6785</v>
      </c>
      <c r="E250" s="203" t="s">
        <v>6786</v>
      </c>
      <c r="F250" s="86">
        <v>500000</v>
      </c>
      <c r="G250" s="171">
        <f>Tabla120[[#This Row],[Presupuesto]]/(1+'Lista Datos'!$B$1)</f>
        <v>420168.06722689077</v>
      </c>
      <c r="H250" s="118" t="s">
        <v>16</v>
      </c>
      <c r="I250" s="118" t="s">
        <v>345</v>
      </c>
      <c r="J250" s="204">
        <v>45134</v>
      </c>
      <c r="K250" s="205"/>
      <c r="L250" s="203"/>
      <c r="M250" s="203"/>
      <c r="N250" s="18"/>
      <c r="O250" s="135">
        <f>Tabla120[[#This Row],[Presupuesto]]</f>
        <v>500000</v>
      </c>
      <c r="P250" s="136">
        <f>Tabla120[[#This Row],[PPTO]]/(1+'Lista Datos'!$B$1)</f>
        <v>420168.06722689077</v>
      </c>
      <c r="Q250" s="68"/>
      <c r="R250" s="136"/>
      <c r="S250" s="142">
        <f>Tabla120[[#This Row],[Unidades2]]*Tabla120[[#This Row],[Precio Unitario]]</f>
        <v>0</v>
      </c>
      <c r="T250" s="126" t="s">
        <v>270</v>
      </c>
      <c r="U250" s="127"/>
      <c r="V250" s="68"/>
      <c r="W250" s="67"/>
      <c r="X250" s="69"/>
      <c r="Y250" s="68"/>
      <c r="Z250" s="68"/>
      <c r="AA250" s="68"/>
    </row>
    <row r="251" spans="1:27" ht="11.25" x14ac:dyDescent="0.2">
      <c r="A251" s="150" t="s">
        <v>6787</v>
      </c>
      <c r="B251" s="118" t="s">
        <v>6788</v>
      </c>
      <c r="C251" s="119" t="s">
        <v>6403</v>
      </c>
      <c r="D251" s="203" t="s">
        <v>6789</v>
      </c>
      <c r="E251" s="203" t="s">
        <v>6790</v>
      </c>
      <c r="F251" s="86">
        <v>1800000</v>
      </c>
      <c r="G251" s="171">
        <f>Tabla120[[#This Row],[Presupuesto]]/(1+'Lista Datos'!$B$1)</f>
        <v>1512605.0420168068</v>
      </c>
      <c r="H251" s="118" t="s">
        <v>18</v>
      </c>
      <c r="I251" s="118" t="s">
        <v>213</v>
      </c>
      <c r="J251" s="204">
        <v>45134</v>
      </c>
      <c r="K251" s="205"/>
      <c r="L251" s="203"/>
      <c r="M251" s="203"/>
      <c r="N251" s="18"/>
      <c r="O251" s="135">
        <f>Tabla120[[#This Row],[Presupuesto]]</f>
        <v>1800000</v>
      </c>
      <c r="P251" s="136">
        <f>Tabla120[[#This Row],[PPTO]]/(1+'Lista Datos'!$B$1)</f>
        <v>1512605.0420168068</v>
      </c>
      <c r="Q251" s="68"/>
      <c r="R251" s="136"/>
      <c r="S251" s="142">
        <f>Tabla120[[#This Row],[Unidades2]]*Tabla120[[#This Row],[Precio Unitario]]</f>
        <v>0</v>
      </c>
      <c r="T251" s="126" t="s">
        <v>270</v>
      </c>
      <c r="U251" s="127"/>
      <c r="V251" s="68"/>
      <c r="W251" s="67"/>
      <c r="X251" s="69"/>
      <c r="Y251" s="68"/>
      <c r="Z251" s="68"/>
      <c r="AA251" s="68"/>
    </row>
    <row r="252" spans="1:27" ht="11.25" x14ac:dyDescent="0.2">
      <c r="A252" s="150" t="s">
        <v>6791</v>
      </c>
      <c r="B252" s="118" t="s">
        <v>6792</v>
      </c>
      <c r="C252" s="119" t="s">
        <v>6793</v>
      </c>
      <c r="D252" s="203" t="s">
        <v>6794</v>
      </c>
      <c r="E252" s="203" t="s">
        <v>6795</v>
      </c>
      <c r="F252" s="86">
        <v>1850000</v>
      </c>
      <c r="G252" s="171">
        <f>Tabla120[[#This Row],[Presupuesto]]/(1+'Lista Datos'!$B$1)</f>
        <v>1554621.848739496</v>
      </c>
      <c r="H252" s="118" t="s">
        <v>14</v>
      </c>
      <c r="I252" s="118" t="s">
        <v>145</v>
      </c>
      <c r="J252" s="204">
        <v>45134</v>
      </c>
      <c r="K252" s="205"/>
      <c r="L252" s="203"/>
      <c r="M252" s="203"/>
      <c r="N252" s="18"/>
      <c r="O252" s="135">
        <f>Tabla120[[#This Row],[Presupuesto]]</f>
        <v>1850000</v>
      </c>
      <c r="P252" s="136">
        <f>Tabla120[[#This Row],[PPTO]]/(1+'Lista Datos'!$B$1)</f>
        <v>1554621.848739496</v>
      </c>
      <c r="Q252" s="68"/>
      <c r="R252" s="136"/>
      <c r="S252" s="142">
        <f>Tabla120[[#This Row],[Unidades2]]*Tabla120[[#This Row],[Precio Unitario]]</f>
        <v>0</v>
      </c>
      <c r="T252" s="126" t="s">
        <v>270</v>
      </c>
      <c r="U252" s="127"/>
      <c r="V252" s="68"/>
      <c r="W252" s="67"/>
      <c r="X252" s="69"/>
      <c r="Y252" s="68"/>
      <c r="Z252" s="68"/>
      <c r="AA252" s="68"/>
    </row>
    <row r="253" spans="1:27" ht="11.25" x14ac:dyDescent="0.2">
      <c r="A253" s="150" t="s">
        <v>6796</v>
      </c>
      <c r="B253" s="118" t="s">
        <v>6797</v>
      </c>
      <c r="C253" s="119" t="s">
        <v>905</v>
      </c>
      <c r="D253" s="203" t="s">
        <v>6798</v>
      </c>
      <c r="E253" s="203" t="s">
        <v>6799</v>
      </c>
      <c r="F253" s="86">
        <v>192000</v>
      </c>
      <c r="G253" s="171">
        <f>Tabla120[[#This Row],[Presupuesto]]/(1+'Lista Datos'!$B$1)</f>
        <v>161344.53781512607</v>
      </c>
      <c r="H253" s="118" t="s">
        <v>18</v>
      </c>
      <c r="I253" s="118" t="s">
        <v>213</v>
      </c>
      <c r="J253" s="204">
        <v>45134</v>
      </c>
      <c r="K253" s="205" t="s">
        <v>10</v>
      </c>
      <c r="L253" s="203" t="s">
        <v>27</v>
      </c>
      <c r="M253" s="203"/>
      <c r="N253" s="18"/>
      <c r="O253" s="135">
        <f>Tabla120[[#This Row],[Presupuesto]]</f>
        <v>192000</v>
      </c>
      <c r="P253" s="136">
        <f>Tabla120[[#This Row],[PPTO]]/(1+'Lista Datos'!$B$1)</f>
        <v>161344.53781512607</v>
      </c>
      <c r="Q253" s="68"/>
      <c r="R253" s="136"/>
      <c r="S253" s="142">
        <f>Tabla120[[#This Row],[Unidades2]]*Tabla120[[#This Row],[Precio Unitario]]</f>
        <v>0</v>
      </c>
      <c r="T253" s="126" t="s">
        <v>270</v>
      </c>
      <c r="U253" s="127"/>
      <c r="V253" s="68"/>
      <c r="W253" s="67"/>
      <c r="X253" s="69"/>
      <c r="Y253" s="68"/>
      <c r="Z253" s="68"/>
      <c r="AA253" s="68"/>
    </row>
    <row r="254" spans="1:27" ht="11.25" x14ac:dyDescent="0.2">
      <c r="A254" s="151" t="s">
        <v>6800</v>
      </c>
      <c r="B254" s="118" t="s">
        <v>6801</v>
      </c>
      <c r="C254" s="119" t="s">
        <v>122</v>
      </c>
      <c r="D254" s="206" t="s">
        <v>6802</v>
      </c>
      <c r="E254" s="206" t="s">
        <v>6803</v>
      </c>
      <c r="F254" s="152">
        <v>400000</v>
      </c>
      <c r="G254" s="171">
        <f>Tabla120[[#This Row],[Presupuesto]]/(1+'Lista Datos'!$B$1)</f>
        <v>336134.45378151262</v>
      </c>
      <c r="H254" s="118" t="s">
        <v>16</v>
      </c>
      <c r="I254" s="118" t="s">
        <v>1983</v>
      </c>
      <c r="J254" s="211">
        <v>45134</v>
      </c>
      <c r="K254" s="207"/>
      <c r="L254" s="206"/>
      <c r="M254" s="206"/>
      <c r="N254" s="19"/>
      <c r="O254" s="137">
        <f>Tabla120[[#This Row],[Presupuesto]]</f>
        <v>400000</v>
      </c>
      <c r="P254" s="138">
        <f>Tabla120[[#This Row],[PPTO]]/(1+'Lista Datos'!$B$1)</f>
        <v>336134.45378151262</v>
      </c>
      <c r="Q254" s="65"/>
      <c r="R254" s="138"/>
      <c r="S254" s="143">
        <f>Tabla120[[#This Row],[Unidades2]]*Tabla120[[#This Row],[Precio Unitario]]</f>
        <v>0</v>
      </c>
      <c r="T254" s="126" t="s">
        <v>270</v>
      </c>
      <c r="U254" s="122"/>
      <c r="V254" s="65"/>
      <c r="W254" s="64"/>
      <c r="X254" s="66"/>
      <c r="Y254" s="65"/>
      <c r="Z254" s="65"/>
      <c r="AA254" s="65"/>
    </row>
    <row r="255" spans="1:27" ht="11.25" x14ac:dyDescent="0.2">
      <c r="A255" s="150" t="s">
        <v>6804</v>
      </c>
      <c r="B255" s="118" t="s">
        <v>6805</v>
      </c>
      <c r="C255" s="119" t="s">
        <v>2416</v>
      </c>
      <c r="D255" s="203" t="s">
        <v>6806</v>
      </c>
      <c r="E255" s="203" t="s">
        <v>6807</v>
      </c>
      <c r="F255" s="86">
        <v>900000</v>
      </c>
      <c r="G255" s="171">
        <f>Tabla120[[#This Row],[Presupuesto]]/(1+'Lista Datos'!$B$1)</f>
        <v>756302.52100840339</v>
      </c>
      <c r="H255" s="118" t="s">
        <v>14</v>
      </c>
      <c r="I255" s="118" t="s">
        <v>6289</v>
      </c>
      <c r="J255" s="204">
        <v>45135</v>
      </c>
      <c r="K255" s="205"/>
      <c r="L255" s="203"/>
      <c r="M255" s="203"/>
      <c r="N255" s="18"/>
      <c r="O255" s="135">
        <f>Tabla120[[#This Row],[Presupuesto]]</f>
        <v>900000</v>
      </c>
      <c r="P255" s="136">
        <f>Tabla120[[#This Row],[PPTO]]/(1+'Lista Datos'!$B$1)</f>
        <v>756302.52100840339</v>
      </c>
      <c r="Q255" s="68"/>
      <c r="R255" s="136"/>
      <c r="S255" s="142">
        <f>Tabla120[[#This Row],[Unidades2]]*Tabla120[[#This Row],[Precio Unitario]]</f>
        <v>0</v>
      </c>
      <c r="T255" s="126" t="s">
        <v>270</v>
      </c>
      <c r="U255" s="127"/>
      <c r="V255" s="68"/>
      <c r="W255" s="67"/>
      <c r="X255" s="69"/>
      <c r="Y255" s="68"/>
      <c r="Z255" s="68"/>
      <c r="AA255" s="68"/>
    </row>
    <row r="256" spans="1:27" ht="11.25" x14ac:dyDescent="0.2">
      <c r="A256" s="150" t="s">
        <v>6808</v>
      </c>
      <c r="B256" s="118" t="s">
        <v>814</v>
      </c>
      <c r="C256" s="119" t="s">
        <v>4326</v>
      </c>
      <c r="D256" s="203" t="s">
        <v>6809</v>
      </c>
      <c r="E256" s="203" t="s">
        <v>6810</v>
      </c>
      <c r="F256" s="86">
        <v>500000</v>
      </c>
      <c r="G256" s="171">
        <f>Tabla120[[#This Row],[Presupuesto]]/(1+'Lista Datos'!$B$1)</f>
        <v>420168.06722689077</v>
      </c>
      <c r="H256" s="118" t="s">
        <v>16</v>
      </c>
      <c r="I256" s="118" t="s">
        <v>6289</v>
      </c>
      <c r="J256" s="204">
        <v>45135</v>
      </c>
      <c r="K256" s="205" t="s">
        <v>10</v>
      </c>
      <c r="L256" s="203" t="s">
        <v>33</v>
      </c>
      <c r="M256" s="203"/>
      <c r="N256" s="18"/>
      <c r="O256" s="135">
        <f>Tabla120[[#This Row],[Presupuesto]]</f>
        <v>500000</v>
      </c>
      <c r="P256" s="136">
        <f>Tabla120[[#This Row],[PPTO]]/(1+'Lista Datos'!$B$1)</f>
        <v>420168.06722689077</v>
      </c>
      <c r="Q256" s="68"/>
      <c r="R256" s="136"/>
      <c r="S256" s="142">
        <f>Tabla120[[#This Row],[Unidades2]]*Tabla120[[#This Row],[Precio Unitario]]</f>
        <v>0</v>
      </c>
      <c r="T256" s="126" t="s">
        <v>270</v>
      </c>
      <c r="U256" s="127"/>
      <c r="V256" s="68"/>
      <c r="W256" s="67"/>
      <c r="X256" s="69"/>
      <c r="Y256" s="68"/>
      <c r="Z256" s="68"/>
      <c r="AA256" s="68"/>
    </row>
    <row r="257" spans="1:27" ht="11.25" x14ac:dyDescent="0.2">
      <c r="A257" s="150" t="s">
        <v>6811</v>
      </c>
      <c r="B257" s="118" t="s">
        <v>2727</v>
      </c>
      <c r="C257" s="119" t="s">
        <v>4938</v>
      </c>
      <c r="D257" s="203" t="s">
        <v>6812</v>
      </c>
      <c r="E257" s="203" t="s">
        <v>6813</v>
      </c>
      <c r="F257" s="86">
        <v>1880000</v>
      </c>
      <c r="G257" s="171">
        <f>Tabla120[[#This Row],[Presupuesto]]/(1+'Lista Datos'!$B$1)</f>
        <v>1579831.9327731093</v>
      </c>
      <c r="H257" s="118" t="s">
        <v>16</v>
      </c>
      <c r="I257" s="118" t="s">
        <v>345</v>
      </c>
      <c r="J257" s="204">
        <v>45135</v>
      </c>
      <c r="K257" s="205"/>
      <c r="L257" s="203"/>
      <c r="M257" s="203"/>
      <c r="N257" s="18"/>
      <c r="O257" s="135">
        <f>Tabla120[[#This Row],[Presupuesto]]</f>
        <v>1880000</v>
      </c>
      <c r="P257" s="136">
        <f>Tabla120[[#This Row],[PPTO]]/(1+'Lista Datos'!$B$1)</f>
        <v>1579831.9327731093</v>
      </c>
      <c r="Q257" s="68"/>
      <c r="R257" s="136"/>
      <c r="S257" s="142">
        <f>Tabla120[[#This Row],[Unidades2]]*Tabla120[[#This Row],[Precio Unitario]]</f>
        <v>0</v>
      </c>
      <c r="T257" s="126" t="s">
        <v>270</v>
      </c>
      <c r="U257" s="127"/>
      <c r="V257" s="68"/>
      <c r="W257" s="67"/>
      <c r="X257" s="69"/>
      <c r="Y257" s="68"/>
      <c r="Z257" s="68"/>
      <c r="AA257" s="68"/>
    </row>
    <row r="258" spans="1:27" ht="11.25" x14ac:dyDescent="0.2">
      <c r="A258" s="150" t="s">
        <v>6814</v>
      </c>
      <c r="B258" s="118" t="s">
        <v>6815</v>
      </c>
      <c r="C258" s="119" t="s">
        <v>6363</v>
      </c>
      <c r="D258" s="203" t="s">
        <v>6816</v>
      </c>
      <c r="E258" s="203" t="s">
        <v>6817</v>
      </c>
      <c r="F258" s="86">
        <v>809200</v>
      </c>
      <c r="G258" s="171">
        <f>Tabla120[[#This Row],[Presupuesto]]/(1+'Lista Datos'!$B$1)</f>
        <v>680000</v>
      </c>
      <c r="H258" s="118" t="s">
        <v>18</v>
      </c>
      <c r="I258" s="118" t="s">
        <v>213</v>
      </c>
      <c r="J258" s="204">
        <v>45135</v>
      </c>
      <c r="K258" s="205"/>
      <c r="L258" s="203"/>
      <c r="M258" s="203"/>
      <c r="N258" s="18"/>
      <c r="O258" s="135">
        <f>Tabla120[[#This Row],[Presupuesto]]</f>
        <v>809200</v>
      </c>
      <c r="P258" s="136">
        <f>Tabla120[[#This Row],[PPTO]]/(1+'Lista Datos'!$B$1)</f>
        <v>680000</v>
      </c>
      <c r="Q258" s="68"/>
      <c r="R258" s="136"/>
      <c r="S258" s="142">
        <f>Tabla120[[#This Row],[Unidades2]]*Tabla120[[#This Row],[Precio Unitario]]</f>
        <v>0</v>
      </c>
      <c r="T258" s="126" t="s">
        <v>270</v>
      </c>
      <c r="U258" s="127"/>
      <c r="V258" s="68"/>
      <c r="W258" s="67"/>
      <c r="X258" s="69"/>
      <c r="Y258" s="68"/>
      <c r="Z258" s="68"/>
      <c r="AA258" s="68"/>
    </row>
    <row r="259" spans="1:27" ht="11.25" x14ac:dyDescent="0.2">
      <c r="A259" s="150" t="s">
        <v>6818</v>
      </c>
      <c r="B259" s="118" t="s">
        <v>6819</v>
      </c>
      <c r="C259" s="119" t="s">
        <v>1118</v>
      </c>
      <c r="D259" s="203" t="s">
        <v>6820</v>
      </c>
      <c r="E259" s="203" t="s">
        <v>6821</v>
      </c>
      <c r="F259" s="86">
        <v>1557132</v>
      </c>
      <c r="G259" s="171">
        <f>Tabla120[[#This Row],[Presupuesto]]/(1+'Lista Datos'!$B$1)</f>
        <v>1308514.2857142857</v>
      </c>
      <c r="H259" s="118" t="s">
        <v>21</v>
      </c>
      <c r="I259" s="118" t="s">
        <v>106</v>
      </c>
      <c r="J259" s="204">
        <v>45135</v>
      </c>
      <c r="K259" s="205" t="s">
        <v>11</v>
      </c>
      <c r="L259" s="203"/>
      <c r="M259" s="203" t="s">
        <v>11</v>
      </c>
      <c r="N259" s="18"/>
      <c r="O259" s="135">
        <f>Tabla120[[#This Row],[Presupuesto]]</f>
        <v>1557132</v>
      </c>
      <c r="P259" s="136">
        <f>Tabla120[[#This Row],[PPTO]]/(1+'Lista Datos'!$B$1)</f>
        <v>1308514.2857142857</v>
      </c>
      <c r="Q259" s="68">
        <v>2</v>
      </c>
      <c r="R259" s="136">
        <v>585117</v>
      </c>
      <c r="S259" s="142">
        <f>Tabla120[[#This Row],[Unidades2]]*Tabla120[[#This Row],[Precio Unitario]]</f>
        <v>1170234</v>
      </c>
      <c r="T259" s="126" t="s">
        <v>44</v>
      </c>
      <c r="U259" s="104">
        <v>45141</v>
      </c>
      <c r="V259" s="68" t="s">
        <v>46</v>
      </c>
      <c r="W259" s="67">
        <v>620000</v>
      </c>
      <c r="X259" s="69"/>
      <c r="Y259" s="68"/>
      <c r="Z259" s="68"/>
      <c r="AA259" s="68"/>
    </row>
    <row r="260" spans="1:27" ht="11.25" x14ac:dyDescent="0.2">
      <c r="A260" s="150" t="s">
        <v>6822</v>
      </c>
      <c r="B260" s="118" t="s">
        <v>6823</v>
      </c>
      <c r="C260" s="119" t="s">
        <v>4542</v>
      </c>
      <c r="D260" s="203" t="s">
        <v>6824</v>
      </c>
      <c r="E260" s="203" t="s">
        <v>6825</v>
      </c>
      <c r="F260" s="86">
        <v>1890000</v>
      </c>
      <c r="G260" s="171">
        <f>Tabla120[[#This Row],[Presupuesto]]/(1+'Lista Datos'!$B$1)</f>
        <v>1588235.2941176472</v>
      </c>
      <c r="H260" s="118" t="s">
        <v>21</v>
      </c>
      <c r="I260" s="118" t="s">
        <v>106</v>
      </c>
      <c r="J260" s="204">
        <v>45135</v>
      </c>
      <c r="K260" s="205" t="s">
        <v>10</v>
      </c>
      <c r="L260" s="203" t="s">
        <v>34</v>
      </c>
      <c r="M260" s="203"/>
      <c r="N260" s="18"/>
      <c r="O260" s="135">
        <f>Tabla120[[#This Row],[Presupuesto]]</f>
        <v>1890000</v>
      </c>
      <c r="P260" s="136">
        <f>Tabla120[[#This Row],[PPTO]]/(1+'Lista Datos'!$B$1)</f>
        <v>1588235.2941176472</v>
      </c>
      <c r="Q260" s="68"/>
      <c r="R260" s="136"/>
      <c r="S260" s="142">
        <f>Tabla120[[#This Row],[Unidades2]]*Tabla120[[#This Row],[Precio Unitario]]</f>
        <v>0</v>
      </c>
      <c r="T260" s="126" t="s">
        <v>270</v>
      </c>
      <c r="U260" s="127"/>
      <c r="V260" s="68"/>
      <c r="W260" s="67"/>
      <c r="X260" s="69"/>
      <c r="Y260" s="68"/>
      <c r="Z260" s="68"/>
      <c r="AA260" s="68"/>
    </row>
    <row r="261" spans="1:27" ht="11.25" x14ac:dyDescent="0.2">
      <c r="A261" s="150" t="s">
        <v>6826</v>
      </c>
      <c r="B261" s="118" t="s">
        <v>6827</v>
      </c>
      <c r="C261" s="119" t="s">
        <v>4843</v>
      </c>
      <c r="D261" s="203" t="s">
        <v>6828</v>
      </c>
      <c r="E261" s="203" t="s">
        <v>6829</v>
      </c>
      <c r="F261" s="86">
        <v>600000</v>
      </c>
      <c r="G261" s="171">
        <f>Tabla120[[#This Row],[Presupuesto]]/(1+'Lista Datos'!$B$1)</f>
        <v>504201.68067226891</v>
      </c>
      <c r="H261" s="118" t="s">
        <v>14</v>
      </c>
      <c r="I261" s="118" t="s">
        <v>345</v>
      </c>
      <c r="J261" s="204">
        <v>45145</v>
      </c>
      <c r="K261" s="205" t="s">
        <v>10</v>
      </c>
      <c r="L261" s="203" t="s">
        <v>27</v>
      </c>
      <c r="M261" s="203"/>
      <c r="N261" s="18"/>
      <c r="O261" s="135">
        <f>Tabla120[[#This Row],[Presupuesto]]</f>
        <v>600000</v>
      </c>
      <c r="P261" s="136">
        <f>Tabla120[[#This Row],[PPTO]]/(1+'Lista Datos'!$B$1)</f>
        <v>504201.68067226891</v>
      </c>
      <c r="Q261" s="68"/>
      <c r="R261" s="136"/>
      <c r="S261" s="142">
        <f>Tabla120[[#This Row],[Unidades2]]*Tabla120[[#This Row],[Precio Unitario]]</f>
        <v>0</v>
      </c>
      <c r="T261" s="126" t="s">
        <v>270</v>
      </c>
      <c r="U261" s="127"/>
      <c r="V261" s="68"/>
      <c r="W261" s="67"/>
      <c r="X261" s="69"/>
      <c r="Y261" s="68"/>
      <c r="Z261" s="68"/>
      <c r="AA261" s="68"/>
    </row>
    <row r="262" spans="1:27" ht="11.25" x14ac:dyDescent="0.2">
      <c r="A262" s="151" t="s">
        <v>6830</v>
      </c>
      <c r="B262" s="118" t="s">
        <v>6831</v>
      </c>
      <c r="C262" s="119" t="s">
        <v>3520</v>
      </c>
      <c r="D262" s="206" t="s">
        <v>6832</v>
      </c>
      <c r="E262" s="206" t="s">
        <v>6833</v>
      </c>
      <c r="F262" s="152">
        <v>700000</v>
      </c>
      <c r="G262" s="171">
        <f>Tabla120[[#This Row],[Presupuesto]]/(1+'Lista Datos'!$B$1)</f>
        <v>588235.29411764711</v>
      </c>
      <c r="H262" s="118" t="s">
        <v>14</v>
      </c>
      <c r="I262" s="118" t="s">
        <v>533</v>
      </c>
      <c r="J262" s="211">
        <v>45145</v>
      </c>
      <c r="K262" s="207" t="s">
        <v>10</v>
      </c>
      <c r="L262" s="206" t="s">
        <v>27</v>
      </c>
      <c r="M262" s="206"/>
      <c r="N262" s="19"/>
      <c r="O262" s="137">
        <f>Tabla120[[#This Row],[Presupuesto]]</f>
        <v>700000</v>
      </c>
      <c r="P262" s="138">
        <f>Tabla120[[#This Row],[PPTO]]/(1+'Lista Datos'!$B$1)</f>
        <v>588235.29411764711</v>
      </c>
      <c r="Q262" s="65"/>
      <c r="R262" s="138"/>
      <c r="S262" s="143">
        <f>Tabla120[[#This Row],[Unidades2]]*Tabla120[[#This Row],[Precio Unitario]]</f>
        <v>0</v>
      </c>
      <c r="T262" s="126" t="s">
        <v>270</v>
      </c>
      <c r="U262" s="122"/>
      <c r="V262" s="65"/>
      <c r="W262" s="64"/>
      <c r="X262" s="66"/>
      <c r="Y262" s="65"/>
      <c r="Z262" s="65"/>
      <c r="AA262" s="65"/>
    </row>
    <row r="263" spans="1:27" ht="11.25" x14ac:dyDescent="0.2">
      <c r="A263" s="150" t="s">
        <v>6834</v>
      </c>
      <c r="B263" s="118" t="s">
        <v>6835</v>
      </c>
      <c r="C263" s="119" t="s">
        <v>2815</v>
      </c>
      <c r="D263" s="203" t="s">
        <v>6836</v>
      </c>
      <c r="E263" s="203" t="s">
        <v>6837</v>
      </c>
      <c r="F263" s="86">
        <v>1850000</v>
      </c>
      <c r="G263" s="171">
        <f>Tabla120[[#This Row],[Presupuesto]]/(1+'Lista Datos'!$B$1)</f>
        <v>1554621.848739496</v>
      </c>
      <c r="H263" s="118" t="s">
        <v>14</v>
      </c>
      <c r="I263" s="118" t="s">
        <v>6289</v>
      </c>
      <c r="J263" s="204">
        <v>45146</v>
      </c>
      <c r="K263" s="205"/>
      <c r="L263" s="203"/>
      <c r="M263" s="203"/>
      <c r="N263" s="18"/>
      <c r="O263" s="135">
        <f>Tabla120[[#This Row],[Presupuesto]]</f>
        <v>1850000</v>
      </c>
      <c r="P263" s="136">
        <f>Tabla120[[#This Row],[PPTO]]/(1+'Lista Datos'!$B$1)</f>
        <v>1554621.848739496</v>
      </c>
      <c r="Q263" s="68"/>
      <c r="R263" s="136"/>
      <c r="S263" s="142">
        <f>Tabla120[[#This Row],[Unidades2]]*Tabla120[[#This Row],[Precio Unitario]]</f>
        <v>0</v>
      </c>
      <c r="T263" s="126" t="s">
        <v>270</v>
      </c>
      <c r="U263" s="127"/>
      <c r="V263" s="68"/>
      <c r="W263" s="67"/>
      <c r="X263" s="69"/>
      <c r="Y263" s="68"/>
      <c r="Z263" s="68"/>
      <c r="AA263" s="68"/>
    </row>
    <row r="264" spans="1:27" ht="11.25" x14ac:dyDescent="0.2">
      <c r="A264" s="150" t="s">
        <v>6838</v>
      </c>
      <c r="B264" s="118" t="s">
        <v>6839</v>
      </c>
      <c r="C264" s="119" t="s">
        <v>2815</v>
      </c>
      <c r="D264" s="203" t="s">
        <v>6840</v>
      </c>
      <c r="E264" s="203" t="s">
        <v>6837</v>
      </c>
      <c r="F264" s="86">
        <v>1850000</v>
      </c>
      <c r="G264" s="171">
        <f>Tabla120[[#This Row],[Presupuesto]]/(1+'Lista Datos'!$B$1)</f>
        <v>1554621.848739496</v>
      </c>
      <c r="H264" s="118" t="s">
        <v>14</v>
      </c>
      <c r="I264" s="118" t="s">
        <v>6289</v>
      </c>
      <c r="J264" s="204">
        <v>45146</v>
      </c>
      <c r="K264" s="205"/>
      <c r="L264" s="203"/>
      <c r="M264" s="203"/>
      <c r="N264" s="18"/>
      <c r="O264" s="135">
        <f>Tabla120[[#This Row],[Presupuesto]]</f>
        <v>1850000</v>
      </c>
      <c r="P264" s="136">
        <f>Tabla120[[#This Row],[PPTO]]/(1+'Lista Datos'!$B$1)</f>
        <v>1554621.848739496</v>
      </c>
      <c r="Q264" s="68"/>
      <c r="R264" s="136"/>
      <c r="S264" s="142">
        <f>Tabla120[[#This Row],[Unidades2]]*Tabla120[[#This Row],[Precio Unitario]]</f>
        <v>0</v>
      </c>
      <c r="T264" s="126" t="s">
        <v>270</v>
      </c>
      <c r="U264" s="127"/>
      <c r="V264" s="68"/>
      <c r="W264" s="67"/>
      <c r="X264" s="69"/>
      <c r="Y264" s="68"/>
      <c r="Z264" s="68"/>
      <c r="AA264" s="68"/>
    </row>
    <row r="265" spans="1:27" ht="11.25" x14ac:dyDescent="0.2">
      <c r="A265" s="151" t="s">
        <v>6841</v>
      </c>
      <c r="B265" s="118" t="s">
        <v>6842</v>
      </c>
      <c r="C265" s="119" t="s">
        <v>3951</v>
      </c>
      <c r="D265" s="206" t="s">
        <v>6843</v>
      </c>
      <c r="E265" s="206" t="s">
        <v>6844</v>
      </c>
      <c r="F265" s="152">
        <v>1890000</v>
      </c>
      <c r="G265" s="171">
        <f>Tabla120[[#This Row],[Presupuesto]]/(1+'Lista Datos'!$B$1)</f>
        <v>1588235.2941176472</v>
      </c>
      <c r="H265" s="118" t="s">
        <v>21</v>
      </c>
      <c r="I265" s="118" t="s">
        <v>106</v>
      </c>
      <c r="J265" s="211">
        <v>45146</v>
      </c>
      <c r="K265" s="207" t="s">
        <v>10</v>
      </c>
      <c r="L265" s="206" t="s">
        <v>28</v>
      </c>
      <c r="M265" s="206" t="s">
        <v>10</v>
      </c>
      <c r="N265" s="19"/>
      <c r="O265" s="137">
        <f>Tabla120[[#This Row],[Presupuesto]]</f>
        <v>1890000</v>
      </c>
      <c r="P265" s="138">
        <f>Tabla120[[#This Row],[PPTO]]/(1+'Lista Datos'!$B$1)</f>
        <v>1588235.2941176472</v>
      </c>
      <c r="Q265" s="65"/>
      <c r="R265" s="138"/>
      <c r="S265" s="143">
        <f>Tabla120[[#This Row],[Unidades2]]*Tabla120[[#This Row],[Precio Unitario]]</f>
        <v>0</v>
      </c>
      <c r="T265" s="126" t="s">
        <v>270</v>
      </c>
      <c r="U265" s="122"/>
      <c r="V265" s="65"/>
      <c r="W265" s="64"/>
      <c r="X265" s="66"/>
      <c r="Y265" s="65"/>
      <c r="Z265" s="65"/>
      <c r="AA265" s="65"/>
    </row>
    <row r="266" spans="1:27" ht="11.25" x14ac:dyDescent="0.2">
      <c r="A266" s="150" t="s">
        <v>6845</v>
      </c>
      <c r="B266" s="118" t="s">
        <v>6846</v>
      </c>
      <c r="C266" s="119" t="s">
        <v>113</v>
      </c>
      <c r="D266" s="203" t="s">
        <v>6847</v>
      </c>
      <c r="E266" s="203" t="s">
        <v>6848</v>
      </c>
      <c r="F266" s="86">
        <v>1800000</v>
      </c>
      <c r="G266" s="171">
        <f>Tabla120[[#This Row],[Presupuesto]]/(1+'Lista Datos'!$B$1)</f>
        <v>1512605.0420168068</v>
      </c>
      <c r="H266" s="118" t="s">
        <v>15</v>
      </c>
      <c r="I266" s="118" t="s">
        <v>114</v>
      </c>
      <c r="J266" s="204">
        <v>45148</v>
      </c>
      <c r="K266" s="205"/>
      <c r="L266" s="203"/>
      <c r="M266" s="203"/>
      <c r="N266" s="18"/>
      <c r="O266" s="135">
        <f>Tabla120[[#This Row],[Presupuesto]]</f>
        <v>1800000</v>
      </c>
      <c r="P266" s="136">
        <f>Tabla120[[#This Row],[PPTO]]/(1+'Lista Datos'!$B$1)</f>
        <v>1512605.0420168068</v>
      </c>
      <c r="Q266" s="68"/>
      <c r="R266" s="136"/>
      <c r="S266" s="142">
        <f>Tabla120[[#This Row],[Unidades2]]*Tabla120[[#This Row],[Precio Unitario]]</f>
        <v>0</v>
      </c>
      <c r="T266" s="126" t="s">
        <v>270</v>
      </c>
      <c r="U266" s="127"/>
      <c r="V266" s="68"/>
      <c r="W266" s="67"/>
      <c r="X266" s="69"/>
      <c r="Y266" s="68"/>
      <c r="Z266" s="68"/>
      <c r="AA266" s="68"/>
    </row>
    <row r="267" spans="1:27" ht="11.25" x14ac:dyDescent="0.2">
      <c r="A267" s="150" t="s">
        <v>6849</v>
      </c>
      <c r="B267" s="118" t="s">
        <v>6850</v>
      </c>
      <c r="C267" s="119" t="s">
        <v>175</v>
      </c>
      <c r="D267" s="203" t="s">
        <v>6851</v>
      </c>
      <c r="E267" s="203" t="s">
        <v>6852</v>
      </c>
      <c r="F267" s="86">
        <v>1890000</v>
      </c>
      <c r="G267" s="171">
        <f>Tabla120[[#This Row],[Presupuesto]]/(1+'Lista Datos'!$B$1)</f>
        <v>1588235.2941176472</v>
      </c>
      <c r="H267" s="118" t="s">
        <v>21</v>
      </c>
      <c r="I267" s="118" t="s">
        <v>106</v>
      </c>
      <c r="J267" s="204">
        <v>45148</v>
      </c>
      <c r="K267" s="205" t="s">
        <v>10</v>
      </c>
      <c r="L267" s="203" t="s">
        <v>34</v>
      </c>
      <c r="M267" s="203"/>
      <c r="N267" s="18"/>
      <c r="O267" s="135">
        <f>Tabla120[[#This Row],[Presupuesto]]</f>
        <v>1890000</v>
      </c>
      <c r="P267" s="136">
        <f>Tabla120[[#This Row],[PPTO]]/(1+'Lista Datos'!$B$1)</f>
        <v>1588235.2941176472</v>
      </c>
      <c r="Q267" s="68"/>
      <c r="R267" s="136"/>
      <c r="S267" s="142">
        <f>Tabla120[[#This Row],[Unidades2]]*Tabla120[[#This Row],[Precio Unitario]]</f>
        <v>0</v>
      </c>
      <c r="T267" s="126" t="s">
        <v>270</v>
      </c>
      <c r="U267" s="127"/>
      <c r="V267" s="68"/>
      <c r="W267" s="67"/>
      <c r="X267" s="69"/>
      <c r="Y267" s="68"/>
      <c r="Z267" s="68"/>
      <c r="AA267" s="68"/>
    </row>
    <row r="268" spans="1:27" ht="11.25" x14ac:dyDescent="0.2">
      <c r="A268" s="150" t="s">
        <v>6853</v>
      </c>
      <c r="B268" s="118" t="s">
        <v>6854</v>
      </c>
      <c r="C268" s="119" t="s">
        <v>1085</v>
      </c>
      <c r="D268" s="203" t="s">
        <v>6855</v>
      </c>
      <c r="E268" s="203" t="s">
        <v>6856</v>
      </c>
      <c r="F268" s="86">
        <v>1000000</v>
      </c>
      <c r="G268" s="171">
        <f>Tabla120[[#This Row],[Presupuesto]]/(1+'Lista Datos'!$B$1)</f>
        <v>840336.13445378153</v>
      </c>
      <c r="H268" s="118" t="s">
        <v>16</v>
      </c>
      <c r="I268" s="118" t="s">
        <v>1983</v>
      </c>
      <c r="J268" s="204">
        <v>45148</v>
      </c>
      <c r="K268" s="205"/>
      <c r="L268" s="203"/>
      <c r="M268" s="203"/>
      <c r="N268" s="18"/>
      <c r="O268" s="135">
        <f>Tabla120[[#This Row],[Presupuesto]]</f>
        <v>1000000</v>
      </c>
      <c r="P268" s="136">
        <f>Tabla120[[#This Row],[PPTO]]/(1+'Lista Datos'!$B$1)</f>
        <v>840336.13445378153</v>
      </c>
      <c r="Q268" s="68"/>
      <c r="R268" s="136"/>
      <c r="S268" s="142">
        <f>Tabla120[[#This Row],[Unidades2]]*Tabla120[[#This Row],[Precio Unitario]]</f>
        <v>0</v>
      </c>
      <c r="T268" s="126" t="s">
        <v>270</v>
      </c>
      <c r="U268" s="127"/>
      <c r="V268" s="68"/>
      <c r="W268" s="67"/>
      <c r="X268" s="69"/>
      <c r="Y268" s="68"/>
      <c r="Z268" s="68"/>
      <c r="AA268" s="68"/>
    </row>
    <row r="269" spans="1:27" ht="11.25" x14ac:dyDescent="0.2">
      <c r="A269" s="150" t="s">
        <v>6857</v>
      </c>
      <c r="B269" s="118" t="s">
        <v>6858</v>
      </c>
      <c r="C269" s="119" t="s">
        <v>6859</v>
      </c>
      <c r="D269" s="203" t="s">
        <v>6860</v>
      </c>
      <c r="E269" s="203" t="s">
        <v>6861</v>
      </c>
      <c r="F269" s="86">
        <v>150000</v>
      </c>
      <c r="G269" s="171">
        <f>Tabla120[[#This Row],[Presupuesto]]/(1+'Lista Datos'!$B$1)</f>
        <v>126050.42016806723</v>
      </c>
      <c r="H269" s="118" t="s">
        <v>14</v>
      </c>
      <c r="I269" s="118" t="s">
        <v>6289</v>
      </c>
      <c r="J269" s="204">
        <v>45148</v>
      </c>
      <c r="K269" s="205" t="s">
        <v>10</v>
      </c>
      <c r="L269" s="203" t="s">
        <v>34</v>
      </c>
      <c r="M269" s="203"/>
      <c r="N269" s="18"/>
      <c r="O269" s="135">
        <f>Tabla120[[#This Row],[Presupuesto]]</f>
        <v>150000</v>
      </c>
      <c r="P269" s="136">
        <f>Tabla120[[#This Row],[PPTO]]/(1+'Lista Datos'!$B$1)</f>
        <v>126050.42016806723</v>
      </c>
      <c r="Q269" s="68"/>
      <c r="R269" s="136"/>
      <c r="S269" s="142">
        <f>Tabla120[[#This Row],[Unidades2]]*Tabla120[[#This Row],[Precio Unitario]]</f>
        <v>0</v>
      </c>
      <c r="T269" s="126" t="s">
        <v>270</v>
      </c>
      <c r="U269" s="127"/>
      <c r="V269" s="68"/>
      <c r="W269" s="67"/>
      <c r="X269" s="69"/>
      <c r="Y269" s="68"/>
      <c r="Z269" s="68"/>
      <c r="AA269" s="68"/>
    </row>
    <row r="270" spans="1:27" ht="11.25" x14ac:dyDescent="0.2">
      <c r="A270" s="150" t="s">
        <v>6862</v>
      </c>
      <c r="B270" s="118" t="s">
        <v>6863</v>
      </c>
      <c r="C270" s="119" t="s">
        <v>6864</v>
      </c>
      <c r="D270" s="203" t="s">
        <v>6865</v>
      </c>
      <c r="E270" s="203" t="s">
        <v>6866</v>
      </c>
      <c r="F270" s="86">
        <v>400000</v>
      </c>
      <c r="G270" s="171">
        <f>Tabla120[[#This Row],[Presupuesto]]/(1+'Lista Datos'!$B$1)</f>
        <v>336134.45378151262</v>
      </c>
      <c r="H270" s="118" t="s">
        <v>14</v>
      </c>
      <c r="I270" s="118" t="s">
        <v>1983</v>
      </c>
      <c r="J270" s="204">
        <v>45148</v>
      </c>
      <c r="K270" s="205" t="s">
        <v>10</v>
      </c>
      <c r="L270" s="203" t="s">
        <v>27</v>
      </c>
      <c r="M270" s="203"/>
      <c r="N270" s="18"/>
      <c r="O270" s="135">
        <f>Tabla120[[#This Row],[Presupuesto]]</f>
        <v>400000</v>
      </c>
      <c r="P270" s="136">
        <f>Tabla120[[#This Row],[PPTO]]/(1+'Lista Datos'!$B$1)</f>
        <v>336134.45378151262</v>
      </c>
      <c r="Q270" s="68"/>
      <c r="R270" s="136"/>
      <c r="S270" s="142">
        <f>Tabla120[[#This Row],[Unidades2]]*Tabla120[[#This Row],[Precio Unitario]]</f>
        <v>0</v>
      </c>
      <c r="T270" s="126" t="s">
        <v>270</v>
      </c>
      <c r="U270" s="127"/>
      <c r="V270" s="68"/>
      <c r="W270" s="67"/>
      <c r="X270" s="69"/>
      <c r="Y270" s="68"/>
      <c r="Z270" s="68"/>
      <c r="AA270" s="68"/>
    </row>
    <row r="271" spans="1:27" ht="11.25" x14ac:dyDescent="0.2">
      <c r="A271" s="150" t="s">
        <v>6867</v>
      </c>
      <c r="B271" s="118" t="s">
        <v>6868</v>
      </c>
      <c r="C271" s="119" t="s">
        <v>6476</v>
      </c>
      <c r="D271" s="203" t="s">
        <v>6869</v>
      </c>
      <c r="E271" s="203" t="s">
        <v>6870</v>
      </c>
      <c r="F271" s="86">
        <v>650000</v>
      </c>
      <c r="G271" s="171">
        <f>Tabla120[[#This Row],[Presupuesto]]/(1+'Lista Datos'!$B$1)</f>
        <v>546218.48739495804</v>
      </c>
      <c r="H271" s="118" t="s">
        <v>21</v>
      </c>
      <c r="I271" s="118" t="s">
        <v>106</v>
      </c>
      <c r="J271" s="204">
        <v>45148</v>
      </c>
      <c r="K271" s="205" t="s">
        <v>10</v>
      </c>
      <c r="L271" s="203" t="s">
        <v>27</v>
      </c>
      <c r="M271" s="203"/>
      <c r="N271" s="18"/>
      <c r="O271" s="135">
        <f>Tabla120[[#This Row],[Presupuesto]]</f>
        <v>650000</v>
      </c>
      <c r="P271" s="136">
        <f>Tabla120[[#This Row],[PPTO]]/(1+'Lista Datos'!$B$1)</f>
        <v>546218.48739495804</v>
      </c>
      <c r="Q271" s="68"/>
      <c r="R271" s="136"/>
      <c r="S271" s="142">
        <f>Tabla120[[#This Row],[Unidades2]]*Tabla120[[#This Row],[Precio Unitario]]</f>
        <v>0</v>
      </c>
      <c r="T271" s="126" t="s">
        <v>270</v>
      </c>
      <c r="U271" s="127"/>
      <c r="V271" s="68"/>
      <c r="W271" s="67"/>
      <c r="X271" s="69"/>
      <c r="Y271" s="68"/>
      <c r="Z271" s="68"/>
      <c r="AA271" s="68"/>
    </row>
    <row r="272" spans="1:27" ht="11.25" x14ac:dyDescent="0.2">
      <c r="A272" s="150" t="s">
        <v>6871</v>
      </c>
      <c r="B272" s="118" t="s">
        <v>6872</v>
      </c>
      <c r="C272" s="119" t="s">
        <v>1802</v>
      </c>
      <c r="D272" s="203" t="s">
        <v>6873</v>
      </c>
      <c r="E272" s="203" t="s">
        <v>6874</v>
      </c>
      <c r="F272" s="86">
        <v>1800000</v>
      </c>
      <c r="G272" s="171">
        <f>Tabla120[[#This Row],[Presupuesto]]/(1+'Lista Datos'!$B$1)</f>
        <v>1512605.0420168068</v>
      </c>
      <c r="H272" s="118" t="s">
        <v>21</v>
      </c>
      <c r="I272" s="118" t="s">
        <v>106</v>
      </c>
      <c r="J272" s="204">
        <v>45148</v>
      </c>
      <c r="K272" s="205" t="s">
        <v>10</v>
      </c>
      <c r="L272" s="203" t="s">
        <v>28</v>
      </c>
      <c r="M272" s="203"/>
      <c r="N272" s="18"/>
      <c r="O272" s="135">
        <f>Tabla120[[#This Row],[Presupuesto]]</f>
        <v>1800000</v>
      </c>
      <c r="P272" s="136">
        <f>Tabla120[[#This Row],[PPTO]]/(1+'Lista Datos'!$B$1)</f>
        <v>1512605.0420168068</v>
      </c>
      <c r="Q272" s="68"/>
      <c r="R272" s="136"/>
      <c r="S272" s="142">
        <f>Tabla120[[#This Row],[Unidades2]]*Tabla120[[#This Row],[Precio Unitario]]</f>
        <v>0</v>
      </c>
      <c r="T272" s="126" t="s">
        <v>270</v>
      </c>
      <c r="U272" s="127"/>
      <c r="V272" s="68"/>
      <c r="W272" s="67"/>
      <c r="X272" s="69"/>
      <c r="Y272" s="68"/>
      <c r="Z272" s="68"/>
      <c r="AA272" s="68"/>
    </row>
    <row r="273" spans="1:27" ht="11.25" x14ac:dyDescent="0.2">
      <c r="A273" s="150" t="s">
        <v>6875</v>
      </c>
      <c r="B273" s="118" t="s">
        <v>6876</v>
      </c>
      <c r="C273" s="119" t="s">
        <v>144</v>
      </c>
      <c r="D273" s="203" t="s">
        <v>6877</v>
      </c>
      <c r="E273" s="203" t="s">
        <v>6878</v>
      </c>
      <c r="F273" s="86">
        <v>523600</v>
      </c>
      <c r="G273" s="171">
        <f>Tabla120[[#This Row],[Presupuesto]]/(1+'Lista Datos'!$B$1)</f>
        <v>440000</v>
      </c>
      <c r="H273" s="118" t="s">
        <v>21</v>
      </c>
      <c r="I273" s="118" t="s">
        <v>106</v>
      </c>
      <c r="J273" s="204">
        <v>45148</v>
      </c>
      <c r="K273" s="205" t="s">
        <v>10</v>
      </c>
      <c r="L273" s="203" t="s">
        <v>34</v>
      </c>
      <c r="M273" s="203"/>
      <c r="N273" s="18"/>
      <c r="O273" s="135">
        <f>Tabla120[[#This Row],[Presupuesto]]</f>
        <v>523600</v>
      </c>
      <c r="P273" s="136">
        <f>Tabla120[[#This Row],[PPTO]]/(1+'Lista Datos'!$B$1)</f>
        <v>440000</v>
      </c>
      <c r="Q273" s="68"/>
      <c r="R273" s="136"/>
      <c r="S273" s="142">
        <f>Tabla120[[#This Row],[Unidades2]]*Tabla120[[#This Row],[Precio Unitario]]</f>
        <v>0</v>
      </c>
      <c r="T273" s="126" t="s">
        <v>270</v>
      </c>
      <c r="U273" s="127"/>
      <c r="V273" s="68"/>
      <c r="W273" s="67"/>
      <c r="X273" s="69"/>
      <c r="Y273" s="68"/>
      <c r="Z273" s="68"/>
      <c r="AA273" s="68"/>
    </row>
    <row r="274" spans="1:27" ht="11.25" x14ac:dyDescent="0.2">
      <c r="A274" s="151" t="s">
        <v>6879</v>
      </c>
      <c r="B274" s="118" t="s">
        <v>6880</v>
      </c>
      <c r="C274" s="119" t="s">
        <v>6881</v>
      </c>
      <c r="D274" s="206" t="s">
        <v>6882</v>
      </c>
      <c r="E274" s="206" t="s">
        <v>6883</v>
      </c>
      <c r="F274" s="152">
        <v>205000</v>
      </c>
      <c r="G274" s="171">
        <f>Tabla120[[#This Row],[Presupuesto]]/(1+'Lista Datos'!$B$1)</f>
        <v>172268.90756302522</v>
      </c>
      <c r="H274" s="118" t="s">
        <v>16</v>
      </c>
      <c r="I274" s="118" t="s">
        <v>6289</v>
      </c>
      <c r="J274" s="211">
        <v>45148</v>
      </c>
      <c r="K274" s="207" t="s">
        <v>10</v>
      </c>
      <c r="L274" s="206" t="s">
        <v>27</v>
      </c>
      <c r="M274" s="206"/>
      <c r="N274" s="19"/>
      <c r="O274" s="137">
        <f>Tabla120[[#This Row],[Presupuesto]]</f>
        <v>205000</v>
      </c>
      <c r="P274" s="138">
        <f>Tabla120[[#This Row],[PPTO]]/(1+'Lista Datos'!$B$1)</f>
        <v>172268.90756302522</v>
      </c>
      <c r="Q274" s="65"/>
      <c r="R274" s="138"/>
      <c r="S274" s="143">
        <f>Tabla120[[#This Row],[Unidades2]]*Tabla120[[#This Row],[Precio Unitario]]</f>
        <v>0</v>
      </c>
      <c r="T274" s="126" t="s">
        <v>270</v>
      </c>
      <c r="U274" s="122"/>
      <c r="V274" s="65"/>
      <c r="W274" s="64"/>
      <c r="X274" s="66"/>
      <c r="Y274" s="65"/>
      <c r="Z274" s="65"/>
      <c r="AA274" s="65"/>
    </row>
    <row r="275" spans="1:27" ht="11.25" x14ac:dyDescent="0.2">
      <c r="A275" s="150" t="s">
        <v>6884</v>
      </c>
      <c r="B275" s="118" t="s">
        <v>6885</v>
      </c>
      <c r="C275" s="119" t="s">
        <v>6886</v>
      </c>
      <c r="D275" s="203" t="s">
        <v>6887</v>
      </c>
      <c r="E275" s="203" t="s">
        <v>6888</v>
      </c>
      <c r="F275" s="86">
        <v>350000</v>
      </c>
      <c r="G275" s="171">
        <f>Tabla120[[#This Row],[Presupuesto]]/(1+'Lista Datos'!$B$1)</f>
        <v>294117.64705882355</v>
      </c>
      <c r="H275" s="118" t="s">
        <v>14</v>
      </c>
      <c r="I275" s="118" t="s">
        <v>533</v>
      </c>
      <c r="J275" s="204">
        <v>45149</v>
      </c>
      <c r="K275" s="205" t="s">
        <v>10</v>
      </c>
      <c r="L275" s="203" t="s">
        <v>27</v>
      </c>
      <c r="M275" s="203"/>
      <c r="N275" s="18"/>
      <c r="O275" s="135">
        <f>Tabla120[[#This Row],[Presupuesto]]</f>
        <v>350000</v>
      </c>
      <c r="P275" s="136">
        <f>Tabla120[[#This Row],[PPTO]]/(1+'Lista Datos'!$B$1)</f>
        <v>294117.64705882355</v>
      </c>
      <c r="Q275" s="68"/>
      <c r="R275" s="136"/>
      <c r="S275" s="142">
        <f>Tabla120[[#This Row],[Unidades2]]*Tabla120[[#This Row],[Precio Unitario]]</f>
        <v>0</v>
      </c>
      <c r="T275" s="126" t="s">
        <v>270</v>
      </c>
      <c r="U275" s="127"/>
      <c r="V275" s="68"/>
      <c r="W275" s="67"/>
      <c r="X275" s="69"/>
      <c r="Y275" s="68"/>
      <c r="Z275" s="68"/>
      <c r="AA275" s="68"/>
    </row>
    <row r="276" spans="1:27" ht="11.25" x14ac:dyDescent="0.2">
      <c r="A276" s="150" t="s">
        <v>6889</v>
      </c>
      <c r="B276" s="118" t="s">
        <v>6890</v>
      </c>
      <c r="C276" s="119" t="s">
        <v>4542</v>
      </c>
      <c r="D276" s="203" t="s">
        <v>6891</v>
      </c>
      <c r="E276" s="203" t="s">
        <v>6870</v>
      </c>
      <c r="F276" s="86">
        <v>1890000</v>
      </c>
      <c r="G276" s="171">
        <f>Tabla120[[#This Row],[Presupuesto]]/(1+'Lista Datos'!$B$1)</f>
        <v>1588235.2941176472</v>
      </c>
      <c r="H276" s="118" t="s">
        <v>21</v>
      </c>
      <c r="I276" s="118" t="s">
        <v>106</v>
      </c>
      <c r="J276" s="204">
        <v>45149</v>
      </c>
      <c r="K276" s="205" t="s">
        <v>10</v>
      </c>
      <c r="L276" s="203" t="s">
        <v>34</v>
      </c>
      <c r="M276" s="203"/>
      <c r="N276" s="18"/>
      <c r="O276" s="135">
        <f>Tabla120[[#This Row],[Presupuesto]]</f>
        <v>1890000</v>
      </c>
      <c r="P276" s="136">
        <f>Tabla120[[#This Row],[PPTO]]/(1+'Lista Datos'!$B$1)</f>
        <v>1588235.2941176472</v>
      </c>
      <c r="Q276" s="68"/>
      <c r="R276" s="136"/>
      <c r="S276" s="142">
        <f>Tabla120[[#This Row],[Unidades2]]*Tabla120[[#This Row],[Precio Unitario]]</f>
        <v>0</v>
      </c>
      <c r="T276" s="126" t="s">
        <v>270</v>
      </c>
      <c r="U276" s="127"/>
      <c r="V276" s="68"/>
      <c r="W276" s="67"/>
      <c r="X276" s="69"/>
      <c r="Y276" s="68"/>
      <c r="Z276" s="68"/>
      <c r="AA276" s="68"/>
    </row>
    <row r="277" spans="1:27" ht="11.25" x14ac:dyDescent="0.2">
      <c r="A277" s="150" t="s">
        <v>6892</v>
      </c>
      <c r="B277" s="118" t="s">
        <v>6893</v>
      </c>
      <c r="C277" s="119" t="s">
        <v>847</v>
      </c>
      <c r="D277" s="203" t="s">
        <v>6894</v>
      </c>
      <c r="E277" s="203" t="s">
        <v>6895</v>
      </c>
      <c r="F277" s="86">
        <v>1500000</v>
      </c>
      <c r="G277" s="171">
        <f>Tabla120[[#This Row],[Presupuesto]]/(1+'Lista Datos'!$B$1)</f>
        <v>1260504.2016806724</v>
      </c>
      <c r="H277" s="118" t="s">
        <v>16</v>
      </c>
      <c r="I277" s="118" t="s">
        <v>6289</v>
      </c>
      <c r="J277" s="204">
        <v>45149</v>
      </c>
      <c r="K277" s="205"/>
      <c r="L277" s="203"/>
      <c r="M277" s="203"/>
      <c r="N277" s="18"/>
      <c r="O277" s="135">
        <f>Tabla120[[#This Row],[Presupuesto]]</f>
        <v>1500000</v>
      </c>
      <c r="P277" s="136">
        <f>Tabla120[[#This Row],[PPTO]]/(1+'Lista Datos'!$B$1)</f>
        <v>1260504.2016806724</v>
      </c>
      <c r="Q277" s="68"/>
      <c r="R277" s="136"/>
      <c r="S277" s="142">
        <f>Tabla120[[#This Row],[Unidades2]]*Tabla120[[#This Row],[Precio Unitario]]</f>
        <v>0</v>
      </c>
      <c r="T277" s="126" t="s">
        <v>270</v>
      </c>
      <c r="U277" s="127"/>
      <c r="V277" s="68"/>
      <c r="W277" s="67"/>
      <c r="X277" s="69"/>
      <c r="Y277" s="68"/>
      <c r="Z277" s="68"/>
      <c r="AA277" s="68"/>
    </row>
    <row r="278" spans="1:27" ht="11.25" x14ac:dyDescent="0.2">
      <c r="A278" s="150" t="s">
        <v>6896</v>
      </c>
      <c r="B278" s="118" t="s">
        <v>6897</v>
      </c>
      <c r="C278" s="119" t="s">
        <v>2815</v>
      </c>
      <c r="D278" s="203" t="s">
        <v>6898</v>
      </c>
      <c r="E278" s="203" t="s">
        <v>6899</v>
      </c>
      <c r="F278" s="86">
        <v>1890000</v>
      </c>
      <c r="G278" s="171">
        <f>Tabla120[[#This Row],[Presupuesto]]/(1+'Lista Datos'!$B$1)</f>
        <v>1588235.2941176472</v>
      </c>
      <c r="H278" s="118" t="s">
        <v>21</v>
      </c>
      <c r="I278" s="118" t="s">
        <v>106</v>
      </c>
      <c r="J278" s="204">
        <v>45149</v>
      </c>
      <c r="K278" s="205" t="s">
        <v>10</v>
      </c>
      <c r="L278" s="203" t="s">
        <v>35</v>
      </c>
      <c r="M278" s="203"/>
      <c r="N278" s="18"/>
      <c r="O278" s="135">
        <f>Tabla120[[#This Row],[Presupuesto]]</f>
        <v>1890000</v>
      </c>
      <c r="P278" s="136">
        <f>Tabla120[[#This Row],[PPTO]]/(1+'Lista Datos'!$B$1)</f>
        <v>1588235.2941176472</v>
      </c>
      <c r="Q278" s="68"/>
      <c r="R278" s="136"/>
      <c r="S278" s="142">
        <f>Tabla120[[#This Row],[Unidades2]]*Tabla120[[#This Row],[Precio Unitario]]</f>
        <v>0</v>
      </c>
      <c r="T278" s="126" t="s">
        <v>270</v>
      </c>
      <c r="U278" s="127"/>
      <c r="V278" s="68"/>
      <c r="W278" s="67"/>
      <c r="X278" s="69"/>
      <c r="Y278" s="68"/>
      <c r="Z278" s="68"/>
      <c r="AA278" s="68"/>
    </row>
    <row r="279" spans="1:27" ht="11.25" x14ac:dyDescent="0.2">
      <c r="A279" s="150" t="s">
        <v>6900</v>
      </c>
      <c r="B279" s="118" t="s">
        <v>6901</v>
      </c>
      <c r="C279" s="119" t="s">
        <v>113</v>
      </c>
      <c r="D279" s="203" t="s">
        <v>6902</v>
      </c>
      <c r="E279" s="203" t="s">
        <v>6903</v>
      </c>
      <c r="F279" s="86">
        <v>880800</v>
      </c>
      <c r="G279" s="171">
        <f>Tabla120[[#This Row],[Presupuesto]]/(1+'Lista Datos'!$B$1)</f>
        <v>740168.06722689082</v>
      </c>
      <c r="H279" s="118" t="s">
        <v>16</v>
      </c>
      <c r="I279" s="118" t="s">
        <v>6289</v>
      </c>
      <c r="J279" s="204">
        <v>45149</v>
      </c>
      <c r="K279" s="205"/>
      <c r="L279" s="203"/>
      <c r="M279" s="203"/>
      <c r="N279" s="18"/>
      <c r="O279" s="135">
        <f>Tabla120[[#This Row],[Presupuesto]]</f>
        <v>880800</v>
      </c>
      <c r="P279" s="136">
        <f>Tabla120[[#This Row],[PPTO]]/(1+'Lista Datos'!$B$1)</f>
        <v>740168.06722689082</v>
      </c>
      <c r="Q279" s="68"/>
      <c r="R279" s="136"/>
      <c r="S279" s="142">
        <f>Tabla120[[#This Row],[Unidades2]]*Tabla120[[#This Row],[Precio Unitario]]</f>
        <v>0</v>
      </c>
      <c r="T279" s="126" t="s">
        <v>270</v>
      </c>
      <c r="U279" s="127"/>
      <c r="V279" s="68"/>
      <c r="W279" s="67"/>
      <c r="X279" s="69"/>
      <c r="Y279" s="68"/>
      <c r="Z279" s="68"/>
      <c r="AA279" s="68"/>
    </row>
    <row r="280" spans="1:27" ht="11.25" x14ac:dyDescent="0.2">
      <c r="A280" s="151" t="s">
        <v>6904</v>
      </c>
      <c r="B280" s="118" t="s">
        <v>6905</v>
      </c>
      <c r="C280" s="119" t="s">
        <v>3047</v>
      </c>
      <c r="D280" s="206" t="s">
        <v>6906</v>
      </c>
      <c r="E280" s="206" t="s">
        <v>6907</v>
      </c>
      <c r="F280" s="152">
        <v>300000</v>
      </c>
      <c r="G280" s="171">
        <f>Tabla120[[#This Row],[Presupuesto]]/(1+'Lista Datos'!$B$1)</f>
        <v>252100.84033613445</v>
      </c>
      <c r="H280" s="118" t="s">
        <v>14</v>
      </c>
      <c r="I280" s="118" t="s">
        <v>533</v>
      </c>
      <c r="J280" s="211">
        <v>45149</v>
      </c>
      <c r="K280" s="207" t="s">
        <v>10</v>
      </c>
      <c r="L280" s="206" t="s">
        <v>27</v>
      </c>
      <c r="M280" s="206"/>
      <c r="N280" s="19"/>
      <c r="O280" s="137">
        <f>Tabla120[[#This Row],[Presupuesto]]</f>
        <v>300000</v>
      </c>
      <c r="P280" s="138">
        <f>Tabla120[[#This Row],[PPTO]]/(1+'Lista Datos'!$B$1)</f>
        <v>252100.84033613445</v>
      </c>
      <c r="Q280" s="65"/>
      <c r="R280" s="138"/>
      <c r="S280" s="143">
        <f>Tabla120[[#This Row],[Unidades2]]*Tabla120[[#This Row],[Precio Unitario]]</f>
        <v>0</v>
      </c>
      <c r="T280" s="126" t="s">
        <v>270</v>
      </c>
      <c r="U280" s="122"/>
      <c r="V280" s="65"/>
      <c r="W280" s="64"/>
      <c r="X280" s="66"/>
      <c r="Y280" s="65"/>
      <c r="Z280" s="65"/>
      <c r="AA280" s="65"/>
    </row>
    <row r="281" spans="1:27" ht="11.25" x14ac:dyDescent="0.2">
      <c r="A281" s="151" t="s">
        <v>6908</v>
      </c>
      <c r="B281" s="118" t="s">
        <v>6909</v>
      </c>
      <c r="C281" s="119" t="s">
        <v>5634</v>
      </c>
      <c r="D281" s="206" t="s">
        <v>6910</v>
      </c>
      <c r="E281" s="206" t="s">
        <v>6911</v>
      </c>
      <c r="F281" s="152">
        <v>395768</v>
      </c>
      <c r="G281" s="171">
        <f>Tabla120[[#This Row],[Presupuesto]]/(1+'Lista Datos'!$B$1)</f>
        <v>332578.15126050421</v>
      </c>
      <c r="H281" s="118" t="s">
        <v>16</v>
      </c>
      <c r="I281" s="118" t="s">
        <v>6289</v>
      </c>
      <c r="J281" s="211">
        <v>45159</v>
      </c>
      <c r="K281" s="207" t="s">
        <v>10</v>
      </c>
      <c r="L281" s="206" t="s">
        <v>27</v>
      </c>
      <c r="M281" s="206"/>
      <c r="N281" s="19"/>
      <c r="O281" s="137">
        <f>Tabla120[[#This Row],[Presupuesto]]</f>
        <v>395768</v>
      </c>
      <c r="P281" s="138">
        <f>Tabla120[[#This Row],[PPTO]]/(1+'Lista Datos'!$B$1)</f>
        <v>332578.15126050421</v>
      </c>
      <c r="Q281" s="65"/>
      <c r="R281" s="138"/>
      <c r="S281" s="143">
        <f>Tabla120[[#This Row],[Unidades2]]*Tabla120[[#This Row],[Precio Unitario]]</f>
        <v>0</v>
      </c>
      <c r="T281" s="126" t="s">
        <v>270</v>
      </c>
      <c r="U281" s="122"/>
      <c r="V281" s="65"/>
      <c r="W281" s="64"/>
      <c r="X281" s="66"/>
      <c r="Y281" s="65"/>
      <c r="Z281" s="65"/>
      <c r="AA281" s="65"/>
    </row>
    <row r="282" spans="1:27" ht="11.25" x14ac:dyDescent="0.2">
      <c r="A282" s="150" t="s">
        <v>6912</v>
      </c>
      <c r="B282" s="118" t="s">
        <v>6913</v>
      </c>
      <c r="C282" s="119" t="s">
        <v>4006</v>
      </c>
      <c r="D282" s="203" t="s">
        <v>6914</v>
      </c>
      <c r="E282" s="203" t="s">
        <v>6915</v>
      </c>
      <c r="F282" s="86">
        <v>800000</v>
      </c>
      <c r="G282" s="171">
        <f>Tabla120[[#This Row],[Presupuesto]]/(1+'Lista Datos'!$B$1)</f>
        <v>672268.90756302525</v>
      </c>
      <c r="H282" s="118" t="s">
        <v>16</v>
      </c>
      <c r="I282" s="118" t="s">
        <v>6289</v>
      </c>
      <c r="J282" s="204">
        <v>45160</v>
      </c>
      <c r="K282" s="205" t="s">
        <v>10</v>
      </c>
      <c r="L282" s="203" t="s">
        <v>33</v>
      </c>
      <c r="M282" s="203"/>
      <c r="N282" s="18"/>
      <c r="O282" s="135">
        <f>Tabla120[[#This Row],[Presupuesto]]</f>
        <v>800000</v>
      </c>
      <c r="P282" s="136">
        <f>Tabla120[[#This Row],[PPTO]]/(1+'Lista Datos'!$B$1)</f>
        <v>672268.90756302525</v>
      </c>
      <c r="Q282" s="68"/>
      <c r="R282" s="136"/>
      <c r="S282" s="142">
        <f>Tabla120[[#This Row],[Unidades2]]*Tabla120[[#This Row],[Precio Unitario]]</f>
        <v>0</v>
      </c>
      <c r="T282" s="126" t="s">
        <v>270</v>
      </c>
      <c r="U282" s="127"/>
      <c r="V282" s="68"/>
      <c r="W282" s="67"/>
      <c r="X282" s="69"/>
      <c r="Y282" s="68"/>
      <c r="Z282" s="68"/>
      <c r="AA282" s="68"/>
    </row>
    <row r="283" spans="1:27" ht="11.25" x14ac:dyDescent="0.2">
      <c r="A283" s="150" t="s">
        <v>6916</v>
      </c>
      <c r="B283" s="118" t="s">
        <v>6917</v>
      </c>
      <c r="C283" s="119" t="s">
        <v>175</v>
      </c>
      <c r="D283" s="203" t="s">
        <v>6918</v>
      </c>
      <c r="E283" s="203" t="s">
        <v>6919</v>
      </c>
      <c r="F283" s="86">
        <v>1080000</v>
      </c>
      <c r="G283" s="171">
        <f>Tabla120[[#This Row],[Presupuesto]]/(1+'Lista Datos'!$B$1)</f>
        <v>907563.02521008404</v>
      </c>
      <c r="H283" s="118" t="s">
        <v>21</v>
      </c>
      <c r="I283" s="118" t="s">
        <v>106</v>
      </c>
      <c r="J283" s="204">
        <v>45160</v>
      </c>
      <c r="K283" s="205" t="s">
        <v>10</v>
      </c>
      <c r="L283" s="203" t="s">
        <v>28</v>
      </c>
      <c r="M283" s="203"/>
      <c r="N283" s="18"/>
      <c r="O283" s="135">
        <f>Tabla120[[#This Row],[Presupuesto]]</f>
        <v>1080000</v>
      </c>
      <c r="P283" s="136">
        <f>Tabla120[[#This Row],[PPTO]]/(1+'Lista Datos'!$B$1)</f>
        <v>907563.02521008404</v>
      </c>
      <c r="Q283" s="68"/>
      <c r="R283" s="136"/>
      <c r="S283" s="142">
        <f>Tabla120[[#This Row],[Unidades2]]*Tabla120[[#This Row],[Precio Unitario]]</f>
        <v>0</v>
      </c>
      <c r="T283" s="126" t="s">
        <v>270</v>
      </c>
      <c r="U283" s="127"/>
      <c r="V283" s="68"/>
      <c r="W283" s="67"/>
      <c r="X283" s="69"/>
      <c r="Y283" s="68"/>
      <c r="Z283" s="68"/>
      <c r="AA283" s="68"/>
    </row>
    <row r="284" spans="1:27" ht="11.25" x14ac:dyDescent="0.2">
      <c r="A284" s="150" t="s">
        <v>6920</v>
      </c>
      <c r="B284" s="118" t="s">
        <v>6921</v>
      </c>
      <c r="C284" s="119" t="s">
        <v>6922</v>
      </c>
      <c r="D284" s="203" t="s">
        <v>6923</v>
      </c>
      <c r="E284" s="203" t="s">
        <v>6924</v>
      </c>
      <c r="F284" s="86">
        <v>50000</v>
      </c>
      <c r="G284" s="171">
        <f>Tabla120[[#This Row],[Presupuesto]]/(1+'Lista Datos'!$B$1)</f>
        <v>42016.806722689078</v>
      </c>
      <c r="H284" s="118" t="s">
        <v>21</v>
      </c>
      <c r="I284" s="118" t="s">
        <v>106</v>
      </c>
      <c r="J284" s="204">
        <v>45160</v>
      </c>
      <c r="K284" s="205" t="s">
        <v>10</v>
      </c>
      <c r="L284" s="203" t="s">
        <v>28</v>
      </c>
      <c r="M284" s="203"/>
      <c r="N284" s="18"/>
      <c r="O284" s="135">
        <f>Tabla120[[#This Row],[Presupuesto]]</f>
        <v>50000</v>
      </c>
      <c r="P284" s="136">
        <f>Tabla120[[#This Row],[PPTO]]/(1+'Lista Datos'!$B$1)</f>
        <v>42016.806722689078</v>
      </c>
      <c r="Q284" s="68"/>
      <c r="R284" s="136"/>
      <c r="S284" s="142">
        <f>Tabla120[[#This Row],[Unidades2]]*Tabla120[[#This Row],[Precio Unitario]]</f>
        <v>0</v>
      </c>
      <c r="T284" s="126" t="s">
        <v>270</v>
      </c>
      <c r="U284" s="127"/>
      <c r="V284" s="68"/>
      <c r="W284" s="67"/>
      <c r="X284" s="69"/>
      <c r="Y284" s="68"/>
      <c r="Z284" s="68"/>
      <c r="AA284" s="68"/>
    </row>
    <row r="285" spans="1:27" ht="11.25" x14ac:dyDescent="0.2">
      <c r="A285" s="150" t="s">
        <v>6925</v>
      </c>
      <c r="B285" s="118" t="s">
        <v>6926</v>
      </c>
      <c r="C285" s="119" t="s">
        <v>770</v>
      </c>
      <c r="D285" s="203" t="s">
        <v>6927</v>
      </c>
      <c r="E285" s="203" t="s">
        <v>6928</v>
      </c>
      <c r="F285" s="86">
        <v>1890000</v>
      </c>
      <c r="G285" s="171">
        <f>Tabla120[[#This Row],[Presupuesto]]/(1+'Lista Datos'!$B$1)</f>
        <v>1588235.2941176472</v>
      </c>
      <c r="H285" s="118" t="s">
        <v>21</v>
      </c>
      <c r="I285" s="118" t="s">
        <v>106</v>
      </c>
      <c r="J285" s="204">
        <v>45160</v>
      </c>
      <c r="K285" s="205" t="s">
        <v>10</v>
      </c>
      <c r="L285" s="203" t="s">
        <v>34</v>
      </c>
      <c r="M285" s="203"/>
      <c r="N285" s="18"/>
      <c r="O285" s="135">
        <f>Tabla120[[#This Row],[Presupuesto]]</f>
        <v>1890000</v>
      </c>
      <c r="P285" s="136">
        <f>Tabla120[[#This Row],[PPTO]]/(1+'Lista Datos'!$B$1)</f>
        <v>1588235.2941176472</v>
      </c>
      <c r="Q285" s="68"/>
      <c r="R285" s="136"/>
      <c r="S285" s="142">
        <f>Tabla120[[#This Row],[Unidades2]]*Tabla120[[#This Row],[Precio Unitario]]</f>
        <v>0</v>
      </c>
      <c r="T285" s="126" t="s">
        <v>270</v>
      </c>
      <c r="U285" s="127"/>
      <c r="V285" s="68"/>
      <c r="W285" s="67"/>
      <c r="X285" s="69"/>
      <c r="Y285" s="68"/>
      <c r="Z285" s="68"/>
      <c r="AA285" s="68"/>
    </row>
    <row r="286" spans="1:27" ht="11.25" x14ac:dyDescent="0.2">
      <c r="A286" s="151" t="s">
        <v>6929</v>
      </c>
      <c r="B286" s="118" t="s">
        <v>6930</v>
      </c>
      <c r="C286" s="119" t="s">
        <v>1013</v>
      </c>
      <c r="D286" s="206" t="s">
        <v>6931</v>
      </c>
      <c r="E286" s="206" t="s">
        <v>6932</v>
      </c>
      <c r="F286" s="152">
        <v>400000</v>
      </c>
      <c r="G286" s="171">
        <f>Tabla120[[#This Row],[Presupuesto]]/(1+'Lista Datos'!$B$1)</f>
        <v>336134.45378151262</v>
      </c>
      <c r="H286" s="118" t="s">
        <v>14</v>
      </c>
      <c r="I286" s="118" t="s">
        <v>6289</v>
      </c>
      <c r="J286" s="204">
        <v>45160</v>
      </c>
      <c r="K286" s="207" t="s">
        <v>10</v>
      </c>
      <c r="L286" s="206" t="s">
        <v>27</v>
      </c>
      <c r="M286" s="206"/>
      <c r="N286" s="19"/>
      <c r="O286" s="137">
        <f>Tabla120[[#This Row],[Presupuesto]]</f>
        <v>400000</v>
      </c>
      <c r="P286" s="138">
        <f>Tabla120[[#This Row],[PPTO]]/(1+'Lista Datos'!$B$1)</f>
        <v>336134.45378151262</v>
      </c>
      <c r="Q286" s="65"/>
      <c r="R286" s="138"/>
      <c r="S286" s="143">
        <f>Tabla120[[#This Row],[Unidades2]]*Tabla120[[#This Row],[Precio Unitario]]</f>
        <v>0</v>
      </c>
      <c r="T286" s="126" t="s">
        <v>270</v>
      </c>
      <c r="U286" s="122"/>
      <c r="V286" s="65"/>
      <c r="W286" s="64"/>
      <c r="X286" s="66"/>
      <c r="Y286" s="65"/>
      <c r="Z286" s="65"/>
      <c r="AA286" s="65"/>
    </row>
    <row r="287" spans="1:27" ht="11.25" x14ac:dyDescent="0.2">
      <c r="A287" s="150" t="s">
        <v>6933</v>
      </c>
      <c r="B287" s="118" t="s">
        <v>6934</v>
      </c>
      <c r="C287" s="119" t="s">
        <v>6599</v>
      </c>
      <c r="D287" s="203" t="s">
        <v>6935</v>
      </c>
      <c r="E287" s="203" t="s">
        <v>6936</v>
      </c>
      <c r="F287" s="86">
        <v>300000</v>
      </c>
      <c r="G287" s="171">
        <f>Tabla120[[#This Row],[Presupuesto]]/(1+'Lista Datos'!$B$1)</f>
        <v>252100.84033613445</v>
      </c>
      <c r="H287" s="118" t="s">
        <v>16</v>
      </c>
      <c r="I287" s="118" t="s">
        <v>1983</v>
      </c>
      <c r="J287" s="204">
        <v>45162</v>
      </c>
      <c r="K287" s="205" t="s">
        <v>10</v>
      </c>
      <c r="L287" s="203" t="s">
        <v>27</v>
      </c>
      <c r="M287" s="203"/>
      <c r="N287" s="18"/>
      <c r="O287" s="135">
        <f>Tabla120[[#This Row],[Presupuesto]]</f>
        <v>300000</v>
      </c>
      <c r="P287" s="136">
        <f>Tabla120[[#This Row],[PPTO]]/(1+'Lista Datos'!$B$1)</f>
        <v>252100.84033613445</v>
      </c>
      <c r="Q287" s="68"/>
      <c r="R287" s="136"/>
      <c r="S287" s="142">
        <f>Tabla120[[#This Row],[Unidades2]]*Tabla120[[#This Row],[Precio Unitario]]</f>
        <v>0</v>
      </c>
      <c r="T287" s="126" t="s">
        <v>270</v>
      </c>
      <c r="U287" s="127"/>
      <c r="V287" s="68"/>
      <c r="W287" s="67"/>
      <c r="X287" s="69"/>
      <c r="Y287" s="68"/>
      <c r="Z287" s="68"/>
      <c r="AA287" s="68"/>
    </row>
    <row r="288" spans="1:27" ht="11.25" x14ac:dyDescent="0.2">
      <c r="A288" s="150" t="s">
        <v>6937</v>
      </c>
      <c r="B288" s="118" t="s">
        <v>6938</v>
      </c>
      <c r="C288" s="119" t="s">
        <v>3668</v>
      </c>
      <c r="D288" s="203" t="s">
        <v>6939</v>
      </c>
      <c r="E288" s="203" t="s">
        <v>6940</v>
      </c>
      <c r="F288" s="86">
        <v>900000</v>
      </c>
      <c r="G288" s="171">
        <f>Tabla120[[#This Row],[Presupuesto]]/(1+'Lista Datos'!$B$1)</f>
        <v>756302.52100840339</v>
      </c>
      <c r="H288" s="118" t="s">
        <v>21</v>
      </c>
      <c r="I288" s="118" t="s">
        <v>106</v>
      </c>
      <c r="J288" s="204">
        <v>45162</v>
      </c>
      <c r="K288" s="205" t="s">
        <v>10</v>
      </c>
      <c r="L288" s="203" t="s">
        <v>35</v>
      </c>
      <c r="M288" s="203"/>
      <c r="N288" s="18"/>
      <c r="O288" s="135">
        <f>Tabla120[[#This Row],[Presupuesto]]</f>
        <v>900000</v>
      </c>
      <c r="P288" s="136">
        <f>Tabla120[[#This Row],[PPTO]]/(1+'Lista Datos'!$B$1)</f>
        <v>756302.52100840339</v>
      </c>
      <c r="Q288" s="68"/>
      <c r="R288" s="136"/>
      <c r="S288" s="142">
        <f>Tabla120[[#This Row],[Unidades2]]*Tabla120[[#This Row],[Precio Unitario]]</f>
        <v>0</v>
      </c>
      <c r="T288" s="126" t="s">
        <v>270</v>
      </c>
      <c r="U288" s="127"/>
      <c r="V288" s="68"/>
      <c r="W288" s="67"/>
      <c r="X288" s="69"/>
      <c r="Y288" s="68"/>
      <c r="Z288" s="68"/>
      <c r="AA288" s="68"/>
    </row>
    <row r="289" spans="1:27" ht="11.25" x14ac:dyDescent="0.2">
      <c r="A289" s="151" t="s">
        <v>6941</v>
      </c>
      <c r="B289" s="118" t="s">
        <v>6942</v>
      </c>
      <c r="C289" s="119" t="s">
        <v>3278</v>
      </c>
      <c r="D289" s="206" t="s">
        <v>6943</v>
      </c>
      <c r="E289" s="206" t="s">
        <v>6944</v>
      </c>
      <c r="F289" s="152">
        <v>902437</v>
      </c>
      <c r="G289" s="171">
        <f>Tabla120[[#This Row],[Presupuesto]]/(1+'Lista Datos'!$B$1)</f>
        <v>758350.42016806721</v>
      </c>
      <c r="H289" s="118" t="s">
        <v>15</v>
      </c>
      <c r="I289" s="118" t="s">
        <v>114</v>
      </c>
      <c r="J289" s="211">
        <v>45162</v>
      </c>
      <c r="K289" s="207"/>
      <c r="L289" s="206"/>
      <c r="M289" s="206"/>
      <c r="N289" s="19"/>
      <c r="O289" s="137">
        <f>Tabla120[[#This Row],[Presupuesto]]</f>
        <v>902437</v>
      </c>
      <c r="P289" s="138">
        <f>Tabla120[[#This Row],[PPTO]]/(1+'Lista Datos'!$B$1)</f>
        <v>758350.42016806721</v>
      </c>
      <c r="Q289" s="65"/>
      <c r="R289" s="138"/>
      <c r="S289" s="143">
        <f>Tabla120[[#This Row],[Unidades2]]*Tabla120[[#This Row],[Precio Unitario]]</f>
        <v>0</v>
      </c>
      <c r="T289" s="126" t="s">
        <v>270</v>
      </c>
      <c r="U289" s="122"/>
      <c r="V289" s="65"/>
      <c r="W289" s="64"/>
      <c r="X289" s="66"/>
      <c r="Y289" s="65"/>
      <c r="Z289" s="65"/>
      <c r="AA289" s="65"/>
    </row>
    <row r="290" spans="1:27" ht="11.25" x14ac:dyDescent="0.2">
      <c r="A290" s="150" t="s">
        <v>6945</v>
      </c>
      <c r="B290" s="118" t="s">
        <v>6946</v>
      </c>
      <c r="C290" s="119" t="s">
        <v>130</v>
      </c>
      <c r="D290" s="203" t="s">
        <v>6947</v>
      </c>
      <c r="E290" s="203" t="s">
        <v>6948</v>
      </c>
      <c r="F290" s="86">
        <v>1200000</v>
      </c>
      <c r="G290" s="171">
        <f>Tabla120[[#This Row],[Presupuesto]]/(1+'Lista Datos'!$B$1)</f>
        <v>1008403.3613445378</v>
      </c>
      <c r="H290" s="118" t="s">
        <v>18</v>
      </c>
      <c r="I290" s="118" t="s">
        <v>213</v>
      </c>
      <c r="J290" s="204">
        <v>45163</v>
      </c>
      <c r="K290" s="205"/>
      <c r="L290" s="203"/>
      <c r="M290" s="203"/>
      <c r="N290" s="18"/>
      <c r="O290" s="135">
        <f>Tabla120[[#This Row],[Presupuesto]]</f>
        <v>1200000</v>
      </c>
      <c r="P290" s="136">
        <f>Tabla120[[#This Row],[PPTO]]/(1+'Lista Datos'!$B$1)</f>
        <v>1008403.3613445378</v>
      </c>
      <c r="Q290" s="68"/>
      <c r="R290" s="136"/>
      <c r="S290" s="142">
        <f>Tabla120[[#This Row],[Unidades2]]*Tabla120[[#This Row],[Precio Unitario]]</f>
        <v>0</v>
      </c>
      <c r="T290" s="126" t="s">
        <v>270</v>
      </c>
      <c r="U290" s="127"/>
      <c r="V290" s="68"/>
      <c r="W290" s="67"/>
      <c r="X290" s="69"/>
      <c r="Y290" s="68"/>
      <c r="Z290" s="68"/>
      <c r="AA290" s="68"/>
    </row>
    <row r="291" spans="1:27" ht="11.25" x14ac:dyDescent="0.2">
      <c r="A291" s="150" t="s">
        <v>6949</v>
      </c>
      <c r="B291" s="118" t="s">
        <v>6950</v>
      </c>
      <c r="C291" s="119" t="s">
        <v>6951</v>
      </c>
      <c r="D291" s="203" t="s">
        <v>6952</v>
      </c>
      <c r="E291" s="203" t="s">
        <v>6953</v>
      </c>
      <c r="F291" s="86">
        <v>700000</v>
      </c>
      <c r="G291" s="171">
        <f>Tabla120[[#This Row],[Presupuesto]]/(1+'Lista Datos'!$B$1)</f>
        <v>588235.29411764711</v>
      </c>
      <c r="H291" s="118" t="s">
        <v>21</v>
      </c>
      <c r="I291" s="118" t="s">
        <v>106</v>
      </c>
      <c r="J291" s="204">
        <v>45163</v>
      </c>
      <c r="K291" s="205" t="s">
        <v>10</v>
      </c>
      <c r="L291" s="203" t="s">
        <v>35</v>
      </c>
      <c r="M291" s="203"/>
      <c r="N291" s="18"/>
      <c r="O291" s="135">
        <f>Tabla120[[#This Row],[Presupuesto]]</f>
        <v>700000</v>
      </c>
      <c r="P291" s="136">
        <f>Tabla120[[#This Row],[PPTO]]/(1+'Lista Datos'!$B$1)</f>
        <v>588235.29411764711</v>
      </c>
      <c r="Q291" s="68"/>
      <c r="R291" s="136"/>
      <c r="S291" s="142">
        <f>Tabla120[[#This Row],[Unidades2]]*Tabla120[[#This Row],[Precio Unitario]]</f>
        <v>0</v>
      </c>
      <c r="T291" s="126" t="s">
        <v>270</v>
      </c>
      <c r="U291" s="127"/>
      <c r="V291" s="68"/>
      <c r="W291" s="67"/>
      <c r="X291" s="69"/>
      <c r="Y291" s="68"/>
      <c r="Z291" s="68"/>
      <c r="AA291" s="68"/>
    </row>
    <row r="292" spans="1:27" ht="11.25" x14ac:dyDescent="0.2">
      <c r="A292" s="151" t="s">
        <v>6954</v>
      </c>
      <c r="B292" s="118" t="s">
        <v>6955</v>
      </c>
      <c r="C292" s="119" t="s">
        <v>3313</v>
      </c>
      <c r="D292" s="206" t="s">
        <v>6956</v>
      </c>
      <c r="E292" s="206" t="s">
        <v>6957</v>
      </c>
      <c r="F292" s="152">
        <v>1000000</v>
      </c>
      <c r="G292" s="171">
        <f>Tabla120[[#This Row],[Presupuesto]]/(1+'Lista Datos'!$B$1)</f>
        <v>840336.13445378153</v>
      </c>
      <c r="H292" s="118" t="s">
        <v>21</v>
      </c>
      <c r="I292" s="118" t="s">
        <v>106</v>
      </c>
      <c r="J292" s="211">
        <v>45163</v>
      </c>
      <c r="K292" s="207" t="s">
        <v>10</v>
      </c>
      <c r="L292" s="203" t="s">
        <v>35</v>
      </c>
      <c r="M292" s="206"/>
      <c r="N292" s="19"/>
      <c r="O292" s="137">
        <f>Tabla120[[#This Row],[Presupuesto]]</f>
        <v>1000000</v>
      </c>
      <c r="P292" s="138">
        <f>Tabla120[[#This Row],[PPTO]]/(1+'Lista Datos'!$B$1)</f>
        <v>840336.13445378153</v>
      </c>
      <c r="Q292" s="65"/>
      <c r="R292" s="138"/>
      <c r="S292" s="143">
        <f>Tabla120[[#This Row],[Unidades2]]*Tabla120[[#This Row],[Precio Unitario]]</f>
        <v>0</v>
      </c>
      <c r="T292" s="126" t="s">
        <v>270</v>
      </c>
      <c r="U292" s="122"/>
      <c r="V292" s="65"/>
      <c r="W292" s="64"/>
      <c r="X292" s="66"/>
      <c r="Y292" s="65"/>
      <c r="Z292" s="65"/>
      <c r="AA292" s="65"/>
    </row>
    <row r="293" spans="1:27" ht="11.25" x14ac:dyDescent="0.2">
      <c r="A293" s="150" t="s">
        <v>6958</v>
      </c>
      <c r="B293" s="118" t="s">
        <v>6959</v>
      </c>
      <c r="C293" s="119" t="s">
        <v>6960</v>
      </c>
      <c r="D293" s="203" t="s">
        <v>6961</v>
      </c>
      <c r="E293" s="203" t="s">
        <v>6962</v>
      </c>
      <c r="F293" s="86">
        <v>650000</v>
      </c>
      <c r="G293" s="171">
        <f>Tabla120[[#This Row],[Presupuesto]]/(1+'Lista Datos'!$B$1)</f>
        <v>546218.48739495804</v>
      </c>
      <c r="H293" s="118" t="s">
        <v>16</v>
      </c>
      <c r="I293" s="118" t="s">
        <v>1983</v>
      </c>
      <c r="J293" s="204">
        <v>45166</v>
      </c>
      <c r="K293" s="205" t="s">
        <v>10</v>
      </c>
      <c r="L293" s="203" t="s">
        <v>27</v>
      </c>
      <c r="M293" s="203"/>
      <c r="N293" s="18"/>
      <c r="O293" s="135">
        <f>Tabla120[[#This Row],[Presupuesto]]</f>
        <v>650000</v>
      </c>
      <c r="P293" s="136">
        <f>Tabla120[[#This Row],[PPTO]]/(1+'Lista Datos'!$B$1)</f>
        <v>546218.48739495804</v>
      </c>
      <c r="Q293" s="68"/>
      <c r="R293" s="136"/>
      <c r="S293" s="142">
        <f>Tabla120[[#This Row],[Unidades2]]*Tabla120[[#This Row],[Precio Unitario]]</f>
        <v>0</v>
      </c>
      <c r="T293" s="126" t="s">
        <v>270</v>
      </c>
      <c r="U293" s="127"/>
      <c r="V293" s="68"/>
      <c r="W293" s="67"/>
      <c r="X293" s="69"/>
      <c r="Y293" s="68"/>
      <c r="Z293" s="68"/>
      <c r="AA293" s="68"/>
    </row>
    <row r="294" spans="1:27" ht="11.25" x14ac:dyDescent="0.2">
      <c r="A294" s="150" t="s">
        <v>6963</v>
      </c>
      <c r="B294" s="118" t="s">
        <v>6964</v>
      </c>
      <c r="C294" s="119" t="s">
        <v>3843</v>
      </c>
      <c r="D294" s="203" t="s">
        <v>6965</v>
      </c>
      <c r="E294" s="203" t="s">
        <v>6966</v>
      </c>
      <c r="F294" s="86">
        <v>110000</v>
      </c>
      <c r="G294" s="171">
        <f>Tabla120[[#This Row],[Presupuesto]]/(1+'Lista Datos'!$B$1)</f>
        <v>92436.97478991597</v>
      </c>
      <c r="H294" s="118" t="s">
        <v>21</v>
      </c>
      <c r="I294" s="118" t="s">
        <v>106</v>
      </c>
      <c r="J294" s="204">
        <v>45166</v>
      </c>
      <c r="K294" s="205" t="s">
        <v>10</v>
      </c>
      <c r="L294" s="203" t="s">
        <v>27</v>
      </c>
      <c r="M294" s="203"/>
      <c r="N294" s="18"/>
      <c r="O294" s="135">
        <f>Tabla120[[#This Row],[Presupuesto]]</f>
        <v>110000</v>
      </c>
      <c r="P294" s="136">
        <f>Tabla120[[#This Row],[PPTO]]/(1+'Lista Datos'!$B$1)</f>
        <v>92436.97478991597</v>
      </c>
      <c r="Q294" s="68"/>
      <c r="R294" s="136"/>
      <c r="S294" s="142">
        <f>Tabla120[[#This Row],[Unidades2]]*Tabla120[[#This Row],[Precio Unitario]]</f>
        <v>0</v>
      </c>
      <c r="T294" s="126" t="s">
        <v>270</v>
      </c>
      <c r="U294" s="127"/>
      <c r="V294" s="68"/>
      <c r="W294" s="67"/>
      <c r="X294" s="69"/>
      <c r="Y294" s="68"/>
      <c r="Z294" s="68"/>
      <c r="AA294" s="68"/>
    </row>
    <row r="295" spans="1:27" ht="11.25" x14ac:dyDescent="0.2">
      <c r="A295" s="150" t="s">
        <v>6967</v>
      </c>
      <c r="B295" s="118" t="s">
        <v>5158</v>
      </c>
      <c r="C295" s="119" t="s">
        <v>3843</v>
      </c>
      <c r="D295" s="203" t="s">
        <v>6968</v>
      </c>
      <c r="E295" s="203" t="s">
        <v>6969</v>
      </c>
      <c r="F295" s="86">
        <v>1400000</v>
      </c>
      <c r="G295" s="171">
        <f>Tabla120[[#This Row],[Presupuesto]]/(1+'Lista Datos'!$B$1)</f>
        <v>1176470.5882352942</v>
      </c>
      <c r="H295" s="118" t="s">
        <v>21</v>
      </c>
      <c r="I295" s="118" t="s">
        <v>106</v>
      </c>
      <c r="J295" s="204">
        <v>45166</v>
      </c>
      <c r="K295" s="205" t="s">
        <v>10</v>
      </c>
      <c r="L295" s="203" t="s">
        <v>33</v>
      </c>
      <c r="M295" s="203"/>
      <c r="N295" s="18"/>
      <c r="O295" s="135">
        <f>Tabla120[[#This Row],[Presupuesto]]</f>
        <v>1400000</v>
      </c>
      <c r="P295" s="136">
        <f>Tabla120[[#This Row],[PPTO]]/(1+'Lista Datos'!$B$1)</f>
        <v>1176470.5882352942</v>
      </c>
      <c r="Q295" s="68"/>
      <c r="R295" s="136"/>
      <c r="S295" s="142">
        <f>Tabla120[[#This Row],[Unidades2]]*Tabla120[[#This Row],[Precio Unitario]]</f>
        <v>0</v>
      </c>
      <c r="T295" s="126" t="s">
        <v>270</v>
      </c>
      <c r="U295" s="127"/>
      <c r="V295" s="68"/>
      <c r="W295" s="67"/>
      <c r="X295" s="69"/>
      <c r="Y295" s="68"/>
      <c r="Z295" s="68"/>
      <c r="AA295" s="68"/>
    </row>
    <row r="296" spans="1:27" ht="11.25" x14ac:dyDescent="0.2">
      <c r="A296" s="150" t="s">
        <v>6970</v>
      </c>
      <c r="B296" s="118" t="s">
        <v>5245</v>
      </c>
      <c r="C296" s="119" t="s">
        <v>6971</v>
      </c>
      <c r="D296" s="203" t="s">
        <v>6972</v>
      </c>
      <c r="E296" s="203" t="s">
        <v>6973</v>
      </c>
      <c r="F296" s="86">
        <v>1000000</v>
      </c>
      <c r="G296" s="171">
        <f>Tabla120[[#This Row],[Presupuesto]]/(1+'Lista Datos'!$B$1)</f>
        <v>840336.13445378153</v>
      </c>
      <c r="H296" s="118" t="s">
        <v>21</v>
      </c>
      <c r="I296" s="118" t="s">
        <v>106</v>
      </c>
      <c r="J296" s="204">
        <v>45166</v>
      </c>
      <c r="K296" s="205" t="s">
        <v>10</v>
      </c>
      <c r="L296" s="203" t="s">
        <v>29</v>
      </c>
      <c r="M296" s="203" t="s">
        <v>10</v>
      </c>
      <c r="N296" s="18"/>
      <c r="O296" s="135">
        <f>Tabla120[[#This Row],[Presupuesto]]</f>
        <v>1000000</v>
      </c>
      <c r="P296" s="136">
        <f>Tabla120[[#This Row],[PPTO]]/(1+'Lista Datos'!$B$1)</f>
        <v>840336.13445378153</v>
      </c>
      <c r="Q296" s="68"/>
      <c r="R296" s="136"/>
      <c r="S296" s="142">
        <f>Tabla120[[#This Row],[Unidades2]]*Tabla120[[#This Row],[Precio Unitario]]</f>
        <v>0</v>
      </c>
      <c r="T296" s="126" t="s">
        <v>270</v>
      </c>
      <c r="U296" s="127"/>
      <c r="V296" s="68"/>
      <c r="W296" s="67"/>
      <c r="X296" s="69"/>
      <c r="Y296" s="68"/>
      <c r="Z296" s="68"/>
      <c r="AA296" s="68"/>
    </row>
    <row r="297" spans="1:27" ht="11.25" x14ac:dyDescent="0.2">
      <c r="A297" s="150" t="s">
        <v>6974</v>
      </c>
      <c r="B297" s="118" t="s">
        <v>6975</v>
      </c>
      <c r="C297" s="119" t="s">
        <v>6976</v>
      </c>
      <c r="D297" s="203" t="s">
        <v>6977</v>
      </c>
      <c r="E297" s="203" t="s">
        <v>6978</v>
      </c>
      <c r="F297" s="86">
        <v>1000000</v>
      </c>
      <c r="G297" s="171">
        <f>Tabla120[[#This Row],[Presupuesto]]/(1+'Lista Datos'!$B$1)</f>
        <v>840336.13445378153</v>
      </c>
      <c r="H297" s="118" t="s">
        <v>16</v>
      </c>
      <c r="I297" s="118" t="s">
        <v>1983</v>
      </c>
      <c r="J297" s="204">
        <v>45166</v>
      </c>
      <c r="K297" s="205"/>
      <c r="L297" s="203"/>
      <c r="M297" s="203"/>
      <c r="N297" s="18"/>
      <c r="O297" s="135">
        <f>Tabla120[[#This Row],[Presupuesto]]</f>
        <v>1000000</v>
      </c>
      <c r="P297" s="136">
        <f>Tabla120[[#This Row],[PPTO]]/(1+'Lista Datos'!$B$1)</f>
        <v>840336.13445378153</v>
      </c>
      <c r="Q297" s="68"/>
      <c r="R297" s="136"/>
      <c r="S297" s="142">
        <f>Tabla120[[#This Row],[Unidades2]]*Tabla120[[#This Row],[Precio Unitario]]</f>
        <v>0</v>
      </c>
      <c r="T297" s="126" t="s">
        <v>270</v>
      </c>
      <c r="U297" s="127"/>
      <c r="V297" s="68"/>
      <c r="W297" s="67"/>
      <c r="X297" s="69"/>
      <c r="Y297" s="68"/>
      <c r="Z297" s="68"/>
      <c r="AA297" s="68"/>
    </row>
    <row r="298" spans="1:27" ht="11.25" x14ac:dyDescent="0.2">
      <c r="A298" s="150" t="s">
        <v>6979</v>
      </c>
      <c r="B298" s="118" t="s">
        <v>6980</v>
      </c>
      <c r="C298" s="119" t="s">
        <v>3951</v>
      </c>
      <c r="D298" s="203" t="s">
        <v>6981</v>
      </c>
      <c r="E298" s="203" t="s">
        <v>6982</v>
      </c>
      <c r="F298" s="86">
        <v>1890000</v>
      </c>
      <c r="G298" s="171">
        <f>Tabla120[[#This Row],[Presupuesto]]/(1+'Lista Datos'!$B$1)</f>
        <v>1588235.2941176472</v>
      </c>
      <c r="H298" s="118" t="s">
        <v>16</v>
      </c>
      <c r="I298" s="118" t="s">
        <v>145</v>
      </c>
      <c r="J298" s="204">
        <v>45166</v>
      </c>
      <c r="K298" s="205"/>
      <c r="L298" s="203"/>
      <c r="M298" s="203"/>
      <c r="N298" s="18"/>
      <c r="O298" s="135">
        <f>Tabla120[[#This Row],[Presupuesto]]</f>
        <v>1890000</v>
      </c>
      <c r="P298" s="136">
        <f>Tabla120[[#This Row],[PPTO]]/(1+'Lista Datos'!$B$1)</f>
        <v>1588235.2941176472</v>
      </c>
      <c r="Q298" s="68"/>
      <c r="R298" s="136"/>
      <c r="S298" s="142">
        <f>Tabla120[[#This Row],[Unidades2]]*Tabla120[[#This Row],[Precio Unitario]]</f>
        <v>0</v>
      </c>
      <c r="T298" s="126" t="s">
        <v>270</v>
      </c>
      <c r="U298" s="127"/>
      <c r="V298" s="68"/>
      <c r="W298" s="67"/>
      <c r="X298" s="69"/>
      <c r="Y298" s="68"/>
      <c r="Z298" s="68"/>
      <c r="AA298" s="68"/>
    </row>
    <row r="299" spans="1:27" ht="11.25" x14ac:dyDescent="0.2">
      <c r="A299" s="151" t="s">
        <v>6983</v>
      </c>
      <c r="B299" s="118" t="s">
        <v>6984</v>
      </c>
      <c r="C299" s="119" t="s">
        <v>6881</v>
      </c>
      <c r="D299" s="206" t="s">
        <v>6985</v>
      </c>
      <c r="E299" s="206" t="s">
        <v>6986</v>
      </c>
      <c r="F299" s="152">
        <v>210000</v>
      </c>
      <c r="G299" s="171">
        <f>Tabla120[[#This Row],[Presupuesto]]/(1+'Lista Datos'!$B$1)</f>
        <v>176470.58823529413</v>
      </c>
      <c r="H299" s="118" t="s">
        <v>16</v>
      </c>
      <c r="I299" s="118" t="s">
        <v>778</v>
      </c>
      <c r="J299" s="211">
        <v>45166</v>
      </c>
      <c r="K299" s="207" t="s">
        <v>10</v>
      </c>
      <c r="L299" s="206" t="s">
        <v>27</v>
      </c>
      <c r="M299" s="206"/>
      <c r="N299" s="19"/>
      <c r="O299" s="137">
        <f>Tabla120[[#This Row],[Presupuesto]]</f>
        <v>210000</v>
      </c>
      <c r="P299" s="138">
        <f>Tabla120[[#This Row],[PPTO]]/(1+'Lista Datos'!$B$1)</f>
        <v>176470.58823529413</v>
      </c>
      <c r="Q299" s="65"/>
      <c r="R299" s="138"/>
      <c r="S299" s="143">
        <f>Tabla120[[#This Row],[Unidades2]]*Tabla120[[#This Row],[Precio Unitario]]</f>
        <v>0</v>
      </c>
      <c r="T299" s="126" t="s">
        <v>270</v>
      </c>
      <c r="U299" s="122"/>
      <c r="V299" s="65"/>
      <c r="W299" s="64"/>
      <c r="X299" s="66"/>
      <c r="Y299" s="65"/>
      <c r="Z299" s="65"/>
      <c r="AA299" s="65"/>
    </row>
    <row r="300" spans="1:27" ht="11.25" x14ac:dyDescent="0.2">
      <c r="A300" s="150" t="s">
        <v>6987</v>
      </c>
      <c r="B300" s="118" t="s">
        <v>6988</v>
      </c>
      <c r="C300" s="119" t="s">
        <v>5613</v>
      </c>
      <c r="D300" s="203" t="s">
        <v>6989</v>
      </c>
      <c r="E300" s="203" t="s">
        <v>6990</v>
      </c>
      <c r="F300" s="86">
        <v>1309000</v>
      </c>
      <c r="G300" s="171">
        <f>Tabla120[[#This Row],[Presupuesto]]/(1+'Lista Datos'!$B$1)</f>
        <v>1100000</v>
      </c>
      <c r="H300" s="118" t="s">
        <v>21</v>
      </c>
      <c r="I300" s="118" t="s">
        <v>106</v>
      </c>
      <c r="J300" s="204">
        <v>45168</v>
      </c>
      <c r="K300" s="205" t="s">
        <v>11</v>
      </c>
      <c r="L300" s="203"/>
      <c r="M300" s="203" t="s">
        <v>11</v>
      </c>
      <c r="N300" s="18" t="s">
        <v>6991</v>
      </c>
      <c r="O300" s="135">
        <f>Tabla120[[#This Row],[Presupuesto]]</f>
        <v>1309000</v>
      </c>
      <c r="P300" s="136">
        <f>Tabla120[[#This Row],[PPTO]]/(1+'Lista Datos'!$B$1)</f>
        <v>1100000</v>
      </c>
      <c r="Q300" s="68">
        <v>2</v>
      </c>
      <c r="R300" s="136">
        <v>549926</v>
      </c>
      <c r="S300" s="142">
        <f>Tabla120[[#This Row],[Unidades2]]*Tabla120[[#This Row],[Precio Unitario]]</f>
        <v>1099852</v>
      </c>
      <c r="T300" s="126" t="s">
        <v>270</v>
      </c>
      <c r="U300" s="127"/>
      <c r="V300" s="68"/>
      <c r="W300" s="67"/>
      <c r="X300" s="69"/>
      <c r="Y300" s="68"/>
      <c r="Z300" s="68"/>
      <c r="AA300" s="68"/>
    </row>
    <row r="301" spans="1:27" ht="11.25" x14ac:dyDescent="0.2">
      <c r="A301" s="150" t="s">
        <v>6992</v>
      </c>
      <c r="B301" s="118" t="s">
        <v>6993</v>
      </c>
      <c r="C301" s="119" t="s">
        <v>391</v>
      </c>
      <c r="D301" s="203" t="s">
        <v>6994</v>
      </c>
      <c r="E301" s="203" t="s">
        <v>6995</v>
      </c>
      <c r="F301" s="86">
        <v>1700000</v>
      </c>
      <c r="G301" s="171">
        <f>Tabla120[[#This Row],[Presupuesto]]/(1+'Lista Datos'!$B$1)</f>
        <v>1428571.4285714286</v>
      </c>
      <c r="H301" s="118" t="s">
        <v>18</v>
      </c>
      <c r="I301" s="118" t="s">
        <v>213</v>
      </c>
      <c r="J301" s="204">
        <v>45168</v>
      </c>
      <c r="K301" s="205"/>
      <c r="L301" s="203"/>
      <c r="M301" s="203"/>
      <c r="N301" s="18"/>
      <c r="O301" s="135">
        <f>Tabla120[[#This Row],[Presupuesto]]</f>
        <v>1700000</v>
      </c>
      <c r="P301" s="136">
        <f>Tabla120[[#This Row],[PPTO]]/(1+'Lista Datos'!$B$1)</f>
        <v>1428571.4285714286</v>
      </c>
      <c r="Q301" s="68"/>
      <c r="R301" s="136"/>
      <c r="S301" s="142">
        <f>Tabla120[[#This Row],[Unidades2]]*Tabla120[[#This Row],[Precio Unitario]]</f>
        <v>0</v>
      </c>
      <c r="T301" s="126" t="s">
        <v>270</v>
      </c>
      <c r="U301" s="127"/>
      <c r="V301" s="68"/>
      <c r="W301" s="67"/>
      <c r="X301" s="69"/>
      <c r="Y301" s="68"/>
      <c r="Z301" s="68"/>
      <c r="AA301" s="68"/>
    </row>
    <row r="302" spans="1:27" ht="11.25" x14ac:dyDescent="0.2">
      <c r="A302" s="151" t="s">
        <v>6996</v>
      </c>
      <c r="B302" s="118" t="s">
        <v>6997</v>
      </c>
      <c r="C302" s="119" t="s">
        <v>6998</v>
      </c>
      <c r="D302" s="206" t="s">
        <v>6999</v>
      </c>
      <c r="E302" s="206" t="s">
        <v>7000</v>
      </c>
      <c r="F302" s="152">
        <v>240000</v>
      </c>
      <c r="G302" s="171">
        <f>Tabla120[[#This Row],[Presupuesto]]/(1+'Lista Datos'!$B$1)</f>
        <v>201680.67226890757</v>
      </c>
      <c r="H302" s="118" t="s">
        <v>21</v>
      </c>
      <c r="I302" s="118" t="s">
        <v>106</v>
      </c>
      <c r="J302" s="211">
        <v>45168</v>
      </c>
      <c r="K302" s="207" t="s">
        <v>10</v>
      </c>
      <c r="L302" s="206" t="s">
        <v>27</v>
      </c>
      <c r="M302" s="206"/>
      <c r="N302" s="19"/>
      <c r="O302" s="137">
        <f>Tabla120[[#This Row],[Presupuesto]]</f>
        <v>240000</v>
      </c>
      <c r="P302" s="138">
        <f>Tabla120[[#This Row],[PPTO]]/(1+'Lista Datos'!$B$1)</f>
        <v>201680.67226890757</v>
      </c>
      <c r="Q302" s="65"/>
      <c r="R302" s="138"/>
      <c r="S302" s="143">
        <f>Tabla120[[#This Row],[Unidades2]]*Tabla120[[#This Row],[Precio Unitario]]</f>
        <v>0</v>
      </c>
      <c r="T302" s="126" t="s">
        <v>270</v>
      </c>
      <c r="U302" s="122"/>
      <c r="V302" s="65"/>
      <c r="W302" s="64"/>
      <c r="X302" s="66"/>
      <c r="Y302" s="65"/>
      <c r="Z302" s="65"/>
      <c r="AA302" s="65"/>
    </row>
    <row r="303" spans="1:27" ht="11.25" x14ac:dyDescent="0.2">
      <c r="A303" s="150" t="s">
        <v>7001</v>
      </c>
      <c r="B303" s="118" t="s">
        <v>7002</v>
      </c>
      <c r="C303" s="119" t="s">
        <v>724</v>
      </c>
      <c r="D303" s="203" t="s">
        <v>7003</v>
      </c>
      <c r="E303" s="203" t="s">
        <v>7004</v>
      </c>
      <c r="F303" s="86">
        <v>373794</v>
      </c>
      <c r="G303" s="171">
        <f>Tabla120[[#This Row],[Presupuesto]]/(1+'Lista Datos'!$B$1)</f>
        <v>314112.60504201683</v>
      </c>
      <c r="H303" s="118" t="s">
        <v>16</v>
      </c>
      <c r="I303" s="118" t="s">
        <v>145</v>
      </c>
      <c r="J303" s="204">
        <v>45170</v>
      </c>
      <c r="K303" s="205"/>
      <c r="L303" s="203"/>
      <c r="M303" s="203"/>
      <c r="N303" s="18"/>
      <c r="O303" s="135">
        <f>Tabla120[[#This Row],[Presupuesto]]</f>
        <v>373794</v>
      </c>
      <c r="P303" s="136">
        <f>Tabla120[[#This Row],[PPTO]]/(1+'Lista Datos'!$B$1)</f>
        <v>314112.60504201683</v>
      </c>
      <c r="Q303" s="68"/>
      <c r="R303" s="136"/>
      <c r="S303" s="142">
        <f>Tabla120[[#This Row],[Unidades2]]*Tabla120[[#This Row],[Precio Unitario]]</f>
        <v>0</v>
      </c>
      <c r="T303" s="126" t="s">
        <v>270</v>
      </c>
      <c r="U303" s="127"/>
      <c r="V303" s="68"/>
      <c r="W303" s="67"/>
      <c r="X303" s="69"/>
      <c r="Y303" s="68"/>
      <c r="Z303" s="68"/>
      <c r="AA303" s="68"/>
    </row>
    <row r="304" spans="1:27" ht="11.25" x14ac:dyDescent="0.2">
      <c r="A304" s="150" t="s">
        <v>7005</v>
      </c>
      <c r="B304" s="118" t="s">
        <v>7006</v>
      </c>
      <c r="C304" s="119" t="s">
        <v>4929</v>
      </c>
      <c r="D304" s="203" t="s">
        <v>7007</v>
      </c>
      <c r="E304" s="203" t="s">
        <v>7008</v>
      </c>
      <c r="F304" s="86">
        <v>487900</v>
      </c>
      <c r="G304" s="171">
        <f>Tabla120[[#This Row],[Presupuesto]]/(1+'Lista Datos'!$B$1)</f>
        <v>410000</v>
      </c>
      <c r="H304" s="118" t="s">
        <v>16</v>
      </c>
      <c r="I304" s="118" t="s">
        <v>6289</v>
      </c>
      <c r="J304" s="204">
        <v>45170</v>
      </c>
      <c r="K304" s="205"/>
      <c r="L304" s="203"/>
      <c r="M304" s="203"/>
      <c r="N304" s="18"/>
      <c r="O304" s="135">
        <f>Tabla120[[#This Row],[Presupuesto]]</f>
        <v>487900</v>
      </c>
      <c r="P304" s="136">
        <f>Tabla120[[#This Row],[PPTO]]/(1+'Lista Datos'!$B$1)</f>
        <v>410000</v>
      </c>
      <c r="Q304" s="68"/>
      <c r="R304" s="136"/>
      <c r="S304" s="142">
        <f>Tabla120[[#This Row],[Unidades2]]*Tabla120[[#This Row],[Precio Unitario]]</f>
        <v>0</v>
      </c>
      <c r="T304" s="126" t="s">
        <v>270</v>
      </c>
      <c r="U304" s="127"/>
      <c r="V304" s="68"/>
      <c r="W304" s="67"/>
      <c r="X304" s="69"/>
      <c r="Y304" s="68"/>
      <c r="Z304" s="68"/>
      <c r="AA304" s="68"/>
    </row>
    <row r="305" spans="1:27" ht="11.25" x14ac:dyDescent="0.2">
      <c r="A305" s="150" t="s">
        <v>7009</v>
      </c>
      <c r="B305" s="118" t="s">
        <v>7010</v>
      </c>
      <c r="C305" s="119" t="s">
        <v>7011</v>
      </c>
      <c r="D305" s="203" t="s">
        <v>7012</v>
      </c>
      <c r="E305" s="203" t="s">
        <v>7013</v>
      </c>
      <c r="F305" s="86">
        <v>1800000</v>
      </c>
      <c r="G305" s="171">
        <f>Tabla120[[#This Row],[Presupuesto]]/(1+'Lista Datos'!$B$1)</f>
        <v>1512605.0420168068</v>
      </c>
      <c r="H305" s="118" t="s">
        <v>21</v>
      </c>
      <c r="I305" s="118" t="s">
        <v>106</v>
      </c>
      <c r="J305" s="204">
        <v>45170</v>
      </c>
      <c r="K305" s="205"/>
      <c r="L305" s="203"/>
      <c r="M305" s="203"/>
      <c r="N305" s="18"/>
      <c r="O305" s="135">
        <f>Tabla120[[#This Row],[Presupuesto]]</f>
        <v>1800000</v>
      </c>
      <c r="P305" s="136">
        <f>Tabla120[[#This Row],[PPTO]]/(1+'Lista Datos'!$B$1)</f>
        <v>1512605.0420168068</v>
      </c>
      <c r="Q305" s="68"/>
      <c r="R305" s="136"/>
      <c r="S305" s="142">
        <f>Tabla120[[#This Row],[Unidades2]]*Tabla120[[#This Row],[Precio Unitario]]</f>
        <v>0</v>
      </c>
      <c r="T305" s="126" t="s">
        <v>270</v>
      </c>
      <c r="U305" s="127"/>
      <c r="V305" s="68"/>
      <c r="W305" s="67"/>
      <c r="X305" s="69"/>
      <c r="Y305" s="68"/>
      <c r="Z305" s="68"/>
      <c r="AA305" s="68"/>
    </row>
    <row r="306" spans="1:27" ht="11.25" x14ac:dyDescent="0.2">
      <c r="A306" s="151" t="s">
        <v>7014</v>
      </c>
      <c r="B306" s="118" t="s">
        <v>7015</v>
      </c>
      <c r="C306" s="119" t="s">
        <v>4751</v>
      </c>
      <c r="D306" s="206" t="s">
        <v>7016</v>
      </c>
      <c r="E306" s="206" t="s">
        <v>7017</v>
      </c>
      <c r="F306" s="152">
        <v>1800000</v>
      </c>
      <c r="G306" s="171">
        <f>Tabla120[[#This Row],[Presupuesto]]/(1+'Lista Datos'!$B$1)</f>
        <v>1512605.0420168068</v>
      </c>
      <c r="H306" s="118" t="s">
        <v>18</v>
      </c>
      <c r="I306" s="118" t="s">
        <v>213</v>
      </c>
      <c r="J306" s="211">
        <v>45170</v>
      </c>
      <c r="K306" s="207"/>
      <c r="L306" s="206"/>
      <c r="M306" s="206"/>
      <c r="N306" s="19"/>
      <c r="O306" s="137">
        <f>Tabla120[[#This Row],[Presupuesto]]</f>
        <v>1800000</v>
      </c>
      <c r="P306" s="138">
        <f>Tabla120[[#This Row],[PPTO]]/(1+'Lista Datos'!$B$1)</f>
        <v>1512605.0420168068</v>
      </c>
      <c r="Q306" s="65"/>
      <c r="R306" s="138"/>
      <c r="S306" s="143">
        <f>Tabla120[[#This Row],[Unidades2]]*Tabla120[[#This Row],[Precio Unitario]]</f>
        <v>0</v>
      </c>
      <c r="T306" s="126" t="s">
        <v>270</v>
      </c>
      <c r="U306" s="122"/>
      <c r="V306" s="65"/>
      <c r="W306" s="64"/>
      <c r="X306" s="66"/>
      <c r="Y306" s="65"/>
      <c r="Z306" s="65"/>
      <c r="AA306" s="65"/>
    </row>
    <row r="307" spans="1:27" ht="11.25" x14ac:dyDescent="0.2">
      <c r="A307" s="150" t="s">
        <v>7018</v>
      </c>
      <c r="B307" s="118" t="s">
        <v>7019</v>
      </c>
      <c r="C307" s="119" t="s">
        <v>6951</v>
      </c>
      <c r="D307" s="203" t="s">
        <v>7020</v>
      </c>
      <c r="E307" s="203" t="s">
        <v>7021</v>
      </c>
      <c r="F307" s="86">
        <v>100000</v>
      </c>
      <c r="G307" s="171">
        <f>Tabla120[[#This Row],[Presupuesto]]/(1+'Lista Datos'!$B$1)</f>
        <v>84033.613445378156</v>
      </c>
      <c r="H307" s="118" t="s">
        <v>21</v>
      </c>
      <c r="I307" s="118" t="s">
        <v>106</v>
      </c>
      <c r="J307" s="204">
        <v>45173</v>
      </c>
      <c r="K307" s="205" t="s">
        <v>10</v>
      </c>
      <c r="L307" s="203" t="s">
        <v>27</v>
      </c>
      <c r="M307" s="203"/>
      <c r="N307" s="18"/>
      <c r="O307" s="135">
        <f>Tabla120[[#This Row],[Presupuesto]]</f>
        <v>100000</v>
      </c>
      <c r="P307" s="136">
        <f>Tabla120[[#This Row],[PPTO]]/(1+'Lista Datos'!$B$1)</f>
        <v>84033.613445378156</v>
      </c>
      <c r="Q307" s="68"/>
      <c r="R307" s="136"/>
      <c r="S307" s="142">
        <f>Tabla120[[#This Row],[Unidades2]]*Tabla120[[#This Row],[Precio Unitario]]</f>
        <v>0</v>
      </c>
      <c r="T307" s="126" t="s">
        <v>270</v>
      </c>
      <c r="U307" s="127"/>
      <c r="V307" s="68"/>
      <c r="W307" s="67"/>
      <c r="X307" s="69"/>
      <c r="Y307" s="68"/>
      <c r="Z307" s="68"/>
      <c r="AA307" s="68"/>
    </row>
    <row r="308" spans="1:27" ht="11.25" x14ac:dyDescent="0.2">
      <c r="A308" s="150" t="s">
        <v>7022</v>
      </c>
      <c r="B308" s="118" t="s">
        <v>6590</v>
      </c>
      <c r="C308" s="119" t="s">
        <v>3047</v>
      </c>
      <c r="D308" s="203" t="s">
        <v>7023</v>
      </c>
      <c r="E308" s="203" t="s">
        <v>7008</v>
      </c>
      <c r="F308" s="86">
        <v>400000</v>
      </c>
      <c r="G308" s="171">
        <f>Tabla120[[#This Row],[Presupuesto]]/(1+'Lista Datos'!$B$1)</f>
        <v>336134.45378151262</v>
      </c>
      <c r="H308" s="118" t="s">
        <v>14</v>
      </c>
      <c r="I308" s="118" t="s">
        <v>533</v>
      </c>
      <c r="J308" s="204">
        <v>45173</v>
      </c>
      <c r="K308" s="205"/>
      <c r="L308" s="203"/>
      <c r="M308" s="203"/>
      <c r="N308" s="18"/>
      <c r="O308" s="135">
        <f>Tabla120[[#This Row],[Presupuesto]]</f>
        <v>400000</v>
      </c>
      <c r="P308" s="136">
        <f>Tabla120[[#This Row],[PPTO]]/(1+'Lista Datos'!$B$1)</f>
        <v>336134.45378151262</v>
      </c>
      <c r="Q308" s="68"/>
      <c r="R308" s="136"/>
      <c r="S308" s="142">
        <f>Tabla120[[#This Row],[Unidades2]]*Tabla120[[#This Row],[Precio Unitario]]</f>
        <v>0</v>
      </c>
      <c r="T308" s="126" t="s">
        <v>270</v>
      </c>
      <c r="U308" s="127"/>
      <c r="V308" s="68"/>
      <c r="W308" s="67"/>
      <c r="X308" s="69"/>
      <c r="Y308" s="68"/>
      <c r="Z308" s="68"/>
      <c r="AA308" s="68"/>
    </row>
    <row r="309" spans="1:27" ht="11.25" x14ac:dyDescent="0.2">
      <c r="A309" s="151" t="s">
        <v>7024</v>
      </c>
      <c r="B309" s="118" t="s">
        <v>7025</v>
      </c>
      <c r="C309" s="119" t="s">
        <v>7026</v>
      </c>
      <c r="D309" s="206" t="s">
        <v>7027</v>
      </c>
      <c r="E309" s="206" t="s">
        <v>7028</v>
      </c>
      <c r="F309" s="152">
        <v>558000</v>
      </c>
      <c r="G309" s="171">
        <f>Tabla120[[#This Row],[Presupuesto]]/(1+'Lista Datos'!$B$1)</f>
        <v>468907.56302521011</v>
      </c>
      <c r="H309" s="118" t="s">
        <v>16</v>
      </c>
      <c r="I309" s="118" t="s">
        <v>145</v>
      </c>
      <c r="J309" s="211">
        <v>45173</v>
      </c>
      <c r="K309" s="207"/>
      <c r="L309" s="206"/>
      <c r="M309" s="206"/>
      <c r="N309" s="19"/>
      <c r="O309" s="137">
        <f>Tabla120[[#This Row],[Presupuesto]]</f>
        <v>558000</v>
      </c>
      <c r="P309" s="138">
        <f>Tabla120[[#This Row],[PPTO]]/(1+'Lista Datos'!$B$1)</f>
        <v>468907.56302521011</v>
      </c>
      <c r="Q309" s="65"/>
      <c r="R309" s="138"/>
      <c r="S309" s="143">
        <f>Tabla120[[#This Row],[Unidades2]]*Tabla120[[#This Row],[Precio Unitario]]</f>
        <v>0</v>
      </c>
      <c r="T309" s="126" t="s">
        <v>270</v>
      </c>
      <c r="U309" s="122"/>
      <c r="V309" s="65"/>
      <c r="W309" s="64"/>
      <c r="X309" s="66"/>
      <c r="Y309" s="65"/>
      <c r="Z309" s="65"/>
      <c r="AA309" s="65"/>
    </row>
    <row r="310" spans="1:27" ht="11.25" x14ac:dyDescent="0.2">
      <c r="A310" s="150" t="s">
        <v>7029</v>
      </c>
      <c r="B310" s="118" t="s">
        <v>7030</v>
      </c>
      <c r="C310" s="119" t="s">
        <v>4006</v>
      </c>
      <c r="D310" s="203" t="s">
        <v>7031</v>
      </c>
      <c r="E310" s="203" t="s">
        <v>7032</v>
      </c>
      <c r="F310" s="86">
        <v>400000</v>
      </c>
      <c r="G310" s="171">
        <f>Tabla120[[#This Row],[Presupuesto]]/(1+'Lista Datos'!$B$1)</f>
        <v>336134.45378151262</v>
      </c>
      <c r="H310" s="118" t="s">
        <v>16</v>
      </c>
      <c r="I310" s="118" t="s">
        <v>6289</v>
      </c>
      <c r="J310" s="204">
        <v>45174</v>
      </c>
      <c r="K310" s="205" t="s">
        <v>10</v>
      </c>
      <c r="L310" s="203" t="s">
        <v>33</v>
      </c>
      <c r="M310" s="203"/>
      <c r="N310" s="18"/>
      <c r="O310" s="135">
        <f>Tabla120[[#This Row],[Presupuesto]]</f>
        <v>400000</v>
      </c>
      <c r="P310" s="136">
        <f>Tabla120[[#This Row],[PPTO]]/(1+'Lista Datos'!$B$1)</f>
        <v>336134.45378151262</v>
      </c>
      <c r="Q310" s="68"/>
      <c r="R310" s="136"/>
      <c r="S310" s="142">
        <f>Tabla120[[#This Row],[Unidades2]]*Tabla120[[#This Row],[Precio Unitario]]</f>
        <v>0</v>
      </c>
      <c r="T310" s="126" t="s">
        <v>270</v>
      </c>
      <c r="U310" s="127"/>
      <c r="V310" s="68"/>
      <c r="W310" s="67"/>
      <c r="X310" s="69"/>
      <c r="Y310" s="68"/>
      <c r="Z310" s="68"/>
      <c r="AA310" s="68"/>
    </row>
    <row r="311" spans="1:27" ht="11.25" x14ac:dyDescent="0.2">
      <c r="A311" s="150" t="s">
        <v>7033</v>
      </c>
      <c r="B311" s="118" t="s">
        <v>4694</v>
      </c>
      <c r="C311" s="119" t="s">
        <v>7034</v>
      </c>
      <c r="D311" s="203" t="s">
        <v>7035</v>
      </c>
      <c r="E311" s="203" t="s">
        <v>7036</v>
      </c>
      <c r="F311" s="86">
        <v>720000</v>
      </c>
      <c r="G311" s="171">
        <f>Tabla120[[#This Row],[Presupuesto]]/(1+'Lista Datos'!$B$1)</f>
        <v>605042.01680672274</v>
      </c>
      <c r="H311" s="118" t="s">
        <v>16</v>
      </c>
      <c r="I311" s="118" t="s">
        <v>6289</v>
      </c>
      <c r="J311" s="204">
        <v>45174</v>
      </c>
      <c r="K311" s="205" t="s">
        <v>10</v>
      </c>
      <c r="L311" s="203" t="s">
        <v>33</v>
      </c>
      <c r="M311" s="203"/>
      <c r="N311" s="18"/>
      <c r="O311" s="135">
        <f>Tabla120[[#This Row],[Presupuesto]]</f>
        <v>720000</v>
      </c>
      <c r="P311" s="136">
        <f>Tabla120[[#This Row],[PPTO]]/(1+'Lista Datos'!$B$1)</f>
        <v>605042.01680672274</v>
      </c>
      <c r="Q311" s="68"/>
      <c r="R311" s="136"/>
      <c r="S311" s="142">
        <f>Tabla120[[#This Row],[Unidades2]]*Tabla120[[#This Row],[Precio Unitario]]</f>
        <v>0</v>
      </c>
      <c r="T311" s="126" t="s">
        <v>270</v>
      </c>
      <c r="U311" s="127"/>
      <c r="V311" s="68"/>
      <c r="W311" s="67"/>
      <c r="X311" s="69"/>
      <c r="Y311" s="68"/>
      <c r="Z311" s="68"/>
      <c r="AA311" s="68"/>
    </row>
    <row r="312" spans="1:27" ht="11.25" x14ac:dyDescent="0.2">
      <c r="A312" s="151" t="s">
        <v>7037</v>
      </c>
      <c r="B312" s="118" t="s">
        <v>7038</v>
      </c>
      <c r="C312" s="119" t="s">
        <v>7039</v>
      </c>
      <c r="D312" s="206" t="s">
        <v>7040</v>
      </c>
      <c r="E312" s="206" t="s">
        <v>7041</v>
      </c>
      <c r="F312" s="152">
        <v>200000</v>
      </c>
      <c r="G312" s="171">
        <f>Tabla120[[#This Row],[Presupuesto]]/(1+'Lista Datos'!$B$1)</f>
        <v>168067.22689075631</v>
      </c>
      <c r="H312" s="118" t="s">
        <v>14</v>
      </c>
      <c r="I312" s="118" t="s">
        <v>1983</v>
      </c>
      <c r="J312" s="211">
        <v>45174</v>
      </c>
      <c r="K312" s="207" t="s">
        <v>10</v>
      </c>
      <c r="L312" s="206" t="s">
        <v>27</v>
      </c>
      <c r="M312" s="206"/>
      <c r="N312" s="19"/>
      <c r="O312" s="137">
        <f>Tabla120[[#This Row],[Presupuesto]]</f>
        <v>200000</v>
      </c>
      <c r="P312" s="138">
        <f>Tabla120[[#This Row],[PPTO]]/(1+'Lista Datos'!$B$1)</f>
        <v>168067.22689075631</v>
      </c>
      <c r="Q312" s="65"/>
      <c r="R312" s="138"/>
      <c r="S312" s="143">
        <f>Tabla120[[#This Row],[Unidades2]]*Tabla120[[#This Row],[Precio Unitario]]</f>
        <v>0</v>
      </c>
      <c r="T312" s="126" t="s">
        <v>270</v>
      </c>
      <c r="U312" s="122"/>
      <c r="V312" s="65"/>
      <c r="W312" s="64"/>
      <c r="X312" s="66"/>
      <c r="Y312" s="65"/>
      <c r="Z312" s="65"/>
      <c r="AA312" s="65"/>
    </row>
    <row r="313" spans="1:27" ht="11.25" x14ac:dyDescent="0.2">
      <c r="A313" s="150" t="s">
        <v>7042</v>
      </c>
      <c r="B313" s="118" t="s">
        <v>7043</v>
      </c>
      <c r="C313" s="119" t="s">
        <v>929</v>
      </c>
      <c r="D313" s="203" t="s">
        <v>7044</v>
      </c>
      <c r="E313" s="203" t="s">
        <v>7045</v>
      </c>
      <c r="F313" s="86">
        <v>1800000</v>
      </c>
      <c r="G313" s="171">
        <f>Tabla120[[#This Row],[Presupuesto]]/(1+'Lista Datos'!$B$1)</f>
        <v>1512605.0420168068</v>
      </c>
      <c r="H313" s="118" t="s">
        <v>21</v>
      </c>
      <c r="I313" s="118" t="s">
        <v>106</v>
      </c>
      <c r="J313" s="204">
        <v>45175</v>
      </c>
      <c r="K313" s="205"/>
      <c r="L313" s="203"/>
      <c r="M313" s="203"/>
      <c r="N313" s="18"/>
      <c r="O313" s="135">
        <f>Tabla120[[#This Row],[Presupuesto]]</f>
        <v>1800000</v>
      </c>
      <c r="P313" s="136">
        <f>Tabla120[[#This Row],[PPTO]]/(1+'Lista Datos'!$B$1)</f>
        <v>1512605.0420168068</v>
      </c>
      <c r="Q313" s="68"/>
      <c r="R313" s="136"/>
      <c r="S313" s="142">
        <f>Tabla120[[#This Row],[Unidades2]]*Tabla120[[#This Row],[Precio Unitario]]</f>
        <v>0</v>
      </c>
      <c r="T313" s="126" t="s">
        <v>270</v>
      </c>
      <c r="U313" s="127"/>
      <c r="V313" s="68"/>
      <c r="W313" s="67"/>
      <c r="X313" s="69"/>
      <c r="Y313" s="68"/>
      <c r="Z313" s="68"/>
      <c r="AA313" s="68"/>
    </row>
    <row r="314" spans="1:27" ht="11.25" x14ac:dyDescent="0.2">
      <c r="A314" s="150" t="s">
        <v>7046</v>
      </c>
      <c r="B314" s="118" t="s">
        <v>7047</v>
      </c>
      <c r="C314" s="119" t="s">
        <v>113</v>
      </c>
      <c r="D314" s="203" t="s">
        <v>7048</v>
      </c>
      <c r="E314" s="203" t="s">
        <v>7045</v>
      </c>
      <c r="F314" s="86">
        <v>290000</v>
      </c>
      <c r="G314" s="171">
        <f>Tabla120[[#This Row],[Presupuesto]]/(1+'Lista Datos'!$B$1)</f>
        <v>243697.47899159664</v>
      </c>
      <c r="H314" s="118" t="s">
        <v>16</v>
      </c>
      <c r="I314" s="118" t="s">
        <v>6289</v>
      </c>
      <c r="J314" s="204">
        <v>45175</v>
      </c>
      <c r="K314" s="205"/>
      <c r="L314" s="203"/>
      <c r="M314" s="203"/>
      <c r="N314" s="18"/>
      <c r="O314" s="135">
        <f>Tabla120[[#This Row],[Presupuesto]]</f>
        <v>290000</v>
      </c>
      <c r="P314" s="136">
        <f>Tabla120[[#This Row],[PPTO]]/(1+'Lista Datos'!$B$1)</f>
        <v>243697.47899159664</v>
      </c>
      <c r="Q314" s="68"/>
      <c r="R314" s="136"/>
      <c r="S314" s="142">
        <f>Tabla120[[#This Row],[Unidades2]]*Tabla120[[#This Row],[Precio Unitario]]</f>
        <v>0</v>
      </c>
      <c r="T314" s="126" t="s">
        <v>270</v>
      </c>
      <c r="U314" s="127"/>
      <c r="V314" s="68"/>
      <c r="W314" s="67"/>
      <c r="X314" s="69"/>
      <c r="Y314" s="68"/>
      <c r="Z314" s="68"/>
      <c r="AA314" s="68"/>
    </row>
    <row r="315" spans="1:27" ht="11.25" x14ac:dyDescent="0.2">
      <c r="A315" s="151" t="s">
        <v>7049</v>
      </c>
      <c r="B315" s="118" t="s">
        <v>7050</v>
      </c>
      <c r="C315" s="119" t="s">
        <v>1987</v>
      </c>
      <c r="D315" s="206" t="s">
        <v>7051</v>
      </c>
      <c r="E315" s="206" t="s">
        <v>7052</v>
      </c>
      <c r="F315" s="152">
        <v>1150000</v>
      </c>
      <c r="G315" s="171">
        <f>Tabla120[[#This Row],[Presupuesto]]/(1+'Lista Datos'!$B$1)</f>
        <v>966386.55462184874</v>
      </c>
      <c r="H315" s="118" t="s">
        <v>21</v>
      </c>
      <c r="I315" s="118" t="s">
        <v>106</v>
      </c>
      <c r="J315" s="211">
        <v>45175</v>
      </c>
      <c r="K315" s="207" t="s">
        <v>10</v>
      </c>
      <c r="L315" s="206" t="s">
        <v>34</v>
      </c>
      <c r="M315" s="206"/>
      <c r="N315" s="19"/>
      <c r="O315" s="137">
        <f>Tabla120[[#This Row],[Presupuesto]]</f>
        <v>1150000</v>
      </c>
      <c r="P315" s="138">
        <f>Tabla120[[#This Row],[PPTO]]/(1+'Lista Datos'!$B$1)</f>
        <v>966386.55462184874</v>
      </c>
      <c r="Q315" s="65"/>
      <c r="R315" s="138"/>
      <c r="S315" s="143">
        <f>Tabla120[[#This Row],[Unidades2]]*Tabla120[[#This Row],[Precio Unitario]]</f>
        <v>0</v>
      </c>
      <c r="T315" s="126" t="s">
        <v>270</v>
      </c>
      <c r="U315" s="122"/>
      <c r="V315" s="65"/>
      <c r="W315" s="64"/>
      <c r="X315" s="66"/>
      <c r="Y315" s="65"/>
      <c r="Z315" s="65"/>
      <c r="AA315" s="65"/>
    </row>
    <row r="316" spans="1:27" ht="11.25" x14ac:dyDescent="0.2">
      <c r="A316" s="150" t="s">
        <v>7053</v>
      </c>
      <c r="B316" s="118" t="s">
        <v>7054</v>
      </c>
      <c r="C316" s="119" t="s">
        <v>7055</v>
      </c>
      <c r="D316" s="203" t="s">
        <v>7056</v>
      </c>
      <c r="E316" s="203" t="s">
        <v>7057</v>
      </c>
      <c r="F316" s="86">
        <v>1000000</v>
      </c>
      <c r="G316" s="171">
        <f>Tabla120[[#This Row],[Presupuesto]]/(1+'Lista Datos'!$B$1)</f>
        <v>840336.13445378153</v>
      </c>
      <c r="H316" s="118" t="s">
        <v>16</v>
      </c>
      <c r="I316" s="118" t="s">
        <v>6289</v>
      </c>
      <c r="J316" s="204">
        <v>45177</v>
      </c>
      <c r="K316" s="205"/>
      <c r="L316" s="203"/>
      <c r="M316" s="203"/>
      <c r="N316" s="18"/>
      <c r="O316" s="135">
        <f>Tabla120[[#This Row],[Presupuesto]]</f>
        <v>1000000</v>
      </c>
      <c r="P316" s="136">
        <f>Tabla120[[#This Row],[PPTO]]/(1+'Lista Datos'!$B$1)</f>
        <v>840336.13445378153</v>
      </c>
      <c r="Q316" s="68"/>
      <c r="R316" s="136"/>
      <c r="S316" s="142">
        <f>Tabla120[[#This Row],[Unidades2]]*Tabla120[[#This Row],[Precio Unitario]]</f>
        <v>0</v>
      </c>
      <c r="T316" s="126" t="s">
        <v>270</v>
      </c>
      <c r="U316" s="127"/>
      <c r="V316" s="68"/>
      <c r="W316" s="67"/>
      <c r="X316" s="69"/>
      <c r="Y316" s="68"/>
      <c r="Z316" s="68"/>
      <c r="AA316" s="68"/>
    </row>
    <row r="317" spans="1:27" ht="11.25" x14ac:dyDescent="0.2">
      <c r="A317" s="150" t="s">
        <v>7058</v>
      </c>
      <c r="B317" s="118" t="s">
        <v>7059</v>
      </c>
      <c r="C317" s="119" t="s">
        <v>291</v>
      </c>
      <c r="D317" s="203" t="s">
        <v>7060</v>
      </c>
      <c r="E317" s="203" t="s">
        <v>7061</v>
      </c>
      <c r="F317" s="86">
        <v>850000</v>
      </c>
      <c r="G317" s="171">
        <f>Tabla120[[#This Row],[Presupuesto]]/(1+'Lista Datos'!$B$1)</f>
        <v>714285.71428571432</v>
      </c>
      <c r="H317" s="118" t="s">
        <v>18</v>
      </c>
      <c r="I317" s="118" t="s">
        <v>213</v>
      </c>
      <c r="J317" s="204">
        <v>45177</v>
      </c>
      <c r="K317" s="205"/>
      <c r="L317" s="203"/>
      <c r="M317" s="203"/>
      <c r="N317" s="18"/>
      <c r="O317" s="135">
        <f>Tabla120[[#This Row],[Presupuesto]]</f>
        <v>850000</v>
      </c>
      <c r="P317" s="136">
        <f>Tabla120[[#This Row],[PPTO]]/(1+'Lista Datos'!$B$1)</f>
        <v>714285.71428571432</v>
      </c>
      <c r="Q317" s="68"/>
      <c r="R317" s="136"/>
      <c r="S317" s="142">
        <f>Tabla120[[#This Row],[Unidades2]]*Tabla120[[#This Row],[Precio Unitario]]</f>
        <v>0</v>
      </c>
      <c r="T317" s="126" t="s">
        <v>270</v>
      </c>
      <c r="U317" s="127"/>
      <c r="V317" s="68"/>
      <c r="W317" s="67"/>
      <c r="X317" s="69"/>
      <c r="Y317" s="68"/>
      <c r="Z317" s="68"/>
      <c r="AA317" s="68"/>
    </row>
    <row r="318" spans="1:27" ht="11.25" x14ac:dyDescent="0.2">
      <c r="A318" s="150" t="s">
        <v>7062</v>
      </c>
      <c r="B318" s="118" t="s">
        <v>7063</v>
      </c>
      <c r="C318" s="119" t="s">
        <v>7064</v>
      </c>
      <c r="D318" s="203" t="s">
        <v>7065</v>
      </c>
      <c r="E318" s="203" t="s">
        <v>7066</v>
      </c>
      <c r="F318" s="86">
        <v>400000</v>
      </c>
      <c r="G318" s="171">
        <f>Tabla120[[#This Row],[Presupuesto]]/(1+'Lista Datos'!$B$1)</f>
        <v>336134.45378151262</v>
      </c>
      <c r="H318" s="118" t="s">
        <v>21</v>
      </c>
      <c r="I318" s="118" t="s">
        <v>106</v>
      </c>
      <c r="J318" s="204">
        <v>45177</v>
      </c>
      <c r="K318" s="205"/>
      <c r="L318" s="203"/>
      <c r="M318" s="203"/>
      <c r="N318" s="18"/>
      <c r="O318" s="135">
        <f>Tabla120[[#This Row],[Presupuesto]]</f>
        <v>400000</v>
      </c>
      <c r="P318" s="136">
        <f>Tabla120[[#This Row],[PPTO]]/(1+'Lista Datos'!$B$1)</f>
        <v>336134.45378151262</v>
      </c>
      <c r="Q318" s="68"/>
      <c r="R318" s="136"/>
      <c r="S318" s="142">
        <f>Tabla120[[#This Row],[Unidades2]]*Tabla120[[#This Row],[Precio Unitario]]</f>
        <v>0</v>
      </c>
      <c r="T318" s="126" t="s">
        <v>270</v>
      </c>
      <c r="U318" s="127"/>
      <c r="V318" s="68"/>
      <c r="W318" s="67"/>
      <c r="X318" s="69"/>
      <c r="Y318" s="68"/>
      <c r="Z318" s="68"/>
      <c r="AA318" s="68"/>
    </row>
    <row r="319" spans="1:27" ht="11.25" x14ac:dyDescent="0.2">
      <c r="A319" s="150" t="s">
        <v>7067</v>
      </c>
      <c r="B319" s="118" t="s">
        <v>7068</v>
      </c>
      <c r="C319" s="119" t="s">
        <v>7069</v>
      </c>
      <c r="D319" s="203" t="s">
        <v>7070</v>
      </c>
      <c r="E319" s="203" t="s">
        <v>7071</v>
      </c>
      <c r="F319" s="86">
        <v>1900000</v>
      </c>
      <c r="G319" s="171">
        <f>Tabla120[[#This Row],[Presupuesto]]/(1+'Lista Datos'!$B$1)</f>
        <v>1596638.6554621849</v>
      </c>
      <c r="H319" s="118" t="s">
        <v>16</v>
      </c>
      <c r="I319" s="118" t="s">
        <v>6289</v>
      </c>
      <c r="J319" s="204">
        <v>45177</v>
      </c>
      <c r="K319" s="205"/>
      <c r="L319" s="203"/>
      <c r="M319" s="203"/>
      <c r="N319" s="18"/>
      <c r="O319" s="135">
        <f>Tabla120[[#This Row],[Presupuesto]]</f>
        <v>1900000</v>
      </c>
      <c r="P319" s="136">
        <f>Tabla120[[#This Row],[PPTO]]/(1+'Lista Datos'!$B$1)</f>
        <v>1596638.6554621849</v>
      </c>
      <c r="Q319" s="68"/>
      <c r="R319" s="136"/>
      <c r="S319" s="142">
        <f>Tabla120[[#This Row],[Unidades2]]*Tabla120[[#This Row],[Precio Unitario]]</f>
        <v>0</v>
      </c>
      <c r="T319" s="126" t="s">
        <v>270</v>
      </c>
      <c r="U319" s="127"/>
      <c r="V319" s="68"/>
      <c r="W319" s="67"/>
      <c r="X319" s="69"/>
      <c r="Y319" s="68"/>
      <c r="Z319" s="68"/>
      <c r="AA319" s="68"/>
    </row>
    <row r="320" spans="1:27" ht="11.25" x14ac:dyDescent="0.2">
      <c r="A320" s="151" t="s">
        <v>7072</v>
      </c>
      <c r="B320" s="118" t="s">
        <v>7073</v>
      </c>
      <c r="C320" s="119" t="s">
        <v>3673</v>
      </c>
      <c r="D320" s="206" t="s">
        <v>7074</v>
      </c>
      <c r="E320" s="206" t="s">
        <v>7075</v>
      </c>
      <c r="F320" s="152">
        <v>550000</v>
      </c>
      <c r="G320" s="171">
        <f>Tabla120[[#This Row],[Presupuesto]]/(1+'Lista Datos'!$B$1)</f>
        <v>462184.87394957984</v>
      </c>
      <c r="H320" s="118" t="s">
        <v>21</v>
      </c>
      <c r="I320" s="118" t="s">
        <v>106</v>
      </c>
      <c r="J320" s="211">
        <v>45177</v>
      </c>
      <c r="K320" s="207"/>
      <c r="L320" s="206"/>
      <c r="M320" s="206"/>
      <c r="N320" s="19"/>
      <c r="O320" s="137">
        <f>Tabla120[[#This Row],[Presupuesto]]</f>
        <v>550000</v>
      </c>
      <c r="P320" s="138">
        <f>Tabla120[[#This Row],[PPTO]]/(1+'Lista Datos'!$B$1)</f>
        <v>462184.87394957984</v>
      </c>
      <c r="Q320" s="65"/>
      <c r="R320" s="138"/>
      <c r="S320" s="143">
        <f>Tabla120[[#This Row],[Unidades2]]*Tabla120[[#This Row],[Precio Unitario]]</f>
        <v>0</v>
      </c>
      <c r="T320" s="126" t="s">
        <v>270</v>
      </c>
      <c r="U320" s="122"/>
      <c r="V320" s="65"/>
      <c r="W320" s="64"/>
      <c r="X320" s="66"/>
      <c r="Y320" s="65"/>
      <c r="Z320" s="65"/>
      <c r="AA320" s="65"/>
    </row>
    <row r="321" spans="1:27" ht="11.25" x14ac:dyDescent="0.2">
      <c r="A321" s="150" t="s">
        <v>7076</v>
      </c>
      <c r="B321" s="118" t="s">
        <v>7077</v>
      </c>
      <c r="C321" s="119" t="s">
        <v>7069</v>
      </c>
      <c r="D321" s="203" t="s">
        <v>7078</v>
      </c>
      <c r="E321" s="203" t="s">
        <v>7079</v>
      </c>
      <c r="F321" s="86">
        <v>1900000</v>
      </c>
      <c r="G321" s="171">
        <f>Tabla120[[#This Row],[Presupuesto]]/(1+'Lista Datos'!$B$1)</f>
        <v>1596638.6554621849</v>
      </c>
      <c r="H321" s="118" t="s">
        <v>16</v>
      </c>
      <c r="I321" s="118" t="s">
        <v>6289</v>
      </c>
      <c r="J321" s="204">
        <v>45189</v>
      </c>
      <c r="K321" s="205"/>
      <c r="L321" s="203"/>
      <c r="M321" s="203"/>
      <c r="N321" s="18"/>
      <c r="O321" s="135">
        <f>Tabla120[[#This Row],[Presupuesto]]</f>
        <v>1900000</v>
      </c>
      <c r="P321" s="136">
        <f>Tabla120[[#This Row],[PPTO]]/(1+'Lista Datos'!$B$1)</f>
        <v>1596638.6554621849</v>
      </c>
      <c r="Q321" s="68"/>
      <c r="R321" s="136"/>
      <c r="S321" s="142">
        <f>Tabla120[[#This Row],[Unidades2]]*Tabla120[[#This Row],[Precio Unitario]]</f>
        <v>0</v>
      </c>
      <c r="T321" s="126" t="s">
        <v>270</v>
      </c>
      <c r="U321" s="127"/>
      <c r="V321" s="68"/>
      <c r="W321" s="67"/>
      <c r="X321" s="69"/>
      <c r="Y321" s="68"/>
      <c r="Z321" s="68"/>
      <c r="AA321" s="68"/>
    </row>
    <row r="322" spans="1:27" ht="11.25" x14ac:dyDescent="0.2">
      <c r="A322" s="150" t="s">
        <v>7080</v>
      </c>
      <c r="B322" s="118" t="s">
        <v>7081</v>
      </c>
      <c r="C322" s="119" t="s">
        <v>7082</v>
      </c>
      <c r="D322" s="203" t="s">
        <v>7083</v>
      </c>
      <c r="E322" s="203" t="s">
        <v>7084</v>
      </c>
      <c r="F322" s="86">
        <v>1600000</v>
      </c>
      <c r="G322" s="171">
        <f>Tabla120[[#This Row],[Presupuesto]]/(1+'Lista Datos'!$B$1)</f>
        <v>1344537.8151260505</v>
      </c>
      <c r="H322" s="118" t="s">
        <v>21</v>
      </c>
      <c r="I322" s="118" t="s">
        <v>106</v>
      </c>
      <c r="J322" s="204">
        <v>45189</v>
      </c>
      <c r="K322" s="205"/>
      <c r="L322" s="203"/>
      <c r="M322" s="203"/>
      <c r="N322" s="18"/>
      <c r="O322" s="135">
        <f>Tabla120[[#This Row],[Presupuesto]]</f>
        <v>1600000</v>
      </c>
      <c r="P322" s="136">
        <f>Tabla120[[#This Row],[PPTO]]/(1+'Lista Datos'!$B$1)</f>
        <v>1344537.8151260505</v>
      </c>
      <c r="Q322" s="68"/>
      <c r="R322" s="136"/>
      <c r="S322" s="142">
        <f>Tabla120[[#This Row],[Unidades2]]*Tabla120[[#This Row],[Precio Unitario]]</f>
        <v>0</v>
      </c>
      <c r="T322" s="126" t="s">
        <v>270</v>
      </c>
      <c r="U322" s="127"/>
      <c r="V322" s="68"/>
      <c r="W322" s="67"/>
      <c r="X322" s="69"/>
      <c r="Y322" s="68"/>
      <c r="Z322" s="68"/>
      <c r="AA322" s="68"/>
    </row>
    <row r="323" spans="1:27" ht="11.25" x14ac:dyDescent="0.2">
      <c r="A323" s="150" t="s">
        <v>7085</v>
      </c>
      <c r="B323" s="118" t="s">
        <v>7086</v>
      </c>
      <c r="C323" s="119" t="s">
        <v>113</v>
      </c>
      <c r="D323" s="203" t="s">
        <v>7087</v>
      </c>
      <c r="E323" s="203" t="s">
        <v>7088</v>
      </c>
      <c r="F323" s="86">
        <v>795000</v>
      </c>
      <c r="G323" s="171">
        <f>Tabla120[[#This Row],[Presupuesto]]/(1+'Lista Datos'!$B$1)</f>
        <v>668067.22689075628</v>
      </c>
      <c r="H323" s="118" t="s">
        <v>16</v>
      </c>
      <c r="I323" s="118" t="s">
        <v>6289</v>
      </c>
      <c r="J323" s="204">
        <v>45189</v>
      </c>
      <c r="K323" s="205"/>
      <c r="L323" s="203"/>
      <c r="M323" s="203"/>
      <c r="N323" s="18"/>
      <c r="O323" s="135">
        <f>Tabla120[[#This Row],[Presupuesto]]</f>
        <v>795000</v>
      </c>
      <c r="P323" s="136">
        <f>Tabla120[[#This Row],[PPTO]]/(1+'Lista Datos'!$B$1)</f>
        <v>668067.22689075628</v>
      </c>
      <c r="Q323" s="68"/>
      <c r="R323" s="136"/>
      <c r="S323" s="142">
        <f>Tabla120[[#This Row],[Unidades2]]*Tabla120[[#This Row],[Precio Unitario]]</f>
        <v>0</v>
      </c>
      <c r="T323" s="126" t="s">
        <v>270</v>
      </c>
      <c r="U323" s="127"/>
      <c r="V323" s="68"/>
      <c r="W323" s="67"/>
      <c r="X323" s="69"/>
      <c r="Y323" s="68"/>
      <c r="Z323" s="68"/>
      <c r="AA323" s="68"/>
    </row>
    <row r="324" spans="1:27" ht="11.25" x14ac:dyDescent="0.2">
      <c r="A324" s="150" t="s">
        <v>7089</v>
      </c>
      <c r="B324" s="118" t="s">
        <v>7090</v>
      </c>
      <c r="C324" s="119" t="s">
        <v>823</v>
      </c>
      <c r="D324" s="203" t="s">
        <v>7091</v>
      </c>
      <c r="E324" s="203" t="s">
        <v>7092</v>
      </c>
      <c r="F324" s="86">
        <v>1374319</v>
      </c>
      <c r="G324" s="171">
        <f>Tabla120[[#This Row],[Presupuesto]]/(1+'Lista Datos'!$B$1)</f>
        <v>1154889.9159663867</v>
      </c>
      <c r="H324" s="118" t="s">
        <v>18</v>
      </c>
      <c r="I324" s="118" t="s">
        <v>213</v>
      </c>
      <c r="J324" s="204">
        <v>45189</v>
      </c>
      <c r="K324" s="205"/>
      <c r="L324" s="203"/>
      <c r="M324" s="203"/>
      <c r="N324" s="18"/>
      <c r="O324" s="135">
        <f>Tabla120[[#This Row],[Presupuesto]]</f>
        <v>1374319</v>
      </c>
      <c r="P324" s="136">
        <f>Tabla120[[#This Row],[PPTO]]/(1+'Lista Datos'!$B$1)</f>
        <v>1154889.9159663867</v>
      </c>
      <c r="Q324" s="68"/>
      <c r="R324" s="136"/>
      <c r="S324" s="142">
        <f>Tabla120[[#This Row],[Unidades2]]*Tabla120[[#This Row],[Precio Unitario]]</f>
        <v>0</v>
      </c>
      <c r="T324" s="126" t="s">
        <v>270</v>
      </c>
      <c r="U324" s="127"/>
      <c r="V324" s="68"/>
      <c r="W324" s="67"/>
      <c r="X324" s="69"/>
      <c r="Y324" s="68"/>
      <c r="Z324" s="68"/>
      <c r="AA324" s="68"/>
    </row>
    <row r="325" spans="1:27" ht="11.25" x14ac:dyDescent="0.2">
      <c r="A325" s="151" t="s">
        <v>7093</v>
      </c>
      <c r="B325" s="118" t="s">
        <v>7094</v>
      </c>
      <c r="C325" s="119" t="s">
        <v>3372</v>
      </c>
      <c r="D325" s="206" t="s">
        <v>7095</v>
      </c>
      <c r="E325" s="206" t="s">
        <v>7096</v>
      </c>
      <c r="F325" s="152">
        <v>1000000</v>
      </c>
      <c r="G325" s="171">
        <f>Tabla120[[#This Row],[Presupuesto]]/(1+'Lista Datos'!$B$1)</f>
        <v>840336.13445378153</v>
      </c>
      <c r="H325" s="118" t="s">
        <v>16</v>
      </c>
      <c r="I325" s="118" t="s">
        <v>6289</v>
      </c>
      <c r="J325" s="211">
        <v>45189</v>
      </c>
      <c r="K325" s="207"/>
      <c r="L325" s="206"/>
      <c r="M325" s="206"/>
      <c r="N325" s="19"/>
      <c r="O325" s="137">
        <f>Tabla120[[#This Row],[Presupuesto]]</f>
        <v>1000000</v>
      </c>
      <c r="P325" s="138">
        <f>Tabla120[[#This Row],[PPTO]]/(1+'Lista Datos'!$B$1)</f>
        <v>840336.13445378153</v>
      </c>
      <c r="Q325" s="65"/>
      <c r="R325" s="138"/>
      <c r="S325" s="143">
        <f>Tabla120[[#This Row],[Unidades2]]*Tabla120[[#This Row],[Precio Unitario]]</f>
        <v>0</v>
      </c>
      <c r="T325" s="126" t="s">
        <v>270</v>
      </c>
      <c r="U325" s="122"/>
      <c r="V325" s="65"/>
      <c r="W325" s="64"/>
      <c r="X325" s="66"/>
      <c r="Y325" s="65"/>
      <c r="Z325" s="65"/>
      <c r="AA325" s="65"/>
    </row>
    <row r="326" spans="1:27" ht="11.25" x14ac:dyDescent="0.2">
      <c r="A326" s="150" t="s">
        <v>7097</v>
      </c>
      <c r="B326" s="118" t="s">
        <v>7098</v>
      </c>
      <c r="C326" s="119" t="s">
        <v>6886</v>
      </c>
      <c r="D326" s="203" t="s">
        <v>7099</v>
      </c>
      <c r="E326" s="203" t="s">
        <v>7100</v>
      </c>
      <c r="F326" s="86">
        <v>850000</v>
      </c>
      <c r="G326" s="171">
        <f>Tabla120[[#This Row],[Presupuesto]]/(1+'Lista Datos'!$B$1)</f>
        <v>714285.71428571432</v>
      </c>
      <c r="H326" s="118" t="s">
        <v>16</v>
      </c>
      <c r="I326" s="118" t="s">
        <v>533</v>
      </c>
      <c r="J326" s="204">
        <v>45190</v>
      </c>
      <c r="K326" s="205"/>
      <c r="L326" s="203"/>
      <c r="M326" s="203"/>
      <c r="N326" s="18"/>
      <c r="O326" s="135">
        <f>Tabla120[[#This Row],[Presupuesto]]</f>
        <v>850000</v>
      </c>
      <c r="P326" s="136">
        <f>Tabla120[[#This Row],[PPTO]]/(1+'Lista Datos'!$B$1)</f>
        <v>714285.71428571432</v>
      </c>
      <c r="Q326" s="68"/>
      <c r="R326" s="136"/>
      <c r="S326" s="142">
        <f>Tabla120[[#This Row],[Unidades2]]*Tabla120[[#This Row],[Precio Unitario]]</f>
        <v>0</v>
      </c>
      <c r="T326" s="126" t="s">
        <v>270</v>
      </c>
      <c r="U326" s="127"/>
      <c r="V326" s="68"/>
      <c r="W326" s="67"/>
      <c r="X326" s="69"/>
      <c r="Y326" s="68"/>
      <c r="Z326" s="68"/>
      <c r="AA326" s="68"/>
    </row>
    <row r="327" spans="1:27" ht="11.25" x14ac:dyDescent="0.2">
      <c r="A327" s="150" t="s">
        <v>7101</v>
      </c>
      <c r="B327" s="118" t="s">
        <v>7102</v>
      </c>
      <c r="C327" s="119" t="s">
        <v>3224</v>
      </c>
      <c r="D327" s="203" t="s">
        <v>7103</v>
      </c>
      <c r="E327" s="203" t="s">
        <v>7104</v>
      </c>
      <c r="F327" s="86">
        <v>1500000</v>
      </c>
      <c r="G327" s="171">
        <f>Tabla120[[#This Row],[Presupuesto]]/(1+'Lista Datos'!$B$1)</f>
        <v>1260504.2016806724</v>
      </c>
      <c r="H327" s="118" t="s">
        <v>16</v>
      </c>
      <c r="I327" s="118" t="s">
        <v>6289</v>
      </c>
      <c r="J327" s="204">
        <v>45190</v>
      </c>
      <c r="K327" s="205"/>
      <c r="L327" s="203"/>
      <c r="M327" s="203"/>
      <c r="N327" s="18"/>
      <c r="O327" s="135">
        <f>Tabla120[[#This Row],[Presupuesto]]</f>
        <v>1500000</v>
      </c>
      <c r="P327" s="136">
        <f>Tabla120[[#This Row],[PPTO]]/(1+'Lista Datos'!$B$1)</f>
        <v>1260504.2016806724</v>
      </c>
      <c r="Q327" s="68"/>
      <c r="R327" s="136"/>
      <c r="S327" s="142">
        <f>Tabla120[[#This Row],[Unidades2]]*Tabla120[[#This Row],[Precio Unitario]]</f>
        <v>0</v>
      </c>
      <c r="T327" s="126" t="s">
        <v>270</v>
      </c>
      <c r="U327" s="127"/>
      <c r="V327" s="68"/>
      <c r="W327" s="67"/>
      <c r="X327" s="69"/>
      <c r="Y327" s="68"/>
      <c r="Z327" s="68"/>
      <c r="AA327" s="68"/>
    </row>
    <row r="328" spans="1:27" ht="11.25" x14ac:dyDescent="0.2">
      <c r="A328" s="150" t="s">
        <v>7105</v>
      </c>
      <c r="B328" s="118" t="s">
        <v>7106</v>
      </c>
      <c r="C328" s="119" t="s">
        <v>1255</v>
      </c>
      <c r="D328" s="203" t="s">
        <v>7107</v>
      </c>
      <c r="E328" s="203" t="s">
        <v>7108</v>
      </c>
      <c r="F328" s="86">
        <v>1890000</v>
      </c>
      <c r="G328" s="171">
        <f>Tabla120[[#This Row],[Presupuesto]]/(1+'Lista Datos'!$B$1)</f>
        <v>1588235.2941176472</v>
      </c>
      <c r="H328" s="118" t="s">
        <v>16</v>
      </c>
      <c r="I328" s="118" t="s">
        <v>6289</v>
      </c>
      <c r="J328" s="204">
        <v>45190</v>
      </c>
      <c r="K328" s="205"/>
      <c r="L328" s="203"/>
      <c r="M328" s="203"/>
      <c r="N328" s="18"/>
      <c r="O328" s="135">
        <f>Tabla120[[#This Row],[Presupuesto]]</f>
        <v>1890000</v>
      </c>
      <c r="P328" s="136">
        <f>Tabla120[[#This Row],[PPTO]]/(1+'Lista Datos'!$B$1)</f>
        <v>1588235.2941176472</v>
      </c>
      <c r="Q328" s="68"/>
      <c r="R328" s="136"/>
      <c r="S328" s="142">
        <f>Tabla120[[#This Row],[Unidades2]]*Tabla120[[#This Row],[Precio Unitario]]</f>
        <v>0</v>
      </c>
      <c r="T328" s="126" t="s">
        <v>270</v>
      </c>
      <c r="U328" s="127"/>
      <c r="V328" s="68"/>
      <c r="W328" s="67"/>
      <c r="X328" s="69"/>
      <c r="Y328" s="68"/>
      <c r="Z328" s="68"/>
      <c r="AA328" s="68"/>
    </row>
    <row r="329" spans="1:27" ht="11.25" x14ac:dyDescent="0.2">
      <c r="A329" s="150" t="s">
        <v>7109</v>
      </c>
      <c r="B329" s="118" t="s">
        <v>7110</v>
      </c>
      <c r="C329" s="119" t="s">
        <v>3047</v>
      </c>
      <c r="D329" s="203" t="s">
        <v>7111</v>
      </c>
      <c r="E329" s="203" t="s">
        <v>7112</v>
      </c>
      <c r="F329" s="86">
        <v>1000000</v>
      </c>
      <c r="G329" s="171">
        <f>Tabla120[[#This Row],[Presupuesto]]/(1+'Lista Datos'!$B$1)</f>
        <v>840336.13445378153</v>
      </c>
      <c r="H329" s="118" t="s">
        <v>21</v>
      </c>
      <c r="I329" s="118" t="s">
        <v>106</v>
      </c>
      <c r="J329" s="204">
        <v>45190</v>
      </c>
      <c r="K329" s="205" t="s">
        <v>10</v>
      </c>
      <c r="L329" s="203" t="s">
        <v>34</v>
      </c>
      <c r="M329" s="203"/>
      <c r="N329" s="18"/>
      <c r="O329" s="135">
        <f>Tabla120[[#This Row],[Presupuesto]]</f>
        <v>1000000</v>
      </c>
      <c r="P329" s="136">
        <f>Tabla120[[#This Row],[PPTO]]/(1+'Lista Datos'!$B$1)</f>
        <v>840336.13445378153</v>
      </c>
      <c r="Q329" s="68"/>
      <c r="R329" s="136"/>
      <c r="S329" s="142">
        <f>Tabla120[[#This Row],[Unidades2]]*Tabla120[[#This Row],[Precio Unitario]]</f>
        <v>0</v>
      </c>
      <c r="T329" s="126" t="s">
        <v>270</v>
      </c>
      <c r="U329" s="127"/>
      <c r="V329" s="68"/>
      <c r="W329" s="67"/>
      <c r="X329" s="69"/>
      <c r="Y329" s="68"/>
      <c r="Z329" s="68"/>
      <c r="AA329" s="68"/>
    </row>
    <row r="330" spans="1:27" ht="11.25" x14ac:dyDescent="0.2">
      <c r="A330" s="151" t="s">
        <v>7113</v>
      </c>
      <c r="B330" s="118" t="s">
        <v>7114</v>
      </c>
      <c r="C330" s="119" t="s">
        <v>3072</v>
      </c>
      <c r="D330" s="206" t="s">
        <v>7115</v>
      </c>
      <c r="E330" s="206" t="s">
        <v>7116</v>
      </c>
      <c r="F330" s="152">
        <v>700000</v>
      </c>
      <c r="G330" s="171">
        <f>Tabla120[[#This Row],[Presupuesto]]/(1+'Lista Datos'!$B$1)</f>
        <v>588235.29411764711</v>
      </c>
      <c r="H330" s="118" t="s">
        <v>14</v>
      </c>
      <c r="I330" s="118" t="s">
        <v>145</v>
      </c>
      <c r="J330" s="211">
        <v>45190</v>
      </c>
      <c r="K330" s="207" t="s">
        <v>10</v>
      </c>
      <c r="L330" s="206" t="s">
        <v>27</v>
      </c>
      <c r="M330" s="206"/>
      <c r="N330" s="19"/>
      <c r="O330" s="137">
        <f>Tabla120[[#This Row],[Presupuesto]]</f>
        <v>700000</v>
      </c>
      <c r="P330" s="138">
        <f>Tabla120[[#This Row],[PPTO]]/(1+'Lista Datos'!$B$1)</f>
        <v>588235.29411764711</v>
      </c>
      <c r="Q330" s="65"/>
      <c r="R330" s="138"/>
      <c r="S330" s="143">
        <f>Tabla120[[#This Row],[Unidades2]]*Tabla120[[#This Row],[Precio Unitario]]</f>
        <v>0</v>
      </c>
      <c r="T330" s="126" t="s">
        <v>270</v>
      </c>
      <c r="U330" s="122"/>
      <c r="V330" s="65"/>
      <c r="W330" s="64"/>
      <c r="X330" s="66"/>
      <c r="Y330" s="65"/>
      <c r="Z330" s="65"/>
      <c r="AA330" s="65"/>
    </row>
    <row r="331" spans="1:27" ht="11.25" x14ac:dyDescent="0.2">
      <c r="A331" s="150" t="s">
        <v>7117</v>
      </c>
      <c r="B331" s="118" t="s">
        <v>7118</v>
      </c>
      <c r="C331" s="119" t="s">
        <v>897</v>
      </c>
      <c r="D331" s="203" t="s">
        <v>7119</v>
      </c>
      <c r="E331" s="203" t="s">
        <v>7120</v>
      </c>
      <c r="F331" s="86">
        <v>1500000</v>
      </c>
      <c r="G331" s="171">
        <f>Tabla120[[#This Row],[Presupuesto]]/(1+'Lista Datos'!$B$1)</f>
        <v>1260504.2016806724</v>
      </c>
      <c r="H331" s="118" t="s">
        <v>21</v>
      </c>
      <c r="I331" s="118" t="s">
        <v>106</v>
      </c>
      <c r="J331" s="204">
        <v>45194</v>
      </c>
      <c r="K331" s="205" t="s">
        <v>10</v>
      </c>
      <c r="L331" s="203" t="s">
        <v>34</v>
      </c>
      <c r="M331" s="203"/>
      <c r="N331" s="18"/>
      <c r="O331" s="135">
        <f>Tabla120[[#This Row],[Presupuesto]]</f>
        <v>1500000</v>
      </c>
      <c r="P331" s="136">
        <f>Tabla120[[#This Row],[PPTO]]/(1+'Lista Datos'!$B$1)</f>
        <v>1260504.2016806724</v>
      </c>
      <c r="Q331" s="68"/>
      <c r="R331" s="136"/>
      <c r="S331" s="142">
        <f>Tabla120[[#This Row],[Unidades2]]*Tabla120[[#This Row],[Precio Unitario]]</f>
        <v>0</v>
      </c>
      <c r="T331" s="126" t="s">
        <v>270</v>
      </c>
      <c r="U331" s="127"/>
      <c r="V331" s="68"/>
      <c r="W331" s="67"/>
      <c r="X331" s="69"/>
      <c r="Y331" s="68"/>
      <c r="Z331" s="68"/>
      <c r="AA331" s="68"/>
    </row>
    <row r="332" spans="1:27" ht="11.25" x14ac:dyDescent="0.2">
      <c r="A332" s="150" t="s">
        <v>7121</v>
      </c>
      <c r="B332" s="118" t="s">
        <v>7122</v>
      </c>
      <c r="C332" s="119" t="s">
        <v>7123</v>
      </c>
      <c r="D332" s="203" t="s">
        <v>7124</v>
      </c>
      <c r="E332" s="203" t="s">
        <v>7125</v>
      </c>
      <c r="F332" s="86">
        <v>115000</v>
      </c>
      <c r="G332" s="171">
        <f>Tabla120[[#This Row],[Presupuesto]]/(1+'Lista Datos'!$B$1)</f>
        <v>96638.655462184877</v>
      </c>
      <c r="H332" s="118" t="s">
        <v>16</v>
      </c>
      <c r="I332" s="118" t="s">
        <v>778</v>
      </c>
      <c r="J332" s="204">
        <v>45194</v>
      </c>
      <c r="K332" s="205" t="s">
        <v>10</v>
      </c>
      <c r="L332" s="203" t="s">
        <v>27</v>
      </c>
      <c r="M332" s="203"/>
      <c r="N332" s="18"/>
      <c r="O332" s="135">
        <f>Tabla120[[#This Row],[Presupuesto]]</f>
        <v>115000</v>
      </c>
      <c r="P332" s="136">
        <f>Tabla120[[#This Row],[PPTO]]/(1+'Lista Datos'!$B$1)</f>
        <v>96638.655462184877</v>
      </c>
      <c r="Q332" s="68"/>
      <c r="R332" s="136"/>
      <c r="S332" s="142">
        <f>Tabla120[[#This Row],[Unidades2]]*Tabla120[[#This Row],[Precio Unitario]]</f>
        <v>0</v>
      </c>
      <c r="T332" s="126" t="s">
        <v>270</v>
      </c>
      <c r="U332" s="127"/>
      <c r="V332" s="68"/>
      <c r="W332" s="67"/>
      <c r="X332" s="69"/>
      <c r="Y332" s="68"/>
      <c r="Z332" s="68"/>
      <c r="AA332" s="68"/>
    </row>
    <row r="333" spans="1:27" ht="11.25" x14ac:dyDescent="0.2">
      <c r="A333" s="150" t="s">
        <v>7126</v>
      </c>
      <c r="B333" s="118" t="s">
        <v>7127</v>
      </c>
      <c r="C333" s="119" t="s">
        <v>113</v>
      </c>
      <c r="D333" s="203" t="s">
        <v>7128</v>
      </c>
      <c r="E333" s="203" t="s">
        <v>7129</v>
      </c>
      <c r="F333" s="86">
        <v>500000</v>
      </c>
      <c r="G333" s="171">
        <f>Tabla120[[#This Row],[Presupuesto]]/(1+'Lista Datos'!$B$1)</f>
        <v>420168.06722689077</v>
      </c>
      <c r="H333" s="118" t="s">
        <v>16</v>
      </c>
      <c r="I333" s="118" t="s">
        <v>6289</v>
      </c>
      <c r="J333" s="204">
        <v>45194</v>
      </c>
      <c r="K333" s="205"/>
      <c r="L333" s="203"/>
      <c r="M333" s="203"/>
      <c r="N333" s="18"/>
      <c r="O333" s="135">
        <f>Tabla120[[#This Row],[Presupuesto]]</f>
        <v>500000</v>
      </c>
      <c r="P333" s="136">
        <f>Tabla120[[#This Row],[PPTO]]/(1+'Lista Datos'!$B$1)</f>
        <v>420168.06722689077</v>
      </c>
      <c r="Q333" s="68"/>
      <c r="R333" s="136"/>
      <c r="S333" s="142">
        <f>Tabla120[[#This Row],[Unidades2]]*Tabla120[[#This Row],[Precio Unitario]]</f>
        <v>0</v>
      </c>
      <c r="T333" s="126" t="s">
        <v>270</v>
      </c>
      <c r="U333" s="127"/>
      <c r="V333" s="68"/>
      <c r="W333" s="67"/>
      <c r="X333" s="69"/>
      <c r="Y333" s="68"/>
      <c r="Z333" s="68"/>
      <c r="AA333" s="68"/>
    </row>
    <row r="334" spans="1:27" ht="11.25" x14ac:dyDescent="0.2">
      <c r="A334" s="151" t="s">
        <v>7130</v>
      </c>
      <c r="B334" s="118" t="s">
        <v>7131</v>
      </c>
      <c r="C334" s="119" t="s">
        <v>3673</v>
      </c>
      <c r="D334" s="206" t="s">
        <v>7132</v>
      </c>
      <c r="E334" s="206" t="s">
        <v>7133</v>
      </c>
      <c r="F334" s="152">
        <v>200000</v>
      </c>
      <c r="G334" s="171">
        <f>Tabla120[[#This Row],[Presupuesto]]/(1+'Lista Datos'!$B$1)</f>
        <v>168067.22689075631</v>
      </c>
      <c r="H334" s="118" t="s">
        <v>21</v>
      </c>
      <c r="I334" s="118" t="s">
        <v>106</v>
      </c>
      <c r="J334" s="211">
        <v>45194</v>
      </c>
      <c r="K334" s="207"/>
      <c r="L334" s="206"/>
      <c r="M334" s="206"/>
      <c r="N334" s="19"/>
      <c r="O334" s="137">
        <f>Tabla120[[#This Row],[Presupuesto]]</f>
        <v>200000</v>
      </c>
      <c r="P334" s="138">
        <f>Tabla120[[#This Row],[PPTO]]/(1+'Lista Datos'!$B$1)</f>
        <v>168067.22689075631</v>
      </c>
      <c r="Q334" s="65"/>
      <c r="R334" s="138"/>
      <c r="S334" s="143">
        <f>Tabla120[[#This Row],[Unidades2]]*Tabla120[[#This Row],[Precio Unitario]]</f>
        <v>0</v>
      </c>
      <c r="T334" s="126" t="s">
        <v>270</v>
      </c>
      <c r="U334" s="122"/>
      <c r="V334" s="65"/>
      <c r="W334" s="64"/>
      <c r="X334" s="66"/>
      <c r="Y334" s="65"/>
      <c r="Z334" s="65"/>
      <c r="AA334" s="65"/>
    </row>
    <row r="335" spans="1:27" ht="11.25" x14ac:dyDescent="0.2">
      <c r="A335" s="150" t="s">
        <v>7134</v>
      </c>
      <c r="B335" s="118" t="s">
        <v>7135</v>
      </c>
      <c r="C335" s="119" t="s">
        <v>787</v>
      </c>
      <c r="D335" s="203" t="s">
        <v>7136</v>
      </c>
      <c r="E335" s="203" t="s">
        <v>7137</v>
      </c>
      <c r="F335" s="86">
        <v>1200000</v>
      </c>
      <c r="G335" s="171">
        <f>Tabla120[[#This Row],[Presupuesto]]/(1+'Lista Datos'!$B$1)</f>
        <v>1008403.3613445378</v>
      </c>
      <c r="H335" s="118" t="s">
        <v>21</v>
      </c>
      <c r="I335" s="118" t="s">
        <v>106</v>
      </c>
      <c r="J335" s="204">
        <v>45195</v>
      </c>
      <c r="K335" s="205"/>
      <c r="L335" s="203"/>
      <c r="M335" s="203"/>
      <c r="N335" s="18"/>
      <c r="O335" s="135">
        <f>Tabla120[[#This Row],[Presupuesto]]</f>
        <v>1200000</v>
      </c>
      <c r="P335" s="136">
        <f>Tabla120[[#This Row],[PPTO]]/(1+'Lista Datos'!$B$1)</f>
        <v>1008403.3613445378</v>
      </c>
      <c r="Q335" s="68"/>
      <c r="R335" s="136"/>
      <c r="S335" s="142">
        <f>Tabla120[[#This Row],[Unidades2]]*Tabla120[[#This Row],[Precio Unitario]]</f>
        <v>0</v>
      </c>
      <c r="T335" s="126" t="s">
        <v>270</v>
      </c>
      <c r="U335" s="127"/>
      <c r="V335" s="68"/>
      <c r="W335" s="67"/>
      <c r="X335" s="69"/>
      <c r="Y335" s="68"/>
      <c r="Z335" s="68"/>
      <c r="AA335" s="68"/>
    </row>
    <row r="336" spans="1:27" ht="11.25" x14ac:dyDescent="0.2">
      <c r="A336" s="150" t="s">
        <v>7138</v>
      </c>
      <c r="B336" s="118" t="s">
        <v>7139</v>
      </c>
      <c r="C336" s="119" t="s">
        <v>7140</v>
      </c>
      <c r="D336" s="203" t="s">
        <v>7141</v>
      </c>
      <c r="E336" s="203" t="s">
        <v>7142</v>
      </c>
      <c r="F336" s="86">
        <v>310760</v>
      </c>
      <c r="G336" s="171">
        <f>Tabla120[[#This Row],[Presupuesto]]/(1+'Lista Datos'!$B$1)</f>
        <v>261142.85714285716</v>
      </c>
      <c r="H336" s="118" t="s">
        <v>16</v>
      </c>
      <c r="I336" s="118" t="s">
        <v>345</v>
      </c>
      <c r="J336" s="204">
        <v>45195</v>
      </c>
      <c r="K336" s="205" t="s">
        <v>10</v>
      </c>
      <c r="L336" s="203" t="s">
        <v>27</v>
      </c>
      <c r="M336" s="203"/>
      <c r="N336" s="18"/>
      <c r="O336" s="135">
        <f>Tabla120[[#This Row],[Presupuesto]]</f>
        <v>310760</v>
      </c>
      <c r="P336" s="136">
        <f>Tabla120[[#This Row],[PPTO]]/(1+'Lista Datos'!$B$1)</f>
        <v>261142.85714285716</v>
      </c>
      <c r="Q336" s="68"/>
      <c r="R336" s="136"/>
      <c r="S336" s="142">
        <f>Tabla120[[#This Row],[Unidades2]]*Tabla120[[#This Row],[Precio Unitario]]</f>
        <v>0</v>
      </c>
      <c r="T336" s="126" t="s">
        <v>270</v>
      </c>
      <c r="U336" s="127"/>
      <c r="V336" s="68"/>
      <c r="W336" s="67"/>
      <c r="X336" s="69"/>
      <c r="Y336" s="68"/>
      <c r="Z336" s="68"/>
      <c r="AA336" s="68"/>
    </row>
    <row r="337" spans="1:27" ht="11.25" x14ac:dyDescent="0.2">
      <c r="A337" s="151" t="s">
        <v>7143</v>
      </c>
      <c r="B337" s="118" t="s">
        <v>7144</v>
      </c>
      <c r="C337" s="119" t="s">
        <v>259</v>
      </c>
      <c r="D337" s="206" t="s">
        <v>7145</v>
      </c>
      <c r="E337" s="206" t="s">
        <v>7146</v>
      </c>
      <c r="F337" s="152">
        <v>178500</v>
      </c>
      <c r="G337" s="171">
        <f>Tabla120[[#This Row],[Presupuesto]]/(1+'Lista Datos'!$B$1)</f>
        <v>150000</v>
      </c>
      <c r="H337" s="118" t="s">
        <v>21</v>
      </c>
      <c r="I337" s="118" t="s">
        <v>106</v>
      </c>
      <c r="J337" s="211">
        <v>45195</v>
      </c>
      <c r="K337" s="207" t="s">
        <v>10</v>
      </c>
      <c r="L337" s="206" t="s">
        <v>27</v>
      </c>
      <c r="M337" s="206"/>
      <c r="N337" s="19"/>
      <c r="O337" s="137">
        <f>Tabla120[[#This Row],[Presupuesto]]</f>
        <v>178500</v>
      </c>
      <c r="P337" s="138">
        <f>Tabla120[[#This Row],[PPTO]]/(1+'Lista Datos'!$B$1)</f>
        <v>150000</v>
      </c>
      <c r="Q337" s="65"/>
      <c r="R337" s="138"/>
      <c r="S337" s="143">
        <f>Tabla120[[#This Row],[Unidades2]]*Tabla120[[#This Row],[Precio Unitario]]</f>
        <v>0</v>
      </c>
      <c r="T337" s="126" t="s">
        <v>270</v>
      </c>
      <c r="U337" s="122"/>
      <c r="V337" s="65"/>
      <c r="W337" s="64"/>
      <c r="X337" s="66"/>
      <c r="Y337" s="65"/>
      <c r="Z337" s="65"/>
      <c r="AA337" s="65"/>
    </row>
    <row r="338" spans="1:27" ht="11.25" x14ac:dyDescent="0.2">
      <c r="A338" s="150" t="s">
        <v>7147</v>
      </c>
      <c r="B338" s="118" t="s">
        <v>7148</v>
      </c>
      <c r="C338" s="119" t="s">
        <v>1013</v>
      </c>
      <c r="D338" s="203" t="s">
        <v>7149</v>
      </c>
      <c r="E338" s="203" t="s">
        <v>7150</v>
      </c>
      <c r="F338" s="86">
        <v>500000</v>
      </c>
      <c r="G338" s="171">
        <f>Tabla120[[#This Row],[Presupuesto]]/(1+'Lista Datos'!$B$1)</f>
        <v>420168.06722689077</v>
      </c>
      <c r="H338" s="118" t="s">
        <v>21</v>
      </c>
      <c r="I338" s="118" t="s">
        <v>106</v>
      </c>
      <c r="J338" s="204">
        <v>45196</v>
      </c>
      <c r="K338" s="205"/>
      <c r="L338" s="203"/>
      <c r="M338" s="203"/>
      <c r="N338" s="18"/>
      <c r="O338" s="135">
        <f>Tabla120[[#This Row],[Presupuesto]]</f>
        <v>500000</v>
      </c>
      <c r="P338" s="136">
        <f>Tabla120[[#This Row],[PPTO]]/(1+'Lista Datos'!$B$1)</f>
        <v>420168.06722689077</v>
      </c>
      <c r="Q338" s="68"/>
      <c r="R338" s="136"/>
      <c r="S338" s="142">
        <f>Tabla120[[#This Row],[Unidades2]]*Tabla120[[#This Row],[Precio Unitario]]</f>
        <v>0</v>
      </c>
      <c r="T338" s="126" t="s">
        <v>270</v>
      </c>
      <c r="U338" s="127"/>
      <c r="V338" s="68"/>
      <c r="W338" s="67"/>
      <c r="X338" s="69"/>
      <c r="Y338" s="68"/>
      <c r="Z338" s="68"/>
      <c r="AA338" s="68"/>
    </row>
    <row r="339" spans="1:27" ht="11.25" x14ac:dyDescent="0.2">
      <c r="A339" s="150" t="s">
        <v>7151</v>
      </c>
      <c r="B339" s="118" t="s">
        <v>7054</v>
      </c>
      <c r="C339" s="119" t="s">
        <v>7055</v>
      </c>
      <c r="D339" s="203" t="s">
        <v>7152</v>
      </c>
      <c r="E339" s="203" t="s">
        <v>7153</v>
      </c>
      <c r="F339" s="86">
        <v>1000000</v>
      </c>
      <c r="G339" s="171">
        <f>Tabla120[[#This Row],[Presupuesto]]/(1+'Lista Datos'!$B$1)</f>
        <v>840336.13445378153</v>
      </c>
      <c r="H339" s="118" t="s">
        <v>16</v>
      </c>
      <c r="I339" s="118" t="s">
        <v>6289</v>
      </c>
      <c r="J339" s="204">
        <v>45196</v>
      </c>
      <c r="K339" s="205"/>
      <c r="L339" s="203"/>
      <c r="M339" s="203"/>
      <c r="N339" s="18"/>
      <c r="O339" s="135">
        <f>Tabla120[[#This Row],[Presupuesto]]</f>
        <v>1000000</v>
      </c>
      <c r="P339" s="136">
        <f>Tabla120[[#This Row],[PPTO]]/(1+'Lista Datos'!$B$1)</f>
        <v>840336.13445378153</v>
      </c>
      <c r="Q339" s="68"/>
      <c r="R339" s="136"/>
      <c r="S339" s="142">
        <f>Tabla120[[#This Row],[Unidades2]]*Tabla120[[#This Row],[Precio Unitario]]</f>
        <v>0</v>
      </c>
      <c r="T339" s="126" t="s">
        <v>270</v>
      </c>
      <c r="U339" s="127"/>
      <c r="V339" s="68"/>
      <c r="W339" s="67"/>
      <c r="X339" s="69"/>
      <c r="Y339" s="68"/>
      <c r="Z339" s="68"/>
      <c r="AA339" s="68"/>
    </row>
    <row r="340" spans="1:27" ht="11.25" x14ac:dyDescent="0.2">
      <c r="A340" s="150" t="s">
        <v>7154</v>
      </c>
      <c r="B340" s="118" t="s">
        <v>7155</v>
      </c>
      <c r="C340" s="119" t="s">
        <v>259</v>
      </c>
      <c r="D340" s="203" t="s">
        <v>7156</v>
      </c>
      <c r="E340" s="203" t="s">
        <v>7157</v>
      </c>
      <c r="F340" s="86">
        <v>1428000</v>
      </c>
      <c r="G340" s="171">
        <f>Tabla120[[#This Row],[Presupuesto]]/(1+'Lista Datos'!$B$1)</f>
        <v>1200000</v>
      </c>
      <c r="H340" s="118" t="s">
        <v>21</v>
      </c>
      <c r="I340" s="118" t="s">
        <v>106</v>
      </c>
      <c r="J340" s="204">
        <v>45196</v>
      </c>
      <c r="K340" s="205"/>
      <c r="L340" s="203"/>
      <c r="M340" s="203"/>
      <c r="N340" s="18"/>
      <c r="O340" s="135">
        <f>Tabla120[[#This Row],[Presupuesto]]</f>
        <v>1428000</v>
      </c>
      <c r="P340" s="136">
        <f>Tabla120[[#This Row],[PPTO]]/(1+'Lista Datos'!$B$1)</f>
        <v>1200000</v>
      </c>
      <c r="Q340" s="68"/>
      <c r="R340" s="136"/>
      <c r="S340" s="142">
        <f>Tabla120[[#This Row],[Unidades2]]*Tabla120[[#This Row],[Precio Unitario]]</f>
        <v>0</v>
      </c>
      <c r="T340" s="126" t="s">
        <v>270</v>
      </c>
      <c r="U340" s="127"/>
      <c r="V340" s="68"/>
      <c r="W340" s="67"/>
      <c r="X340" s="69"/>
      <c r="Y340" s="68"/>
      <c r="Z340" s="68"/>
      <c r="AA340" s="68"/>
    </row>
    <row r="341" spans="1:27" ht="11.25" x14ac:dyDescent="0.2">
      <c r="A341" s="151" t="s">
        <v>7158</v>
      </c>
      <c r="B341" s="118" t="s">
        <v>7159</v>
      </c>
      <c r="C341" s="119" t="s">
        <v>3372</v>
      </c>
      <c r="D341" s="206" t="s">
        <v>7160</v>
      </c>
      <c r="E341" s="206" t="s">
        <v>7161</v>
      </c>
      <c r="F341" s="152">
        <v>1000000</v>
      </c>
      <c r="G341" s="171">
        <f>Tabla120[[#This Row],[Presupuesto]]/(1+'Lista Datos'!$B$1)</f>
        <v>840336.13445378153</v>
      </c>
      <c r="H341" s="118" t="s">
        <v>16</v>
      </c>
      <c r="I341" s="118" t="s">
        <v>6289</v>
      </c>
      <c r="J341" s="211">
        <v>45196</v>
      </c>
      <c r="K341" s="207"/>
      <c r="L341" s="206"/>
      <c r="M341" s="206"/>
      <c r="N341" s="19"/>
      <c r="O341" s="137">
        <f>Tabla120[[#This Row],[Presupuesto]]</f>
        <v>1000000</v>
      </c>
      <c r="P341" s="138">
        <f>Tabla120[[#This Row],[PPTO]]/(1+'Lista Datos'!$B$1)</f>
        <v>840336.13445378153</v>
      </c>
      <c r="Q341" s="65"/>
      <c r="R341" s="138"/>
      <c r="S341" s="143">
        <f>Tabla120[[#This Row],[Unidades2]]*Tabla120[[#This Row],[Precio Unitario]]</f>
        <v>0</v>
      </c>
      <c r="T341" s="126" t="s">
        <v>270</v>
      </c>
      <c r="U341" s="122"/>
      <c r="V341" s="65"/>
      <c r="W341" s="64"/>
      <c r="X341" s="66"/>
      <c r="Y341" s="65"/>
      <c r="Z341" s="65"/>
      <c r="AA341" s="65"/>
    </row>
    <row r="342" spans="1:27" ht="11.25" x14ac:dyDescent="0.2">
      <c r="A342" s="151" t="s">
        <v>7162</v>
      </c>
      <c r="B342" s="118" t="s">
        <v>7163</v>
      </c>
      <c r="C342" s="119" t="s">
        <v>5417</v>
      </c>
      <c r="D342" s="206" t="s">
        <v>7164</v>
      </c>
      <c r="E342" s="206" t="s">
        <v>7165</v>
      </c>
      <c r="F342" s="152">
        <v>1900000</v>
      </c>
      <c r="G342" s="171">
        <f>Tabla120[[#This Row],[Presupuesto]]/(1+'Lista Datos'!$B$1)</f>
        <v>1596638.6554621849</v>
      </c>
      <c r="H342" s="118" t="s">
        <v>16</v>
      </c>
      <c r="I342" s="118" t="s">
        <v>145</v>
      </c>
      <c r="J342" s="211">
        <v>45198</v>
      </c>
      <c r="K342" s="207"/>
      <c r="L342" s="206"/>
      <c r="M342" s="206"/>
      <c r="N342" s="19"/>
      <c r="O342" s="137">
        <f>Tabla120[[#This Row],[Presupuesto]]</f>
        <v>1900000</v>
      </c>
      <c r="P342" s="138">
        <f>Tabla120[[#This Row],[PPTO]]/(1+'Lista Datos'!$B$1)</f>
        <v>1596638.6554621849</v>
      </c>
      <c r="Q342" s="65"/>
      <c r="R342" s="138"/>
      <c r="S342" s="143">
        <f>Tabla120[[#This Row],[Unidades2]]*Tabla120[[#This Row],[Precio Unitario]]</f>
        <v>0</v>
      </c>
      <c r="T342" s="126" t="s">
        <v>270</v>
      </c>
      <c r="U342" s="122"/>
      <c r="V342" s="65"/>
      <c r="W342" s="64"/>
      <c r="X342" s="66"/>
      <c r="Y342" s="65"/>
      <c r="Z342" s="65"/>
      <c r="AA342" s="65"/>
    </row>
    <row r="343" spans="1:27" ht="11.25" x14ac:dyDescent="0.2">
      <c r="A343" s="150" t="s">
        <v>7166</v>
      </c>
      <c r="B343" s="118" t="s">
        <v>7167</v>
      </c>
      <c r="C343" s="119" t="s">
        <v>724</v>
      </c>
      <c r="D343" s="203" t="s">
        <v>7168</v>
      </c>
      <c r="E343" s="203" t="s">
        <v>7169</v>
      </c>
      <c r="F343" s="86">
        <v>464282</v>
      </c>
      <c r="G343" s="171">
        <f>Tabla120[[#This Row],[Presupuesto]]/(1+'Lista Datos'!$B$1)</f>
        <v>390152.9411764706</v>
      </c>
      <c r="H343" s="118" t="s">
        <v>16</v>
      </c>
      <c r="I343" s="118" t="s">
        <v>145</v>
      </c>
      <c r="J343" s="204">
        <v>45198</v>
      </c>
      <c r="K343" s="205"/>
      <c r="L343" s="203"/>
      <c r="M343" s="203"/>
      <c r="N343" s="18"/>
      <c r="O343" s="135">
        <f>Tabla120[[#This Row],[Presupuesto]]</f>
        <v>464282</v>
      </c>
      <c r="P343" s="136">
        <f>Tabla120[[#This Row],[PPTO]]/(1+'Lista Datos'!$B$1)</f>
        <v>390152.9411764706</v>
      </c>
      <c r="Q343" s="68"/>
      <c r="R343" s="136"/>
      <c r="S343" s="142">
        <f>Tabla120[[#This Row],[Unidades2]]*Tabla120[[#This Row],[Precio Unitario]]</f>
        <v>0</v>
      </c>
      <c r="T343" s="126" t="s">
        <v>270</v>
      </c>
      <c r="U343" s="127"/>
      <c r="V343" s="68"/>
      <c r="W343" s="67"/>
      <c r="X343" s="69"/>
      <c r="Y343" s="68"/>
      <c r="Z343" s="68"/>
      <c r="AA343" s="68"/>
    </row>
    <row r="344" spans="1:27" ht="11.25" x14ac:dyDescent="0.2">
      <c r="A344" s="150" t="s">
        <v>7170</v>
      </c>
      <c r="B344" s="118" t="s">
        <v>7171</v>
      </c>
      <c r="C344" s="119" t="s">
        <v>113</v>
      </c>
      <c r="D344" s="203" t="s">
        <v>7172</v>
      </c>
      <c r="E344" s="203" t="s">
        <v>7173</v>
      </c>
      <c r="F344" s="86">
        <v>1065000</v>
      </c>
      <c r="G344" s="171">
        <f>Tabla120[[#This Row],[Presupuesto]]/(1+'Lista Datos'!$B$1)</f>
        <v>894957.98319327738</v>
      </c>
      <c r="H344" s="118" t="s">
        <v>16</v>
      </c>
      <c r="I344" s="118" t="s">
        <v>6289</v>
      </c>
      <c r="J344" s="204">
        <v>45198</v>
      </c>
      <c r="K344" s="205"/>
      <c r="L344" s="203"/>
      <c r="M344" s="203"/>
      <c r="N344" s="18"/>
      <c r="O344" s="135">
        <f>Tabla120[[#This Row],[Presupuesto]]</f>
        <v>1065000</v>
      </c>
      <c r="P344" s="136">
        <f>Tabla120[[#This Row],[PPTO]]/(1+'Lista Datos'!$B$1)</f>
        <v>894957.98319327738</v>
      </c>
      <c r="Q344" s="68"/>
      <c r="R344" s="136"/>
      <c r="S344" s="142">
        <f>Tabla120[[#This Row],[Unidades2]]*Tabla120[[#This Row],[Precio Unitario]]</f>
        <v>0</v>
      </c>
      <c r="T344" s="126" t="s">
        <v>270</v>
      </c>
      <c r="U344" s="127"/>
      <c r="V344" s="68"/>
      <c r="W344" s="67"/>
      <c r="X344" s="69"/>
      <c r="Y344" s="68"/>
      <c r="Z344" s="68"/>
      <c r="AA344" s="68"/>
    </row>
    <row r="345" spans="1:27" ht="11.25" x14ac:dyDescent="0.2">
      <c r="A345" s="150" t="s">
        <v>7174</v>
      </c>
      <c r="B345" s="118" t="s">
        <v>7175</v>
      </c>
      <c r="C345" s="119" t="s">
        <v>7026</v>
      </c>
      <c r="D345" s="203" t="s">
        <v>7176</v>
      </c>
      <c r="E345" s="203" t="s">
        <v>7177</v>
      </c>
      <c r="F345" s="86">
        <v>1785400</v>
      </c>
      <c r="G345" s="171">
        <f>Tabla120[[#This Row],[Presupuesto]]/(1+'Lista Datos'!$B$1)</f>
        <v>1500336.1344537816</v>
      </c>
      <c r="H345" s="118" t="s">
        <v>16</v>
      </c>
      <c r="I345" s="118" t="s">
        <v>145</v>
      </c>
      <c r="J345" s="204">
        <v>45198</v>
      </c>
      <c r="K345" s="205"/>
      <c r="L345" s="203"/>
      <c r="M345" s="203"/>
      <c r="N345" s="18"/>
      <c r="O345" s="135">
        <f>Tabla120[[#This Row],[Presupuesto]]</f>
        <v>1785400</v>
      </c>
      <c r="P345" s="136">
        <f>Tabla120[[#This Row],[PPTO]]/(1+'Lista Datos'!$B$1)</f>
        <v>1500336.1344537816</v>
      </c>
      <c r="Q345" s="68"/>
      <c r="R345" s="136"/>
      <c r="S345" s="142">
        <f>Tabla120[[#This Row],[Unidades2]]*Tabla120[[#This Row],[Precio Unitario]]</f>
        <v>0</v>
      </c>
      <c r="T345" s="126" t="s">
        <v>270</v>
      </c>
      <c r="U345" s="127"/>
      <c r="V345" s="68"/>
      <c r="W345" s="67"/>
      <c r="X345" s="69"/>
      <c r="Y345" s="68"/>
      <c r="Z345" s="68"/>
      <c r="AA345" s="68"/>
    </row>
    <row r="346" spans="1:27" ht="11.25" x14ac:dyDescent="0.2">
      <c r="A346" s="151" t="s">
        <v>7178</v>
      </c>
      <c r="B346" s="118" t="s">
        <v>7179</v>
      </c>
      <c r="C346" s="119" t="s">
        <v>7140</v>
      </c>
      <c r="D346" s="206" t="s">
        <v>7180</v>
      </c>
      <c r="E346" s="206" t="s">
        <v>7181</v>
      </c>
      <c r="F346" s="152">
        <v>310760</v>
      </c>
      <c r="G346" s="171">
        <f>Tabla120[[#This Row],[Presupuesto]]/(1+'Lista Datos'!$B$1)</f>
        <v>261142.85714285716</v>
      </c>
      <c r="H346" s="118" t="s">
        <v>16</v>
      </c>
      <c r="I346" s="118" t="s">
        <v>345</v>
      </c>
      <c r="J346" s="211">
        <v>45198</v>
      </c>
      <c r="K346" s="207" t="s">
        <v>10</v>
      </c>
      <c r="L346" s="206" t="s">
        <v>27</v>
      </c>
      <c r="M346" s="206"/>
      <c r="N346" s="19"/>
      <c r="O346" s="137">
        <f>Tabla120[[#This Row],[Presupuesto]]</f>
        <v>310760</v>
      </c>
      <c r="P346" s="138">
        <f>Tabla120[[#This Row],[PPTO]]/(1+'Lista Datos'!$B$1)</f>
        <v>261142.85714285716</v>
      </c>
      <c r="Q346" s="65"/>
      <c r="R346" s="138"/>
      <c r="S346" s="143">
        <f>Tabla120[[#This Row],[Unidades2]]*Tabla120[[#This Row],[Precio Unitario]]</f>
        <v>0</v>
      </c>
      <c r="T346" s="126" t="s">
        <v>270</v>
      </c>
      <c r="U346" s="122"/>
      <c r="V346" s="65"/>
      <c r="W346" s="64"/>
      <c r="X346" s="66"/>
      <c r="Y346" s="65"/>
      <c r="Z346" s="65"/>
      <c r="AA346" s="65"/>
    </row>
    <row r="347" spans="1:27" ht="11.25" x14ac:dyDescent="0.2">
      <c r="A347" s="150" t="s">
        <v>7182</v>
      </c>
      <c r="B347" s="118" t="s">
        <v>7183</v>
      </c>
      <c r="C347" s="119" t="s">
        <v>1255</v>
      </c>
      <c r="D347" s="203" t="s">
        <v>7184</v>
      </c>
      <c r="E347" s="203" t="s">
        <v>7185</v>
      </c>
      <c r="F347" s="86">
        <v>364000</v>
      </c>
      <c r="G347" s="171">
        <f>Tabla120[[#This Row],[Presupuesto]]/(1+'Lista Datos'!$B$1)</f>
        <v>305882.3529411765</v>
      </c>
      <c r="H347" s="118" t="s">
        <v>21</v>
      </c>
      <c r="I347" s="118" t="s">
        <v>106</v>
      </c>
      <c r="J347" s="204">
        <v>45229</v>
      </c>
      <c r="K347" s="205"/>
      <c r="L347" s="203"/>
      <c r="M347" s="203"/>
      <c r="N347" s="18"/>
      <c r="O347" s="135">
        <f>Tabla120[[#This Row],[Presupuesto]]</f>
        <v>364000</v>
      </c>
      <c r="P347" s="136">
        <f>Tabla120[[#This Row],[PPTO]]/(1+'Lista Datos'!$B$1)</f>
        <v>305882.3529411765</v>
      </c>
      <c r="Q347" s="68"/>
      <c r="R347" s="136"/>
      <c r="S347" s="142">
        <f>Tabla120[[#This Row],[Unidades2]]*Tabla120[[#This Row],[Precio Unitario]]</f>
        <v>0</v>
      </c>
      <c r="T347" s="126" t="s">
        <v>270</v>
      </c>
      <c r="U347" s="127"/>
      <c r="V347" s="68"/>
      <c r="W347" s="67"/>
      <c r="X347" s="69"/>
      <c r="Y347" s="68"/>
      <c r="Z347" s="68"/>
      <c r="AA347" s="68"/>
    </row>
    <row r="348" spans="1:27" ht="11.25" x14ac:dyDescent="0.2">
      <c r="A348" s="150" t="s">
        <v>7186</v>
      </c>
      <c r="B348" s="118" t="s">
        <v>7187</v>
      </c>
      <c r="C348" s="119" t="s">
        <v>4963</v>
      </c>
      <c r="D348" s="203" t="s">
        <v>7188</v>
      </c>
      <c r="E348" s="203" t="s">
        <v>7189</v>
      </c>
      <c r="F348" s="86">
        <v>1900000</v>
      </c>
      <c r="G348" s="171">
        <f>Tabla120[[#This Row],[Presupuesto]]/(1+'Lista Datos'!$B$1)</f>
        <v>1596638.6554621849</v>
      </c>
      <c r="H348" s="118" t="s">
        <v>16</v>
      </c>
      <c r="I348" s="118" t="s">
        <v>520</v>
      </c>
      <c r="J348" s="204">
        <v>45229</v>
      </c>
      <c r="K348" s="205"/>
      <c r="L348" s="203"/>
      <c r="M348" s="203"/>
      <c r="N348" s="18"/>
      <c r="O348" s="135">
        <f>Tabla120[[#This Row],[Presupuesto]]</f>
        <v>1900000</v>
      </c>
      <c r="P348" s="136">
        <f>Tabla120[[#This Row],[PPTO]]/(1+'Lista Datos'!$B$1)</f>
        <v>1596638.6554621849</v>
      </c>
      <c r="Q348" s="68"/>
      <c r="R348" s="136"/>
      <c r="S348" s="142">
        <f>Tabla120[[#This Row],[Unidades2]]*Tabla120[[#This Row],[Precio Unitario]]</f>
        <v>0</v>
      </c>
      <c r="T348" s="126" t="s">
        <v>270</v>
      </c>
      <c r="U348" s="127"/>
      <c r="V348" s="68"/>
      <c r="W348" s="67"/>
      <c r="X348" s="69"/>
      <c r="Y348" s="68"/>
      <c r="Z348" s="68"/>
      <c r="AA348" s="68"/>
    </row>
    <row r="349" spans="1:27" ht="11.25" x14ac:dyDescent="0.2">
      <c r="A349" s="150" t="s">
        <v>7190</v>
      </c>
      <c r="B349" s="118" t="s">
        <v>7191</v>
      </c>
      <c r="C349" s="119" t="s">
        <v>7192</v>
      </c>
      <c r="D349" s="203" t="s">
        <v>7193</v>
      </c>
      <c r="E349" s="203" t="s">
        <v>7194</v>
      </c>
      <c r="F349" s="86">
        <v>250000</v>
      </c>
      <c r="G349" s="171">
        <f>Tabla120[[#This Row],[Presupuesto]]/(1+'Lista Datos'!$B$1)</f>
        <v>210084.03361344538</v>
      </c>
      <c r="H349" s="118" t="s">
        <v>16</v>
      </c>
      <c r="I349" s="118" t="s">
        <v>6289</v>
      </c>
      <c r="J349" s="204">
        <v>45229</v>
      </c>
      <c r="K349" s="205" t="s">
        <v>10</v>
      </c>
      <c r="L349" s="203" t="s">
        <v>27</v>
      </c>
      <c r="M349" s="203"/>
      <c r="N349" s="18"/>
      <c r="O349" s="135">
        <f>Tabla120[[#This Row],[Presupuesto]]</f>
        <v>250000</v>
      </c>
      <c r="P349" s="136">
        <f>Tabla120[[#This Row],[PPTO]]/(1+'Lista Datos'!$B$1)</f>
        <v>210084.03361344538</v>
      </c>
      <c r="Q349" s="68"/>
      <c r="R349" s="136"/>
      <c r="S349" s="142">
        <f>Tabla120[[#This Row],[Unidades2]]*Tabla120[[#This Row],[Precio Unitario]]</f>
        <v>0</v>
      </c>
      <c r="T349" s="126" t="s">
        <v>270</v>
      </c>
      <c r="U349" s="127"/>
      <c r="V349" s="68"/>
      <c r="W349" s="67"/>
      <c r="X349" s="69"/>
      <c r="Y349" s="68"/>
      <c r="Z349" s="68"/>
      <c r="AA349" s="68"/>
    </row>
    <row r="350" spans="1:27" ht="11.25" x14ac:dyDescent="0.2">
      <c r="A350" s="150" t="s">
        <v>7195</v>
      </c>
      <c r="B350" s="118" t="s">
        <v>7196</v>
      </c>
      <c r="C350" s="119" t="s">
        <v>7197</v>
      </c>
      <c r="D350" s="203" t="s">
        <v>7198</v>
      </c>
      <c r="E350" s="203" t="s">
        <v>7199</v>
      </c>
      <c r="F350" s="86">
        <v>1500000</v>
      </c>
      <c r="G350" s="171">
        <f>Tabla120[[#This Row],[Presupuesto]]/(1+'Lista Datos'!$B$1)</f>
        <v>1260504.2016806724</v>
      </c>
      <c r="H350" s="118" t="s">
        <v>16</v>
      </c>
      <c r="I350" s="118" t="s">
        <v>520</v>
      </c>
      <c r="J350" s="204">
        <v>45229</v>
      </c>
      <c r="K350" s="205"/>
      <c r="L350" s="203"/>
      <c r="M350" s="203"/>
      <c r="N350" s="18"/>
      <c r="O350" s="135">
        <f>Tabla120[[#This Row],[Presupuesto]]</f>
        <v>1500000</v>
      </c>
      <c r="P350" s="136">
        <f>Tabla120[[#This Row],[PPTO]]/(1+'Lista Datos'!$B$1)</f>
        <v>1260504.2016806724</v>
      </c>
      <c r="Q350" s="68"/>
      <c r="R350" s="136"/>
      <c r="S350" s="142">
        <f>Tabla120[[#This Row],[Unidades2]]*Tabla120[[#This Row],[Precio Unitario]]</f>
        <v>0</v>
      </c>
      <c r="T350" s="126" t="s">
        <v>270</v>
      </c>
      <c r="U350" s="127"/>
      <c r="V350" s="68"/>
      <c r="W350" s="67"/>
      <c r="X350" s="69"/>
      <c r="Y350" s="68"/>
      <c r="Z350" s="68"/>
      <c r="AA350" s="68"/>
    </row>
    <row r="351" spans="1:27" ht="11.25" x14ac:dyDescent="0.2">
      <c r="A351" s="151" t="s">
        <v>7200</v>
      </c>
      <c r="B351" s="118" t="s">
        <v>7201</v>
      </c>
      <c r="C351" s="119" t="s">
        <v>7202</v>
      </c>
      <c r="D351" s="206" t="s">
        <v>7203</v>
      </c>
      <c r="E351" s="206" t="s">
        <v>7204</v>
      </c>
      <c r="F351" s="152">
        <v>300000</v>
      </c>
      <c r="G351" s="171">
        <f>Tabla120[[#This Row],[Presupuesto]]/(1+'Lista Datos'!$B$1)</f>
        <v>252100.84033613445</v>
      </c>
      <c r="H351" s="118" t="s">
        <v>21</v>
      </c>
      <c r="I351" s="118" t="s">
        <v>106</v>
      </c>
      <c r="J351" s="211">
        <v>45229</v>
      </c>
      <c r="K351" s="207"/>
      <c r="L351" s="206"/>
      <c r="M351" s="206"/>
      <c r="N351" s="19"/>
      <c r="O351" s="137">
        <f>Tabla120[[#This Row],[Presupuesto]]</f>
        <v>300000</v>
      </c>
      <c r="P351" s="138">
        <f>Tabla120[[#This Row],[PPTO]]/(1+'Lista Datos'!$B$1)</f>
        <v>252100.84033613445</v>
      </c>
      <c r="Q351" s="65"/>
      <c r="R351" s="138"/>
      <c r="S351" s="143">
        <f>Tabla120[[#This Row],[Unidades2]]*Tabla120[[#This Row],[Precio Unitario]]</f>
        <v>0</v>
      </c>
      <c r="T351" s="126" t="s">
        <v>270</v>
      </c>
      <c r="U351" s="122"/>
      <c r="V351" s="65"/>
      <c r="W351" s="64"/>
      <c r="X351" s="66"/>
      <c r="Y351" s="65"/>
      <c r="Z351" s="65"/>
      <c r="AA351" s="65"/>
    </row>
    <row r="352" spans="1:27" ht="11.25" x14ac:dyDescent="0.2">
      <c r="A352" s="150" t="s">
        <v>7205</v>
      </c>
      <c r="B352" s="118" t="s">
        <v>7206</v>
      </c>
      <c r="C352" s="119" t="s">
        <v>5766</v>
      </c>
      <c r="D352" s="203" t="s">
        <v>7207</v>
      </c>
      <c r="E352" s="203" t="s">
        <v>7208</v>
      </c>
      <c r="F352" s="86">
        <v>130000</v>
      </c>
      <c r="G352" s="171">
        <f>Tabla120[[#This Row],[Presupuesto]]/(1+'Lista Datos'!$B$1)</f>
        <v>109243.6974789916</v>
      </c>
      <c r="H352" s="118" t="s">
        <v>21</v>
      </c>
      <c r="I352" s="118" t="s">
        <v>106</v>
      </c>
      <c r="J352" s="204">
        <v>45230</v>
      </c>
      <c r="K352" s="205" t="s">
        <v>10</v>
      </c>
      <c r="L352" s="203" t="s">
        <v>27</v>
      </c>
      <c r="M352" s="203"/>
      <c r="N352" s="18"/>
      <c r="O352" s="137">
        <f>Tabla120[[#This Row],[Presupuesto]]</f>
        <v>130000</v>
      </c>
      <c r="P352" s="138">
        <f>Tabla120[[#This Row],[PPTO]]/(1+'Lista Datos'!$B$1)</f>
        <v>109243.6974789916</v>
      </c>
      <c r="Q352" s="68"/>
      <c r="R352" s="136"/>
      <c r="S352" s="143">
        <f>Tabla120[[#This Row],[Unidades2]]*Tabla120[[#This Row],[Precio Unitario]]</f>
        <v>0</v>
      </c>
      <c r="T352" s="126" t="s">
        <v>270</v>
      </c>
      <c r="U352" s="127"/>
      <c r="V352" s="68"/>
      <c r="W352" s="67"/>
      <c r="X352" s="69"/>
      <c r="Y352" s="68"/>
      <c r="Z352" s="68"/>
      <c r="AA352" s="68"/>
    </row>
    <row r="353" spans="1:27" ht="11.25" x14ac:dyDescent="0.2">
      <c r="A353" s="151" t="s">
        <v>7209</v>
      </c>
      <c r="B353" s="118" t="s">
        <v>7210</v>
      </c>
      <c r="C353" s="119" t="s">
        <v>5766</v>
      </c>
      <c r="D353" s="206" t="s">
        <v>7211</v>
      </c>
      <c r="E353" s="206" t="s">
        <v>7208</v>
      </c>
      <c r="F353" s="152">
        <v>200000</v>
      </c>
      <c r="G353" s="171">
        <f>Tabla120[[#This Row],[Presupuesto]]/(1+'Lista Datos'!$B$1)</f>
        <v>168067.22689075631</v>
      </c>
      <c r="H353" s="118" t="s">
        <v>21</v>
      </c>
      <c r="I353" s="118" t="s">
        <v>106</v>
      </c>
      <c r="J353" s="211">
        <v>45230</v>
      </c>
      <c r="K353" s="207" t="s">
        <v>10</v>
      </c>
      <c r="L353" s="206" t="s">
        <v>27</v>
      </c>
      <c r="M353" s="206"/>
      <c r="N353" s="19"/>
      <c r="O353" s="137">
        <f>Tabla120[[#This Row],[Presupuesto]]</f>
        <v>200000</v>
      </c>
      <c r="P353" s="138">
        <f>Tabla120[[#This Row],[PPTO]]/(1+'Lista Datos'!$B$1)</f>
        <v>168067.22689075631</v>
      </c>
      <c r="Q353" s="65"/>
      <c r="R353" s="138"/>
      <c r="S353" s="143">
        <f>Tabla120[[#This Row],[Unidades2]]*Tabla120[[#This Row],[Precio Unitario]]</f>
        <v>0</v>
      </c>
      <c r="T353" s="126" t="s">
        <v>270</v>
      </c>
      <c r="U353" s="122"/>
      <c r="V353" s="65"/>
      <c r="W353" s="64"/>
      <c r="X353" s="66"/>
      <c r="Y353" s="65"/>
      <c r="Z353" s="65"/>
      <c r="AA353" s="65"/>
    </row>
    <row r="354" spans="1:27" ht="11.25" x14ac:dyDescent="0.2">
      <c r="A354" s="150" t="s">
        <v>7212</v>
      </c>
      <c r="B354" s="30" t="s">
        <v>7213</v>
      </c>
      <c r="C354" s="84" t="s">
        <v>5766</v>
      </c>
      <c r="D354" s="203" t="s">
        <v>7214</v>
      </c>
      <c r="E354" s="203" t="s">
        <v>7208</v>
      </c>
      <c r="F354" s="86">
        <v>425000</v>
      </c>
      <c r="G354" s="171">
        <f>Tabla120[[#This Row],[Presupuesto]]/(1+'Lista Datos'!$B$1)</f>
        <v>357142.85714285716</v>
      </c>
      <c r="H354" s="30" t="s">
        <v>21</v>
      </c>
      <c r="I354" s="30" t="s">
        <v>106</v>
      </c>
      <c r="J354" s="204">
        <v>45230</v>
      </c>
      <c r="K354" s="205" t="s">
        <v>10</v>
      </c>
      <c r="L354" s="203" t="s">
        <v>27</v>
      </c>
      <c r="M354" s="203"/>
      <c r="N354" s="18"/>
      <c r="O354" s="135">
        <f>Tabla120[[#This Row],[Presupuesto]]</f>
        <v>425000</v>
      </c>
      <c r="P354" s="136">
        <f>Tabla120[[#This Row],[PPTO]]/(1+'Lista Datos'!$B$1)</f>
        <v>357142.85714285716</v>
      </c>
      <c r="Q354" s="68"/>
      <c r="R354" s="136"/>
      <c r="S354" s="143">
        <f>Tabla120[[#This Row],[Unidades2]]*Tabla120[[#This Row],[Precio Unitario]]</f>
        <v>0</v>
      </c>
      <c r="T354" s="97" t="s">
        <v>270</v>
      </c>
      <c r="U354" s="127"/>
      <c r="V354" s="68"/>
      <c r="W354" s="67"/>
      <c r="X354" s="69"/>
      <c r="Y354" s="68"/>
      <c r="Z354" s="68"/>
      <c r="AA354" s="68"/>
    </row>
    <row r="355" spans="1:27" ht="11.25" x14ac:dyDescent="0.2">
      <c r="A355" s="150" t="s">
        <v>7215</v>
      </c>
      <c r="B355" s="118" t="s">
        <v>4251</v>
      </c>
      <c r="C355" s="119" t="s">
        <v>167</v>
      </c>
      <c r="D355" s="203" t="s">
        <v>7216</v>
      </c>
      <c r="E355" s="203" t="s">
        <v>7217</v>
      </c>
      <c r="F355" s="86">
        <v>80000</v>
      </c>
      <c r="G355" s="171">
        <f>Tabla120[[#This Row],[Presupuesto]]/(1+'Lista Datos'!$B$1)</f>
        <v>67226.890756302528</v>
      </c>
      <c r="H355" s="118" t="s">
        <v>21</v>
      </c>
      <c r="I355" s="118" t="s">
        <v>106</v>
      </c>
      <c r="J355" s="204">
        <v>45238</v>
      </c>
      <c r="K355" s="205" t="s">
        <v>10</v>
      </c>
      <c r="L355" s="203" t="s">
        <v>27</v>
      </c>
      <c r="M355" s="203"/>
      <c r="N355" s="18"/>
      <c r="O355" s="135">
        <f>Tabla120[[#This Row],[Presupuesto]]</f>
        <v>80000</v>
      </c>
      <c r="P355" s="136">
        <f>Tabla120[[#This Row],[PPTO]]/(1+'Lista Datos'!$B$1)</f>
        <v>67226.890756302528</v>
      </c>
      <c r="Q355" s="68"/>
      <c r="R355" s="136"/>
      <c r="S355" s="142">
        <f>Tabla120[[#This Row],[Unidades2]]*Tabla120[[#This Row],[Precio Unitario]]</f>
        <v>0</v>
      </c>
      <c r="T355" s="126" t="s">
        <v>270</v>
      </c>
      <c r="U355" s="127"/>
      <c r="V355" s="68"/>
      <c r="W355" s="67"/>
      <c r="X355" s="69"/>
      <c r="Y355" s="68"/>
      <c r="Z355" s="68"/>
      <c r="AA355" s="68"/>
    </row>
    <row r="356" spans="1:27" ht="11.25" x14ac:dyDescent="0.2">
      <c r="A356" s="150" t="s">
        <v>7218</v>
      </c>
      <c r="B356" s="118" t="s">
        <v>7219</v>
      </c>
      <c r="C356" s="119" t="s">
        <v>1255</v>
      </c>
      <c r="D356" s="203" t="s">
        <v>7220</v>
      </c>
      <c r="E356" s="203" t="s">
        <v>7221</v>
      </c>
      <c r="F356" s="86">
        <v>800000</v>
      </c>
      <c r="G356" s="171">
        <f>Tabla120[[#This Row],[Presupuesto]]/(1+'Lista Datos'!$B$1)</f>
        <v>672268.90756302525</v>
      </c>
      <c r="H356" s="118" t="s">
        <v>21</v>
      </c>
      <c r="I356" s="118" t="s">
        <v>106</v>
      </c>
      <c r="J356" s="204">
        <v>45238</v>
      </c>
      <c r="K356" s="205" t="s">
        <v>10</v>
      </c>
      <c r="L356" s="203" t="s">
        <v>27</v>
      </c>
      <c r="M356" s="203"/>
      <c r="N356" s="18"/>
      <c r="O356" s="135">
        <f>Tabla120[[#This Row],[Presupuesto]]</f>
        <v>800000</v>
      </c>
      <c r="P356" s="136">
        <f>Tabla120[[#This Row],[PPTO]]/(1+'Lista Datos'!$B$1)</f>
        <v>672268.90756302525</v>
      </c>
      <c r="Q356" s="68"/>
      <c r="R356" s="136"/>
      <c r="S356" s="142">
        <f>Tabla120[[#This Row],[Unidades2]]*Tabla120[[#This Row],[Precio Unitario]]</f>
        <v>0</v>
      </c>
      <c r="T356" s="126" t="s">
        <v>270</v>
      </c>
      <c r="U356" s="127"/>
      <c r="V356" s="68"/>
      <c r="W356" s="67"/>
      <c r="X356" s="69"/>
      <c r="Y356" s="68"/>
      <c r="Z356" s="68"/>
      <c r="AA356" s="68"/>
    </row>
    <row r="357" spans="1:27" ht="11.25" x14ac:dyDescent="0.2">
      <c r="A357" s="150" t="s">
        <v>7222</v>
      </c>
      <c r="B357" s="118" t="s">
        <v>7223</v>
      </c>
      <c r="C357" s="119" t="s">
        <v>7224</v>
      </c>
      <c r="D357" s="203" t="s">
        <v>7225</v>
      </c>
      <c r="E357" s="203" t="s">
        <v>7226</v>
      </c>
      <c r="F357" s="86">
        <v>500000</v>
      </c>
      <c r="G357" s="171">
        <f>Tabla120[[#This Row],[Presupuesto]]/(1+'Lista Datos'!$B$1)</f>
        <v>420168.06722689077</v>
      </c>
      <c r="H357" s="118" t="s">
        <v>16</v>
      </c>
      <c r="I357" s="118" t="s">
        <v>345</v>
      </c>
      <c r="J357" s="204">
        <v>45238</v>
      </c>
      <c r="K357" s="205" t="s">
        <v>10</v>
      </c>
      <c r="L357" s="203" t="s">
        <v>27</v>
      </c>
      <c r="M357" s="203"/>
      <c r="N357" s="18"/>
      <c r="O357" s="135">
        <f>Tabla120[[#This Row],[Presupuesto]]</f>
        <v>500000</v>
      </c>
      <c r="P357" s="136">
        <f>Tabla120[[#This Row],[PPTO]]/(1+'Lista Datos'!$B$1)</f>
        <v>420168.06722689077</v>
      </c>
      <c r="Q357" s="68"/>
      <c r="R357" s="136"/>
      <c r="S357" s="142">
        <f>Tabla120[[#This Row],[Unidades2]]*Tabla120[[#This Row],[Precio Unitario]]</f>
        <v>0</v>
      </c>
      <c r="T357" s="126" t="s">
        <v>270</v>
      </c>
      <c r="U357" s="127"/>
      <c r="V357" s="68"/>
      <c r="W357" s="67"/>
      <c r="X357" s="69"/>
      <c r="Y357" s="68"/>
      <c r="Z357" s="68"/>
      <c r="AA357" s="68"/>
    </row>
    <row r="358" spans="1:27" ht="11.25" x14ac:dyDescent="0.2">
      <c r="A358" s="151" t="s">
        <v>7227</v>
      </c>
      <c r="B358" s="118" t="s">
        <v>4376</v>
      </c>
      <c r="C358" s="119" t="s">
        <v>2985</v>
      </c>
      <c r="D358" s="206" t="s">
        <v>7228</v>
      </c>
      <c r="E358" s="206" t="s">
        <v>7229</v>
      </c>
      <c r="F358" s="152">
        <v>220000</v>
      </c>
      <c r="G358" s="171">
        <f>Tabla120[[#This Row],[Presupuesto]]/(1+'Lista Datos'!$B$1)</f>
        <v>184873.94957983194</v>
      </c>
      <c r="H358" s="118" t="s">
        <v>21</v>
      </c>
      <c r="I358" s="118" t="s">
        <v>106</v>
      </c>
      <c r="J358" s="211">
        <v>45238</v>
      </c>
      <c r="K358" s="207" t="s">
        <v>10</v>
      </c>
      <c r="L358" s="206" t="s">
        <v>27</v>
      </c>
      <c r="M358" s="206"/>
      <c r="N358" s="19"/>
      <c r="O358" s="137">
        <f>Tabla120[[#This Row],[Presupuesto]]</f>
        <v>220000</v>
      </c>
      <c r="P358" s="138">
        <f>Tabla120[[#This Row],[PPTO]]/(1+'Lista Datos'!$B$1)</f>
        <v>184873.94957983194</v>
      </c>
      <c r="Q358" s="65"/>
      <c r="R358" s="138"/>
      <c r="S358" s="143">
        <f>Tabla120[[#This Row],[Unidades2]]*Tabla120[[#This Row],[Precio Unitario]]</f>
        <v>0</v>
      </c>
      <c r="T358" s="126" t="s">
        <v>270</v>
      </c>
      <c r="U358" s="122"/>
      <c r="V358" s="65"/>
      <c r="W358" s="64"/>
      <c r="X358" s="66"/>
      <c r="Y358" s="65"/>
      <c r="Z358" s="65"/>
      <c r="AA358" s="65"/>
    </row>
    <row r="359" spans="1:27" ht="11.25" x14ac:dyDescent="0.2">
      <c r="A359" s="150" t="s">
        <v>7230</v>
      </c>
      <c r="B359" s="118" t="s">
        <v>7231</v>
      </c>
      <c r="C359" s="119" t="s">
        <v>7232</v>
      </c>
      <c r="D359" s="203" t="s">
        <v>7233</v>
      </c>
      <c r="E359" s="203" t="s">
        <v>7234</v>
      </c>
      <c r="F359" s="86">
        <v>880000</v>
      </c>
      <c r="G359" s="171">
        <f>Tabla120[[#This Row],[Presupuesto]]/(1+'Lista Datos'!$B$1)</f>
        <v>739495.79831932776</v>
      </c>
      <c r="H359" s="118" t="s">
        <v>21</v>
      </c>
      <c r="I359" s="118" t="s">
        <v>106</v>
      </c>
      <c r="J359" s="204">
        <v>45239</v>
      </c>
      <c r="K359" s="205" t="s">
        <v>10</v>
      </c>
      <c r="L359" s="203" t="s">
        <v>34</v>
      </c>
      <c r="M359" s="203"/>
      <c r="N359" s="18"/>
      <c r="O359" s="135">
        <f>Tabla120[[#This Row],[Presupuesto]]</f>
        <v>880000</v>
      </c>
      <c r="P359" s="136">
        <f>Tabla120[[#This Row],[PPTO]]/(1+'Lista Datos'!$B$1)</f>
        <v>739495.79831932776</v>
      </c>
      <c r="Q359" s="68"/>
      <c r="R359" s="136"/>
      <c r="S359" s="142">
        <f>Tabla120[[#This Row],[Unidades2]]*Tabla120[[#This Row],[Precio Unitario]]</f>
        <v>0</v>
      </c>
      <c r="T359" s="126" t="s">
        <v>270</v>
      </c>
      <c r="U359" s="127"/>
      <c r="V359" s="68"/>
      <c r="W359" s="67"/>
      <c r="X359" s="69"/>
      <c r="Y359" s="68"/>
      <c r="Z359" s="68"/>
      <c r="AA359" s="68"/>
    </row>
    <row r="360" spans="1:27" ht="11.25" x14ac:dyDescent="0.2">
      <c r="A360" s="150" t="s">
        <v>7235</v>
      </c>
      <c r="B360" s="118" t="s">
        <v>7236</v>
      </c>
      <c r="C360" s="119" t="s">
        <v>167</v>
      </c>
      <c r="D360" s="203" t="s">
        <v>7237</v>
      </c>
      <c r="E360" s="203" t="s">
        <v>7238</v>
      </c>
      <c r="F360" s="86">
        <v>1060000</v>
      </c>
      <c r="G360" s="171">
        <f>Tabla120[[#This Row],[Presupuesto]]/(1+'Lista Datos'!$B$1)</f>
        <v>890756.30252100842</v>
      </c>
      <c r="H360" s="118" t="s">
        <v>21</v>
      </c>
      <c r="I360" s="118" t="s">
        <v>106</v>
      </c>
      <c r="J360" s="204">
        <v>45239</v>
      </c>
      <c r="K360" s="205"/>
      <c r="L360" s="203"/>
      <c r="M360" s="203"/>
      <c r="N360" s="18"/>
      <c r="O360" s="135">
        <f>Tabla120[[#This Row],[Presupuesto]]</f>
        <v>1060000</v>
      </c>
      <c r="P360" s="136">
        <f>Tabla120[[#This Row],[PPTO]]/(1+'Lista Datos'!$B$1)</f>
        <v>890756.30252100842</v>
      </c>
      <c r="Q360" s="68"/>
      <c r="R360" s="136"/>
      <c r="S360" s="142">
        <f>Tabla120[[#This Row],[Unidades2]]*Tabla120[[#This Row],[Precio Unitario]]</f>
        <v>0</v>
      </c>
      <c r="T360" s="126" t="s">
        <v>270</v>
      </c>
      <c r="U360" s="127"/>
      <c r="V360" s="68"/>
      <c r="W360" s="67"/>
      <c r="X360" s="69"/>
      <c r="Y360" s="68"/>
      <c r="Z360" s="68"/>
      <c r="AA360" s="68"/>
    </row>
    <row r="361" spans="1:27" ht="11.25" x14ac:dyDescent="0.2">
      <c r="A361" s="151" t="s">
        <v>7239</v>
      </c>
      <c r="B361" s="118" t="s">
        <v>7240</v>
      </c>
      <c r="C361" s="119" t="s">
        <v>2456</v>
      </c>
      <c r="D361" s="206" t="s">
        <v>7241</v>
      </c>
      <c r="E361" s="206" t="s">
        <v>7242</v>
      </c>
      <c r="F361" s="152">
        <v>1915000</v>
      </c>
      <c r="G361" s="171">
        <f>Tabla120[[#This Row],[Presupuesto]]/(1+'Lista Datos'!$B$1)</f>
        <v>1609243.6974789917</v>
      </c>
      <c r="H361" s="118" t="s">
        <v>21</v>
      </c>
      <c r="I361" s="118" t="s">
        <v>106</v>
      </c>
      <c r="J361" s="211">
        <v>45239</v>
      </c>
      <c r="K361" s="207"/>
      <c r="L361" s="206"/>
      <c r="M361" s="206"/>
      <c r="N361" s="19"/>
      <c r="O361" s="137">
        <f>Tabla120[[#This Row],[Presupuesto]]</f>
        <v>1915000</v>
      </c>
      <c r="P361" s="138">
        <f>Tabla120[[#This Row],[PPTO]]/(1+'Lista Datos'!$B$1)</f>
        <v>1609243.6974789917</v>
      </c>
      <c r="Q361" s="65"/>
      <c r="R361" s="138"/>
      <c r="S361" s="143">
        <f>Tabla120[[#This Row],[Unidades2]]*Tabla120[[#This Row],[Precio Unitario]]</f>
        <v>0</v>
      </c>
      <c r="T361" s="126" t="s">
        <v>270</v>
      </c>
      <c r="U361" s="122"/>
      <c r="V361" s="65"/>
      <c r="W361" s="64"/>
      <c r="X361" s="66"/>
      <c r="Y361" s="65"/>
      <c r="Z361" s="65"/>
      <c r="AA361" s="65"/>
    </row>
    <row r="362" spans="1:27" ht="11.25" x14ac:dyDescent="0.2">
      <c r="A362" s="150" t="s">
        <v>7243</v>
      </c>
      <c r="B362" s="118" t="s">
        <v>7244</v>
      </c>
      <c r="C362" s="119" t="s">
        <v>6476</v>
      </c>
      <c r="D362" s="203" t="s">
        <v>7245</v>
      </c>
      <c r="E362" s="203" t="s">
        <v>7246</v>
      </c>
      <c r="F362" s="86">
        <v>500000</v>
      </c>
      <c r="G362" s="171">
        <f>Tabla120[[#This Row],[Presupuesto]]/(1+'Lista Datos'!$B$1)</f>
        <v>420168.06722689077</v>
      </c>
      <c r="H362" s="118" t="s">
        <v>21</v>
      </c>
      <c r="I362" s="118" t="s">
        <v>106</v>
      </c>
      <c r="J362" s="204">
        <v>45245</v>
      </c>
      <c r="K362" s="205" t="s">
        <v>10</v>
      </c>
      <c r="L362" s="203" t="s">
        <v>34</v>
      </c>
      <c r="M362" s="203"/>
      <c r="N362" s="18"/>
      <c r="O362" s="135">
        <f>Tabla120[[#This Row],[Presupuesto]]</f>
        <v>500000</v>
      </c>
      <c r="P362" s="136">
        <f>Tabla120[[#This Row],[PPTO]]/(1+'Lista Datos'!$B$1)</f>
        <v>420168.06722689077</v>
      </c>
      <c r="Q362" s="68"/>
      <c r="R362" s="136"/>
      <c r="S362" s="142">
        <f>Tabla120[[#This Row],[Unidades2]]*Tabla120[[#This Row],[Precio Unitario]]</f>
        <v>0</v>
      </c>
      <c r="T362" s="126" t="s">
        <v>5099</v>
      </c>
      <c r="U362" s="127"/>
      <c r="V362" s="68"/>
      <c r="W362" s="67"/>
      <c r="X362" s="69"/>
      <c r="Y362" s="68"/>
      <c r="Z362" s="68"/>
      <c r="AA362" s="68"/>
    </row>
    <row r="363" spans="1:27" ht="11.25" x14ac:dyDescent="0.2">
      <c r="A363" s="150" t="s">
        <v>7247</v>
      </c>
      <c r="B363" s="118" t="s">
        <v>7248</v>
      </c>
      <c r="C363" s="119" t="s">
        <v>3278</v>
      </c>
      <c r="D363" s="203" t="s">
        <v>7249</v>
      </c>
      <c r="E363" s="203" t="s">
        <v>7250</v>
      </c>
      <c r="F363" s="86">
        <v>265549</v>
      </c>
      <c r="G363" s="171">
        <f>Tabla120[[#This Row],[Presupuesto]]/(1+'Lista Datos'!$B$1)</f>
        <v>223150.42016806724</v>
      </c>
      <c r="H363" s="118" t="s">
        <v>16</v>
      </c>
      <c r="I363" s="118" t="s">
        <v>6289</v>
      </c>
      <c r="J363" s="204">
        <v>45245</v>
      </c>
      <c r="K363" s="205" t="s">
        <v>10</v>
      </c>
      <c r="L363" s="203" t="s">
        <v>27</v>
      </c>
      <c r="M363" s="203"/>
      <c r="N363" s="18"/>
      <c r="O363" s="135">
        <f>Tabla120[[#This Row],[Presupuesto]]</f>
        <v>265549</v>
      </c>
      <c r="P363" s="136">
        <f>Tabla120[[#This Row],[PPTO]]/(1+'Lista Datos'!$B$1)</f>
        <v>223150.42016806724</v>
      </c>
      <c r="Q363" s="68"/>
      <c r="R363" s="136"/>
      <c r="S363" s="142">
        <f>Tabla120[[#This Row],[Unidades2]]*Tabla120[[#This Row],[Precio Unitario]]</f>
        <v>0</v>
      </c>
      <c r="T363" s="126" t="s">
        <v>5099</v>
      </c>
      <c r="U363" s="127"/>
      <c r="V363" s="68"/>
      <c r="W363" s="67"/>
      <c r="X363" s="69"/>
      <c r="Y363" s="68"/>
      <c r="Z363" s="68"/>
      <c r="AA363" s="68"/>
    </row>
    <row r="364" spans="1:27" ht="11.25" x14ac:dyDescent="0.2">
      <c r="A364" s="150" t="s">
        <v>7251</v>
      </c>
      <c r="B364" s="118" t="s">
        <v>6069</v>
      </c>
      <c r="C364" s="119" t="s">
        <v>160</v>
      </c>
      <c r="D364" s="203" t="s">
        <v>7252</v>
      </c>
      <c r="E364" s="203" t="s">
        <v>7250</v>
      </c>
      <c r="F364" s="86">
        <v>950000</v>
      </c>
      <c r="G364" s="171">
        <f>Tabla120[[#This Row],[Presupuesto]]/(1+'Lista Datos'!$B$1)</f>
        <v>798319.32773109246</v>
      </c>
      <c r="H364" s="118" t="s">
        <v>21</v>
      </c>
      <c r="I364" s="118" t="s">
        <v>106</v>
      </c>
      <c r="J364" s="204">
        <v>45245</v>
      </c>
      <c r="K364" s="205"/>
      <c r="L364" s="203"/>
      <c r="M364" s="203"/>
      <c r="N364" s="18"/>
      <c r="O364" s="135">
        <f>Tabla120[[#This Row],[Presupuesto]]</f>
        <v>950000</v>
      </c>
      <c r="P364" s="136">
        <f>Tabla120[[#This Row],[PPTO]]/(1+'Lista Datos'!$B$1)</f>
        <v>798319.32773109246</v>
      </c>
      <c r="Q364" s="68"/>
      <c r="R364" s="136"/>
      <c r="S364" s="142">
        <f>Tabla120[[#This Row],[Unidades2]]*Tabla120[[#This Row],[Precio Unitario]]</f>
        <v>0</v>
      </c>
      <c r="T364" s="126" t="s">
        <v>5099</v>
      </c>
      <c r="U364" s="127"/>
      <c r="V364" s="68"/>
      <c r="W364" s="67"/>
      <c r="X364" s="69"/>
      <c r="Y364" s="68"/>
      <c r="Z364" s="68"/>
      <c r="AA364" s="68"/>
    </row>
    <row r="365" spans="1:27" ht="11.25" x14ac:dyDescent="0.2">
      <c r="A365" s="150" t="s">
        <v>7253</v>
      </c>
      <c r="B365" s="118" t="s">
        <v>5070</v>
      </c>
      <c r="C365" s="119" t="s">
        <v>7254</v>
      </c>
      <c r="D365" s="203" t="s">
        <v>7255</v>
      </c>
      <c r="E365" s="203" t="s">
        <v>7256</v>
      </c>
      <c r="F365" s="86">
        <v>1200000</v>
      </c>
      <c r="G365" s="171">
        <f>Tabla120[[#This Row],[Presupuesto]]/(1+'Lista Datos'!$B$1)</f>
        <v>1008403.3613445378</v>
      </c>
      <c r="H365" s="118" t="s">
        <v>21</v>
      </c>
      <c r="I365" s="118" t="s">
        <v>106</v>
      </c>
      <c r="J365" s="204">
        <v>45245</v>
      </c>
      <c r="K365" s="205" t="s">
        <v>10</v>
      </c>
      <c r="L365" s="203" t="s">
        <v>26</v>
      </c>
      <c r="M365" s="203"/>
      <c r="N365" s="18"/>
      <c r="O365" s="135">
        <f>Tabla120[[#This Row],[Presupuesto]]</f>
        <v>1200000</v>
      </c>
      <c r="P365" s="136">
        <f>Tabla120[[#This Row],[PPTO]]/(1+'Lista Datos'!$B$1)</f>
        <v>1008403.3613445378</v>
      </c>
      <c r="Q365" s="68"/>
      <c r="R365" s="136"/>
      <c r="S365" s="142">
        <f>Tabla120[[#This Row],[Unidades2]]*Tabla120[[#This Row],[Precio Unitario]]</f>
        <v>0</v>
      </c>
      <c r="T365" s="126" t="s">
        <v>5099</v>
      </c>
      <c r="U365" s="127"/>
      <c r="V365" s="68"/>
      <c r="W365" s="67"/>
      <c r="X365" s="69"/>
      <c r="Y365" s="68"/>
      <c r="Z365" s="68"/>
      <c r="AA365" s="68"/>
    </row>
    <row r="366" spans="1:27" ht="11.25" x14ac:dyDescent="0.2">
      <c r="A366" s="150" t="s">
        <v>7257</v>
      </c>
      <c r="B366" s="118" t="s">
        <v>4439</v>
      </c>
      <c r="C366" s="119" t="s">
        <v>7254</v>
      </c>
      <c r="D366" s="203" t="s">
        <v>7258</v>
      </c>
      <c r="E366" s="203" t="s">
        <v>7259</v>
      </c>
      <c r="F366" s="86">
        <v>650000</v>
      </c>
      <c r="G366" s="171">
        <f>Tabla120[[#This Row],[Presupuesto]]/(1+'Lista Datos'!$B$1)</f>
        <v>546218.48739495804</v>
      </c>
      <c r="H366" s="118" t="s">
        <v>21</v>
      </c>
      <c r="I366" s="118" t="s">
        <v>106</v>
      </c>
      <c r="J366" s="204">
        <v>45245</v>
      </c>
      <c r="K366" s="205" t="s">
        <v>10</v>
      </c>
      <c r="L366" s="203" t="s">
        <v>29</v>
      </c>
      <c r="M366" s="203"/>
      <c r="N366" s="18"/>
      <c r="O366" s="135">
        <f>Tabla120[[#This Row],[Presupuesto]]</f>
        <v>650000</v>
      </c>
      <c r="P366" s="136">
        <f>Tabla120[[#This Row],[PPTO]]/(1+'Lista Datos'!$B$1)</f>
        <v>546218.48739495804</v>
      </c>
      <c r="Q366" s="68"/>
      <c r="R366" s="136"/>
      <c r="S366" s="142">
        <f>Tabla120[[#This Row],[Unidades2]]*Tabla120[[#This Row],[Precio Unitario]]</f>
        <v>0</v>
      </c>
      <c r="T366" s="126" t="s">
        <v>5099</v>
      </c>
      <c r="U366" s="127"/>
      <c r="V366" s="68"/>
      <c r="W366" s="67"/>
      <c r="X366" s="69"/>
      <c r="Y366" s="68"/>
      <c r="Z366" s="68"/>
      <c r="AA366" s="68"/>
    </row>
    <row r="367" spans="1:27" ht="11.25" x14ac:dyDescent="0.2">
      <c r="A367" s="151" t="s">
        <v>7260</v>
      </c>
      <c r="B367" s="118" t="s">
        <v>7261</v>
      </c>
      <c r="C367" s="119" t="s">
        <v>4224</v>
      </c>
      <c r="D367" s="206" t="s">
        <v>7262</v>
      </c>
      <c r="E367" s="206" t="s">
        <v>7263</v>
      </c>
      <c r="F367" s="152">
        <v>150000</v>
      </c>
      <c r="G367" s="171">
        <f>Tabla120[[#This Row],[Presupuesto]]/(1+'Lista Datos'!$B$1)</f>
        <v>126050.42016806723</v>
      </c>
      <c r="H367" s="118" t="s">
        <v>14</v>
      </c>
      <c r="I367" s="118" t="s">
        <v>6289</v>
      </c>
      <c r="J367" s="211">
        <v>45245</v>
      </c>
      <c r="K367" s="207" t="s">
        <v>10</v>
      </c>
      <c r="L367" s="206" t="s">
        <v>27</v>
      </c>
      <c r="M367" s="206"/>
      <c r="N367" s="19"/>
      <c r="O367" s="137">
        <f>Tabla120[[#This Row],[Presupuesto]]</f>
        <v>150000</v>
      </c>
      <c r="P367" s="138">
        <f>Tabla120[[#This Row],[PPTO]]/(1+'Lista Datos'!$B$1)</f>
        <v>126050.42016806723</v>
      </c>
      <c r="Q367" s="65"/>
      <c r="R367" s="138"/>
      <c r="S367" s="143">
        <f>Tabla120[[#This Row],[Unidades2]]*Tabla120[[#This Row],[Precio Unitario]]</f>
        <v>0</v>
      </c>
      <c r="T367" s="126" t="s">
        <v>5099</v>
      </c>
      <c r="U367" s="122"/>
      <c r="V367" s="65"/>
      <c r="W367" s="64"/>
      <c r="X367" s="66"/>
      <c r="Y367" s="65"/>
      <c r="Z367" s="65"/>
      <c r="AA367" s="65"/>
    </row>
    <row r="368" spans="1:27" ht="11.25" x14ac:dyDescent="0.2">
      <c r="A368" s="150" t="s">
        <v>7264</v>
      </c>
      <c r="B368" s="118" t="s">
        <v>7265</v>
      </c>
      <c r="C368" s="119" t="s">
        <v>1001</v>
      </c>
      <c r="D368" s="203" t="s">
        <v>7266</v>
      </c>
      <c r="E368" s="203" t="s">
        <v>7267</v>
      </c>
      <c r="F368" s="86">
        <v>140000</v>
      </c>
      <c r="G368" s="171">
        <f>Tabla120[[#This Row],[Presupuesto]]/(1+'Lista Datos'!$B$1)</f>
        <v>117647.05882352941</v>
      </c>
      <c r="H368" s="118" t="s">
        <v>21</v>
      </c>
      <c r="I368" s="118" t="s">
        <v>106</v>
      </c>
      <c r="J368" s="204">
        <v>45247</v>
      </c>
      <c r="K368" s="205" t="s">
        <v>10</v>
      </c>
      <c r="L368" s="203" t="s">
        <v>27</v>
      </c>
      <c r="M368" s="203"/>
      <c r="N368" s="18"/>
      <c r="O368" s="135">
        <f>Tabla120[[#This Row],[Presupuesto]]</f>
        <v>140000</v>
      </c>
      <c r="P368" s="136">
        <f>Tabla120[[#This Row],[PPTO]]/(1+'Lista Datos'!$B$1)</f>
        <v>117647.05882352941</v>
      </c>
      <c r="Q368" s="68"/>
      <c r="R368" s="136"/>
      <c r="S368" s="142">
        <f>Tabla120[[#This Row],[Unidades2]]*Tabla120[[#This Row],[Precio Unitario]]</f>
        <v>0</v>
      </c>
      <c r="T368" s="126" t="s">
        <v>5099</v>
      </c>
      <c r="U368" s="127"/>
      <c r="V368" s="68"/>
      <c r="W368" s="67"/>
      <c r="X368" s="69"/>
      <c r="Y368" s="68"/>
      <c r="Z368" s="68"/>
      <c r="AA368" s="68"/>
    </row>
    <row r="369" spans="1:27" ht="11.25" x14ac:dyDescent="0.2">
      <c r="A369" s="150" t="s">
        <v>7268</v>
      </c>
      <c r="B369" s="118" t="s">
        <v>7269</v>
      </c>
      <c r="C369" s="119" t="s">
        <v>7270</v>
      </c>
      <c r="D369" s="203" t="s">
        <v>7271</v>
      </c>
      <c r="E369" s="203" t="s">
        <v>7272</v>
      </c>
      <c r="F369" s="86">
        <v>225000</v>
      </c>
      <c r="G369" s="171">
        <f>Tabla120[[#This Row],[Presupuesto]]/(1+'Lista Datos'!$B$1)</f>
        <v>189075.63025210085</v>
      </c>
      <c r="H369" s="118" t="s">
        <v>14</v>
      </c>
      <c r="I369" s="118" t="s">
        <v>6289</v>
      </c>
      <c r="J369" s="204">
        <v>45247</v>
      </c>
      <c r="K369" s="205" t="s">
        <v>10</v>
      </c>
      <c r="L369" s="203" t="s">
        <v>27</v>
      </c>
      <c r="M369" s="203"/>
      <c r="N369" s="18"/>
      <c r="O369" s="135">
        <f>Tabla120[[#This Row],[Presupuesto]]</f>
        <v>225000</v>
      </c>
      <c r="P369" s="136">
        <f>Tabla120[[#This Row],[PPTO]]/(1+'Lista Datos'!$B$1)</f>
        <v>189075.63025210085</v>
      </c>
      <c r="Q369" s="68"/>
      <c r="R369" s="136"/>
      <c r="S369" s="142">
        <f>Tabla120[[#This Row],[Unidades2]]*Tabla120[[#This Row],[Precio Unitario]]</f>
        <v>0</v>
      </c>
      <c r="T369" s="126" t="s">
        <v>5099</v>
      </c>
      <c r="U369" s="127"/>
      <c r="V369" s="68"/>
      <c r="W369" s="67"/>
      <c r="X369" s="69"/>
      <c r="Y369" s="68"/>
      <c r="Z369" s="68"/>
      <c r="AA369" s="68"/>
    </row>
    <row r="370" spans="1:27" ht="11.25" x14ac:dyDescent="0.2">
      <c r="A370" s="150" t="s">
        <v>7273</v>
      </c>
      <c r="B370" s="118" t="s">
        <v>5245</v>
      </c>
      <c r="C370" s="119" t="s">
        <v>5276</v>
      </c>
      <c r="D370" s="203" t="s">
        <v>7274</v>
      </c>
      <c r="E370" s="203" t="s">
        <v>7275</v>
      </c>
      <c r="F370" s="86">
        <v>1200000</v>
      </c>
      <c r="G370" s="171">
        <f>Tabla120[[#This Row],[Presupuesto]]/(1+'Lista Datos'!$B$1)</f>
        <v>1008403.3613445378</v>
      </c>
      <c r="H370" s="118" t="s">
        <v>21</v>
      </c>
      <c r="I370" s="118" t="s">
        <v>106</v>
      </c>
      <c r="J370" s="204">
        <v>45247</v>
      </c>
      <c r="K370" s="205"/>
      <c r="L370" s="203"/>
      <c r="M370" s="203"/>
      <c r="N370" s="18"/>
      <c r="O370" s="135">
        <f>Tabla120[[#This Row],[Presupuesto]]</f>
        <v>1200000</v>
      </c>
      <c r="P370" s="136">
        <f>Tabla120[[#This Row],[PPTO]]/(1+'Lista Datos'!$B$1)</f>
        <v>1008403.3613445378</v>
      </c>
      <c r="Q370" s="68"/>
      <c r="R370" s="136"/>
      <c r="S370" s="142">
        <f>Tabla120[[#This Row],[Unidades2]]*Tabla120[[#This Row],[Precio Unitario]]</f>
        <v>0</v>
      </c>
      <c r="T370" s="126" t="s">
        <v>5099</v>
      </c>
      <c r="U370" s="127"/>
      <c r="V370" s="68"/>
      <c r="W370" s="67"/>
      <c r="X370" s="69"/>
      <c r="Y370" s="68"/>
      <c r="Z370" s="68"/>
      <c r="AA370" s="68"/>
    </row>
    <row r="371" spans="1:27" ht="11.25" x14ac:dyDescent="0.2">
      <c r="A371" s="150" t="s">
        <v>7276</v>
      </c>
      <c r="B371" s="118" t="s">
        <v>7277</v>
      </c>
      <c r="C371" s="119" t="s">
        <v>7278</v>
      </c>
      <c r="D371" s="203" t="s">
        <v>7279</v>
      </c>
      <c r="E371" s="203" t="s">
        <v>7280</v>
      </c>
      <c r="F371" s="86">
        <v>286000</v>
      </c>
      <c r="G371" s="171">
        <f>Tabla120[[#This Row],[Presupuesto]]/(1+'Lista Datos'!$B$1)</f>
        <v>240336.13445378153</v>
      </c>
      <c r="H371" s="118" t="s">
        <v>16</v>
      </c>
      <c r="I371" s="118" t="s">
        <v>6289</v>
      </c>
      <c r="J371" s="204">
        <v>45247</v>
      </c>
      <c r="K371" s="205" t="s">
        <v>10</v>
      </c>
      <c r="L371" s="203" t="s">
        <v>27</v>
      </c>
      <c r="M371" s="203"/>
      <c r="N371" s="18"/>
      <c r="O371" s="135">
        <f>Tabla120[[#This Row],[Presupuesto]]</f>
        <v>286000</v>
      </c>
      <c r="P371" s="136">
        <f>Tabla120[[#This Row],[PPTO]]/(1+'Lista Datos'!$B$1)</f>
        <v>240336.13445378153</v>
      </c>
      <c r="Q371" s="68"/>
      <c r="R371" s="136"/>
      <c r="S371" s="142">
        <f>Tabla120[[#This Row],[Unidades2]]*Tabla120[[#This Row],[Precio Unitario]]</f>
        <v>0</v>
      </c>
      <c r="T371" s="126" t="s">
        <v>5099</v>
      </c>
      <c r="U371" s="127"/>
      <c r="V371" s="68"/>
      <c r="W371" s="67"/>
      <c r="X371" s="69"/>
      <c r="Y371" s="68"/>
      <c r="Z371" s="68"/>
      <c r="AA371" s="68"/>
    </row>
    <row r="372" spans="1:27" ht="11.25" x14ac:dyDescent="0.2">
      <c r="A372" s="151" t="s">
        <v>7281</v>
      </c>
      <c r="B372" s="118" t="s">
        <v>7282</v>
      </c>
      <c r="C372" s="119" t="s">
        <v>122</v>
      </c>
      <c r="D372" s="206" t="s">
        <v>7283</v>
      </c>
      <c r="E372" s="206" t="s">
        <v>7284</v>
      </c>
      <c r="F372" s="152">
        <v>350000</v>
      </c>
      <c r="G372" s="171">
        <f>Tabla120[[#This Row],[Presupuesto]]/(1+'Lista Datos'!$B$1)</f>
        <v>294117.64705882355</v>
      </c>
      <c r="H372" s="118" t="s">
        <v>14</v>
      </c>
      <c r="I372" s="118" t="s">
        <v>1983</v>
      </c>
      <c r="J372" s="211">
        <v>45247</v>
      </c>
      <c r="K372" s="207" t="s">
        <v>10</v>
      </c>
      <c r="L372" s="206" t="s">
        <v>27</v>
      </c>
      <c r="M372" s="206"/>
      <c r="N372" s="19"/>
      <c r="O372" s="137">
        <f>Tabla120[[#This Row],[Presupuesto]]</f>
        <v>350000</v>
      </c>
      <c r="P372" s="138">
        <f>Tabla120[[#This Row],[PPTO]]/(1+'Lista Datos'!$B$1)</f>
        <v>294117.64705882355</v>
      </c>
      <c r="Q372" s="65"/>
      <c r="R372" s="138"/>
      <c r="S372" s="143">
        <f>Tabla120[[#This Row],[Unidades2]]*Tabla120[[#This Row],[Precio Unitario]]</f>
        <v>0</v>
      </c>
      <c r="T372" s="126" t="s">
        <v>5099</v>
      </c>
      <c r="U372" s="122"/>
      <c r="V372" s="65"/>
      <c r="W372" s="64"/>
      <c r="X372" s="66"/>
      <c r="Y372" s="65"/>
      <c r="Z372" s="65"/>
      <c r="AA372" s="65"/>
    </row>
    <row r="373" spans="1:27" ht="11.25" x14ac:dyDescent="0.2">
      <c r="A373" s="150" t="s">
        <v>7285</v>
      </c>
      <c r="B373" s="118" t="s">
        <v>7286</v>
      </c>
      <c r="C373" s="119" t="s">
        <v>3733</v>
      </c>
      <c r="D373" s="203" t="s">
        <v>7287</v>
      </c>
      <c r="E373" s="203" t="s">
        <v>7288</v>
      </c>
      <c r="F373" s="86">
        <v>240000</v>
      </c>
      <c r="G373" s="171">
        <f>Tabla120[[#This Row],[Presupuesto]]/(1+'Lista Datos'!$B$1)</f>
        <v>201680.67226890757</v>
      </c>
      <c r="H373" s="118" t="s">
        <v>21</v>
      </c>
      <c r="I373" s="118" t="s">
        <v>106</v>
      </c>
      <c r="J373" s="204">
        <v>45251</v>
      </c>
      <c r="K373" s="205" t="s">
        <v>10</v>
      </c>
      <c r="L373" s="203" t="s">
        <v>27</v>
      </c>
      <c r="M373" s="203"/>
      <c r="N373" s="18"/>
      <c r="O373" s="135">
        <f>Tabla120[[#This Row],[Presupuesto]]</f>
        <v>240000</v>
      </c>
      <c r="P373" s="136">
        <f>Tabla120[[#This Row],[PPTO]]/(1+'Lista Datos'!$B$1)</f>
        <v>201680.67226890757</v>
      </c>
      <c r="Q373" s="68"/>
      <c r="R373" s="136"/>
      <c r="S373" s="142">
        <f>Tabla120[[#This Row],[Unidades2]]*Tabla120[[#This Row],[Precio Unitario]]</f>
        <v>0</v>
      </c>
      <c r="T373" s="126" t="s">
        <v>5099</v>
      </c>
      <c r="U373" s="127"/>
      <c r="V373" s="68"/>
      <c r="W373" s="67"/>
      <c r="X373" s="69"/>
      <c r="Y373" s="68"/>
      <c r="Z373" s="68"/>
      <c r="AA373" s="68"/>
    </row>
    <row r="374" spans="1:27" ht="11.25" x14ac:dyDescent="0.2">
      <c r="A374" s="151" t="s">
        <v>7289</v>
      </c>
      <c r="B374" s="118" t="s">
        <v>4039</v>
      </c>
      <c r="C374" s="119" t="s">
        <v>7290</v>
      </c>
      <c r="D374" s="206" t="s">
        <v>7291</v>
      </c>
      <c r="E374" s="206" t="s">
        <v>7292</v>
      </c>
      <c r="F374" s="152">
        <v>1125000</v>
      </c>
      <c r="G374" s="171">
        <f>Tabla120[[#This Row],[Presupuesto]]/(1+'Lista Datos'!$B$1)</f>
        <v>945378.15126050427</v>
      </c>
      <c r="H374" s="118" t="s">
        <v>21</v>
      </c>
      <c r="I374" s="118" t="s">
        <v>106</v>
      </c>
      <c r="J374" s="211">
        <v>45251</v>
      </c>
      <c r="K374" s="207"/>
      <c r="L374" s="206"/>
      <c r="M374" s="206"/>
      <c r="N374" s="19"/>
      <c r="O374" s="137">
        <f>Tabla120[[#This Row],[Presupuesto]]</f>
        <v>1125000</v>
      </c>
      <c r="P374" s="138">
        <f>Tabla120[[#This Row],[PPTO]]/(1+'Lista Datos'!$B$1)</f>
        <v>945378.15126050427</v>
      </c>
      <c r="Q374" s="65"/>
      <c r="R374" s="138"/>
      <c r="S374" s="143">
        <f>Tabla120[[#This Row],[Unidades2]]*Tabla120[[#This Row],[Precio Unitario]]</f>
        <v>0</v>
      </c>
      <c r="T374" s="126" t="s">
        <v>5099</v>
      </c>
      <c r="U374" s="122"/>
      <c r="V374" s="65"/>
      <c r="W374" s="64"/>
      <c r="X374" s="66"/>
      <c r="Y374" s="65"/>
      <c r="Z374" s="65"/>
      <c r="AA374" s="65"/>
    </row>
    <row r="375" spans="1:27" ht="11.25" x14ac:dyDescent="0.2">
      <c r="A375" s="150" t="s">
        <v>7293</v>
      </c>
      <c r="B375" s="118" t="s">
        <v>7294</v>
      </c>
      <c r="C375" s="119" t="s">
        <v>2456</v>
      </c>
      <c r="D375" s="203" t="s">
        <v>7295</v>
      </c>
      <c r="E375" s="203" t="s">
        <v>7296</v>
      </c>
      <c r="F375" s="86">
        <v>1910000</v>
      </c>
      <c r="G375" s="171">
        <f>Tabla120[[#This Row],[Presupuesto]]/(1+'Lista Datos'!$B$1)</f>
        <v>1605042.0168067229</v>
      </c>
      <c r="H375" s="118" t="s">
        <v>21</v>
      </c>
      <c r="I375" s="118" t="s">
        <v>106</v>
      </c>
      <c r="J375" s="204">
        <v>45252</v>
      </c>
      <c r="K375" s="205"/>
      <c r="L375" s="203"/>
      <c r="M375" s="203"/>
      <c r="N375" s="18"/>
      <c r="O375" s="135">
        <f>Tabla120[[#This Row],[Presupuesto]]</f>
        <v>1910000</v>
      </c>
      <c r="P375" s="136">
        <f>Tabla120[[#This Row],[PPTO]]/(1+'Lista Datos'!$B$1)</f>
        <v>1605042.0168067229</v>
      </c>
      <c r="Q375" s="68"/>
      <c r="R375" s="136"/>
      <c r="S375" s="142">
        <f>Tabla120[[#This Row],[Unidades2]]*Tabla120[[#This Row],[Precio Unitario]]</f>
        <v>0</v>
      </c>
      <c r="T375" s="126" t="s">
        <v>5099</v>
      </c>
      <c r="U375" s="127"/>
      <c r="V375" s="68"/>
      <c r="W375" s="67"/>
      <c r="X375" s="69"/>
      <c r="Y375" s="68"/>
      <c r="Z375" s="68"/>
      <c r="AA375" s="68"/>
    </row>
    <row r="376" spans="1:27" ht="11.25" x14ac:dyDescent="0.2">
      <c r="A376" s="150" t="s">
        <v>7297</v>
      </c>
      <c r="B376" s="118" t="s">
        <v>7298</v>
      </c>
      <c r="C376" s="119" t="s">
        <v>113</v>
      </c>
      <c r="D376" s="203" t="s">
        <v>7299</v>
      </c>
      <c r="E376" s="203" t="s">
        <v>7300</v>
      </c>
      <c r="F376" s="86">
        <v>1400000</v>
      </c>
      <c r="G376" s="171">
        <f>Tabla120[[#This Row],[Presupuesto]]/(1+'Lista Datos'!$B$1)</f>
        <v>1176470.5882352942</v>
      </c>
      <c r="H376" s="118" t="s">
        <v>16</v>
      </c>
      <c r="I376" s="118" t="s">
        <v>6289</v>
      </c>
      <c r="J376" s="204">
        <v>45252</v>
      </c>
      <c r="K376" s="205"/>
      <c r="L376" s="203"/>
      <c r="M376" s="203"/>
      <c r="N376" s="18"/>
      <c r="O376" s="135">
        <f>Tabla120[[#This Row],[Presupuesto]]</f>
        <v>1400000</v>
      </c>
      <c r="P376" s="136">
        <f>Tabla120[[#This Row],[PPTO]]/(1+'Lista Datos'!$B$1)</f>
        <v>1176470.5882352942</v>
      </c>
      <c r="Q376" s="68"/>
      <c r="R376" s="136"/>
      <c r="S376" s="142">
        <f>Tabla120[[#This Row],[Unidades2]]*Tabla120[[#This Row],[Precio Unitario]]</f>
        <v>0</v>
      </c>
      <c r="T376" s="126" t="s">
        <v>5099</v>
      </c>
      <c r="U376" s="127"/>
      <c r="V376" s="68"/>
      <c r="W376" s="67"/>
      <c r="X376" s="69"/>
      <c r="Y376" s="68"/>
      <c r="Z376" s="68"/>
      <c r="AA376" s="68"/>
    </row>
    <row r="377" spans="1:27" ht="11.25" x14ac:dyDescent="0.2">
      <c r="A377" s="151" t="s">
        <v>7301</v>
      </c>
      <c r="B377" s="118" t="s">
        <v>7302</v>
      </c>
      <c r="C377" s="119" t="s">
        <v>7303</v>
      </c>
      <c r="D377" s="206" t="s">
        <v>7304</v>
      </c>
      <c r="E377" s="206" t="s">
        <v>7305</v>
      </c>
      <c r="F377" s="152">
        <v>580000</v>
      </c>
      <c r="G377" s="171">
        <f>Tabla120[[#This Row],[Presupuesto]]/(1+'Lista Datos'!$B$1)</f>
        <v>487394.95798319328</v>
      </c>
      <c r="H377" s="118" t="s">
        <v>21</v>
      </c>
      <c r="I377" s="118" t="s">
        <v>106</v>
      </c>
      <c r="J377" s="211">
        <v>45252</v>
      </c>
      <c r="K377" s="207" t="s">
        <v>10</v>
      </c>
      <c r="L377" s="206" t="s">
        <v>35</v>
      </c>
      <c r="M377" s="206"/>
      <c r="N377" s="19"/>
      <c r="O377" s="137">
        <f>Tabla120[[#This Row],[Presupuesto]]</f>
        <v>580000</v>
      </c>
      <c r="P377" s="138">
        <f>Tabla120[[#This Row],[PPTO]]/(1+'Lista Datos'!$B$1)</f>
        <v>487394.95798319328</v>
      </c>
      <c r="Q377" s="65"/>
      <c r="R377" s="138"/>
      <c r="S377" s="143">
        <f>Tabla120[[#This Row],[Unidades2]]*Tabla120[[#This Row],[Precio Unitario]]</f>
        <v>0</v>
      </c>
      <c r="T377" s="126" t="s">
        <v>5099</v>
      </c>
      <c r="U377" s="122"/>
      <c r="V377" s="65"/>
      <c r="W377" s="64"/>
      <c r="X377" s="66"/>
      <c r="Y377" s="65"/>
      <c r="Z377" s="65"/>
      <c r="AA377" s="65"/>
    </row>
    <row r="378" spans="1:27" ht="11.25" x14ac:dyDescent="0.2">
      <c r="A378" s="150" t="s">
        <v>7306</v>
      </c>
      <c r="B378" s="118" t="s">
        <v>7307</v>
      </c>
      <c r="C378" s="119" t="s">
        <v>7308</v>
      </c>
      <c r="D378" s="203" t="s">
        <v>7309</v>
      </c>
      <c r="E378" s="203" t="s">
        <v>7310</v>
      </c>
      <c r="F378" s="86">
        <v>1900000</v>
      </c>
      <c r="G378" s="171">
        <f>Tabla120[[#This Row],[Presupuesto]]/(1+'Lista Datos'!$B$1)</f>
        <v>1596638.6554621849</v>
      </c>
      <c r="H378" s="118" t="s">
        <v>21</v>
      </c>
      <c r="I378" s="118" t="s">
        <v>106</v>
      </c>
      <c r="J378" s="204">
        <v>45253</v>
      </c>
      <c r="K378" s="205"/>
      <c r="L378" s="203"/>
      <c r="M378" s="203"/>
      <c r="N378" s="18"/>
      <c r="O378" s="135">
        <f>Tabla120[[#This Row],[Presupuesto]]</f>
        <v>1900000</v>
      </c>
      <c r="P378" s="136">
        <f>Tabla120[[#This Row],[PPTO]]/(1+'Lista Datos'!$B$1)</f>
        <v>1596638.6554621849</v>
      </c>
      <c r="Q378" s="68"/>
      <c r="R378" s="136"/>
      <c r="S378" s="142">
        <f>Tabla120[[#This Row],[Unidades2]]*Tabla120[[#This Row],[Precio Unitario]]</f>
        <v>0</v>
      </c>
      <c r="T378" s="126" t="s">
        <v>5099</v>
      </c>
      <c r="U378" s="127"/>
      <c r="V378" s="68"/>
      <c r="W378" s="67"/>
      <c r="X378" s="69"/>
      <c r="Y378" s="68"/>
      <c r="Z378" s="68"/>
      <c r="AA378" s="68"/>
    </row>
    <row r="379" spans="1:27" ht="11.25" x14ac:dyDescent="0.2">
      <c r="A379" s="150" t="s">
        <v>7311</v>
      </c>
      <c r="B379" s="118" t="s">
        <v>7312</v>
      </c>
      <c r="C379" s="119" t="s">
        <v>352</v>
      </c>
      <c r="D379" s="203" t="s">
        <v>7313</v>
      </c>
      <c r="E379" s="203" t="s">
        <v>7314</v>
      </c>
      <c r="F379" s="86">
        <v>500000</v>
      </c>
      <c r="G379" s="171">
        <f>Tabla120[[#This Row],[Presupuesto]]/(1+'Lista Datos'!$B$1)</f>
        <v>420168.06722689077</v>
      </c>
      <c r="H379" s="118" t="s">
        <v>16</v>
      </c>
      <c r="I379" s="118" t="s">
        <v>6289</v>
      </c>
      <c r="J379" s="204">
        <v>45253</v>
      </c>
      <c r="K379" s="205" t="s">
        <v>10</v>
      </c>
      <c r="L379" s="203" t="s">
        <v>27</v>
      </c>
      <c r="M379" s="203"/>
      <c r="N379" s="18"/>
      <c r="O379" s="135">
        <f>Tabla120[[#This Row],[Presupuesto]]</f>
        <v>500000</v>
      </c>
      <c r="P379" s="136">
        <f>Tabla120[[#This Row],[PPTO]]/(1+'Lista Datos'!$B$1)</f>
        <v>420168.06722689077</v>
      </c>
      <c r="Q379" s="68"/>
      <c r="R379" s="136"/>
      <c r="S379" s="142">
        <f>Tabla120[[#This Row],[Unidades2]]*Tabla120[[#This Row],[Precio Unitario]]</f>
        <v>0</v>
      </c>
      <c r="T379" s="126" t="s">
        <v>5099</v>
      </c>
      <c r="U379" s="127"/>
      <c r="V379" s="68"/>
      <c r="W379" s="67"/>
      <c r="X379" s="69"/>
      <c r="Y379" s="68"/>
      <c r="Z379" s="68"/>
      <c r="AA379" s="68"/>
    </row>
    <row r="380" spans="1:27" ht="11.25" x14ac:dyDescent="0.2">
      <c r="A380" s="150" t="s">
        <v>7315</v>
      </c>
      <c r="B380" s="118" t="s">
        <v>7316</v>
      </c>
      <c r="C380" s="119" t="s">
        <v>6203</v>
      </c>
      <c r="D380" s="203" t="s">
        <v>7317</v>
      </c>
      <c r="E380" s="203" t="s">
        <v>7318</v>
      </c>
      <c r="F380" s="86">
        <v>158668</v>
      </c>
      <c r="G380" s="171">
        <f>Tabla120[[#This Row],[Presupuesto]]/(1+'Lista Datos'!$B$1)</f>
        <v>133334.45378151262</v>
      </c>
      <c r="H380" s="118" t="s">
        <v>21</v>
      </c>
      <c r="I380" s="118" t="s">
        <v>106</v>
      </c>
      <c r="J380" s="204">
        <v>45253</v>
      </c>
      <c r="K380" s="205" t="s">
        <v>10</v>
      </c>
      <c r="L380" s="203" t="s">
        <v>27</v>
      </c>
      <c r="M380" s="203"/>
      <c r="N380" s="18"/>
      <c r="O380" s="135">
        <f>Tabla120[[#This Row],[Presupuesto]]</f>
        <v>158668</v>
      </c>
      <c r="P380" s="136">
        <f>Tabla120[[#This Row],[PPTO]]/(1+'Lista Datos'!$B$1)</f>
        <v>133334.45378151262</v>
      </c>
      <c r="Q380" s="68"/>
      <c r="R380" s="136"/>
      <c r="S380" s="142">
        <f>Tabla120[[#This Row],[Unidades2]]*Tabla120[[#This Row],[Precio Unitario]]</f>
        <v>0</v>
      </c>
      <c r="T380" s="126" t="s">
        <v>5099</v>
      </c>
      <c r="U380" s="127"/>
      <c r="V380" s="68"/>
      <c r="W380" s="67"/>
      <c r="X380" s="69"/>
      <c r="Y380" s="68"/>
      <c r="Z380" s="68"/>
      <c r="AA380" s="68"/>
    </row>
    <row r="381" spans="1:27" ht="11.25" x14ac:dyDescent="0.2">
      <c r="A381" s="151" t="s">
        <v>7319</v>
      </c>
      <c r="B381" s="118" t="s">
        <v>7320</v>
      </c>
      <c r="C381" s="119" t="s">
        <v>7055</v>
      </c>
      <c r="D381" s="206" t="s">
        <v>7321</v>
      </c>
      <c r="E381" s="206" t="s">
        <v>7322</v>
      </c>
      <c r="F381" s="152">
        <v>1301920</v>
      </c>
      <c r="G381" s="171">
        <f>Tabla120[[#This Row],[Presupuesto]]/(1+'Lista Datos'!$B$1)</f>
        <v>1094050.4201680673</v>
      </c>
      <c r="H381" s="118" t="s">
        <v>16</v>
      </c>
      <c r="I381" s="118" t="s">
        <v>6289</v>
      </c>
      <c r="J381" s="211">
        <v>45253</v>
      </c>
      <c r="K381" s="207"/>
      <c r="L381" s="206"/>
      <c r="M381" s="206"/>
      <c r="N381" s="19"/>
      <c r="O381" s="137">
        <f>Tabla120[[#This Row],[Presupuesto]]</f>
        <v>1301920</v>
      </c>
      <c r="P381" s="138">
        <f>Tabla120[[#This Row],[PPTO]]/(1+'Lista Datos'!$B$1)</f>
        <v>1094050.4201680673</v>
      </c>
      <c r="Q381" s="65"/>
      <c r="R381" s="138"/>
      <c r="S381" s="143">
        <f>Tabla120[[#This Row],[Unidades2]]*Tabla120[[#This Row],[Precio Unitario]]</f>
        <v>0</v>
      </c>
      <c r="T381" s="126" t="s">
        <v>5099</v>
      </c>
      <c r="U381" s="122"/>
      <c r="V381" s="65"/>
      <c r="W381" s="64"/>
      <c r="X381" s="66"/>
      <c r="Y381" s="65"/>
      <c r="Z381" s="65"/>
      <c r="AA381" s="65"/>
    </row>
    <row r="382" spans="1:27" ht="11.25" x14ac:dyDescent="0.2">
      <c r="J382" s="73"/>
      <c r="K382" s="73"/>
    </row>
    <row r="383" spans="1:27" ht="11.25" x14ac:dyDescent="0.2">
      <c r="J383" s="73"/>
      <c r="K383" s="73"/>
    </row>
    <row r="384" spans="1:27" ht="11.25" x14ac:dyDescent="0.2">
      <c r="J384" s="73"/>
      <c r="K384" s="73"/>
    </row>
    <row r="385" spans="10:11" ht="11.25" x14ac:dyDescent="0.2">
      <c r="J385" s="73"/>
      <c r="K385" s="73"/>
    </row>
    <row r="386" spans="10:11" ht="11.25" x14ac:dyDescent="0.2">
      <c r="J386" s="73"/>
      <c r="K386" s="73"/>
    </row>
    <row r="387" spans="10:11" ht="11.25" x14ac:dyDescent="0.2">
      <c r="J387" s="73"/>
      <c r="K387" s="73"/>
    </row>
    <row r="388" spans="10:11" ht="11.25" x14ac:dyDescent="0.2">
      <c r="J388" s="73"/>
      <c r="K388" s="73"/>
    </row>
    <row r="389" spans="10:11" ht="11.25" x14ac:dyDescent="0.2">
      <c r="J389" s="73"/>
      <c r="K389" s="73"/>
    </row>
    <row r="390" spans="10:11" ht="11.25" x14ac:dyDescent="0.2">
      <c r="J390" s="73"/>
      <c r="K390" s="73"/>
    </row>
    <row r="391" spans="10:11" ht="11.25" x14ac:dyDescent="0.2">
      <c r="J391" s="73"/>
      <c r="K391" s="73"/>
    </row>
    <row r="392" spans="10:11" ht="11.25" x14ac:dyDescent="0.2">
      <c r="J392" s="73"/>
      <c r="K392" s="73"/>
    </row>
    <row r="393" spans="10:11" ht="11.25" x14ac:dyDescent="0.2">
      <c r="J393" s="73"/>
      <c r="K393" s="73"/>
    </row>
    <row r="394" spans="10:11" ht="11.25" x14ac:dyDescent="0.2">
      <c r="J394" s="73"/>
      <c r="K394" s="73"/>
    </row>
    <row r="395" spans="10:11" ht="11.25" x14ac:dyDescent="0.2">
      <c r="J395" s="73"/>
      <c r="K395" s="73"/>
    </row>
    <row r="396" spans="10:11" ht="11.25" x14ac:dyDescent="0.2">
      <c r="J396" s="73"/>
      <c r="K396" s="73"/>
    </row>
    <row r="397" spans="10:11" ht="11.25" x14ac:dyDescent="0.2">
      <c r="J397" s="73"/>
      <c r="K397" s="73"/>
    </row>
    <row r="398" spans="10:11" ht="11.25" x14ac:dyDescent="0.2">
      <c r="J398" s="73"/>
      <c r="K398" s="73"/>
    </row>
    <row r="399" spans="10:11" ht="11.25" x14ac:dyDescent="0.2">
      <c r="J399" s="73"/>
      <c r="K399" s="73"/>
    </row>
    <row r="400" spans="10:11" ht="11.25" x14ac:dyDescent="0.2">
      <c r="J400" s="73"/>
      <c r="K400" s="73"/>
    </row>
    <row r="401" spans="10:11" ht="11.25" x14ac:dyDescent="0.2">
      <c r="J401" s="73"/>
      <c r="K401" s="73"/>
    </row>
    <row r="402" spans="10:11" ht="11.25" x14ac:dyDescent="0.2">
      <c r="J402" s="73"/>
      <c r="K402" s="73"/>
    </row>
    <row r="403" spans="10:11" ht="11.25" x14ac:dyDescent="0.2">
      <c r="J403" s="73"/>
      <c r="K403" s="73"/>
    </row>
    <row r="404" spans="10:11" ht="11.25" x14ac:dyDescent="0.2">
      <c r="J404" s="73"/>
      <c r="K404" s="73"/>
    </row>
    <row r="405" spans="10:11" ht="11.25" x14ac:dyDescent="0.2">
      <c r="J405" s="73"/>
      <c r="K405" s="73"/>
    </row>
    <row r="406" spans="10:11" ht="11.25" x14ac:dyDescent="0.2">
      <c r="J406" s="73"/>
      <c r="K406" s="73"/>
    </row>
    <row r="407" spans="10:11" ht="11.25" x14ac:dyDescent="0.2">
      <c r="J407" s="73"/>
      <c r="K407" s="73"/>
    </row>
    <row r="408" spans="10:11" ht="11.25" x14ac:dyDescent="0.2">
      <c r="J408" s="73"/>
      <c r="K408" s="73"/>
    </row>
    <row r="409" spans="10:11" ht="11.25" x14ac:dyDescent="0.2">
      <c r="J409" s="73"/>
      <c r="K409" s="73"/>
    </row>
    <row r="410" spans="10:11" ht="11.25" x14ac:dyDescent="0.2">
      <c r="J410" s="73"/>
      <c r="K410" s="73"/>
    </row>
    <row r="411" spans="10:11" ht="11.25" x14ac:dyDescent="0.2">
      <c r="J411" s="73"/>
      <c r="K411" s="73"/>
    </row>
    <row r="412" spans="10:11" ht="11.25" x14ac:dyDescent="0.2">
      <c r="J412" s="73"/>
      <c r="K412" s="73"/>
    </row>
    <row r="413" spans="10:11" ht="11.25" x14ac:dyDescent="0.2">
      <c r="J413" s="73"/>
      <c r="K413" s="73"/>
    </row>
    <row r="414" spans="10:11" ht="11.25" x14ac:dyDescent="0.2">
      <c r="J414" s="73"/>
      <c r="K414" s="73"/>
    </row>
    <row r="415" spans="10:11" ht="11.25" x14ac:dyDescent="0.2">
      <c r="J415" s="73"/>
      <c r="K415" s="73"/>
    </row>
    <row r="416" spans="10:11" ht="11.25" x14ac:dyDescent="0.2">
      <c r="J416" s="73"/>
      <c r="K416" s="73"/>
    </row>
    <row r="417" spans="10:11" ht="11.25" x14ac:dyDescent="0.2">
      <c r="J417" s="73"/>
      <c r="K417" s="73"/>
    </row>
    <row r="418" spans="10:11" ht="11.25" x14ac:dyDescent="0.2">
      <c r="J418" s="73"/>
      <c r="K418" s="73"/>
    </row>
    <row r="419" spans="10:11" ht="11.25" x14ac:dyDescent="0.2">
      <c r="J419" s="73"/>
      <c r="K419" s="73"/>
    </row>
    <row r="420" spans="10:11" ht="11.25" x14ac:dyDescent="0.2">
      <c r="J420" s="73"/>
      <c r="K420" s="73"/>
    </row>
    <row r="421" spans="10:11" ht="11.25" x14ac:dyDescent="0.2">
      <c r="J421" s="73"/>
      <c r="K421" s="73"/>
    </row>
    <row r="422" spans="10:11" ht="11.25" x14ac:dyDescent="0.2">
      <c r="J422" s="73"/>
      <c r="K422" s="73"/>
    </row>
    <row r="423" spans="10:11" ht="11.25" x14ac:dyDescent="0.2">
      <c r="J423" s="73"/>
      <c r="K423" s="73"/>
    </row>
    <row r="424" spans="10:11" ht="11.25" x14ac:dyDescent="0.2">
      <c r="J424" s="73"/>
      <c r="K424" s="73"/>
    </row>
    <row r="425" spans="10:11" ht="11.25" x14ac:dyDescent="0.2">
      <c r="J425" s="73"/>
      <c r="K425" s="73"/>
    </row>
    <row r="426" spans="10:11" ht="11.25" x14ac:dyDescent="0.2">
      <c r="J426" s="73"/>
      <c r="K426" s="73"/>
    </row>
    <row r="427" spans="10:11" ht="11.25" x14ac:dyDescent="0.2">
      <c r="J427" s="73"/>
      <c r="K427" s="73"/>
    </row>
    <row r="428" spans="10:11" ht="11.25" x14ac:dyDescent="0.2">
      <c r="J428" s="73"/>
      <c r="K428" s="73"/>
    </row>
    <row r="429" spans="10:11" ht="11.25" x14ac:dyDescent="0.2">
      <c r="J429" s="73"/>
      <c r="K429" s="73"/>
    </row>
    <row r="430" spans="10:11" ht="11.25" x14ac:dyDescent="0.2">
      <c r="J430" s="73"/>
      <c r="K430" s="73"/>
    </row>
    <row r="431" spans="10:11" ht="11.25" x14ac:dyDescent="0.2">
      <c r="J431" s="73"/>
      <c r="K431" s="73"/>
    </row>
    <row r="432" spans="10:11" ht="11.25" x14ac:dyDescent="0.2">
      <c r="J432" s="73"/>
      <c r="K432" s="73"/>
    </row>
    <row r="433" spans="10:11" ht="11.25" x14ac:dyDescent="0.2">
      <c r="J433" s="73"/>
      <c r="K433" s="73"/>
    </row>
    <row r="434" spans="10:11" ht="11.25" x14ac:dyDescent="0.2">
      <c r="J434" s="73"/>
      <c r="K434" s="73"/>
    </row>
    <row r="435" spans="10:11" ht="11.25" x14ac:dyDescent="0.2">
      <c r="J435" s="73"/>
      <c r="K435" s="73"/>
    </row>
    <row r="436" spans="10:11" ht="11.25" x14ac:dyDescent="0.2">
      <c r="J436" s="73"/>
      <c r="K436" s="73"/>
    </row>
    <row r="437" spans="10:11" ht="11.25" x14ac:dyDescent="0.2">
      <c r="J437" s="73"/>
      <c r="K437" s="73"/>
    </row>
    <row r="438" spans="10:11" ht="11.25" x14ac:dyDescent="0.2">
      <c r="J438" s="73"/>
      <c r="K438" s="73"/>
    </row>
    <row r="439" spans="10:11" ht="11.25" x14ac:dyDescent="0.2">
      <c r="J439" s="73"/>
      <c r="K439" s="73"/>
    </row>
    <row r="440" spans="10:11" ht="11.25" x14ac:dyDescent="0.2">
      <c r="J440" s="73"/>
      <c r="K440" s="73"/>
    </row>
    <row r="441" spans="10:11" ht="11.25" x14ac:dyDescent="0.2">
      <c r="J441" s="73"/>
      <c r="K441" s="73"/>
    </row>
    <row r="442" spans="10:11" ht="11.25" x14ac:dyDescent="0.2">
      <c r="J442" s="73"/>
      <c r="K442" s="73"/>
    </row>
    <row r="443" spans="10:11" ht="11.25" x14ac:dyDescent="0.2">
      <c r="J443" s="73"/>
      <c r="K443" s="73"/>
    </row>
    <row r="444" spans="10:11" ht="11.25" x14ac:dyDescent="0.2">
      <c r="J444" s="73"/>
      <c r="K444" s="73"/>
    </row>
    <row r="445" spans="10:11" ht="11.25" x14ac:dyDescent="0.2">
      <c r="J445" s="73"/>
      <c r="K445" s="73"/>
    </row>
    <row r="446" spans="10:11" ht="11.25" x14ac:dyDescent="0.2">
      <c r="J446" s="73"/>
      <c r="K446" s="73"/>
    </row>
    <row r="447" spans="10:11" ht="11.25" x14ac:dyDescent="0.2">
      <c r="J447" s="73"/>
      <c r="K447" s="73"/>
    </row>
    <row r="448" spans="10:11" ht="11.25" x14ac:dyDescent="0.2">
      <c r="J448" s="73"/>
      <c r="K448" s="73"/>
    </row>
    <row r="449" spans="10:11" ht="11.25" x14ac:dyDescent="0.2">
      <c r="J449" s="73"/>
      <c r="K449" s="73"/>
    </row>
    <row r="450" spans="10:11" ht="11.25" x14ac:dyDescent="0.2">
      <c r="J450" s="73"/>
      <c r="K450" s="73"/>
    </row>
    <row r="451" spans="10:11" ht="11.25" x14ac:dyDescent="0.2">
      <c r="J451" s="73"/>
      <c r="K451" s="73"/>
    </row>
    <row r="452" spans="10:11" ht="11.25" x14ac:dyDescent="0.2">
      <c r="J452" s="73"/>
      <c r="K452" s="73"/>
    </row>
    <row r="453" spans="10:11" ht="11.25" x14ac:dyDescent="0.2">
      <c r="J453" s="73"/>
      <c r="K453" s="73"/>
    </row>
    <row r="454" spans="10:11" ht="11.25" x14ac:dyDescent="0.2">
      <c r="J454" s="73"/>
      <c r="K454" s="73"/>
    </row>
    <row r="455" spans="10:11" ht="11.25" x14ac:dyDescent="0.2">
      <c r="J455" s="73"/>
      <c r="K455" s="73"/>
    </row>
    <row r="456" spans="10:11" ht="11.25" x14ac:dyDescent="0.2">
      <c r="J456" s="73"/>
      <c r="K456" s="73"/>
    </row>
    <row r="457" spans="10:11" ht="11.25" x14ac:dyDescent="0.2">
      <c r="J457" s="73"/>
      <c r="K457" s="73"/>
    </row>
    <row r="458" spans="10:11" ht="11.25" x14ac:dyDescent="0.2">
      <c r="J458" s="73"/>
      <c r="K458" s="73"/>
    </row>
    <row r="459" spans="10:11" ht="11.25" x14ac:dyDescent="0.2">
      <c r="J459" s="73"/>
      <c r="K459" s="73"/>
    </row>
    <row r="460" spans="10:11" ht="11.25" x14ac:dyDescent="0.2">
      <c r="J460" s="73"/>
      <c r="K460" s="73"/>
    </row>
    <row r="461" spans="10:11" ht="11.25" x14ac:dyDescent="0.2">
      <c r="J461" s="73"/>
      <c r="K461" s="73"/>
    </row>
    <row r="462" spans="10:11" ht="11.25" x14ac:dyDescent="0.2">
      <c r="J462" s="73"/>
      <c r="K462" s="73"/>
    </row>
    <row r="463" spans="10:11" ht="11.25" x14ac:dyDescent="0.2">
      <c r="J463" s="73"/>
      <c r="K463" s="73"/>
    </row>
    <row r="464" spans="10:11" ht="11.25" x14ac:dyDescent="0.2">
      <c r="J464" s="73"/>
      <c r="K464" s="73"/>
    </row>
    <row r="465" spans="10:11" ht="11.25" x14ac:dyDescent="0.2">
      <c r="J465" s="73"/>
      <c r="K465" s="73"/>
    </row>
    <row r="466" spans="10:11" ht="11.25" x14ac:dyDescent="0.2">
      <c r="J466" s="73"/>
      <c r="K466" s="73"/>
    </row>
    <row r="467" spans="10:11" ht="11.25" x14ac:dyDescent="0.2">
      <c r="J467" s="73"/>
      <c r="K467" s="73"/>
    </row>
    <row r="468" spans="10:11" ht="11.25" x14ac:dyDescent="0.2">
      <c r="J468" s="73"/>
      <c r="K468" s="73"/>
    </row>
    <row r="469" spans="10:11" ht="11.25" x14ac:dyDescent="0.2">
      <c r="J469" s="73"/>
      <c r="K469" s="73"/>
    </row>
    <row r="470" spans="10:11" ht="11.25" x14ac:dyDescent="0.2">
      <c r="J470" s="73"/>
      <c r="K470" s="73"/>
    </row>
    <row r="471" spans="10:11" ht="11.25" x14ac:dyDescent="0.2">
      <c r="J471" s="73"/>
      <c r="K471" s="73"/>
    </row>
    <row r="472" spans="10:11" ht="11.25" x14ac:dyDescent="0.2">
      <c r="J472" s="73"/>
      <c r="K472" s="73"/>
    </row>
    <row r="473" spans="10:11" ht="11.25" x14ac:dyDescent="0.2">
      <c r="J473" s="73"/>
      <c r="K473" s="73"/>
    </row>
    <row r="474" spans="10:11" ht="11.25" x14ac:dyDescent="0.2">
      <c r="J474" s="73"/>
      <c r="K474" s="73"/>
    </row>
    <row r="475" spans="10:11" ht="11.25" x14ac:dyDescent="0.2">
      <c r="J475" s="73"/>
      <c r="K475" s="73"/>
    </row>
    <row r="476" spans="10:11" ht="11.25" x14ac:dyDescent="0.2">
      <c r="J476" s="73"/>
      <c r="K476" s="73"/>
    </row>
    <row r="477" spans="10:11" ht="11.25" x14ac:dyDescent="0.2">
      <c r="J477" s="73"/>
      <c r="K477" s="73"/>
    </row>
    <row r="478" spans="10:11" ht="11.25" x14ac:dyDescent="0.2">
      <c r="J478" s="73"/>
      <c r="K478" s="73"/>
    </row>
    <row r="479" spans="10:11" ht="11.25" x14ac:dyDescent="0.2">
      <c r="J479" s="73"/>
      <c r="K479" s="73"/>
    </row>
    <row r="480" spans="10:11" ht="11.25" x14ac:dyDescent="0.2">
      <c r="J480" s="73"/>
      <c r="K480" s="73"/>
    </row>
    <row r="481" spans="10:11" ht="11.25" x14ac:dyDescent="0.2">
      <c r="J481" s="73"/>
      <c r="K481" s="73"/>
    </row>
    <row r="482" spans="10:11" ht="11.25" x14ac:dyDescent="0.2">
      <c r="J482" s="73"/>
      <c r="K482" s="73"/>
    </row>
    <row r="483" spans="10:11" ht="11.25" x14ac:dyDescent="0.2">
      <c r="J483" s="73"/>
      <c r="K483" s="73"/>
    </row>
    <row r="484" spans="10:11" ht="11.25" x14ac:dyDescent="0.2">
      <c r="J484" s="73"/>
      <c r="K484" s="73"/>
    </row>
    <row r="485" spans="10:11" ht="11.25" x14ac:dyDescent="0.2">
      <c r="J485" s="73"/>
      <c r="K485" s="73"/>
    </row>
    <row r="486" spans="10:11" ht="11.25" x14ac:dyDescent="0.2">
      <c r="J486" s="73"/>
      <c r="K486" s="73"/>
    </row>
    <row r="487" spans="10:11" ht="11.25" x14ac:dyDescent="0.2">
      <c r="J487" s="73"/>
      <c r="K487" s="73"/>
    </row>
    <row r="488" spans="10:11" ht="11.25" x14ac:dyDescent="0.2">
      <c r="J488" s="73"/>
      <c r="K488" s="73"/>
    </row>
    <row r="489" spans="10:11" ht="11.25" x14ac:dyDescent="0.2">
      <c r="J489" s="73"/>
      <c r="K489" s="73"/>
    </row>
    <row r="490" spans="10:11" ht="11.25" x14ac:dyDescent="0.2">
      <c r="J490" s="73"/>
      <c r="K490" s="73"/>
    </row>
    <row r="491" spans="10:11" ht="11.25" x14ac:dyDescent="0.2">
      <c r="J491" s="73"/>
      <c r="K491" s="73"/>
    </row>
    <row r="492" spans="10:11" ht="11.25" x14ac:dyDescent="0.2">
      <c r="J492" s="73"/>
      <c r="K492" s="73"/>
    </row>
    <row r="493" spans="10:11" ht="11.25" x14ac:dyDescent="0.2">
      <c r="J493" s="73"/>
      <c r="K493" s="73"/>
    </row>
    <row r="494" spans="10:11" ht="11.25" x14ac:dyDescent="0.2">
      <c r="J494" s="73"/>
      <c r="K494" s="73"/>
    </row>
    <row r="495" spans="10:11" ht="11.25" x14ac:dyDescent="0.2">
      <c r="J495" s="73"/>
      <c r="K495" s="73"/>
    </row>
    <row r="496" spans="10:11" ht="11.25" x14ac:dyDescent="0.2">
      <c r="J496" s="73"/>
      <c r="K496" s="73"/>
    </row>
    <row r="497" spans="10:11" ht="11.25" x14ac:dyDescent="0.2">
      <c r="J497" s="73"/>
      <c r="K497" s="73"/>
    </row>
    <row r="498" spans="10:11" ht="11.25" x14ac:dyDescent="0.2">
      <c r="J498" s="73"/>
      <c r="K498" s="73"/>
    </row>
    <row r="499" spans="10:11" ht="11.25" x14ac:dyDescent="0.2">
      <c r="J499" s="73"/>
      <c r="K499" s="73"/>
    </row>
    <row r="500" spans="10:11" ht="11.25" x14ac:dyDescent="0.2">
      <c r="J500" s="73"/>
      <c r="K500" s="73"/>
    </row>
    <row r="501" spans="10:11" ht="11.25" x14ac:dyDescent="0.2">
      <c r="J501" s="73"/>
      <c r="K501" s="73"/>
    </row>
    <row r="502" spans="10:11" ht="11.25" x14ac:dyDescent="0.2">
      <c r="J502" s="73"/>
      <c r="K502" s="73"/>
    </row>
    <row r="503" spans="10:11" ht="11.25" x14ac:dyDescent="0.2">
      <c r="J503" s="73"/>
      <c r="K503" s="73"/>
    </row>
    <row r="504" spans="10:11" ht="11.25" x14ac:dyDescent="0.2">
      <c r="J504" s="73"/>
      <c r="K504" s="73"/>
    </row>
    <row r="505" spans="10:11" ht="11.25" x14ac:dyDescent="0.2">
      <c r="J505" s="73"/>
      <c r="K505" s="73"/>
    </row>
    <row r="506" spans="10:11" ht="11.25" x14ac:dyDescent="0.2">
      <c r="J506" s="73"/>
      <c r="K506" s="73"/>
    </row>
    <row r="507" spans="10:11" ht="11.25" x14ac:dyDescent="0.2">
      <c r="J507" s="73"/>
      <c r="K507" s="73"/>
    </row>
    <row r="508" spans="10:11" ht="11.25" x14ac:dyDescent="0.2">
      <c r="J508" s="73"/>
      <c r="K508" s="73"/>
    </row>
    <row r="509" spans="10:11" ht="11.25" x14ac:dyDescent="0.2">
      <c r="J509" s="73"/>
      <c r="K509" s="73"/>
    </row>
    <row r="510" spans="10:11" ht="11.25" x14ac:dyDescent="0.2">
      <c r="J510" s="73"/>
      <c r="K510" s="73"/>
    </row>
    <row r="511" spans="10:11" ht="11.25" x14ac:dyDescent="0.2">
      <c r="J511" s="73"/>
      <c r="K511" s="73"/>
    </row>
    <row r="512" spans="10:11" ht="11.25" x14ac:dyDescent="0.2">
      <c r="J512" s="73"/>
      <c r="K512" s="73"/>
    </row>
    <row r="513" spans="10:11" ht="11.25" x14ac:dyDescent="0.2">
      <c r="J513" s="73"/>
      <c r="K513" s="73"/>
    </row>
    <row r="514" spans="10:11" ht="11.25" x14ac:dyDescent="0.2">
      <c r="J514" s="73"/>
      <c r="K514" s="73"/>
    </row>
    <row r="515" spans="10:11" ht="11.25" x14ac:dyDescent="0.2">
      <c r="J515" s="73"/>
      <c r="K515" s="73"/>
    </row>
    <row r="516" spans="10:11" ht="11.25" x14ac:dyDescent="0.2">
      <c r="J516" s="73"/>
      <c r="K516" s="73"/>
    </row>
    <row r="517" spans="10:11" ht="11.25" x14ac:dyDescent="0.2">
      <c r="J517" s="73"/>
      <c r="K517" s="73"/>
    </row>
    <row r="518" spans="10:11" ht="11.25" x14ac:dyDescent="0.2">
      <c r="J518" s="73"/>
      <c r="K518" s="73"/>
    </row>
    <row r="519" spans="10:11" ht="11.25" x14ac:dyDescent="0.2">
      <c r="J519" s="73"/>
      <c r="K519" s="73"/>
    </row>
    <row r="520" spans="10:11" ht="11.25" x14ac:dyDescent="0.2">
      <c r="J520" s="73"/>
      <c r="K520" s="73"/>
    </row>
    <row r="521" spans="10:11" ht="11.25" x14ac:dyDescent="0.2">
      <c r="J521" s="73"/>
      <c r="K521" s="73"/>
    </row>
    <row r="522" spans="10:11" ht="11.25" x14ac:dyDescent="0.2">
      <c r="J522" s="73"/>
      <c r="K522" s="73"/>
    </row>
    <row r="523" spans="10:11" ht="11.25" x14ac:dyDescent="0.2">
      <c r="J523" s="73"/>
      <c r="K523" s="73"/>
    </row>
    <row r="524" spans="10:11" ht="11.25" x14ac:dyDescent="0.2">
      <c r="J524" s="73"/>
      <c r="K524" s="73"/>
    </row>
    <row r="525" spans="10:11" ht="11.25" x14ac:dyDescent="0.2">
      <c r="J525" s="73"/>
      <c r="K525" s="73"/>
    </row>
    <row r="526" spans="10:11" ht="11.25" x14ac:dyDescent="0.2">
      <c r="J526" s="73"/>
      <c r="K526" s="73"/>
    </row>
    <row r="527" spans="10:11" ht="11.25" x14ac:dyDescent="0.2">
      <c r="J527" s="73"/>
      <c r="K527" s="73"/>
    </row>
    <row r="528" spans="10:11" ht="11.25" x14ac:dyDescent="0.2">
      <c r="J528" s="73"/>
      <c r="K528" s="73"/>
    </row>
    <row r="529" spans="10:11" ht="11.25" x14ac:dyDescent="0.2">
      <c r="J529" s="73"/>
      <c r="K529" s="73"/>
    </row>
    <row r="530" spans="10:11" ht="11.25" x14ac:dyDescent="0.2">
      <c r="J530" s="73"/>
      <c r="K530" s="73"/>
    </row>
    <row r="531" spans="10:11" ht="11.25" x14ac:dyDescent="0.2">
      <c r="J531" s="73"/>
      <c r="K531" s="73"/>
    </row>
    <row r="532" spans="10:11" ht="11.25" x14ac:dyDescent="0.2">
      <c r="J532" s="73"/>
      <c r="K532" s="73"/>
    </row>
    <row r="533" spans="10:11" ht="11.25" x14ac:dyDescent="0.2">
      <c r="J533" s="73"/>
      <c r="K533" s="73"/>
    </row>
    <row r="534" spans="10:11" ht="11.25" x14ac:dyDescent="0.2">
      <c r="J534" s="73"/>
      <c r="K534" s="73"/>
    </row>
    <row r="535" spans="10:11" ht="11.25" x14ac:dyDescent="0.2">
      <c r="J535" s="73"/>
      <c r="K535" s="73"/>
    </row>
    <row r="536" spans="10:11" ht="11.25" x14ac:dyDescent="0.2">
      <c r="J536" s="73"/>
      <c r="K536" s="73"/>
    </row>
    <row r="537" spans="10:11" ht="11.25" x14ac:dyDescent="0.2">
      <c r="J537" s="73"/>
      <c r="K537" s="73"/>
    </row>
    <row r="538" spans="10:11" ht="11.25" x14ac:dyDescent="0.2">
      <c r="J538" s="73"/>
      <c r="K538" s="73"/>
    </row>
    <row r="539" spans="10:11" ht="11.25" x14ac:dyDescent="0.2">
      <c r="J539" s="73"/>
      <c r="K539" s="73"/>
    </row>
    <row r="540" spans="10:11" ht="11.25" x14ac:dyDescent="0.2">
      <c r="J540" s="73"/>
      <c r="K540" s="73"/>
    </row>
    <row r="541" spans="10:11" ht="11.25" x14ac:dyDescent="0.2">
      <c r="J541" s="73"/>
      <c r="K541" s="73"/>
    </row>
    <row r="542" spans="10:11" ht="11.25" x14ac:dyDescent="0.2">
      <c r="J542" s="73"/>
      <c r="K542" s="73"/>
    </row>
    <row r="543" spans="10:11" ht="11.25" x14ac:dyDescent="0.2">
      <c r="J543" s="73"/>
      <c r="K543" s="73"/>
    </row>
    <row r="544" spans="10:11" ht="11.25" x14ac:dyDescent="0.2">
      <c r="J544" s="73"/>
      <c r="K544" s="73"/>
    </row>
    <row r="545" spans="10:11" ht="11.25" x14ac:dyDescent="0.2">
      <c r="J545" s="73"/>
      <c r="K545" s="73"/>
    </row>
    <row r="546" spans="10:11" ht="11.25" x14ac:dyDescent="0.2">
      <c r="J546" s="73"/>
      <c r="K546" s="73"/>
    </row>
    <row r="547" spans="10:11" ht="11.25" x14ac:dyDescent="0.2">
      <c r="J547" s="73"/>
      <c r="K547" s="73"/>
    </row>
    <row r="548" spans="10:11" ht="11.25" x14ac:dyDescent="0.2">
      <c r="J548" s="73"/>
      <c r="K548" s="73"/>
    </row>
    <row r="549" spans="10:11" ht="11.25" x14ac:dyDescent="0.2">
      <c r="J549" s="73"/>
      <c r="K549" s="73"/>
    </row>
    <row r="550" spans="10:11" ht="11.25" x14ac:dyDescent="0.2">
      <c r="J550" s="73"/>
      <c r="K550" s="73"/>
    </row>
    <row r="551" spans="10:11" ht="11.25" x14ac:dyDescent="0.2">
      <c r="J551" s="73"/>
      <c r="K551" s="73"/>
    </row>
    <row r="552" spans="10:11" ht="11.25" x14ac:dyDescent="0.2">
      <c r="J552" s="73"/>
      <c r="K552" s="73"/>
    </row>
    <row r="553" spans="10:11" ht="11.25" x14ac:dyDescent="0.2">
      <c r="J553" s="73"/>
      <c r="K553" s="73"/>
    </row>
    <row r="554" spans="10:11" ht="11.25" x14ac:dyDescent="0.2">
      <c r="J554" s="73"/>
      <c r="K554" s="73"/>
    </row>
    <row r="555" spans="10:11" ht="11.25" x14ac:dyDescent="0.2">
      <c r="J555" s="73"/>
      <c r="K555" s="73"/>
    </row>
    <row r="556" spans="10:11" ht="11.25" x14ac:dyDescent="0.2">
      <c r="J556" s="73"/>
      <c r="K556" s="73"/>
    </row>
    <row r="557" spans="10:11" ht="11.25" x14ac:dyDescent="0.2">
      <c r="J557" s="73"/>
      <c r="K557" s="73"/>
    </row>
    <row r="558" spans="10:11" ht="11.25" x14ac:dyDescent="0.2">
      <c r="J558" s="73"/>
      <c r="K558" s="73"/>
    </row>
    <row r="559" spans="10:11" ht="11.25" x14ac:dyDescent="0.2">
      <c r="J559" s="73"/>
      <c r="K559" s="73"/>
    </row>
    <row r="560" spans="10:11" ht="11.25" x14ac:dyDescent="0.2">
      <c r="J560" s="73"/>
      <c r="K560" s="73"/>
    </row>
    <row r="561" spans="10:11" ht="11.25" x14ac:dyDescent="0.2">
      <c r="J561" s="73"/>
      <c r="K561" s="73"/>
    </row>
    <row r="562" spans="10:11" ht="11.25" x14ac:dyDescent="0.2">
      <c r="J562" s="73"/>
      <c r="K562" s="73"/>
    </row>
    <row r="563" spans="10:11" ht="11.25" x14ac:dyDescent="0.2">
      <c r="J563" s="73"/>
      <c r="K563" s="73"/>
    </row>
    <row r="564" spans="10:11" ht="11.25" x14ac:dyDescent="0.2">
      <c r="J564" s="73"/>
      <c r="K564" s="73"/>
    </row>
    <row r="565" spans="10:11" ht="11.25" x14ac:dyDescent="0.2">
      <c r="J565" s="73"/>
      <c r="K565" s="73"/>
    </row>
    <row r="566" spans="10:11" ht="11.25" x14ac:dyDescent="0.2">
      <c r="J566" s="73"/>
      <c r="K566" s="73"/>
    </row>
    <row r="567" spans="10:11" ht="11.25" x14ac:dyDescent="0.2">
      <c r="J567" s="73"/>
      <c r="K567" s="73"/>
    </row>
    <row r="568" spans="10:11" ht="11.25" x14ac:dyDescent="0.2">
      <c r="J568" s="73"/>
      <c r="K568" s="73"/>
    </row>
    <row r="569" spans="10:11" ht="11.25" x14ac:dyDescent="0.2">
      <c r="J569" s="73"/>
      <c r="K569" s="73"/>
    </row>
    <row r="570" spans="10:11" ht="11.25" x14ac:dyDescent="0.2">
      <c r="J570" s="73"/>
      <c r="K570" s="73"/>
    </row>
    <row r="571" spans="10:11" ht="11.25" x14ac:dyDescent="0.2">
      <c r="J571" s="73"/>
      <c r="K571" s="73"/>
    </row>
    <row r="572" spans="10:11" ht="11.25" x14ac:dyDescent="0.2">
      <c r="J572" s="73"/>
      <c r="K572" s="73"/>
    </row>
    <row r="573" spans="10:11" ht="11.25" x14ac:dyDescent="0.2">
      <c r="J573" s="73"/>
      <c r="K573" s="73"/>
    </row>
    <row r="574" spans="10:11" ht="11.25" x14ac:dyDescent="0.2">
      <c r="J574" s="73"/>
      <c r="K574" s="73"/>
    </row>
    <row r="575" spans="10:11" ht="11.25" x14ac:dyDescent="0.2">
      <c r="J575" s="73"/>
      <c r="K575" s="73"/>
    </row>
    <row r="576" spans="10:11" ht="11.25" x14ac:dyDescent="0.2">
      <c r="J576" s="73"/>
      <c r="K576" s="73"/>
    </row>
    <row r="577" spans="10:11" ht="11.25" x14ac:dyDescent="0.2">
      <c r="J577" s="73"/>
      <c r="K577" s="73"/>
    </row>
    <row r="578" spans="10:11" ht="11.25" x14ac:dyDescent="0.2">
      <c r="J578" s="73"/>
      <c r="K578" s="73"/>
    </row>
    <row r="579" spans="10:11" ht="11.25" x14ac:dyDescent="0.2">
      <c r="J579" s="73"/>
      <c r="K579" s="73"/>
    </row>
    <row r="580" spans="10:11" ht="11.25" x14ac:dyDescent="0.2">
      <c r="J580" s="73"/>
      <c r="K580" s="73"/>
    </row>
    <row r="581" spans="10:11" ht="11.25" x14ac:dyDescent="0.2">
      <c r="J581" s="73"/>
      <c r="K581" s="73"/>
    </row>
    <row r="582" spans="10:11" ht="11.25" x14ac:dyDescent="0.2">
      <c r="J582" s="73"/>
      <c r="K582" s="73"/>
    </row>
    <row r="583" spans="10:11" ht="11.25" x14ac:dyDescent="0.2">
      <c r="J583" s="73"/>
      <c r="K583" s="73"/>
    </row>
    <row r="584" spans="10:11" ht="11.25" x14ac:dyDescent="0.2">
      <c r="J584" s="73"/>
      <c r="K584" s="73"/>
    </row>
    <row r="585" spans="10:11" ht="11.25" x14ac:dyDescent="0.2">
      <c r="J585" s="73"/>
      <c r="K585" s="73"/>
    </row>
    <row r="586" spans="10:11" ht="11.25" x14ac:dyDescent="0.2">
      <c r="J586" s="73"/>
      <c r="K586" s="73"/>
    </row>
    <row r="587" spans="10:11" ht="11.25" x14ac:dyDescent="0.2">
      <c r="J587" s="73"/>
      <c r="K587" s="73"/>
    </row>
    <row r="588" spans="10:11" ht="11.25" x14ac:dyDescent="0.2">
      <c r="J588" s="73"/>
      <c r="K588" s="73"/>
    </row>
    <row r="589" spans="10:11" ht="11.25" x14ac:dyDescent="0.2">
      <c r="J589" s="73"/>
      <c r="K589" s="73"/>
    </row>
    <row r="590" spans="10:11" ht="11.25" x14ac:dyDescent="0.2">
      <c r="J590" s="73"/>
      <c r="K590" s="73"/>
    </row>
    <row r="591" spans="10:11" ht="11.25" x14ac:dyDescent="0.2">
      <c r="J591" s="73"/>
      <c r="K591" s="73"/>
    </row>
    <row r="592" spans="10:11" ht="11.25" x14ac:dyDescent="0.2">
      <c r="J592" s="73"/>
      <c r="K592" s="73"/>
    </row>
    <row r="593" spans="10:11" ht="11.25" x14ac:dyDescent="0.2">
      <c r="J593" s="73"/>
      <c r="K593" s="73"/>
    </row>
    <row r="594" spans="10:11" ht="11.25" x14ac:dyDescent="0.2">
      <c r="J594" s="73"/>
      <c r="K594" s="73"/>
    </row>
    <row r="595" spans="10:11" ht="11.25" x14ac:dyDescent="0.2">
      <c r="J595" s="73"/>
      <c r="K595" s="73"/>
    </row>
    <row r="596" spans="10:11" ht="11.25" x14ac:dyDescent="0.2">
      <c r="J596" s="73"/>
      <c r="K596" s="73"/>
    </row>
    <row r="597" spans="10:11" ht="11.25" x14ac:dyDescent="0.2">
      <c r="J597" s="73"/>
      <c r="K597" s="73"/>
    </row>
    <row r="598" spans="10:11" ht="11.25" x14ac:dyDescent="0.2">
      <c r="J598" s="73"/>
      <c r="K598" s="73"/>
    </row>
    <row r="599" spans="10:11" ht="11.25" x14ac:dyDescent="0.2">
      <c r="J599" s="73"/>
      <c r="K599" s="73"/>
    </row>
    <row r="600" spans="10:11" ht="11.25" x14ac:dyDescent="0.2">
      <c r="J600" s="73"/>
      <c r="K600" s="73"/>
    </row>
    <row r="601" spans="10:11" ht="11.25" x14ac:dyDescent="0.2">
      <c r="J601" s="73"/>
      <c r="K601" s="73"/>
    </row>
    <row r="602" spans="10:11" ht="11.25" x14ac:dyDescent="0.2">
      <c r="J602" s="73"/>
      <c r="K602" s="73"/>
    </row>
    <row r="603" spans="10:11" ht="11.25" x14ac:dyDescent="0.2">
      <c r="J603" s="73"/>
      <c r="K603" s="73"/>
    </row>
    <row r="604" spans="10:11" ht="11.25" x14ac:dyDescent="0.2">
      <c r="J604" s="73"/>
      <c r="K604" s="73"/>
    </row>
    <row r="605" spans="10:11" ht="11.25" x14ac:dyDescent="0.2">
      <c r="J605" s="73"/>
      <c r="K605" s="73"/>
    </row>
    <row r="606" spans="10:11" ht="11.25" x14ac:dyDescent="0.2">
      <c r="J606" s="73"/>
      <c r="K606" s="73"/>
    </row>
    <row r="607" spans="10:11" ht="11.25" x14ac:dyDescent="0.2">
      <c r="J607" s="73"/>
      <c r="K607" s="73"/>
    </row>
    <row r="608" spans="10:11" ht="11.25" x14ac:dyDescent="0.2">
      <c r="J608" s="73"/>
      <c r="K608" s="73"/>
    </row>
    <row r="609" spans="10:11" ht="11.25" x14ac:dyDescent="0.2">
      <c r="J609" s="73"/>
      <c r="K609" s="73"/>
    </row>
    <row r="610" spans="10:11" ht="11.25" x14ac:dyDescent="0.2">
      <c r="J610" s="73"/>
      <c r="K610" s="73"/>
    </row>
    <row r="611" spans="10:11" ht="11.25" x14ac:dyDescent="0.2">
      <c r="J611" s="73"/>
      <c r="K611" s="73"/>
    </row>
    <row r="612" spans="10:11" ht="11.25" x14ac:dyDescent="0.2">
      <c r="J612" s="73"/>
      <c r="K612" s="73"/>
    </row>
    <row r="613" spans="10:11" ht="11.25" x14ac:dyDescent="0.2">
      <c r="J613" s="73"/>
      <c r="K613" s="73"/>
    </row>
    <row r="614" spans="10:11" ht="11.25" x14ac:dyDescent="0.2">
      <c r="J614" s="73"/>
      <c r="K614" s="73"/>
    </row>
    <row r="615" spans="10:11" ht="11.25" x14ac:dyDescent="0.2">
      <c r="J615" s="73"/>
      <c r="K615" s="73"/>
    </row>
    <row r="616" spans="10:11" ht="11.25" x14ac:dyDescent="0.2">
      <c r="J616" s="73"/>
      <c r="K616" s="73"/>
    </row>
    <row r="617" spans="10:11" ht="11.25" x14ac:dyDescent="0.2">
      <c r="J617" s="73"/>
      <c r="K617" s="73"/>
    </row>
    <row r="618" spans="10:11" ht="11.25" x14ac:dyDescent="0.2">
      <c r="J618" s="73"/>
      <c r="K618" s="73"/>
    </row>
    <row r="619" spans="10:11" ht="11.25" x14ac:dyDescent="0.2">
      <c r="J619" s="73"/>
      <c r="K619" s="73"/>
    </row>
    <row r="620" spans="10:11" ht="11.25" x14ac:dyDescent="0.2">
      <c r="J620" s="73"/>
      <c r="K620" s="73"/>
    </row>
    <row r="621" spans="10:11" ht="11.25" x14ac:dyDescent="0.2">
      <c r="J621" s="73"/>
      <c r="K621" s="73"/>
    </row>
    <row r="622" spans="10:11" ht="11.25" x14ac:dyDescent="0.2">
      <c r="J622" s="73"/>
      <c r="K622" s="73"/>
    </row>
    <row r="623" spans="10:11" ht="11.25" x14ac:dyDescent="0.2">
      <c r="J623" s="73"/>
      <c r="K623" s="73"/>
    </row>
    <row r="624" spans="10:11" ht="11.25" x14ac:dyDescent="0.2">
      <c r="J624" s="73"/>
      <c r="K624" s="73"/>
    </row>
    <row r="625" spans="10:11" ht="11.25" x14ac:dyDescent="0.2">
      <c r="J625" s="73"/>
      <c r="K625" s="73"/>
    </row>
    <row r="626" spans="10:11" ht="11.25" x14ac:dyDescent="0.2">
      <c r="J626" s="73"/>
      <c r="K626" s="73"/>
    </row>
    <row r="627" spans="10:11" ht="11.25" x14ac:dyDescent="0.2">
      <c r="J627" s="73"/>
      <c r="K627" s="73"/>
    </row>
    <row r="628" spans="10:11" ht="11.25" x14ac:dyDescent="0.2">
      <c r="J628" s="73"/>
      <c r="K628" s="73"/>
    </row>
    <row r="629" spans="10:11" ht="11.25" x14ac:dyDescent="0.2">
      <c r="J629" s="73"/>
      <c r="K629" s="73"/>
    </row>
  </sheetData>
  <mergeCells count="6">
    <mergeCell ref="A1:J1"/>
    <mergeCell ref="X1:AA1"/>
    <mergeCell ref="K1:M1"/>
    <mergeCell ref="N1:P1"/>
    <mergeCell ref="Q1:S1"/>
    <mergeCell ref="T1:W1"/>
  </mergeCells>
  <dataValidations count="7">
    <dataValidation type="list" allowBlank="1" showInputMessage="1" showErrorMessage="1" sqref="V3:V381" xr:uid="{490563B8-74FB-4D07-820A-7EECF88C7A49}">
      <formula1>Empresa</formula1>
    </dataValidation>
    <dataValidation type="list" allowBlank="1" showInputMessage="1" showErrorMessage="1" sqref="T3:T381" xr:uid="{697A27BB-AF8B-44F6-96FE-4760D4BD6F68}">
      <formula1>Estado</formula1>
    </dataValidation>
    <dataValidation type="list" allowBlank="1" showInputMessage="1" showErrorMessage="1" sqref="L3:L381" xr:uid="{5A79C7B2-73C8-46A3-9150-4ADD36937969}">
      <formula1>Motivo</formula1>
    </dataValidation>
    <dataValidation type="list" allowBlank="1" showInputMessage="1" showErrorMessage="1" sqref="K3:K381" xr:uid="{B521A3AC-7DB2-4E00-A6ED-5023085C409D}">
      <formula1>Participa</formula1>
    </dataValidation>
    <dataValidation type="list" allowBlank="1" showInputMessage="1" showErrorMessage="1" sqref="I3:I381" xr:uid="{C2C5B26F-3005-4416-B161-DAA92491600F}">
      <formula1>Responsable</formula1>
    </dataValidation>
    <dataValidation type="list" allowBlank="1" showInputMessage="1" showErrorMessage="1" sqref="H3:H381" xr:uid="{EB53CC85-0BBB-4EC6-AFCC-234A3F3EAE1A}">
      <formula1>AREA</formula1>
    </dataValidation>
    <dataValidation type="list" allowBlank="1" showInputMessage="1" showErrorMessage="1" sqref="M3:M381" xr:uid="{FE69CB16-F290-4B11-9E2C-56513C66FA3A}">
      <formula1>Seguimiento</formula1>
    </dataValidation>
  </dataValidations>
  <hyperlinks>
    <hyperlink ref="AA3" r:id="rId1" display="mailto:contabilidadsalud@rionegrochile.cl" xr:uid="{8DFF215B-7811-4134-8B74-BAA0D85412EE}"/>
  </hyperlinks>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0BCD9-1C31-4744-BB1C-9EEBB2003D71}">
  <dimension ref="A1:O111"/>
  <sheetViews>
    <sheetView topLeftCell="A7" zoomScale="90" zoomScaleNormal="90" workbookViewId="0">
      <selection activeCell="A5" sqref="A5:I15"/>
    </sheetView>
  </sheetViews>
  <sheetFormatPr defaultColWidth="11.42578125" defaultRowHeight="15" x14ac:dyDescent="0.25"/>
  <cols>
    <col min="1" max="1" width="19" bestFit="1" customWidth="1"/>
    <col min="2" max="2" width="15.28515625" bestFit="1" customWidth="1"/>
    <col min="3" max="3" width="15.5703125" customWidth="1"/>
    <col min="4" max="4" width="19.85546875" bestFit="1" customWidth="1"/>
    <col min="5" max="5" width="16" bestFit="1" customWidth="1"/>
    <col min="6" max="6" width="13.42578125" customWidth="1"/>
    <col min="7" max="7" width="16.7109375" bestFit="1" customWidth="1"/>
    <col min="8" max="8" width="16.85546875" customWidth="1"/>
    <col min="9" max="9" width="17.85546875" customWidth="1"/>
    <col min="10" max="10" width="13" bestFit="1" customWidth="1"/>
    <col min="13" max="13" width="12.42578125" customWidth="1"/>
  </cols>
  <sheetData>
    <row r="1" spans="1:9" x14ac:dyDescent="0.25">
      <c r="A1" t="s">
        <v>3</v>
      </c>
      <c r="B1" t="s">
        <v>7323</v>
      </c>
    </row>
    <row r="2" spans="1:9" x14ac:dyDescent="0.25">
      <c r="A2" t="s">
        <v>5</v>
      </c>
      <c r="B2">
        <v>2023</v>
      </c>
    </row>
    <row r="3" spans="1:9" x14ac:dyDescent="0.25">
      <c r="A3" t="s">
        <v>6</v>
      </c>
      <c r="B3" t="s">
        <v>7324</v>
      </c>
    </row>
    <row r="5" spans="1:9" ht="30" x14ac:dyDescent="0.25">
      <c r="A5" t="s">
        <v>7325</v>
      </c>
      <c r="B5" t="s">
        <v>7326</v>
      </c>
      <c r="C5" t="s">
        <v>7327</v>
      </c>
      <c r="D5" t="s">
        <v>7328</v>
      </c>
      <c r="E5" s="7" t="s">
        <v>137</v>
      </c>
      <c r="F5" t="s">
        <v>270</v>
      </c>
      <c r="G5" t="s">
        <v>385</v>
      </c>
      <c r="H5" t="s">
        <v>2439</v>
      </c>
      <c r="I5" t="s">
        <v>5099</v>
      </c>
    </row>
    <row r="6" spans="1:9" x14ac:dyDescent="0.25">
      <c r="A6" t="s">
        <v>41</v>
      </c>
      <c r="B6">
        <f>IF($B$1="Año completo",IF($B$3="Todos",COUNTIFS(Tabla1[AREA],Tabla20[[#This Row],[Area]],Tabla1[Año],'Reporte Licitaciones'!$B$2),COUNTIFS(Tabla1[AREA],Tabla20[[#This Row],[Area]],Tabla1[Año],'Reporte Licitaciones'!$B$2,Tabla1[Responsable],'Reporte Licitaciones'!$B$3)),COUNTIFS(Tabla1[AREA],Tabla20[[#This Row],[Area]],Tabla1[Año],'Reporte Licitaciones'!$B$2,Tabla1[Mes],'Reporte Licitaciones'!$B$1,Tabla1[Responsable],'Reporte Licitaciones'!$B$3))</f>
        <v>0</v>
      </c>
      <c r="C6">
        <f>COUNTIFS(Tabla1[AREA],Tabla20[[#This Row],[Area]],Tabla1[Año],'Reporte Licitaciones'!$B$2,Tabla1[Mes],'Reporte Licitaciones'!$B$1,Tabla1[Responsable],'Reporte Licitaciones'!$B$3,Tabla1[Participa],"SI")</f>
        <v>0</v>
      </c>
      <c r="D6">
        <f>COUNTIFS(Tabla1[AREA],Tabla20[[#This Row],[Area]],Tabla1[Año],'Reporte Licitaciones'!$B$2,Tabla1[Mes],'Reporte Licitaciones'!$B$1,Tabla1[Responsable],'Reporte Licitaciones'!$B$3,Tabla1[Participa],"SI",Tabla1[Estado],"Adjudicada")</f>
        <v>0</v>
      </c>
      <c r="E6">
        <f>COUNTIFS(Tabla1[AREA],Tabla20[[#This Row],[Area]],Tabla1[Año],'Reporte Licitaciones'!$B$2,Tabla1[Mes],'Reporte Licitaciones'!$B$1,Tabla1[Responsable],'Reporte Licitaciones'!$B$3,Tabla1[Participa],"SI",Tabla1[Estado],"Desierta (o art. 3 ó 9 Ley 19.886)")</f>
        <v>0</v>
      </c>
      <c r="F6">
        <f>COUNTIFS(Tabla1[AREA],Tabla20[[#This Row],[Area]],Tabla1[Año],'Reporte Licitaciones'!$B$2,Tabla1[Mes],'Reporte Licitaciones'!$B$1,Tabla1[Responsable],'Reporte Licitaciones'!$B$3,Tabla1[Participa],"SI",Tabla1[Estado],"Cerrada")</f>
        <v>0</v>
      </c>
      <c r="G6">
        <f>COUNTIFS(Tabla1[AREA],Tabla20[[#This Row],[Area]],Tabla1[Año],'Reporte Licitaciones'!$B$2,Tabla1[Mes],'Reporte Licitaciones'!$B$1,Tabla1[Responsable],'Reporte Licitaciones'!$B$3,Tabla1[Participa],"SI",Tabla1[Estado],"Revocada")</f>
        <v>0</v>
      </c>
      <c r="H6">
        <f>COUNTIFS(Tabla1[AREA],Tabla20[[#This Row],[Area]],Tabla1[Año],'Reporte Licitaciones'!$B$2,Tabla1[Mes],'Reporte Licitaciones'!$B$1,Tabla1[Responsable],'Reporte Licitaciones'!$B$3,Tabla1[Participa],"SI",Tabla1[Estado],"Readjudicada")</f>
        <v>0</v>
      </c>
      <c r="I6">
        <f>COUNTIFS(Tabla1[AREA],Tabla20[[#This Row],[Area]],Tabla1[Año],'Reporte Licitaciones'!$B$2,Tabla1[Mes],'Reporte Licitaciones'!$B$1,Tabla1[Responsable],'Reporte Licitaciones'!$B$3,Tabla1[Participa],"SI",Tabla1[Estado],"Publicada")</f>
        <v>0</v>
      </c>
    </row>
    <row r="7" spans="1:9" x14ac:dyDescent="0.25">
      <c r="A7" t="s">
        <v>15</v>
      </c>
      <c r="B7">
        <f>IF($B$1="Año completo",IF($B$3="Todos",COUNTIFS(Tabla1[AREA],Tabla20[[#This Row],[Area]],Tabla1[Año],'Reporte Licitaciones'!$B$2),COUNTIFS(Tabla1[AREA],Tabla20[[#This Row],[Area]],Tabla1[Año],'Reporte Licitaciones'!$B$2,Tabla1[Responsable],'Reporte Licitaciones'!$B$3)),COUNTIFS(Tabla1[AREA],Tabla20[[#This Row],[Area]],Tabla1[Año],'Reporte Licitaciones'!$B$2,Tabla1[Mes],'Reporte Licitaciones'!$B$1,Tabla1[Responsable],'Reporte Licitaciones'!$B$3))</f>
        <v>3</v>
      </c>
      <c r="C7">
        <f>COUNTIFS(Tabla1[AREA],Tabla20[[#This Row],[Area]],Tabla1[Año],'Reporte Licitaciones'!$B$2,Tabla1[Mes],'Reporte Licitaciones'!$B$1,Tabla1[Responsable],'Reporte Licitaciones'!$B$3,Tabla1[Participa],"SI")</f>
        <v>0</v>
      </c>
      <c r="D7">
        <f>COUNTIFS(Tabla1[AREA],Tabla20[[#This Row],[Area]],Tabla1[Año],'Reporte Licitaciones'!$B$2,Tabla1[Mes],'Reporte Licitaciones'!$B$1,Tabla1[Responsable],'Reporte Licitaciones'!$B$3,Tabla1[Participa],"SI",Tabla1[Estado],"Adjudicada")</f>
        <v>0</v>
      </c>
      <c r="E7">
        <f>COUNTIFS(Tabla1[AREA],Tabla20[[#This Row],[Area]],Tabla1[Año],'Reporte Licitaciones'!$B$2,Tabla1[Mes],'Reporte Licitaciones'!$B$1,Tabla1[Responsable],'Reporte Licitaciones'!$B$3,Tabla1[Participa],"SI",Tabla1[Estado],"Desierta (o art. 3 ó 9 Ley 19.886)")</f>
        <v>0</v>
      </c>
      <c r="F7">
        <f>COUNTIFS(Tabla1[AREA],Tabla20[[#This Row],[Area]],Tabla1[Año],'Reporte Licitaciones'!$B$2,Tabla1[Mes],'Reporte Licitaciones'!$B$1,Tabla1[Responsable],'Reporte Licitaciones'!$B$3,Tabla1[Participa],"SI",Tabla1[Estado],"Cerrada")</f>
        <v>0</v>
      </c>
      <c r="G7">
        <f>COUNTIFS(Tabla1[AREA],Tabla20[[#This Row],[Area]],Tabla1[Año],'Reporte Licitaciones'!$B$2,Tabla1[Mes],'Reporte Licitaciones'!$B$1,Tabla1[Responsable],'Reporte Licitaciones'!$B$3,Tabla1[Participa],"SI",Tabla1[Estado],"Revocada")</f>
        <v>0</v>
      </c>
      <c r="H7">
        <f>COUNTIFS(Tabla1[AREA],Tabla20[[#This Row],[Area]],Tabla1[Año],'Reporte Licitaciones'!$B$2,Tabla1[Mes],'Reporte Licitaciones'!$B$1,Tabla1[Responsable],'Reporte Licitaciones'!$B$3,Tabla1[Participa],"SI",Tabla1[Estado],"Readjudicada")</f>
        <v>0</v>
      </c>
      <c r="I7">
        <f>COUNTIFS(Tabla1[AREA],Tabla20[[#This Row],[Area]],Tabla1[Año],'Reporte Licitaciones'!$B$2,Tabla1[Mes],'Reporte Licitaciones'!$B$1,Tabla1[Responsable],'Reporte Licitaciones'!$B$3,Tabla1[Participa],"SI",Tabla1[Estado],"Publicada")</f>
        <v>0</v>
      </c>
    </row>
    <row r="8" spans="1:9" x14ac:dyDescent="0.25">
      <c r="A8" t="s">
        <v>16</v>
      </c>
      <c r="B8">
        <f>IF($B$1="Año completo",IF($B$3="Todos",COUNTIFS(Tabla1[AREA],Tabla20[[#This Row],[Area]],Tabla1[Año],'Reporte Licitaciones'!$B$2),COUNTIFS(Tabla1[AREA],Tabla20[[#This Row],[Area]],Tabla1[Año],'Reporte Licitaciones'!$B$2,Tabla1[Responsable],'Reporte Licitaciones'!$B$3)),COUNTIFS(Tabla1[AREA],Tabla20[[#This Row],[Area]],Tabla1[Año],'Reporte Licitaciones'!$B$2,Tabla1[Mes],'Reporte Licitaciones'!$B$1,Tabla1[Responsable],'Reporte Licitaciones'!$B$3))</f>
        <v>101</v>
      </c>
      <c r="C8">
        <f>COUNTIFS(Tabla1[AREA],Tabla20[[#This Row],[Area]],Tabla1[Año],'Reporte Licitaciones'!$B$2,Tabla1[Mes],'Reporte Licitaciones'!$B$1,Tabla1[Responsable],'Reporte Licitaciones'!$B$3,Tabla1[Participa],"SI")</f>
        <v>0</v>
      </c>
      <c r="D8">
        <f>COUNTIFS(Tabla1[AREA],Tabla20[[#This Row],[Area]],Tabla1[Año],'Reporte Licitaciones'!$B$2,Tabla1[Mes],'Reporte Licitaciones'!$B$1,Tabla1[Responsable],'Reporte Licitaciones'!$B$3,Tabla1[Participa],"SI",Tabla1[Estado],"Adjudicada")</f>
        <v>0</v>
      </c>
      <c r="E8">
        <f>COUNTIFS(Tabla1[AREA],Tabla20[[#This Row],[Area]],Tabla1[Año],'Reporte Licitaciones'!$B$2,Tabla1[Mes],'Reporte Licitaciones'!$B$1,Tabla1[Responsable],'Reporte Licitaciones'!$B$3,Tabla1[Participa],"SI",Tabla1[Estado],"Desierta (o art. 3 ó 9 Ley 19.886)")</f>
        <v>0</v>
      </c>
      <c r="F8">
        <f>COUNTIFS(Tabla1[AREA],Tabla20[[#This Row],[Area]],Tabla1[Año],'Reporte Licitaciones'!$B$2,Tabla1[Mes],'Reporte Licitaciones'!$B$1,Tabla1[Responsable],'Reporte Licitaciones'!$B$3,Tabla1[Participa],"SI",Tabla1[Estado],"Cerrada")</f>
        <v>0</v>
      </c>
      <c r="G8">
        <f>COUNTIFS(Tabla1[AREA],Tabla20[[#This Row],[Area]],Tabla1[Año],'Reporte Licitaciones'!$B$2,Tabla1[Mes],'Reporte Licitaciones'!$B$1,Tabla1[Responsable],'Reporte Licitaciones'!$B$3,Tabla1[Participa],"SI",Tabla1[Estado],"Revocada")</f>
        <v>0</v>
      </c>
      <c r="H8">
        <f>COUNTIFS(Tabla1[AREA],Tabla20[[#This Row],[Area]],Tabla1[Año],'Reporte Licitaciones'!$B$2,Tabla1[Mes],'Reporte Licitaciones'!$B$1,Tabla1[Responsable],'Reporte Licitaciones'!$B$3,Tabla1[Participa],"SI",Tabla1[Estado],"Readjudicada")</f>
        <v>0</v>
      </c>
      <c r="I8">
        <f>COUNTIFS(Tabla1[AREA],Tabla20[[#This Row],[Area]],Tabla1[Año],'Reporte Licitaciones'!$B$2,Tabla1[Mes],'Reporte Licitaciones'!$B$1,Tabla1[Responsable],'Reporte Licitaciones'!$B$3,Tabla1[Participa],"SI",Tabla1[Estado],"Publicada")</f>
        <v>0</v>
      </c>
    </row>
    <row r="9" spans="1:9" x14ac:dyDescent="0.25">
      <c r="A9" t="s">
        <v>17</v>
      </c>
      <c r="B9">
        <f>IF($B$1="Año completo",IF($B$3="Todos",COUNTIFS(Tabla1[AREA],Tabla20[[#This Row],[Area]],Tabla1[Año],'Reporte Licitaciones'!$B$2),COUNTIFS(Tabla1[AREA],Tabla20[[#This Row],[Area]],Tabla1[Año],'Reporte Licitaciones'!$B$2,Tabla1[Responsable],'Reporte Licitaciones'!$B$3)),COUNTIFS(Tabla1[AREA],Tabla20[[#This Row],[Area]],Tabla1[Año],'Reporte Licitaciones'!$B$2,Tabla1[Mes],'Reporte Licitaciones'!$B$1,Tabla1[Responsable],'Reporte Licitaciones'!$B$3))</f>
        <v>15</v>
      </c>
      <c r="C9">
        <f>COUNTIFS(Tabla1[AREA],Tabla20[[#This Row],[Area]],Tabla1[Año],'Reporte Licitaciones'!$B$2,Tabla1[Mes],'Reporte Licitaciones'!$B$1,Tabla1[Responsable],'Reporte Licitaciones'!$B$3,Tabla1[Participa],"SI")</f>
        <v>0</v>
      </c>
      <c r="D9">
        <f>COUNTIFS(Tabla1[AREA],Tabla20[[#This Row],[Area]],Tabla1[Año],'Reporte Licitaciones'!$B$2,Tabla1[Mes],'Reporte Licitaciones'!$B$1,Tabla1[Responsable],'Reporte Licitaciones'!$B$3,Tabla1[Participa],"SI",Tabla1[Estado],"Adjudicada")</f>
        <v>0</v>
      </c>
      <c r="E9">
        <f>COUNTIFS(Tabla1[AREA],Tabla20[[#This Row],[Area]],Tabla1[Año],'Reporte Licitaciones'!$B$2,Tabla1[Mes],'Reporte Licitaciones'!$B$1,Tabla1[Responsable],'Reporte Licitaciones'!$B$3,Tabla1[Participa],"SI",Tabla1[Estado],"Desierta (o art. 3 ó 9 Ley 19.886)")</f>
        <v>0</v>
      </c>
      <c r="F9">
        <f>COUNTIFS(Tabla1[AREA],Tabla20[[#This Row],[Area]],Tabla1[Año],'Reporte Licitaciones'!$B$2,Tabla1[Mes],'Reporte Licitaciones'!$B$1,Tabla1[Responsable],'Reporte Licitaciones'!$B$3,Tabla1[Participa],"SI",Tabla1[Estado],"Cerrada")</f>
        <v>0</v>
      </c>
      <c r="G9">
        <f>COUNTIFS(Tabla1[AREA],Tabla20[[#This Row],[Area]],Tabla1[Año],'Reporte Licitaciones'!$B$2,Tabla1[Mes],'Reporte Licitaciones'!$B$1,Tabla1[Responsable],'Reporte Licitaciones'!$B$3,Tabla1[Participa],"SI",Tabla1[Estado],"Revocada")</f>
        <v>0</v>
      </c>
      <c r="H9">
        <f>COUNTIFS(Tabla1[AREA],Tabla20[[#This Row],[Area]],Tabla1[Año],'Reporte Licitaciones'!$B$2,Tabla1[Mes],'Reporte Licitaciones'!$B$1,Tabla1[Responsable],'Reporte Licitaciones'!$B$3,Tabla1[Participa],"SI",Tabla1[Estado],"Readjudicada")</f>
        <v>0</v>
      </c>
      <c r="I9">
        <f>COUNTIFS(Tabla1[AREA],Tabla20[[#This Row],[Area]],Tabla1[Año],'Reporte Licitaciones'!$B$2,Tabla1[Mes],'Reporte Licitaciones'!$B$1,Tabla1[Responsable],'Reporte Licitaciones'!$B$3,Tabla1[Participa],"SI",Tabla1[Estado],"Publicada")</f>
        <v>0</v>
      </c>
    </row>
    <row r="10" spans="1:9" x14ac:dyDescent="0.25">
      <c r="A10" t="s">
        <v>18</v>
      </c>
      <c r="B10">
        <f>IF($B$1="Año completo",IF($B$3="Todos",COUNTIFS(Tabla1[AREA],Tabla20[[#This Row],[Area]],Tabla1[Año],'Reporte Licitaciones'!$B$2),COUNTIFS(Tabla1[AREA],Tabla20[[#This Row],[Area]],Tabla1[Año],'Reporte Licitaciones'!$B$2,Tabla1[Responsable],'Reporte Licitaciones'!$B$3)),COUNTIFS(Tabla1[AREA],Tabla20[[#This Row],[Area]],Tabla1[Año],'Reporte Licitaciones'!$B$2,Tabla1[Mes],'Reporte Licitaciones'!$B$1,Tabla1[Responsable],'Reporte Licitaciones'!$B$3))</f>
        <v>22</v>
      </c>
      <c r="C10">
        <f>COUNTIFS(Tabla1[AREA],Tabla20[[#This Row],[Area]],Tabla1[Año],'Reporte Licitaciones'!$B$2,Tabla1[Mes],'Reporte Licitaciones'!$B$1,Tabla1[Responsable],'Reporte Licitaciones'!$B$3,Tabla1[Participa],"SI")</f>
        <v>0</v>
      </c>
      <c r="D10">
        <f>COUNTIFS(Tabla1[AREA],Tabla20[[#This Row],[Area]],Tabla1[Año],'Reporte Licitaciones'!$B$2,Tabla1[Mes],'Reporte Licitaciones'!$B$1,Tabla1[Responsable],'Reporte Licitaciones'!$B$3,Tabla1[Participa],"SI",Tabla1[Estado],"Adjudicada")</f>
        <v>0</v>
      </c>
      <c r="E10">
        <f>COUNTIFS(Tabla1[AREA],Tabla20[[#This Row],[Area]],Tabla1[Año],'Reporte Licitaciones'!$B$2,Tabla1[Mes],'Reporte Licitaciones'!$B$1,Tabla1[Responsable],'Reporte Licitaciones'!$B$3,Tabla1[Participa],"SI",Tabla1[Estado],"Desierta (o art. 3 ó 9 Ley 19.886)")</f>
        <v>0</v>
      </c>
      <c r="F10">
        <f>COUNTIFS(Tabla1[AREA],Tabla20[[#This Row],[Area]],Tabla1[Año],'Reporte Licitaciones'!$B$2,Tabla1[Mes],'Reporte Licitaciones'!$B$1,Tabla1[Responsable],'Reporte Licitaciones'!$B$3,Tabla1[Participa],"SI",Tabla1[Estado],"Cerrada")</f>
        <v>0</v>
      </c>
      <c r="G10">
        <f>COUNTIFS(Tabla1[AREA],Tabla20[[#This Row],[Area]],Tabla1[Año],'Reporte Licitaciones'!$B$2,Tabla1[Mes],'Reporte Licitaciones'!$B$1,Tabla1[Responsable],'Reporte Licitaciones'!$B$3,Tabla1[Participa],"SI",Tabla1[Estado],"Revocada")</f>
        <v>0</v>
      </c>
      <c r="H10">
        <f>COUNTIFS(Tabla1[AREA],Tabla20[[#This Row],[Area]],Tabla1[Año],'Reporte Licitaciones'!$B$2,Tabla1[Mes],'Reporte Licitaciones'!$B$1,Tabla1[Responsable],'Reporte Licitaciones'!$B$3,Tabla1[Participa],"SI",Tabla1[Estado],"Readjudicada")</f>
        <v>0</v>
      </c>
      <c r="I10">
        <f>COUNTIFS(Tabla1[AREA],Tabla20[[#This Row],[Area]],Tabla1[Año],'Reporte Licitaciones'!$B$2,Tabla1[Mes],'Reporte Licitaciones'!$B$1,Tabla1[Responsable],'Reporte Licitaciones'!$B$3,Tabla1[Participa],"SI",Tabla1[Estado],"Publicada")</f>
        <v>0</v>
      </c>
    </row>
    <row r="11" spans="1:9" x14ac:dyDescent="0.25">
      <c r="A11" t="s">
        <v>19</v>
      </c>
      <c r="B11">
        <f>IF($B$1="Año completo",IF($B$3="Todos",COUNTIFS(Tabla1[AREA],Tabla20[[#This Row],[Area]],Tabla1[Año],'Reporte Licitaciones'!$B$2),COUNTIFS(Tabla1[AREA],Tabla20[[#This Row],[Area]],Tabla1[Año],'Reporte Licitaciones'!$B$2,Tabla1[Responsable],'Reporte Licitaciones'!$B$3)),COUNTIFS(Tabla1[AREA],Tabla20[[#This Row],[Area]],Tabla1[Año],'Reporte Licitaciones'!$B$2,Tabla1[Mes],'Reporte Licitaciones'!$B$1,Tabla1[Responsable],'Reporte Licitaciones'!$B$3))</f>
        <v>2</v>
      </c>
      <c r="C11">
        <f>COUNTIFS(Tabla1[AREA],Tabla20[[#This Row],[Area]],Tabla1[Año],'Reporte Licitaciones'!$B$2,Tabla1[Mes],'Reporte Licitaciones'!$B$1,Tabla1[Responsable],'Reporte Licitaciones'!$B$3,Tabla1[Participa],"SI")</f>
        <v>0</v>
      </c>
      <c r="D11">
        <f>COUNTIFS(Tabla1[AREA],Tabla20[[#This Row],[Area]],Tabla1[Año],'Reporte Licitaciones'!$B$2,Tabla1[Mes],'Reporte Licitaciones'!$B$1,Tabla1[Responsable],'Reporte Licitaciones'!$B$3,Tabla1[Participa],"SI",Tabla1[Estado],"Adjudicada")</f>
        <v>0</v>
      </c>
      <c r="E11">
        <f>COUNTIFS(Tabla1[AREA],Tabla20[[#This Row],[Area]],Tabla1[Año],'Reporte Licitaciones'!$B$2,Tabla1[Mes],'Reporte Licitaciones'!$B$1,Tabla1[Responsable],'Reporte Licitaciones'!$B$3,Tabla1[Participa],"SI",Tabla1[Estado],"Desierta (o art. 3 ó 9 Ley 19.886)")</f>
        <v>0</v>
      </c>
      <c r="F11">
        <f>COUNTIFS(Tabla1[AREA],Tabla20[[#This Row],[Area]],Tabla1[Año],'Reporte Licitaciones'!$B$2,Tabla1[Mes],'Reporte Licitaciones'!$B$1,Tabla1[Responsable],'Reporte Licitaciones'!$B$3,Tabla1[Participa],"SI",Tabla1[Estado],"Cerrada")</f>
        <v>0</v>
      </c>
      <c r="G11">
        <f>COUNTIFS(Tabla1[AREA],Tabla20[[#This Row],[Area]],Tabla1[Año],'Reporte Licitaciones'!$B$2,Tabla1[Mes],'Reporte Licitaciones'!$B$1,Tabla1[Responsable],'Reporte Licitaciones'!$B$3,Tabla1[Participa],"SI",Tabla1[Estado],"Revocada")</f>
        <v>0</v>
      </c>
      <c r="H11">
        <f>COUNTIFS(Tabla1[AREA],Tabla20[[#This Row],[Area]],Tabla1[Año],'Reporte Licitaciones'!$B$2,Tabla1[Mes],'Reporte Licitaciones'!$B$1,Tabla1[Responsable],'Reporte Licitaciones'!$B$3,Tabla1[Participa],"SI",Tabla1[Estado],"Readjudicada")</f>
        <v>0</v>
      </c>
      <c r="I11">
        <f>COUNTIFS(Tabla1[AREA],Tabla20[[#This Row],[Area]],Tabla1[Año],'Reporte Licitaciones'!$B$2,Tabla1[Mes],'Reporte Licitaciones'!$B$1,Tabla1[Responsable],'Reporte Licitaciones'!$B$3,Tabla1[Participa],"SI",Tabla1[Estado],"Publicada")</f>
        <v>0</v>
      </c>
    </row>
    <row r="12" spans="1:9" x14ac:dyDescent="0.25">
      <c r="A12" t="s">
        <v>20</v>
      </c>
      <c r="B12">
        <f>IF($B$1="Año completo",IF($B$3="Todos",COUNTIFS(Tabla1[AREA],Tabla20[[#This Row],[Area]],Tabla1[Año],'Reporte Licitaciones'!$B$2),COUNTIFS(Tabla1[AREA],Tabla20[[#This Row],[Area]],Tabla1[Año],'Reporte Licitaciones'!$B$2,Tabla1[Responsable],'Reporte Licitaciones'!$B$3)),COUNTIFS(Tabla1[AREA],Tabla20[[#This Row],[Area]],Tabla1[Año],'Reporte Licitaciones'!$B$2,Tabla1[Mes],'Reporte Licitaciones'!$B$1,Tabla1[Responsable],'Reporte Licitaciones'!$B$3))</f>
        <v>13</v>
      </c>
      <c r="C12">
        <f>COUNTIFS(Tabla1[AREA],Tabla20[[#This Row],[Area]],Tabla1[Año],'Reporte Licitaciones'!$B$2,Tabla1[Mes],'Reporte Licitaciones'!$B$1,Tabla1[Responsable],'Reporte Licitaciones'!$B$3,Tabla1[Participa],"SI")</f>
        <v>0</v>
      </c>
      <c r="D12">
        <f>COUNTIFS(Tabla1[AREA],Tabla20[[#This Row],[Area]],Tabla1[Año],'Reporte Licitaciones'!$B$2,Tabla1[Mes],'Reporte Licitaciones'!$B$1,Tabla1[Responsable],'Reporte Licitaciones'!$B$3,Tabla1[Participa],"SI",Tabla1[Estado],"Adjudicada")</f>
        <v>0</v>
      </c>
      <c r="E12">
        <f>COUNTIFS(Tabla1[AREA],Tabla20[[#This Row],[Area]],Tabla1[Año],'Reporte Licitaciones'!$B$2,Tabla1[Mes],'Reporte Licitaciones'!$B$1,Tabla1[Responsable],'Reporte Licitaciones'!$B$3,Tabla1[Participa],"SI",Tabla1[Estado],"Desierta (o art. 3 ó 9 Ley 19.886)")</f>
        <v>0</v>
      </c>
      <c r="F12">
        <f>COUNTIFS(Tabla1[AREA],Tabla20[[#This Row],[Area]],Tabla1[Año],'Reporte Licitaciones'!$B$2,Tabla1[Mes],'Reporte Licitaciones'!$B$1,Tabla1[Responsable],'Reporte Licitaciones'!$B$3,Tabla1[Participa],"SI",Tabla1[Estado],"Cerrada")</f>
        <v>0</v>
      </c>
      <c r="G12">
        <f>COUNTIFS(Tabla1[AREA],Tabla20[[#This Row],[Area]],Tabla1[Año],'Reporte Licitaciones'!$B$2,Tabla1[Mes],'Reporte Licitaciones'!$B$1,Tabla1[Responsable],'Reporte Licitaciones'!$B$3,Tabla1[Participa],"SI",Tabla1[Estado],"Revocada")</f>
        <v>0</v>
      </c>
      <c r="H12">
        <f>COUNTIFS(Tabla1[AREA],Tabla20[[#This Row],[Area]],Tabla1[Año],'Reporte Licitaciones'!$B$2,Tabla1[Mes],'Reporte Licitaciones'!$B$1,Tabla1[Responsable],'Reporte Licitaciones'!$B$3,Tabla1[Participa],"SI",Tabla1[Estado],"Readjudicada")</f>
        <v>0</v>
      </c>
      <c r="I12">
        <f>COUNTIFS(Tabla1[AREA],Tabla20[[#This Row],[Area]],Tabla1[Año],'Reporte Licitaciones'!$B$2,Tabla1[Mes],'Reporte Licitaciones'!$B$1,Tabla1[Responsable],'Reporte Licitaciones'!$B$3,Tabla1[Participa],"SI",Tabla1[Estado],"Publicada")</f>
        <v>0</v>
      </c>
    </row>
    <row r="13" spans="1:9" x14ac:dyDescent="0.25">
      <c r="A13" t="s">
        <v>21</v>
      </c>
      <c r="B13">
        <f>IF($B$1="Año completo",IF($B$3="Todos",COUNTIFS(Tabla1[AREA],Tabla20[[#This Row],[Area]],Tabla1[Año],'Reporte Licitaciones'!$B$2),COUNTIFS(Tabla1[AREA],Tabla20[[#This Row],[Area]],Tabla1[Año],'Reporte Licitaciones'!$B$2,Tabla1[Responsable],'Reporte Licitaciones'!$B$3)),COUNTIFS(Tabla1[AREA],Tabla20[[#This Row],[Area]],Tabla1[Año],'Reporte Licitaciones'!$B$2,Tabla1[Mes],'Reporte Licitaciones'!$B$1,Tabla1[Responsable],'Reporte Licitaciones'!$B$3))</f>
        <v>73</v>
      </c>
      <c r="C13">
        <f>COUNTIFS(Tabla1[AREA],Tabla20[[#This Row],[Area]],Tabla1[Año],'Reporte Licitaciones'!$B$2,Tabla1[Mes],'Reporte Licitaciones'!$B$1,Tabla1[Responsable],'Reporte Licitaciones'!$B$3,Tabla1[Participa],"SI")</f>
        <v>0</v>
      </c>
      <c r="D13">
        <f>COUNTIFS(Tabla1[AREA],Tabla20[[#This Row],[Area]],Tabla1[Año],'Reporte Licitaciones'!$B$2,Tabla1[Mes],'Reporte Licitaciones'!$B$1,Tabla1[Responsable],'Reporte Licitaciones'!$B$3,Tabla1[Participa],"SI",Tabla1[Estado],"Adjudicada")</f>
        <v>0</v>
      </c>
      <c r="E13">
        <f>COUNTIFS(Tabla1[AREA],Tabla20[[#This Row],[Area]],Tabla1[Año],'Reporte Licitaciones'!$B$2,Tabla1[Mes],'Reporte Licitaciones'!$B$1,Tabla1[Responsable],'Reporte Licitaciones'!$B$3,Tabla1[Participa],"SI",Tabla1[Estado],"Desierta (o art. 3 ó 9 Ley 19.886)")</f>
        <v>0</v>
      </c>
      <c r="F13">
        <f>COUNTIFS(Tabla1[AREA],Tabla20[[#This Row],[Area]],Tabla1[Año],'Reporte Licitaciones'!$B$2,Tabla1[Mes],'Reporte Licitaciones'!$B$1,Tabla1[Responsable],'Reporte Licitaciones'!$B$3,Tabla1[Participa],"SI",Tabla1[Estado],"Cerrada")</f>
        <v>0</v>
      </c>
      <c r="G13">
        <f>COUNTIFS(Tabla1[AREA],Tabla20[[#This Row],[Area]],Tabla1[Año],'Reporte Licitaciones'!$B$2,Tabla1[Mes],'Reporte Licitaciones'!$B$1,Tabla1[Responsable],'Reporte Licitaciones'!$B$3,Tabla1[Participa],"SI",Tabla1[Estado],"Revocada")</f>
        <v>0</v>
      </c>
      <c r="H13">
        <f>COUNTIFS(Tabla1[AREA],Tabla20[[#This Row],[Area]],Tabla1[Año],'Reporte Licitaciones'!$B$2,Tabla1[Mes],'Reporte Licitaciones'!$B$1,Tabla1[Responsable],'Reporte Licitaciones'!$B$3,Tabla1[Participa],"SI",Tabla1[Estado],"Readjudicada")</f>
        <v>0</v>
      </c>
      <c r="I13">
        <f>COUNTIFS(Tabla1[AREA],Tabla20[[#This Row],[Area]],Tabla1[Año],'Reporte Licitaciones'!$B$2,Tabla1[Mes],'Reporte Licitaciones'!$B$1,Tabla1[Responsable],'Reporte Licitaciones'!$B$3,Tabla1[Participa],"SI",Tabla1[Estado],"Publicada")</f>
        <v>0</v>
      </c>
    </row>
    <row r="14" spans="1:9" x14ac:dyDescent="0.25">
      <c r="A14" t="s">
        <v>14</v>
      </c>
      <c r="B14">
        <f>IF($B$1="Año completo",IF($B$3="Todos",COUNTIFS(Tabla1[AREA],Tabla20[[#This Row],[Area]],Tabla1[Año],'Reporte Licitaciones'!$B$2),COUNTIFS(Tabla1[AREA],Tabla20[[#This Row],[Area]],Tabla1[Año],'Reporte Licitaciones'!$B$2,Tabla1[Responsable],'Reporte Licitaciones'!$B$3)),COUNTIFS(Tabla1[AREA],Tabla20[[#This Row],[Area]],Tabla1[Año],'Reporte Licitaciones'!$B$2,Tabla1[Mes],'Reporte Licitaciones'!$B$1,Tabla1[Responsable],'Reporte Licitaciones'!$B$3))</f>
        <v>20</v>
      </c>
      <c r="C14">
        <f>COUNTIFS(Tabla1[AREA],Tabla20[[#This Row],[Area]],Tabla1[Año],'Reporte Licitaciones'!$B$2,Tabla1[Mes],'Reporte Licitaciones'!$B$1,Tabla1[Responsable],'Reporte Licitaciones'!$B$3,Tabla1[Participa],"SI")</f>
        <v>0</v>
      </c>
      <c r="D14">
        <f>COUNTIFS(Tabla1[AREA],Tabla20[[#This Row],[Area]],Tabla1[Año],'Reporte Licitaciones'!$B$2,Tabla1[Mes],'Reporte Licitaciones'!$B$1,Tabla1[Responsable],'Reporte Licitaciones'!$B$3,Tabla1[Participa],"SI",Tabla1[Estado],"Adjudicada")</f>
        <v>0</v>
      </c>
      <c r="E14">
        <f>COUNTIFS(Tabla1[AREA],Tabla20[[#This Row],[Area]],Tabla1[Año],'Reporte Licitaciones'!$B$2,Tabla1[Mes],'Reporte Licitaciones'!$B$1,Tabla1[Responsable],'Reporte Licitaciones'!$B$3,Tabla1[Participa],"SI",Tabla1[Estado],"Desierta (o art. 3 ó 9 Ley 19.886)")</f>
        <v>0</v>
      </c>
      <c r="F14">
        <f>COUNTIFS(Tabla1[AREA],Tabla20[[#This Row],[Area]],Tabla1[Año],'Reporte Licitaciones'!$B$2,Tabla1[Mes],'Reporte Licitaciones'!$B$1,Tabla1[Responsable],'Reporte Licitaciones'!$B$3,Tabla1[Participa],"SI",Tabla1[Estado],"Cerrada")</f>
        <v>0</v>
      </c>
      <c r="G14">
        <f>COUNTIFS(Tabla1[AREA],Tabla20[[#This Row],[Area]],Tabla1[Año],'Reporte Licitaciones'!$B$2,Tabla1[Mes],'Reporte Licitaciones'!$B$1,Tabla1[Responsable],'Reporte Licitaciones'!$B$3,Tabla1[Participa],"SI",Tabla1[Estado],"Revocada")</f>
        <v>0</v>
      </c>
      <c r="H14">
        <f>COUNTIFS(Tabla1[AREA],Tabla20[[#This Row],[Area]],Tabla1[Año],'Reporte Licitaciones'!$B$2,Tabla1[Mes],'Reporte Licitaciones'!$B$1,Tabla1[Responsable],'Reporte Licitaciones'!$B$3,Tabla1[Participa],"SI",Tabla1[Estado],"Readjudicada")</f>
        <v>0</v>
      </c>
      <c r="I14">
        <f>COUNTIFS(Tabla1[AREA],Tabla20[[#This Row],[Area]],Tabla1[Año],'Reporte Licitaciones'!$B$2,Tabla1[Mes],'Reporte Licitaciones'!$B$1,Tabla1[Responsable],'Reporte Licitaciones'!$B$3,Tabla1[Participa],"SI",Tabla1[Estado],"Publicada")</f>
        <v>0</v>
      </c>
    </row>
    <row r="15" spans="1:9" x14ac:dyDescent="0.25">
      <c r="A15" t="s">
        <v>7329</v>
      </c>
      <c r="B15">
        <f>SUBTOTAL(109,B6:B14)</f>
        <v>249</v>
      </c>
      <c r="C15">
        <f t="shared" ref="C15:I15" si="0">SUBTOTAL(109,C6:C14)</f>
        <v>0</v>
      </c>
      <c r="D15">
        <f t="shared" si="0"/>
        <v>0</v>
      </c>
      <c r="E15">
        <f t="shared" si="0"/>
        <v>0</v>
      </c>
      <c r="F15">
        <f t="shared" si="0"/>
        <v>0</v>
      </c>
      <c r="G15">
        <f t="shared" si="0"/>
        <v>0</v>
      </c>
      <c r="H15">
        <f t="shared" si="0"/>
        <v>0</v>
      </c>
      <c r="I15">
        <f t="shared" si="0"/>
        <v>0</v>
      </c>
    </row>
    <row r="17" spans="1:9" x14ac:dyDescent="0.25">
      <c r="A17" t="s">
        <v>7325</v>
      </c>
      <c r="B17" t="s">
        <v>7330</v>
      </c>
      <c r="C17" t="s">
        <v>7331</v>
      </c>
      <c r="D17" t="s">
        <v>7332</v>
      </c>
      <c r="E17" t="s">
        <v>7333</v>
      </c>
      <c r="F17" t="s">
        <v>7334</v>
      </c>
      <c r="G17" t="s">
        <v>7335</v>
      </c>
      <c r="H17" t="s">
        <v>7336</v>
      </c>
      <c r="I17" t="s">
        <v>7337</v>
      </c>
    </row>
    <row r="18" spans="1:9" x14ac:dyDescent="0.25">
      <c r="A18" t="s">
        <v>41</v>
      </c>
      <c r="B18" s="109">
        <f t="shared" ref="B18:B26" si="1">B6/$B$15</f>
        <v>0</v>
      </c>
      <c r="C18" s="109" t="e">
        <f>C6/B6</f>
        <v>#DIV/0!</v>
      </c>
      <c r="D18" s="109" t="e">
        <f>D6/C6</f>
        <v>#DIV/0!</v>
      </c>
      <c r="E18" s="109" t="e">
        <f>E6/C6</f>
        <v>#DIV/0!</v>
      </c>
      <c r="F18" s="109" t="e">
        <f>F6/C6</f>
        <v>#DIV/0!</v>
      </c>
      <c r="G18" s="109" t="e">
        <f>G6/C6</f>
        <v>#DIV/0!</v>
      </c>
      <c r="H18" s="109" t="e">
        <f>H6/C6</f>
        <v>#DIV/0!</v>
      </c>
      <c r="I18" s="109" t="e">
        <f>I6/C6</f>
        <v>#DIV/0!</v>
      </c>
    </row>
    <row r="19" spans="1:9" x14ac:dyDescent="0.25">
      <c r="A19" t="s">
        <v>15</v>
      </c>
      <c r="B19" s="109">
        <f t="shared" si="1"/>
        <v>1.2048192771084338E-2</v>
      </c>
      <c r="C19" s="109">
        <f t="shared" ref="C19:D19" si="2">C7/B7</f>
        <v>0</v>
      </c>
      <c r="D19" s="109" t="e">
        <f t="shared" si="2"/>
        <v>#DIV/0!</v>
      </c>
      <c r="E19" s="109" t="e">
        <f t="shared" ref="E19:E27" si="3">E7/C7</f>
        <v>#DIV/0!</v>
      </c>
      <c r="F19" s="109" t="e">
        <f t="shared" ref="F19:F27" si="4">F7/C7</f>
        <v>#DIV/0!</v>
      </c>
      <c r="G19" s="109" t="e">
        <f t="shared" ref="G19:G27" si="5">G7/C7</f>
        <v>#DIV/0!</v>
      </c>
      <c r="H19" s="109" t="e">
        <f t="shared" ref="H19:H27" si="6">H7/C7</f>
        <v>#DIV/0!</v>
      </c>
      <c r="I19" s="109" t="e">
        <f t="shared" ref="I19:I27" si="7">I7/C7</f>
        <v>#DIV/0!</v>
      </c>
    </row>
    <row r="20" spans="1:9" x14ac:dyDescent="0.25">
      <c r="A20" t="s">
        <v>16</v>
      </c>
      <c r="B20" s="109">
        <f t="shared" si="1"/>
        <v>0.40562248995983935</v>
      </c>
      <c r="C20" s="109">
        <f t="shared" ref="C20:D20" si="8">C8/B8</f>
        <v>0</v>
      </c>
      <c r="D20" s="109" t="e">
        <f t="shared" si="8"/>
        <v>#DIV/0!</v>
      </c>
      <c r="E20" s="109" t="e">
        <f t="shared" si="3"/>
        <v>#DIV/0!</v>
      </c>
      <c r="F20" s="109" t="e">
        <f t="shared" si="4"/>
        <v>#DIV/0!</v>
      </c>
      <c r="G20" s="109" t="e">
        <f t="shared" si="5"/>
        <v>#DIV/0!</v>
      </c>
      <c r="H20" s="109" t="e">
        <f t="shared" si="6"/>
        <v>#DIV/0!</v>
      </c>
      <c r="I20" s="109" t="e">
        <f t="shared" si="7"/>
        <v>#DIV/0!</v>
      </c>
    </row>
    <row r="21" spans="1:9" x14ac:dyDescent="0.25">
      <c r="A21" t="s">
        <v>17</v>
      </c>
      <c r="B21" s="109">
        <f t="shared" si="1"/>
        <v>6.0240963855421686E-2</v>
      </c>
      <c r="C21" s="109">
        <f t="shared" ref="C21:D21" si="9">C9/B9</f>
        <v>0</v>
      </c>
      <c r="D21" s="109" t="e">
        <f t="shared" si="9"/>
        <v>#DIV/0!</v>
      </c>
      <c r="E21" s="109" t="e">
        <f t="shared" si="3"/>
        <v>#DIV/0!</v>
      </c>
      <c r="F21" s="109" t="e">
        <f t="shared" si="4"/>
        <v>#DIV/0!</v>
      </c>
      <c r="G21" s="109" t="e">
        <f t="shared" si="5"/>
        <v>#DIV/0!</v>
      </c>
      <c r="H21" s="109" t="e">
        <f t="shared" si="6"/>
        <v>#DIV/0!</v>
      </c>
      <c r="I21" s="109" t="e">
        <f t="shared" si="7"/>
        <v>#DIV/0!</v>
      </c>
    </row>
    <row r="22" spans="1:9" x14ac:dyDescent="0.25">
      <c r="A22" t="s">
        <v>18</v>
      </c>
      <c r="B22" s="109">
        <f t="shared" si="1"/>
        <v>8.8353413654618476E-2</v>
      </c>
      <c r="C22" s="109">
        <f t="shared" ref="C22:D22" si="10">C10/B10</f>
        <v>0</v>
      </c>
      <c r="D22" s="109" t="e">
        <f t="shared" si="10"/>
        <v>#DIV/0!</v>
      </c>
      <c r="E22" s="109" t="e">
        <f t="shared" si="3"/>
        <v>#DIV/0!</v>
      </c>
      <c r="F22" s="109" t="e">
        <f t="shared" si="4"/>
        <v>#DIV/0!</v>
      </c>
      <c r="G22" s="109" t="e">
        <f t="shared" si="5"/>
        <v>#DIV/0!</v>
      </c>
      <c r="H22" s="109" t="e">
        <f t="shared" si="6"/>
        <v>#DIV/0!</v>
      </c>
      <c r="I22" s="109" t="e">
        <f t="shared" si="7"/>
        <v>#DIV/0!</v>
      </c>
    </row>
    <row r="23" spans="1:9" x14ac:dyDescent="0.25">
      <c r="A23" t="s">
        <v>19</v>
      </c>
      <c r="B23" s="109">
        <f t="shared" si="1"/>
        <v>8.0321285140562242E-3</v>
      </c>
      <c r="C23" s="109">
        <f t="shared" ref="C23:D23" si="11">C11/B11</f>
        <v>0</v>
      </c>
      <c r="D23" s="109" t="e">
        <f t="shared" si="11"/>
        <v>#DIV/0!</v>
      </c>
      <c r="E23" s="109" t="e">
        <f t="shared" si="3"/>
        <v>#DIV/0!</v>
      </c>
      <c r="F23" s="109" t="e">
        <f t="shared" si="4"/>
        <v>#DIV/0!</v>
      </c>
      <c r="G23" s="109" t="e">
        <f t="shared" si="5"/>
        <v>#DIV/0!</v>
      </c>
      <c r="H23" s="109" t="e">
        <f t="shared" si="6"/>
        <v>#DIV/0!</v>
      </c>
      <c r="I23" s="109" t="e">
        <f t="shared" si="7"/>
        <v>#DIV/0!</v>
      </c>
    </row>
    <row r="24" spans="1:9" x14ac:dyDescent="0.25">
      <c r="A24" t="s">
        <v>20</v>
      </c>
      <c r="B24" s="109">
        <f t="shared" si="1"/>
        <v>5.2208835341365459E-2</v>
      </c>
      <c r="C24" s="109">
        <f t="shared" ref="C24:D24" si="12">C12/B12</f>
        <v>0</v>
      </c>
      <c r="D24" s="109" t="e">
        <f t="shared" si="12"/>
        <v>#DIV/0!</v>
      </c>
      <c r="E24" s="109" t="e">
        <f t="shared" si="3"/>
        <v>#DIV/0!</v>
      </c>
      <c r="F24" s="109" t="e">
        <f t="shared" si="4"/>
        <v>#DIV/0!</v>
      </c>
      <c r="G24" s="109" t="e">
        <f t="shared" si="5"/>
        <v>#DIV/0!</v>
      </c>
      <c r="H24" s="109" t="e">
        <f t="shared" si="6"/>
        <v>#DIV/0!</v>
      </c>
      <c r="I24" s="109" t="e">
        <f t="shared" si="7"/>
        <v>#DIV/0!</v>
      </c>
    </row>
    <row r="25" spans="1:9" x14ac:dyDescent="0.25">
      <c r="A25" t="s">
        <v>21</v>
      </c>
      <c r="B25" s="109">
        <f t="shared" si="1"/>
        <v>0.29317269076305219</v>
      </c>
      <c r="C25" s="109">
        <f t="shared" ref="C25:D25" si="13">C13/B13</f>
        <v>0</v>
      </c>
      <c r="D25" s="109" t="e">
        <f t="shared" si="13"/>
        <v>#DIV/0!</v>
      </c>
      <c r="E25" s="109" t="e">
        <f t="shared" si="3"/>
        <v>#DIV/0!</v>
      </c>
      <c r="F25" s="109" t="e">
        <f t="shared" si="4"/>
        <v>#DIV/0!</v>
      </c>
      <c r="G25" s="109" t="e">
        <f t="shared" si="5"/>
        <v>#DIV/0!</v>
      </c>
      <c r="H25" s="109" t="e">
        <f t="shared" si="6"/>
        <v>#DIV/0!</v>
      </c>
      <c r="I25" s="109" t="e">
        <f t="shared" si="7"/>
        <v>#DIV/0!</v>
      </c>
    </row>
    <row r="26" spans="1:9" x14ac:dyDescent="0.25">
      <c r="A26" t="s">
        <v>14</v>
      </c>
      <c r="B26" s="109">
        <f t="shared" si="1"/>
        <v>8.0321285140562249E-2</v>
      </c>
      <c r="C26" s="109">
        <f t="shared" ref="C26:D26" si="14">C14/B14</f>
        <v>0</v>
      </c>
      <c r="D26" s="109" t="e">
        <f t="shared" si="14"/>
        <v>#DIV/0!</v>
      </c>
      <c r="E26" s="109" t="e">
        <f t="shared" si="3"/>
        <v>#DIV/0!</v>
      </c>
      <c r="F26" s="109" t="e">
        <f t="shared" si="4"/>
        <v>#DIV/0!</v>
      </c>
      <c r="G26" s="109" t="e">
        <f t="shared" si="5"/>
        <v>#DIV/0!</v>
      </c>
      <c r="H26" s="109" t="e">
        <f t="shared" si="6"/>
        <v>#DIV/0!</v>
      </c>
      <c r="I26" s="109" t="e">
        <f t="shared" si="7"/>
        <v>#DIV/0!</v>
      </c>
    </row>
    <row r="27" spans="1:9" x14ac:dyDescent="0.25">
      <c r="A27" t="s">
        <v>7329</v>
      </c>
      <c r="C27" s="109">
        <f t="shared" ref="C27:D27" si="15">C15/B15</f>
        <v>0</v>
      </c>
      <c r="D27" s="109" t="e">
        <f t="shared" si="15"/>
        <v>#DIV/0!</v>
      </c>
      <c r="E27" s="109" t="e">
        <f t="shared" si="3"/>
        <v>#DIV/0!</v>
      </c>
      <c r="F27" s="109" t="e">
        <f t="shared" si="4"/>
        <v>#DIV/0!</v>
      </c>
      <c r="G27" s="109" t="e">
        <f t="shared" si="5"/>
        <v>#DIV/0!</v>
      </c>
      <c r="H27" s="109" t="e">
        <f t="shared" si="6"/>
        <v>#DIV/0!</v>
      </c>
      <c r="I27" s="109" t="e">
        <f t="shared" si="7"/>
        <v>#DIV/0!</v>
      </c>
    </row>
    <row r="29" spans="1:9" x14ac:dyDescent="0.25">
      <c r="A29" t="s">
        <v>7325</v>
      </c>
      <c r="B29" t="s">
        <v>7338</v>
      </c>
      <c r="C29" t="s">
        <v>7339</v>
      </c>
      <c r="D29" t="s">
        <v>7340</v>
      </c>
      <c r="E29" t="s">
        <v>7341</v>
      </c>
      <c r="F29" t="s">
        <v>7342</v>
      </c>
      <c r="G29" t="s">
        <v>7343</v>
      </c>
      <c r="H29" t="s">
        <v>7344</v>
      </c>
    </row>
    <row r="30" spans="1:9" x14ac:dyDescent="0.25">
      <c r="A30" t="s">
        <v>41</v>
      </c>
      <c r="C30" s="110">
        <f>SUMIFS(Tabla1[Total Ofertado],Tabla1[AREA],Tabla28[[#This Row],[Area]],Tabla1[Año],'Reporte Licitaciones'!$B$2,Tabla1[Mes],'Reporte Licitaciones'!$B$1,Tabla1[Responsable],'Reporte Licitaciones'!$B$3,Tabla1[Participa],"SI")</f>
        <v>0</v>
      </c>
      <c r="D30" s="110">
        <f>SUMIFS(Tabla1[Total Ofertado],Tabla1[AREA],Tabla28[[#This Row],[Area]],Tabla1[Año],'Reporte Licitaciones'!$B$2,Tabla1[Mes],'Reporte Licitaciones'!$B$1,Tabla1[Responsable],'Reporte Licitaciones'!$B$3,Tabla1[Participa],"SI",Tabla1[Estado],"Adjudicada")</f>
        <v>0</v>
      </c>
      <c r="E30" s="110">
        <f>SUMIFS(Tabla1[Total Ofertado],Tabla1[AREA],Tabla28[[#This Row],[Area]],Tabla1[Año],'Reporte Licitaciones'!$B$2,Tabla1[Mes],'Reporte Licitaciones'!$B$1,Tabla1[Responsable],'Reporte Licitaciones'!$B$3,Tabla1[Participa],"SI",Tabla1[Estado],"Desierta (o art. 3 ó 9 Ley 19.886)")</f>
        <v>0</v>
      </c>
      <c r="F30" s="110">
        <f>SUMIFS(Tabla1[Total Ofertado],Tabla1[AREA],Tabla28[[#This Row],[Area]],Tabla1[Año],'Reporte Licitaciones'!$B$2,Tabla1[Mes],'Reporte Licitaciones'!$B$1,Tabla1[Responsable],'Reporte Licitaciones'!$B$3,Tabla1[Participa],"SI",Tabla1[Estado],"Cerrada")</f>
        <v>0</v>
      </c>
      <c r="G30" s="110">
        <f>SUMIFS(Tabla1[Total Ofertado],Tabla1[AREA],Tabla28[[#This Row],[Area]],Tabla1[Año],'Reporte Licitaciones'!$B$2,Tabla1[Mes],'Reporte Licitaciones'!$B$1,Tabla1[Responsable],'Reporte Licitaciones'!$B$3,Tabla1[Participa],"SI",Tabla1[Estado],"Revocada")</f>
        <v>0</v>
      </c>
      <c r="H30" s="110">
        <f>SUMIFS(Tabla1[Total Ofertado],Tabla1[AREA],Tabla28[[#This Row],[Area]],Tabla1[Año],'Reporte Licitaciones'!$B$2,Tabla1[Mes],'Reporte Licitaciones'!$B$1,Tabla1[Responsable],'Reporte Licitaciones'!$B$3,Tabla1[Participa],"SI",Tabla1[Estado],"Readjudicada")</f>
        <v>0</v>
      </c>
    </row>
    <row r="31" spans="1:9" x14ac:dyDescent="0.25">
      <c r="A31" t="s">
        <v>15</v>
      </c>
      <c r="C31" s="110">
        <f>SUMIFS(Tabla1[Total Ofertado],Tabla1[AREA],Tabla28[[#This Row],[Area]],Tabla1[Año],'Reporte Licitaciones'!$B$2,Tabla1[Mes],'Reporte Licitaciones'!$B$1,Tabla1[Responsable],'Reporte Licitaciones'!$B$3,Tabla1[Participa],"SI")</f>
        <v>0</v>
      </c>
      <c r="D31" s="110">
        <f>SUMIFS(Tabla1[Total Ofertado],Tabla1[AREA],Tabla28[[#This Row],[Area]],Tabla1[Año],'Reporte Licitaciones'!$B$2,Tabla1[Mes],'Reporte Licitaciones'!$B$1,Tabla1[Responsable],'Reporte Licitaciones'!$B$3,Tabla1[Participa],"SI",Tabla1[Estado],"Adjudicada")</f>
        <v>0</v>
      </c>
      <c r="E31" s="110">
        <f>SUMIFS(Tabla1[Total Ofertado],Tabla1[AREA],Tabla28[[#This Row],[Area]],Tabla1[Año],'Reporte Licitaciones'!$B$2,Tabla1[Mes],'Reporte Licitaciones'!$B$1,Tabla1[Responsable],'Reporte Licitaciones'!$B$3,Tabla1[Participa],"SI",Tabla1[Estado],"Desierta (o art. 3 ó 9 Ley 19.886)")</f>
        <v>0</v>
      </c>
      <c r="F31" s="110">
        <f>SUMIFS(Tabla1[Total Ofertado],Tabla1[AREA],Tabla28[[#This Row],[Area]],Tabla1[Año],'Reporte Licitaciones'!$B$2,Tabla1[Mes],'Reporte Licitaciones'!$B$1,Tabla1[Responsable],'Reporte Licitaciones'!$B$3,Tabla1[Participa],"SI",Tabla1[Estado],"Cerrada")</f>
        <v>0</v>
      </c>
      <c r="G31" s="110">
        <f>SUMIFS(Tabla1[Total Ofertado],Tabla1[AREA],Tabla28[[#This Row],[Area]],Tabla1[Año],'Reporte Licitaciones'!$B$2,Tabla1[Mes],'Reporte Licitaciones'!$B$1,Tabla1[Responsable],'Reporte Licitaciones'!$B$3,Tabla1[Participa],"SI",Tabla1[Estado],"Revocada")</f>
        <v>0</v>
      </c>
      <c r="H31" s="110">
        <f>SUMIFS(Tabla1[Total Ofertado],Tabla1[AREA],Tabla28[[#This Row],[Area]],Tabla1[Año],'Reporte Licitaciones'!$B$2,Tabla1[Mes],'Reporte Licitaciones'!$B$1,Tabla1[Responsable],'Reporte Licitaciones'!$B$3,Tabla1[Participa],"SI",Tabla1[Estado],"Readjudicada")</f>
        <v>0</v>
      </c>
    </row>
    <row r="32" spans="1:9" x14ac:dyDescent="0.25">
      <c r="A32" t="s">
        <v>16</v>
      </c>
      <c r="C32" s="110">
        <f>SUMIFS(Tabla1[Total Ofertado],Tabla1[AREA],Tabla28[[#This Row],[Area]],Tabla1[Año],'Reporte Licitaciones'!$B$2,Tabla1[Mes],'Reporte Licitaciones'!$B$1,Tabla1[Responsable],'Reporte Licitaciones'!$B$3,Tabla1[Participa],"SI")</f>
        <v>0</v>
      </c>
      <c r="D32" s="110">
        <f>SUMIFS(Tabla1[Total Ofertado],Tabla1[AREA],Tabla28[[#This Row],[Area]],Tabla1[Año],'Reporte Licitaciones'!$B$2,Tabla1[Mes],'Reporte Licitaciones'!$B$1,Tabla1[Responsable],'Reporte Licitaciones'!$B$3,Tabla1[Participa],"SI",Tabla1[Estado],"Adjudicada")</f>
        <v>0</v>
      </c>
      <c r="E32" s="110">
        <f>SUMIFS(Tabla1[Total Ofertado],Tabla1[AREA],Tabla28[[#This Row],[Area]],Tabla1[Año],'Reporte Licitaciones'!$B$2,Tabla1[Mes],'Reporte Licitaciones'!$B$1,Tabla1[Responsable],'Reporte Licitaciones'!$B$3,Tabla1[Participa],"SI",Tabla1[Estado],"Desierta (o art. 3 ó 9 Ley 19.886)")</f>
        <v>0</v>
      </c>
      <c r="F32" s="110">
        <f>SUMIFS(Tabla1[Total Ofertado],Tabla1[AREA],Tabla28[[#This Row],[Area]],Tabla1[Año],'Reporte Licitaciones'!$B$2,Tabla1[Mes],'Reporte Licitaciones'!$B$1,Tabla1[Responsable],'Reporte Licitaciones'!$B$3,Tabla1[Participa],"SI",Tabla1[Estado],"Cerrada")</f>
        <v>0</v>
      </c>
      <c r="G32" s="110">
        <f>SUMIFS(Tabla1[Total Ofertado],Tabla1[AREA],Tabla28[[#This Row],[Area]],Tabla1[Año],'Reporte Licitaciones'!$B$2,Tabla1[Mes],'Reporte Licitaciones'!$B$1,Tabla1[Responsable],'Reporte Licitaciones'!$B$3,Tabla1[Participa],"SI",Tabla1[Estado],"Revocada")</f>
        <v>0</v>
      </c>
      <c r="H32" s="110">
        <f>SUMIFS(Tabla1[Total Ofertado],Tabla1[AREA],Tabla28[[#This Row],[Area]],Tabla1[Año],'Reporte Licitaciones'!$B$2,Tabla1[Mes],'Reporte Licitaciones'!$B$1,Tabla1[Responsable],'Reporte Licitaciones'!$B$3,Tabla1[Participa],"SI",Tabla1[Estado],"Readjudicada")</f>
        <v>0</v>
      </c>
    </row>
    <row r="33" spans="1:9" x14ac:dyDescent="0.25">
      <c r="A33" t="s">
        <v>17</v>
      </c>
      <c r="C33" s="110">
        <f>SUMIFS(Tabla1[Total Ofertado],Tabla1[AREA],Tabla28[[#This Row],[Area]],Tabla1[Año],'Reporte Licitaciones'!$B$2,Tabla1[Mes],'Reporte Licitaciones'!$B$1,Tabla1[Responsable],'Reporte Licitaciones'!$B$3,Tabla1[Participa],"SI")</f>
        <v>0</v>
      </c>
      <c r="D33" s="110">
        <f>SUMIFS(Tabla1[Total Ofertado],Tabla1[AREA],Tabla28[[#This Row],[Area]],Tabla1[Año],'Reporte Licitaciones'!$B$2,Tabla1[Mes],'Reporte Licitaciones'!$B$1,Tabla1[Responsable],'Reporte Licitaciones'!$B$3,Tabla1[Participa],"SI",Tabla1[Estado],"Adjudicada")</f>
        <v>0</v>
      </c>
      <c r="E33" s="110">
        <f>SUMIFS(Tabla1[Total Ofertado],Tabla1[AREA],Tabla28[[#This Row],[Area]],Tabla1[Año],'Reporte Licitaciones'!$B$2,Tabla1[Mes],'Reporte Licitaciones'!$B$1,Tabla1[Responsable],'Reporte Licitaciones'!$B$3,Tabla1[Participa],"SI",Tabla1[Estado],"Desierta (o art. 3 ó 9 Ley 19.886)")</f>
        <v>0</v>
      </c>
      <c r="F33" s="110">
        <f>SUMIFS(Tabla1[Total Ofertado],Tabla1[AREA],Tabla28[[#This Row],[Area]],Tabla1[Año],'Reporte Licitaciones'!$B$2,Tabla1[Mes],'Reporte Licitaciones'!$B$1,Tabla1[Responsable],'Reporte Licitaciones'!$B$3,Tabla1[Participa],"SI",Tabla1[Estado],"Cerrada")</f>
        <v>0</v>
      </c>
      <c r="G33" s="110">
        <f>SUMIFS(Tabla1[Total Ofertado],Tabla1[AREA],Tabla28[[#This Row],[Area]],Tabla1[Año],'Reporte Licitaciones'!$B$2,Tabla1[Mes],'Reporte Licitaciones'!$B$1,Tabla1[Responsable],'Reporte Licitaciones'!$B$3,Tabla1[Participa],"SI",Tabla1[Estado],"Revocada")</f>
        <v>0</v>
      </c>
      <c r="H33" s="110">
        <f>SUMIFS(Tabla1[Total Ofertado],Tabla1[AREA],Tabla28[[#This Row],[Area]],Tabla1[Año],'Reporte Licitaciones'!$B$2,Tabla1[Mes],'Reporte Licitaciones'!$B$1,Tabla1[Responsable],'Reporte Licitaciones'!$B$3,Tabla1[Participa],"SI",Tabla1[Estado],"Readjudicada")</f>
        <v>0</v>
      </c>
    </row>
    <row r="34" spans="1:9" x14ac:dyDescent="0.25">
      <c r="A34" t="s">
        <v>18</v>
      </c>
      <c r="C34" s="110">
        <f>SUMIFS(Tabla1[Total Ofertado],Tabla1[AREA],Tabla28[[#This Row],[Area]],Tabla1[Año],'Reporte Licitaciones'!$B$2,Tabla1[Mes],'Reporte Licitaciones'!$B$1,Tabla1[Responsable],'Reporte Licitaciones'!$B$3,Tabla1[Participa],"SI")</f>
        <v>0</v>
      </c>
      <c r="D34" s="110">
        <f>SUMIFS(Tabla1[Total Ofertado],Tabla1[AREA],Tabla28[[#This Row],[Area]],Tabla1[Año],'Reporte Licitaciones'!$B$2,Tabla1[Mes],'Reporte Licitaciones'!$B$1,Tabla1[Responsable],'Reporte Licitaciones'!$B$3,Tabla1[Participa],"SI",Tabla1[Estado],"Adjudicada")</f>
        <v>0</v>
      </c>
      <c r="E34" s="110">
        <f>SUMIFS(Tabla1[Total Ofertado],Tabla1[AREA],Tabla28[[#This Row],[Area]],Tabla1[Año],'Reporte Licitaciones'!$B$2,Tabla1[Mes],'Reporte Licitaciones'!$B$1,Tabla1[Responsable],'Reporte Licitaciones'!$B$3,Tabla1[Participa],"SI",Tabla1[Estado],"Desierta (o art. 3 ó 9 Ley 19.886)")</f>
        <v>0</v>
      </c>
      <c r="F34" s="110">
        <f>SUMIFS(Tabla1[Total Ofertado],Tabla1[AREA],Tabla28[[#This Row],[Area]],Tabla1[Año],'Reporte Licitaciones'!$B$2,Tabla1[Mes],'Reporte Licitaciones'!$B$1,Tabla1[Responsable],'Reporte Licitaciones'!$B$3,Tabla1[Participa],"SI",Tabla1[Estado],"Cerrada")</f>
        <v>0</v>
      </c>
      <c r="G34" s="110">
        <f>SUMIFS(Tabla1[Total Ofertado],Tabla1[AREA],Tabla28[[#This Row],[Area]],Tabla1[Año],'Reporte Licitaciones'!$B$2,Tabla1[Mes],'Reporte Licitaciones'!$B$1,Tabla1[Responsable],'Reporte Licitaciones'!$B$3,Tabla1[Participa],"SI",Tabla1[Estado],"Revocada")</f>
        <v>0</v>
      </c>
      <c r="H34" s="110">
        <f>SUMIFS(Tabla1[Total Ofertado],Tabla1[AREA],Tabla28[[#This Row],[Area]],Tabla1[Año],'Reporte Licitaciones'!$B$2,Tabla1[Mes],'Reporte Licitaciones'!$B$1,Tabla1[Responsable],'Reporte Licitaciones'!$B$3,Tabla1[Participa],"SI",Tabla1[Estado],"Readjudicada")</f>
        <v>0</v>
      </c>
    </row>
    <row r="35" spans="1:9" x14ac:dyDescent="0.25">
      <c r="A35" t="s">
        <v>19</v>
      </c>
      <c r="C35" s="110">
        <f>SUMIFS(Tabla1[Total Ofertado],Tabla1[AREA],Tabla28[[#This Row],[Area]],Tabla1[Año],'Reporte Licitaciones'!$B$2,Tabla1[Mes],'Reporte Licitaciones'!$B$1,Tabla1[Responsable],'Reporte Licitaciones'!$B$3,Tabla1[Participa],"SI")</f>
        <v>0</v>
      </c>
      <c r="D35" s="110">
        <f>SUMIFS(Tabla1[Total Ofertado],Tabla1[AREA],Tabla28[[#This Row],[Area]],Tabla1[Año],'Reporte Licitaciones'!$B$2,Tabla1[Mes],'Reporte Licitaciones'!$B$1,Tabla1[Responsable],'Reporte Licitaciones'!$B$3,Tabla1[Participa],"SI",Tabla1[Estado],"Adjudicada")</f>
        <v>0</v>
      </c>
      <c r="E35" s="110">
        <f>SUMIFS(Tabla1[Total Ofertado],Tabla1[AREA],Tabla28[[#This Row],[Area]],Tabla1[Año],'Reporte Licitaciones'!$B$2,Tabla1[Mes],'Reporte Licitaciones'!$B$1,Tabla1[Responsable],'Reporte Licitaciones'!$B$3,Tabla1[Participa],"SI",Tabla1[Estado],"Desierta (o art. 3 ó 9 Ley 19.886)")</f>
        <v>0</v>
      </c>
      <c r="F35" s="110">
        <f>SUMIFS(Tabla1[Total Ofertado],Tabla1[AREA],Tabla28[[#This Row],[Area]],Tabla1[Año],'Reporte Licitaciones'!$B$2,Tabla1[Mes],'Reporte Licitaciones'!$B$1,Tabla1[Responsable],'Reporte Licitaciones'!$B$3,Tabla1[Participa],"SI",Tabla1[Estado],"Cerrada")</f>
        <v>0</v>
      </c>
      <c r="G35" s="110">
        <f>SUMIFS(Tabla1[Total Ofertado],Tabla1[AREA],Tabla28[[#This Row],[Area]],Tabla1[Año],'Reporte Licitaciones'!$B$2,Tabla1[Mes],'Reporte Licitaciones'!$B$1,Tabla1[Responsable],'Reporte Licitaciones'!$B$3,Tabla1[Participa],"SI",Tabla1[Estado],"Revocada")</f>
        <v>0</v>
      </c>
      <c r="H35" s="110">
        <f>SUMIFS(Tabla1[Total Ofertado],Tabla1[AREA],Tabla28[[#This Row],[Area]],Tabla1[Año],'Reporte Licitaciones'!$B$2,Tabla1[Mes],'Reporte Licitaciones'!$B$1,Tabla1[Responsable],'Reporte Licitaciones'!$B$3,Tabla1[Participa],"SI",Tabla1[Estado],"Readjudicada")</f>
        <v>0</v>
      </c>
    </row>
    <row r="36" spans="1:9" x14ac:dyDescent="0.25">
      <c r="A36" t="s">
        <v>20</v>
      </c>
      <c r="C36" s="110">
        <f>SUMIFS(Tabla1[Total Ofertado],Tabla1[AREA],Tabla28[[#This Row],[Area]],Tabla1[Año],'Reporte Licitaciones'!$B$2,Tabla1[Mes],'Reporte Licitaciones'!$B$1,Tabla1[Responsable],'Reporte Licitaciones'!$B$3,Tabla1[Participa],"SI")</f>
        <v>0</v>
      </c>
      <c r="D36" s="110">
        <f>SUMIFS(Tabla1[Total Ofertado],Tabla1[AREA],Tabla28[[#This Row],[Area]],Tabla1[Año],'Reporte Licitaciones'!$B$2,Tabla1[Mes],'Reporte Licitaciones'!$B$1,Tabla1[Responsable],'Reporte Licitaciones'!$B$3,Tabla1[Participa],"SI",Tabla1[Estado],"Adjudicada")</f>
        <v>0</v>
      </c>
      <c r="E36" s="110">
        <f>SUMIFS(Tabla1[Total Ofertado],Tabla1[AREA],Tabla28[[#This Row],[Area]],Tabla1[Año],'Reporte Licitaciones'!$B$2,Tabla1[Mes],'Reporte Licitaciones'!$B$1,Tabla1[Responsable],'Reporte Licitaciones'!$B$3,Tabla1[Participa],"SI",Tabla1[Estado],"Desierta (o art. 3 ó 9 Ley 19.886)")</f>
        <v>0</v>
      </c>
      <c r="F36" s="110">
        <f>SUMIFS(Tabla1[Total Ofertado],Tabla1[AREA],Tabla28[[#This Row],[Area]],Tabla1[Año],'Reporte Licitaciones'!$B$2,Tabla1[Mes],'Reporte Licitaciones'!$B$1,Tabla1[Responsable],'Reporte Licitaciones'!$B$3,Tabla1[Participa],"SI",Tabla1[Estado],"Cerrada")</f>
        <v>0</v>
      </c>
      <c r="G36" s="110">
        <f>SUMIFS(Tabla1[Total Ofertado],Tabla1[AREA],Tabla28[[#This Row],[Area]],Tabla1[Año],'Reporte Licitaciones'!$B$2,Tabla1[Mes],'Reporte Licitaciones'!$B$1,Tabla1[Responsable],'Reporte Licitaciones'!$B$3,Tabla1[Participa],"SI",Tabla1[Estado],"Revocada")</f>
        <v>0</v>
      </c>
      <c r="H36" s="110">
        <f>SUMIFS(Tabla1[Total Ofertado],Tabla1[AREA],Tabla28[[#This Row],[Area]],Tabla1[Año],'Reporte Licitaciones'!$B$2,Tabla1[Mes],'Reporte Licitaciones'!$B$1,Tabla1[Responsable],'Reporte Licitaciones'!$B$3,Tabla1[Participa],"SI",Tabla1[Estado],"Readjudicada")</f>
        <v>0</v>
      </c>
    </row>
    <row r="37" spans="1:9" x14ac:dyDescent="0.25">
      <c r="A37" t="s">
        <v>21</v>
      </c>
      <c r="C37" s="110">
        <f>SUMIFS(Tabla1[Total Ofertado],Tabla1[AREA],Tabla28[[#This Row],[Area]],Tabla1[Año],'Reporte Licitaciones'!$B$2,Tabla1[Mes],'Reporte Licitaciones'!$B$1,Tabla1[Responsable],'Reporte Licitaciones'!$B$3,Tabla1[Participa],"SI")</f>
        <v>0</v>
      </c>
      <c r="D37" s="110">
        <f>SUMIFS(Tabla1[Total Ofertado],Tabla1[AREA],Tabla28[[#This Row],[Area]],Tabla1[Año],'Reporte Licitaciones'!$B$2,Tabla1[Mes],'Reporte Licitaciones'!$B$1,Tabla1[Responsable],'Reporte Licitaciones'!$B$3,Tabla1[Participa],"SI",Tabla1[Estado],"Adjudicada")</f>
        <v>0</v>
      </c>
      <c r="E37" s="110">
        <f>SUMIFS(Tabla1[Total Ofertado],Tabla1[AREA],Tabla28[[#This Row],[Area]],Tabla1[Año],'Reporte Licitaciones'!$B$2,Tabla1[Mes],'Reporte Licitaciones'!$B$1,Tabla1[Responsable],'Reporte Licitaciones'!$B$3,Tabla1[Participa],"SI",Tabla1[Estado],"Desierta (o art. 3 ó 9 Ley 19.886)")</f>
        <v>0</v>
      </c>
      <c r="F37" s="110">
        <f>SUMIFS(Tabla1[Total Ofertado],Tabla1[AREA],Tabla28[[#This Row],[Area]],Tabla1[Año],'Reporte Licitaciones'!$B$2,Tabla1[Mes],'Reporte Licitaciones'!$B$1,Tabla1[Responsable],'Reporte Licitaciones'!$B$3,Tabla1[Participa],"SI",Tabla1[Estado],"Cerrada")</f>
        <v>0</v>
      </c>
      <c r="G37" s="110">
        <f>SUMIFS(Tabla1[Total Ofertado],Tabla1[AREA],Tabla28[[#This Row],[Area]],Tabla1[Año],'Reporte Licitaciones'!$B$2,Tabla1[Mes],'Reporte Licitaciones'!$B$1,Tabla1[Responsable],'Reporte Licitaciones'!$B$3,Tabla1[Participa],"SI",Tabla1[Estado],"Revocada")</f>
        <v>0</v>
      </c>
      <c r="H37" s="110">
        <f>SUMIFS(Tabla1[Total Ofertado],Tabla1[AREA],Tabla28[[#This Row],[Area]],Tabla1[Año],'Reporte Licitaciones'!$B$2,Tabla1[Mes],'Reporte Licitaciones'!$B$1,Tabla1[Responsable],'Reporte Licitaciones'!$B$3,Tabla1[Participa],"SI",Tabla1[Estado],"Readjudicada")</f>
        <v>0</v>
      </c>
    </row>
    <row r="38" spans="1:9" x14ac:dyDescent="0.25">
      <c r="A38" t="s">
        <v>14</v>
      </c>
      <c r="C38" s="110">
        <f>SUMIFS(Tabla1[Total Ofertado],Tabla1[AREA],Tabla28[[#This Row],[Area]],Tabla1[Año],'Reporte Licitaciones'!$B$2,Tabla1[Mes],'Reporte Licitaciones'!$B$1,Tabla1[Responsable],'Reporte Licitaciones'!$B$3,Tabla1[Participa],"SI")</f>
        <v>0</v>
      </c>
      <c r="D38" s="110">
        <f>SUMIFS(Tabla1[Total Ofertado],Tabla1[AREA],Tabla28[[#This Row],[Area]],Tabla1[Año],'Reporte Licitaciones'!$B$2,Tabla1[Mes],'Reporte Licitaciones'!$B$1,Tabla1[Responsable],'Reporte Licitaciones'!$B$3,Tabla1[Participa],"SI",Tabla1[Estado],"Adjudicada")</f>
        <v>0</v>
      </c>
      <c r="E38" s="110">
        <f>SUMIFS(Tabla1[Total Ofertado],Tabla1[AREA],Tabla28[[#This Row],[Area]],Tabla1[Año],'Reporte Licitaciones'!$B$2,Tabla1[Mes],'Reporte Licitaciones'!$B$1,Tabla1[Responsable],'Reporte Licitaciones'!$B$3,Tabla1[Participa],"SI",Tabla1[Estado],"Desierta (o art. 3 ó 9 Ley 19.886)")</f>
        <v>0</v>
      </c>
      <c r="F38" s="110">
        <f>SUMIFS(Tabla1[Total Ofertado],Tabla1[AREA],Tabla28[[#This Row],[Area]],Tabla1[Año],'Reporte Licitaciones'!$B$2,Tabla1[Mes],'Reporte Licitaciones'!$B$1,Tabla1[Responsable],'Reporte Licitaciones'!$B$3,Tabla1[Participa],"SI",Tabla1[Estado],"Cerrada")</f>
        <v>0</v>
      </c>
      <c r="G38" s="110">
        <f>SUMIFS(Tabla1[Total Ofertado],Tabla1[AREA],Tabla28[[#This Row],[Area]],Tabla1[Año],'Reporte Licitaciones'!$B$2,Tabla1[Mes],'Reporte Licitaciones'!$B$1,Tabla1[Responsable],'Reporte Licitaciones'!$B$3,Tabla1[Participa],"SI",Tabla1[Estado],"Revocada")</f>
        <v>0</v>
      </c>
      <c r="H38" s="110">
        <f>SUMIFS(Tabla1[Total Ofertado],Tabla1[AREA],Tabla28[[#This Row],[Area]],Tabla1[Año],'Reporte Licitaciones'!$B$2,Tabla1[Mes],'Reporte Licitaciones'!$B$1,Tabla1[Responsable],'Reporte Licitaciones'!$B$3,Tabla1[Participa],"SI",Tabla1[Estado],"Readjudicada")</f>
        <v>0</v>
      </c>
    </row>
    <row r="39" spans="1:9" x14ac:dyDescent="0.25">
      <c r="A39" t="s">
        <v>7329</v>
      </c>
      <c r="C39" s="110">
        <f t="shared" ref="C39:H39" si="16">SUBTOTAL(109,C30:C38)</f>
        <v>0</v>
      </c>
      <c r="D39" s="110">
        <f t="shared" si="16"/>
        <v>0</v>
      </c>
      <c r="E39" s="110">
        <f t="shared" si="16"/>
        <v>0</v>
      </c>
      <c r="F39" s="110">
        <f t="shared" si="16"/>
        <v>0</v>
      </c>
      <c r="G39" s="110">
        <f t="shared" si="16"/>
        <v>0</v>
      </c>
      <c r="H39" s="110">
        <f t="shared" si="16"/>
        <v>0</v>
      </c>
    </row>
    <row r="41" spans="1:9" ht="30" x14ac:dyDescent="0.25">
      <c r="A41" t="s">
        <v>7325</v>
      </c>
      <c r="B41" s="7" t="s">
        <v>7345</v>
      </c>
      <c r="C41" s="7" t="s">
        <v>115</v>
      </c>
      <c r="D41" t="s">
        <v>472</v>
      </c>
      <c r="E41" t="s">
        <v>45</v>
      </c>
      <c r="F41" t="s">
        <v>191</v>
      </c>
      <c r="G41" t="s">
        <v>1905</v>
      </c>
      <c r="H41" t="s">
        <v>7346</v>
      </c>
      <c r="I41" t="s">
        <v>46</v>
      </c>
    </row>
    <row r="42" spans="1:9" x14ac:dyDescent="0.25">
      <c r="A42" t="s">
        <v>41</v>
      </c>
      <c r="B42">
        <f>COUNTIFS(Tabla1[AREA],Tabla2[[#This Row],[Area]],Tabla1[Año],'Reporte Licitaciones'!$B$2,Tabla1[Mes],'Reporte Licitaciones'!$B$1,Tabla1[Responsable],'Reporte Licitaciones'!$B$3,Tabla1[Participa],"SI",Tabla1[Estado],"Adjudicada")</f>
        <v>0</v>
      </c>
      <c r="C42">
        <f>COUNTIFS(Tabla1[AREA],Tabla2[[#This Row],[Area]],Tabla1[Año],'Reporte Licitaciones'!$B$2,Tabla1[Mes],'Reporte Licitaciones'!$B$1,Tabla1[Responsable],'Reporte Licitaciones'!$B$3,Tabla1[Participa],"SI",Tabla1[EMPRESA],"LINDE GAS CHILE S.A.")</f>
        <v>0</v>
      </c>
      <c r="D42">
        <f>COUNTIFS(Tabla1[AREA],Tabla2[[#This Row],[Area]],Tabla1[Año],'Reporte Licitaciones'!$B$2,Tabla1[Mes],'Reporte Licitaciones'!$B$1,Tabla1[Responsable],'Reporte Licitaciones'!$B$3,Tabla1[Participa],"SI",Tabla1[EMPRESA],"AIRLIQUIDE")</f>
        <v>0</v>
      </c>
      <c r="E42">
        <f>COUNTIFS(Tabla1[AREA],Tabla2[[#This Row],[Area]],Tabla1[Año],'Reporte Licitaciones'!$B$2,Tabla1[Mes],'Reporte Licitaciones'!$B$1,Tabla1[Responsable],'Reporte Licitaciones'!$B$3,Tabla1[Participa],"SI",Tabla1[EMPRESA],"INDURA")</f>
        <v>0</v>
      </c>
      <c r="F42">
        <f>COUNTIFS(Tabla1[AREA],Tabla2[[#This Row],[Area]],Tabla1[Año],'Reporte Licitaciones'!$B$2,Tabla1[Mes],'Reporte Licitaciones'!$B$1,Tabla1[Responsable],'Reporte Licitaciones'!$B$3,Tabla1[Participa],"SI",Tabla1[EMPRESA],"MESSER")</f>
        <v>0</v>
      </c>
      <c r="G42">
        <f>COUNTIFS(Tabla1[AREA],Tabla2[[#This Row],[Area]],Tabla1[Año],'Reporte Licitaciones'!$B$2,Tabla1[Mes],'Reporte Licitaciones'!$B$1,Tabla1[Responsable],'Reporte Licitaciones'!$B$3,Tabla1[Participa],"SI",Tabla1[EMPRESA],"INTERNATIONAL")</f>
        <v>0</v>
      </c>
      <c r="H42">
        <f>COUNTIFS(Tabla1[AREA],Tabla2[[#This Row],[Area]],Tabla1[Año],'Reporte Licitaciones'!$B$2,Tabla1[Mes],'Reporte Licitaciones'!$B$1,Tabla1[Responsable],'Reporte Licitaciones'!$B$3,Tabla1[Participa],"SI",Tabla1[EMPRESA],"RESPILIFE")</f>
        <v>0</v>
      </c>
      <c r="I42">
        <f>COUNTIFS(Tabla1[AREA],Tabla2[[#This Row],[Area]],Tabla1[Año],'Reporte Licitaciones'!$B$2,Tabla1[Mes],'Reporte Licitaciones'!$B$1,Tabla1[Responsable],'Reporte Licitaciones'!$B$3,Tabla1[Participa],"SI",Tabla1[EMPRESA],"OTRO")</f>
        <v>0</v>
      </c>
    </row>
    <row r="43" spans="1:9" x14ac:dyDescent="0.25">
      <c r="A43" t="s">
        <v>15</v>
      </c>
      <c r="B43">
        <f>COUNTIFS(Tabla1[AREA],Tabla2[[#This Row],[Area]],Tabla1[Año],'Reporte Licitaciones'!$B$2,Tabla1[Mes],'Reporte Licitaciones'!$B$1,Tabla1[Responsable],'Reporte Licitaciones'!$B$3,Tabla1[Participa],"SI",Tabla1[Estado],"Adjudicada")</f>
        <v>0</v>
      </c>
      <c r="C43">
        <f>COUNTIFS(Tabla1[AREA],Tabla2[[#This Row],[Area]],Tabla1[Año],'Reporte Licitaciones'!$B$2,Tabla1[Mes],'Reporte Licitaciones'!$B$1,Tabla1[Responsable],'Reporte Licitaciones'!$B$3,Tabla1[Participa],"SI",Tabla1[EMPRESA],"LINDE GAS CHILE S.A.")</f>
        <v>0</v>
      </c>
      <c r="D43">
        <f>COUNTIFS(Tabla1[AREA],Tabla2[[#This Row],[Area]],Tabla1[Año],'Reporte Licitaciones'!$B$2,Tabla1[Mes],'Reporte Licitaciones'!$B$1,Tabla1[Responsable],'Reporte Licitaciones'!$B$3,Tabla1[Participa],"SI",Tabla1[EMPRESA],"AIRLIQUIDE")</f>
        <v>0</v>
      </c>
      <c r="E43">
        <f>COUNTIFS(Tabla1[AREA],Tabla2[[#This Row],[Area]],Tabla1[Año],'Reporte Licitaciones'!$B$2,Tabla1[Mes],'Reporte Licitaciones'!$B$1,Tabla1[Responsable],'Reporte Licitaciones'!$B$3,Tabla1[Participa],"SI",Tabla1[EMPRESA],"INDURA")</f>
        <v>0</v>
      </c>
      <c r="F43">
        <f>COUNTIFS(Tabla1[AREA],Tabla2[[#This Row],[Area]],Tabla1[Año],'Reporte Licitaciones'!$B$2,Tabla1[Mes],'Reporte Licitaciones'!$B$1,Tabla1[Responsable],'Reporte Licitaciones'!$B$3,Tabla1[Participa],"SI",Tabla1[EMPRESA],"MESSER")</f>
        <v>0</v>
      </c>
      <c r="G43">
        <f>COUNTIFS(Tabla1[AREA],Tabla2[[#This Row],[Area]],Tabla1[Año],'Reporte Licitaciones'!$B$2,Tabla1[Mes],'Reporte Licitaciones'!$B$1,Tabla1[Responsable],'Reporte Licitaciones'!$B$3,Tabla1[Participa],"SI",Tabla1[EMPRESA],"INTERNATIONAL")</f>
        <v>0</v>
      </c>
      <c r="H43">
        <f>COUNTIFS(Tabla1[AREA],Tabla2[[#This Row],[Area]],Tabla1[Año],'Reporte Licitaciones'!$B$2,Tabla1[Mes],'Reporte Licitaciones'!$B$1,Tabla1[Responsable],'Reporte Licitaciones'!$B$3,Tabla1[Participa],"SI",Tabla1[EMPRESA],"RESPILIFE")</f>
        <v>0</v>
      </c>
      <c r="I43">
        <f>COUNTIFS(Tabla1[AREA],Tabla2[[#This Row],[Area]],Tabla1[Año],'Reporte Licitaciones'!$B$2,Tabla1[Mes],'Reporte Licitaciones'!$B$1,Tabla1[Responsable],'Reporte Licitaciones'!$B$3,Tabla1[Participa],"SI",Tabla1[EMPRESA],"OTRO")</f>
        <v>0</v>
      </c>
    </row>
    <row r="44" spans="1:9" x14ac:dyDescent="0.25">
      <c r="A44" t="s">
        <v>16</v>
      </c>
      <c r="B44">
        <f>COUNTIFS(Tabla1[AREA],Tabla2[[#This Row],[Area]],Tabla1[Año],'Reporte Licitaciones'!$B$2,Tabla1[Mes],'Reporte Licitaciones'!$B$1,Tabla1[Responsable],'Reporte Licitaciones'!$B$3,Tabla1[Participa],"SI",Tabla1[Estado],"Adjudicada")</f>
        <v>0</v>
      </c>
      <c r="C44">
        <f>COUNTIFS(Tabla1[AREA],Tabla2[[#This Row],[Area]],Tabla1[Año],'Reporte Licitaciones'!$B$2,Tabla1[Mes],'Reporte Licitaciones'!$B$1,Tabla1[Responsable],'Reporte Licitaciones'!$B$3,Tabla1[Participa],"SI",Tabla1[EMPRESA],"LINDE GAS CHILE S.A.")</f>
        <v>0</v>
      </c>
      <c r="D44">
        <f>COUNTIFS(Tabla1[AREA],Tabla2[[#This Row],[Area]],Tabla1[Año],'Reporte Licitaciones'!$B$2,Tabla1[Mes],'Reporte Licitaciones'!$B$1,Tabla1[Responsable],'Reporte Licitaciones'!$B$3,Tabla1[Participa],"SI",Tabla1[EMPRESA],"AIRLIQUIDE")</f>
        <v>0</v>
      </c>
      <c r="E44">
        <f>COUNTIFS(Tabla1[AREA],Tabla2[[#This Row],[Area]],Tabla1[Año],'Reporte Licitaciones'!$B$2,Tabla1[Mes],'Reporte Licitaciones'!$B$1,Tabla1[Responsable],'Reporte Licitaciones'!$B$3,Tabla1[Participa],"SI",Tabla1[EMPRESA],"INDURA")</f>
        <v>0</v>
      </c>
      <c r="F44">
        <f>COUNTIFS(Tabla1[AREA],Tabla2[[#This Row],[Area]],Tabla1[Año],'Reporte Licitaciones'!$B$2,Tabla1[Mes],'Reporte Licitaciones'!$B$1,Tabla1[Responsable],'Reporte Licitaciones'!$B$3,Tabla1[Participa],"SI",Tabla1[EMPRESA],"MESSER")</f>
        <v>0</v>
      </c>
      <c r="G44">
        <f>COUNTIFS(Tabla1[AREA],Tabla2[[#This Row],[Area]],Tabla1[Año],'Reporte Licitaciones'!$B$2,Tabla1[Mes],'Reporte Licitaciones'!$B$1,Tabla1[Responsable],'Reporte Licitaciones'!$B$3,Tabla1[Participa],"SI",Tabla1[EMPRESA],"INTERNATIONAL")</f>
        <v>0</v>
      </c>
      <c r="H44">
        <f>COUNTIFS(Tabla1[AREA],Tabla2[[#This Row],[Area]],Tabla1[Año],'Reporte Licitaciones'!$B$2,Tabla1[Mes],'Reporte Licitaciones'!$B$1,Tabla1[Responsable],'Reporte Licitaciones'!$B$3,Tabla1[Participa],"SI",Tabla1[EMPRESA],"RESPILIFE")</f>
        <v>0</v>
      </c>
      <c r="I44">
        <f>COUNTIFS(Tabla1[AREA],Tabla2[[#This Row],[Area]],Tabla1[Año],'Reporte Licitaciones'!$B$2,Tabla1[Mes],'Reporte Licitaciones'!$B$1,Tabla1[Responsable],'Reporte Licitaciones'!$B$3,Tabla1[Participa],"SI",Tabla1[EMPRESA],"OTRO")</f>
        <v>0</v>
      </c>
    </row>
    <row r="45" spans="1:9" x14ac:dyDescent="0.25">
      <c r="A45" t="s">
        <v>17</v>
      </c>
      <c r="B45">
        <f>COUNTIFS(Tabla1[AREA],Tabla2[[#This Row],[Area]],Tabla1[Año],'Reporte Licitaciones'!$B$2,Tabla1[Mes],'Reporte Licitaciones'!$B$1,Tabla1[Responsable],'Reporte Licitaciones'!$B$3,Tabla1[Participa],"SI",Tabla1[Estado],"Adjudicada")</f>
        <v>0</v>
      </c>
      <c r="C45">
        <f>COUNTIFS(Tabla1[AREA],Tabla2[[#This Row],[Area]],Tabla1[Año],'Reporte Licitaciones'!$B$2,Tabla1[Mes],'Reporte Licitaciones'!$B$1,Tabla1[Responsable],'Reporte Licitaciones'!$B$3,Tabla1[Participa],"SI",Tabla1[EMPRESA],"LINDE GAS CHILE S.A.")</f>
        <v>0</v>
      </c>
      <c r="D45">
        <f>COUNTIFS(Tabla1[AREA],Tabla2[[#This Row],[Area]],Tabla1[Año],'Reporte Licitaciones'!$B$2,Tabla1[Mes],'Reporte Licitaciones'!$B$1,Tabla1[Responsable],'Reporte Licitaciones'!$B$3,Tabla1[Participa],"SI",Tabla1[EMPRESA],"AIRLIQUIDE")</f>
        <v>0</v>
      </c>
      <c r="E45">
        <f>COUNTIFS(Tabla1[AREA],Tabla2[[#This Row],[Area]],Tabla1[Año],'Reporte Licitaciones'!$B$2,Tabla1[Mes],'Reporte Licitaciones'!$B$1,Tabla1[Responsable],'Reporte Licitaciones'!$B$3,Tabla1[Participa],"SI",Tabla1[EMPRESA],"INDURA")</f>
        <v>0</v>
      </c>
      <c r="F45">
        <f>COUNTIFS(Tabla1[AREA],Tabla2[[#This Row],[Area]],Tabla1[Año],'Reporte Licitaciones'!$B$2,Tabla1[Mes],'Reporte Licitaciones'!$B$1,Tabla1[Responsable],'Reporte Licitaciones'!$B$3,Tabla1[Participa],"SI",Tabla1[EMPRESA],"MESSER")</f>
        <v>0</v>
      </c>
      <c r="G45">
        <f>COUNTIFS(Tabla1[AREA],Tabla2[[#This Row],[Area]],Tabla1[Año],'Reporte Licitaciones'!$B$2,Tabla1[Mes],'Reporte Licitaciones'!$B$1,Tabla1[Responsable],'Reporte Licitaciones'!$B$3,Tabla1[Participa],"SI",Tabla1[EMPRESA],"INTERNATIONAL")</f>
        <v>0</v>
      </c>
      <c r="H45">
        <f>COUNTIFS(Tabla1[AREA],Tabla2[[#This Row],[Area]],Tabla1[Año],'Reporte Licitaciones'!$B$2,Tabla1[Mes],'Reporte Licitaciones'!$B$1,Tabla1[Responsable],'Reporte Licitaciones'!$B$3,Tabla1[Participa],"SI",Tabla1[EMPRESA],"RESPILIFE")</f>
        <v>0</v>
      </c>
      <c r="I45">
        <f>COUNTIFS(Tabla1[AREA],Tabla2[[#This Row],[Area]],Tabla1[Año],'Reporte Licitaciones'!$B$2,Tabla1[Mes],'Reporte Licitaciones'!$B$1,Tabla1[Responsable],'Reporte Licitaciones'!$B$3,Tabla1[Participa],"SI",Tabla1[EMPRESA],"OTRO")</f>
        <v>0</v>
      </c>
    </row>
    <row r="46" spans="1:9" x14ac:dyDescent="0.25">
      <c r="A46" t="s">
        <v>18</v>
      </c>
      <c r="B46">
        <f>COUNTIFS(Tabla1[AREA],Tabla2[[#This Row],[Area]],Tabla1[Año],'Reporte Licitaciones'!$B$2,Tabla1[Mes],'Reporte Licitaciones'!$B$1,Tabla1[Responsable],'Reporte Licitaciones'!$B$3,Tabla1[Participa],"SI",Tabla1[Estado],"Adjudicada")</f>
        <v>0</v>
      </c>
      <c r="C46">
        <f>COUNTIFS(Tabla1[AREA],Tabla2[[#This Row],[Area]],Tabla1[Año],'Reporte Licitaciones'!$B$2,Tabla1[Mes],'Reporte Licitaciones'!$B$1,Tabla1[Responsable],'Reporte Licitaciones'!$B$3,Tabla1[Participa],"SI",Tabla1[EMPRESA],"LINDE GAS CHILE S.A.")</f>
        <v>0</v>
      </c>
      <c r="D46">
        <f>COUNTIFS(Tabla1[AREA],Tabla2[[#This Row],[Area]],Tabla1[Año],'Reporte Licitaciones'!$B$2,Tabla1[Mes],'Reporte Licitaciones'!$B$1,Tabla1[Responsable],'Reporte Licitaciones'!$B$3,Tabla1[Participa],"SI",Tabla1[EMPRESA],"AIRLIQUIDE")</f>
        <v>0</v>
      </c>
      <c r="E46">
        <f>COUNTIFS(Tabla1[AREA],Tabla2[[#This Row],[Area]],Tabla1[Año],'Reporte Licitaciones'!$B$2,Tabla1[Mes],'Reporte Licitaciones'!$B$1,Tabla1[Responsable],'Reporte Licitaciones'!$B$3,Tabla1[Participa],"SI",Tabla1[EMPRESA],"INDURA")</f>
        <v>0</v>
      </c>
      <c r="F46">
        <f>COUNTIFS(Tabla1[AREA],Tabla2[[#This Row],[Area]],Tabla1[Año],'Reporte Licitaciones'!$B$2,Tabla1[Mes],'Reporte Licitaciones'!$B$1,Tabla1[Responsable],'Reporte Licitaciones'!$B$3,Tabla1[Participa],"SI",Tabla1[EMPRESA],"MESSER")</f>
        <v>0</v>
      </c>
      <c r="G46">
        <f>COUNTIFS(Tabla1[AREA],Tabla2[[#This Row],[Area]],Tabla1[Año],'Reporte Licitaciones'!$B$2,Tabla1[Mes],'Reporte Licitaciones'!$B$1,Tabla1[Responsable],'Reporte Licitaciones'!$B$3,Tabla1[Participa],"SI",Tabla1[EMPRESA],"INTERNATIONAL")</f>
        <v>0</v>
      </c>
      <c r="H46">
        <f>COUNTIFS(Tabla1[AREA],Tabla2[[#This Row],[Area]],Tabla1[Año],'Reporte Licitaciones'!$B$2,Tabla1[Mes],'Reporte Licitaciones'!$B$1,Tabla1[Responsable],'Reporte Licitaciones'!$B$3,Tabla1[Participa],"SI",Tabla1[EMPRESA],"RESPILIFE")</f>
        <v>0</v>
      </c>
      <c r="I46">
        <f>COUNTIFS(Tabla1[AREA],Tabla2[[#This Row],[Area]],Tabla1[Año],'Reporte Licitaciones'!$B$2,Tabla1[Mes],'Reporte Licitaciones'!$B$1,Tabla1[Responsable],'Reporte Licitaciones'!$B$3,Tabla1[Participa],"SI",Tabla1[EMPRESA],"OTRO")</f>
        <v>0</v>
      </c>
    </row>
    <row r="47" spans="1:9" x14ac:dyDescent="0.25">
      <c r="A47" t="s">
        <v>19</v>
      </c>
      <c r="B47">
        <f>COUNTIFS(Tabla1[AREA],Tabla2[[#This Row],[Area]],Tabla1[Año],'Reporte Licitaciones'!$B$2,Tabla1[Mes],'Reporte Licitaciones'!$B$1,Tabla1[Responsable],'Reporte Licitaciones'!$B$3,Tabla1[Participa],"SI",Tabla1[Estado],"Adjudicada")</f>
        <v>0</v>
      </c>
      <c r="C47">
        <f>COUNTIFS(Tabla1[AREA],Tabla2[[#This Row],[Area]],Tabla1[Año],'Reporte Licitaciones'!$B$2,Tabla1[Mes],'Reporte Licitaciones'!$B$1,Tabla1[Responsable],'Reporte Licitaciones'!$B$3,Tabla1[Participa],"SI",Tabla1[EMPRESA],"LINDE GAS CHILE S.A.")</f>
        <v>0</v>
      </c>
      <c r="D47">
        <f>COUNTIFS(Tabla1[AREA],Tabla2[[#This Row],[Area]],Tabla1[Año],'Reporte Licitaciones'!$B$2,Tabla1[Mes],'Reporte Licitaciones'!$B$1,Tabla1[Responsable],'Reporte Licitaciones'!$B$3,Tabla1[Participa],"SI",Tabla1[EMPRESA],"AIRLIQUIDE")</f>
        <v>0</v>
      </c>
      <c r="E47">
        <f>COUNTIFS(Tabla1[AREA],Tabla2[[#This Row],[Area]],Tabla1[Año],'Reporte Licitaciones'!$B$2,Tabla1[Mes],'Reporte Licitaciones'!$B$1,Tabla1[Responsable],'Reporte Licitaciones'!$B$3,Tabla1[Participa],"SI",Tabla1[EMPRESA],"INDURA")</f>
        <v>0</v>
      </c>
      <c r="F47">
        <f>COUNTIFS(Tabla1[AREA],Tabla2[[#This Row],[Area]],Tabla1[Año],'Reporte Licitaciones'!$B$2,Tabla1[Mes],'Reporte Licitaciones'!$B$1,Tabla1[Responsable],'Reporte Licitaciones'!$B$3,Tabla1[Participa],"SI",Tabla1[EMPRESA],"MESSER")</f>
        <v>0</v>
      </c>
      <c r="G47">
        <f>COUNTIFS(Tabla1[AREA],Tabla2[[#This Row],[Area]],Tabla1[Año],'Reporte Licitaciones'!$B$2,Tabla1[Mes],'Reporte Licitaciones'!$B$1,Tabla1[Responsable],'Reporte Licitaciones'!$B$3,Tabla1[Participa],"SI",Tabla1[EMPRESA],"INTERNATIONAL")</f>
        <v>0</v>
      </c>
      <c r="H47">
        <f>COUNTIFS(Tabla1[AREA],Tabla2[[#This Row],[Area]],Tabla1[Año],'Reporte Licitaciones'!$B$2,Tabla1[Mes],'Reporte Licitaciones'!$B$1,Tabla1[Responsable],'Reporte Licitaciones'!$B$3,Tabla1[Participa],"SI",Tabla1[EMPRESA],"RESPILIFE")</f>
        <v>0</v>
      </c>
      <c r="I47">
        <f>COUNTIFS(Tabla1[AREA],Tabla2[[#This Row],[Area]],Tabla1[Año],'Reporte Licitaciones'!$B$2,Tabla1[Mes],'Reporte Licitaciones'!$B$1,Tabla1[Responsable],'Reporte Licitaciones'!$B$3,Tabla1[Participa],"SI",Tabla1[EMPRESA],"OTRO")</f>
        <v>0</v>
      </c>
    </row>
    <row r="48" spans="1:9" x14ac:dyDescent="0.25">
      <c r="A48" t="s">
        <v>20</v>
      </c>
      <c r="B48">
        <f>COUNTIFS(Tabla1[AREA],Tabla2[[#This Row],[Area]],Tabla1[Año],'Reporte Licitaciones'!$B$2,Tabla1[Mes],'Reporte Licitaciones'!$B$1,Tabla1[Responsable],'Reporte Licitaciones'!$B$3,Tabla1[Participa],"SI",Tabla1[Estado],"Adjudicada")</f>
        <v>0</v>
      </c>
      <c r="C48">
        <f>COUNTIFS(Tabla1[AREA],Tabla2[[#This Row],[Area]],Tabla1[Año],'Reporte Licitaciones'!$B$2,Tabla1[Mes],'Reporte Licitaciones'!$B$1,Tabla1[Responsable],'Reporte Licitaciones'!$B$3,Tabla1[Participa],"SI",Tabla1[EMPRESA],"LINDE GAS CHILE S.A.")</f>
        <v>0</v>
      </c>
      <c r="D48">
        <f>COUNTIFS(Tabla1[AREA],Tabla2[[#This Row],[Area]],Tabla1[Año],'Reporte Licitaciones'!$B$2,Tabla1[Mes],'Reporte Licitaciones'!$B$1,Tabla1[Responsable],'Reporte Licitaciones'!$B$3,Tabla1[Participa],"SI",Tabla1[EMPRESA],"AIRLIQUIDE")</f>
        <v>0</v>
      </c>
      <c r="E48">
        <f>COUNTIFS(Tabla1[AREA],Tabla2[[#This Row],[Area]],Tabla1[Año],'Reporte Licitaciones'!$B$2,Tabla1[Mes],'Reporte Licitaciones'!$B$1,Tabla1[Responsable],'Reporte Licitaciones'!$B$3,Tabla1[Participa],"SI",Tabla1[EMPRESA],"INDURA")</f>
        <v>0</v>
      </c>
      <c r="F48">
        <f>COUNTIFS(Tabla1[AREA],Tabla2[[#This Row],[Area]],Tabla1[Año],'Reporte Licitaciones'!$B$2,Tabla1[Mes],'Reporte Licitaciones'!$B$1,Tabla1[Responsable],'Reporte Licitaciones'!$B$3,Tabla1[Participa],"SI",Tabla1[EMPRESA],"MESSER")</f>
        <v>0</v>
      </c>
      <c r="G48">
        <f>COUNTIFS(Tabla1[AREA],Tabla2[[#This Row],[Area]],Tabla1[Año],'Reporte Licitaciones'!$B$2,Tabla1[Mes],'Reporte Licitaciones'!$B$1,Tabla1[Responsable],'Reporte Licitaciones'!$B$3,Tabla1[Participa],"SI",Tabla1[EMPRESA],"INTERNATIONAL")</f>
        <v>0</v>
      </c>
      <c r="H48">
        <f>COUNTIFS(Tabla1[AREA],Tabla2[[#This Row],[Area]],Tabla1[Año],'Reporte Licitaciones'!$B$2,Tabla1[Mes],'Reporte Licitaciones'!$B$1,Tabla1[Responsable],'Reporte Licitaciones'!$B$3,Tabla1[Participa],"SI",Tabla1[EMPRESA],"RESPILIFE")</f>
        <v>0</v>
      </c>
      <c r="I48">
        <f>COUNTIFS(Tabla1[AREA],Tabla2[[#This Row],[Area]],Tabla1[Año],'Reporte Licitaciones'!$B$2,Tabla1[Mes],'Reporte Licitaciones'!$B$1,Tabla1[Responsable],'Reporte Licitaciones'!$B$3,Tabla1[Participa],"SI",Tabla1[EMPRESA],"OTRO")</f>
        <v>0</v>
      </c>
    </row>
    <row r="49" spans="1:9" x14ac:dyDescent="0.25">
      <c r="A49" t="s">
        <v>21</v>
      </c>
      <c r="B49">
        <f>COUNTIFS(Tabla1[AREA],Tabla2[[#This Row],[Area]],Tabla1[Año],'Reporte Licitaciones'!$B$2,Tabla1[Mes],'Reporte Licitaciones'!$B$1,Tabla1[Responsable],'Reporte Licitaciones'!$B$3,Tabla1[Participa],"SI",Tabla1[Estado],"Adjudicada")</f>
        <v>0</v>
      </c>
      <c r="C49">
        <f>COUNTIFS(Tabla1[AREA],Tabla2[[#This Row],[Area]],Tabla1[Año],'Reporte Licitaciones'!$B$2,Tabla1[Mes],'Reporte Licitaciones'!$B$1,Tabla1[Responsable],'Reporte Licitaciones'!$B$3,Tabla1[Participa],"SI",Tabla1[EMPRESA],"LINDE GAS CHILE S.A.")</f>
        <v>0</v>
      </c>
      <c r="D49">
        <f>COUNTIFS(Tabla1[AREA],Tabla2[[#This Row],[Area]],Tabla1[Año],'Reporte Licitaciones'!$B$2,Tabla1[Mes],'Reporte Licitaciones'!$B$1,Tabla1[Responsable],'Reporte Licitaciones'!$B$3,Tabla1[Participa],"SI",Tabla1[EMPRESA],"AIRLIQUIDE")</f>
        <v>0</v>
      </c>
      <c r="E49">
        <f>COUNTIFS(Tabla1[AREA],Tabla2[[#This Row],[Area]],Tabla1[Año],'Reporte Licitaciones'!$B$2,Tabla1[Mes],'Reporte Licitaciones'!$B$1,Tabla1[Responsable],'Reporte Licitaciones'!$B$3,Tabla1[Participa],"SI",Tabla1[EMPRESA],"INDURA")</f>
        <v>0</v>
      </c>
      <c r="F49">
        <f>COUNTIFS(Tabla1[AREA],Tabla2[[#This Row],[Area]],Tabla1[Año],'Reporte Licitaciones'!$B$2,Tabla1[Mes],'Reporte Licitaciones'!$B$1,Tabla1[Responsable],'Reporte Licitaciones'!$B$3,Tabla1[Participa],"SI",Tabla1[EMPRESA],"MESSER")</f>
        <v>0</v>
      </c>
      <c r="G49">
        <f>COUNTIFS(Tabla1[AREA],Tabla2[[#This Row],[Area]],Tabla1[Año],'Reporte Licitaciones'!$B$2,Tabla1[Mes],'Reporte Licitaciones'!$B$1,Tabla1[Responsable],'Reporte Licitaciones'!$B$3,Tabla1[Participa],"SI",Tabla1[EMPRESA],"INTERNATIONAL")</f>
        <v>0</v>
      </c>
      <c r="H49">
        <f>COUNTIFS(Tabla1[AREA],Tabla2[[#This Row],[Area]],Tabla1[Año],'Reporte Licitaciones'!$B$2,Tabla1[Mes],'Reporte Licitaciones'!$B$1,Tabla1[Responsable],'Reporte Licitaciones'!$B$3,Tabla1[Participa],"SI",Tabla1[EMPRESA],"RESPILIFE")</f>
        <v>0</v>
      </c>
      <c r="I49">
        <f>COUNTIFS(Tabla1[AREA],Tabla2[[#This Row],[Area]],Tabla1[Año],'Reporte Licitaciones'!$B$2,Tabla1[Mes],'Reporte Licitaciones'!$B$1,Tabla1[Responsable],'Reporte Licitaciones'!$B$3,Tabla1[Participa],"SI",Tabla1[EMPRESA],"OTRO")</f>
        <v>0</v>
      </c>
    </row>
    <row r="50" spans="1:9" x14ac:dyDescent="0.25">
      <c r="A50" t="s">
        <v>14</v>
      </c>
      <c r="B50">
        <f>COUNTIFS(Tabla1[AREA],Tabla2[[#This Row],[Area]],Tabla1[Año],'Reporte Licitaciones'!$B$2,Tabla1[Mes],'Reporte Licitaciones'!$B$1,Tabla1[Responsable],'Reporte Licitaciones'!$B$3,Tabla1[Participa],"SI",Tabla1[Estado],"Adjudicada")</f>
        <v>0</v>
      </c>
      <c r="C50">
        <f>COUNTIFS(Tabla1[AREA],Tabla2[[#This Row],[Area]],Tabla1[Año],'Reporte Licitaciones'!$B$2,Tabla1[Mes],'Reporte Licitaciones'!$B$1,Tabla1[Responsable],'Reporte Licitaciones'!$B$3,Tabla1[Participa],"SI",Tabla1[EMPRESA],"LINDE GAS CHILE S.A.")</f>
        <v>0</v>
      </c>
      <c r="D50">
        <f>COUNTIFS(Tabla1[AREA],Tabla2[[#This Row],[Area]],Tabla1[Año],'Reporte Licitaciones'!$B$2,Tabla1[Mes],'Reporte Licitaciones'!$B$1,Tabla1[Responsable],'Reporte Licitaciones'!$B$3,Tabla1[Participa],"SI",Tabla1[EMPRESA],"AIRLIQUIDE")</f>
        <v>0</v>
      </c>
      <c r="E50">
        <f>COUNTIFS(Tabla1[AREA],Tabla2[[#This Row],[Area]],Tabla1[Año],'Reporte Licitaciones'!$B$2,Tabla1[Mes],'Reporte Licitaciones'!$B$1,Tabla1[Responsable],'Reporte Licitaciones'!$B$3,Tabla1[Participa],"SI",Tabla1[EMPRESA],"INDURA")</f>
        <v>0</v>
      </c>
      <c r="F50">
        <f>COUNTIFS(Tabla1[AREA],Tabla2[[#This Row],[Area]],Tabla1[Año],'Reporte Licitaciones'!$B$2,Tabla1[Mes],'Reporte Licitaciones'!$B$1,Tabla1[Responsable],'Reporte Licitaciones'!$B$3,Tabla1[Participa],"SI",Tabla1[EMPRESA],"MESSER")</f>
        <v>0</v>
      </c>
      <c r="G50">
        <f>COUNTIFS(Tabla1[AREA],Tabla2[[#This Row],[Area]],Tabla1[Año],'Reporte Licitaciones'!$B$2,Tabla1[Mes],'Reporte Licitaciones'!$B$1,Tabla1[Responsable],'Reporte Licitaciones'!$B$3,Tabla1[Participa],"SI",Tabla1[EMPRESA],"INTERNATIONAL")</f>
        <v>0</v>
      </c>
      <c r="H50">
        <f>COUNTIFS(Tabla1[AREA],Tabla2[[#This Row],[Area]],Tabla1[Año],'Reporte Licitaciones'!$B$2,Tabla1[Mes],'Reporte Licitaciones'!$B$1,Tabla1[Responsable],'Reporte Licitaciones'!$B$3,Tabla1[Participa],"SI",Tabla1[EMPRESA],"RESPILIFE")</f>
        <v>0</v>
      </c>
      <c r="I50">
        <f>COUNTIFS(Tabla1[AREA],Tabla2[[#This Row],[Area]],Tabla1[Año],'Reporte Licitaciones'!$B$2,Tabla1[Mes],'Reporte Licitaciones'!$B$1,Tabla1[Responsable],'Reporte Licitaciones'!$B$3,Tabla1[Participa],"SI",Tabla1[EMPRESA],"OTRO")</f>
        <v>0</v>
      </c>
    </row>
    <row r="51" spans="1:9" x14ac:dyDescent="0.25">
      <c r="A51" t="s">
        <v>7329</v>
      </c>
      <c r="B51">
        <f>SUBTOTAL(109,B42:B50)</f>
        <v>0</v>
      </c>
      <c r="C51">
        <f t="shared" ref="C51:F51" si="17">SUBTOTAL(109,C42:C50)</f>
        <v>0</v>
      </c>
      <c r="D51">
        <f t="shared" si="17"/>
        <v>0</v>
      </c>
      <c r="E51">
        <f t="shared" si="17"/>
        <v>0</v>
      </c>
      <c r="F51">
        <f t="shared" si="17"/>
        <v>0</v>
      </c>
      <c r="G51">
        <f t="shared" ref="G51" si="18">SUBTOTAL(109,G42:G50)</f>
        <v>0</v>
      </c>
      <c r="H51">
        <f t="shared" ref="H51:I51" si="19">SUBTOTAL(109,H42:H50)</f>
        <v>0</v>
      </c>
      <c r="I51">
        <f t="shared" si="19"/>
        <v>0</v>
      </c>
    </row>
    <row r="53" spans="1:9" ht="30" x14ac:dyDescent="0.25">
      <c r="A53" t="s">
        <v>7325</v>
      </c>
      <c r="B53" s="7" t="s">
        <v>7345</v>
      </c>
      <c r="C53" s="7" t="s">
        <v>115</v>
      </c>
      <c r="D53" t="s">
        <v>472</v>
      </c>
      <c r="E53" t="s">
        <v>45</v>
      </c>
      <c r="F53" t="s">
        <v>191</v>
      </c>
      <c r="G53" t="s">
        <v>1905</v>
      </c>
      <c r="H53" t="s">
        <v>7346</v>
      </c>
      <c r="I53" t="s">
        <v>46</v>
      </c>
    </row>
    <row r="54" spans="1:9" x14ac:dyDescent="0.25">
      <c r="A54" s="173" t="s">
        <v>41</v>
      </c>
      <c r="B54" s="176" t="e">
        <f>B42/$B$51</f>
        <v>#DIV/0!</v>
      </c>
      <c r="C54" s="176" t="e">
        <f>C42/B42</f>
        <v>#DIV/0!</v>
      </c>
      <c r="D54" s="176" t="e">
        <f>D42/B42</f>
        <v>#DIV/0!</v>
      </c>
      <c r="E54" s="176" t="e">
        <f>E42/B42</f>
        <v>#DIV/0!</v>
      </c>
      <c r="F54" s="176" t="e">
        <f>F42/B42</f>
        <v>#DIV/0!</v>
      </c>
      <c r="G54" s="176" t="e">
        <f>G42/B42</f>
        <v>#DIV/0!</v>
      </c>
      <c r="H54" s="176" t="e">
        <f>H42/B42</f>
        <v>#DIV/0!</v>
      </c>
      <c r="I54" s="178" t="e">
        <f>I42/B42</f>
        <v>#DIV/0!</v>
      </c>
    </row>
    <row r="55" spans="1:9" x14ac:dyDescent="0.25">
      <c r="A55" s="174" t="s">
        <v>15</v>
      </c>
      <c r="B55" s="176" t="e">
        <f t="shared" ref="B55:B62" si="20">B43/$B$51</f>
        <v>#DIV/0!</v>
      </c>
      <c r="C55" s="176" t="e">
        <f t="shared" ref="C55:C63" si="21">C43/B43</f>
        <v>#DIV/0!</v>
      </c>
      <c r="D55" s="176" t="e">
        <f t="shared" ref="D55:D63" si="22">D43/B43</f>
        <v>#DIV/0!</v>
      </c>
      <c r="E55" s="176" t="e">
        <f t="shared" ref="E55:E63" si="23">E43/B43</f>
        <v>#DIV/0!</v>
      </c>
      <c r="F55" s="176" t="e">
        <f t="shared" ref="F55:F63" si="24">F43/B43</f>
        <v>#DIV/0!</v>
      </c>
      <c r="G55" s="176" t="e">
        <f t="shared" ref="G55:G63" si="25">G43/B43</f>
        <v>#DIV/0!</v>
      </c>
      <c r="H55" s="176" t="e">
        <f t="shared" ref="H55:H63" si="26">H43/B43</f>
        <v>#DIV/0!</v>
      </c>
      <c r="I55" s="178" t="e">
        <f t="shared" ref="I55:I63" si="27">I43/B43</f>
        <v>#DIV/0!</v>
      </c>
    </row>
    <row r="56" spans="1:9" x14ac:dyDescent="0.25">
      <c r="A56" s="173" t="s">
        <v>16</v>
      </c>
      <c r="B56" s="176" t="e">
        <f t="shared" si="20"/>
        <v>#DIV/0!</v>
      </c>
      <c r="C56" s="176" t="e">
        <f t="shared" si="21"/>
        <v>#DIV/0!</v>
      </c>
      <c r="D56" s="176" t="e">
        <f t="shared" si="22"/>
        <v>#DIV/0!</v>
      </c>
      <c r="E56" s="176" t="e">
        <f t="shared" si="23"/>
        <v>#DIV/0!</v>
      </c>
      <c r="F56" s="176" t="e">
        <f t="shared" si="24"/>
        <v>#DIV/0!</v>
      </c>
      <c r="G56" s="176" t="e">
        <f t="shared" si="25"/>
        <v>#DIV/0!</v>
      </c>
      <c r="H56" s="176" t="e">
        <f t="shared" si="26"/>
        <v>#DIV/0!</v>
      </c>
      <c r="I56" s="178" t="e">
        <f t="shared" si="27"/>
        <v>#DIV/0!</v>
      </c>
    </row>
    <row r="57" spans="1:9" x14ac:dyDescent="0.25">
      <c r="A57" s="174" t="s">
        <v>17</v>
      </c>
      <c r="B57" s="176" t="e">
        <f t="shared" si="20"/>
        <v>#DIV/0!</v>
      </c>
      <c r="C57" s="176" t="e">
        <f t="shared" si="21"/>
        <v>#DIV/0!</v>
      </c>
      <c r="D57" s="176" t="e">
        <f t="shared" si="22"/>
        <v>#DIV/0!</v>
      </c>
      <c r="E57" s="176" t="e">
        <f t="shared" si="23"/>
        <v>#DIV/0!</v>
      </c>
      <c r="F57" s="176" t="e">
        <f t="shared" si="24"/>
        <v>#DIV/0!</v>
      </c>
      <c r="G57" s="176" t="e">
        <f t="shared" si="25"/>
        <v>#DIV/0!</v>
      </c>
      <c r="H57" s="176" t="e">
        <f t="shared" si="26"/>
        <v>#DIV/0!</v>
      </c>
      <c r="I57" s="178" t="e">
        <f t="shared" si="27"/>
        <v>#DIV/0!</v>
      </c>
    </row>
    <row r="58" spans="1:9" x14ac:dyDescent="0.25">
      <c r="A58" s="173" t="s">
        <v>18</v>
      </c>
      <c r="B58" s="176" t="e">
        <f t="shared" si="20"/>
        <v>#DIV/0!</v>
      </c>
      <c r="C58" s="176" t="e">
        <f t="shared" si="21"/>
        <v>#DIV/0!</v>
      </c>
      <c r="D58" s="176" t="e">
        <f t="shared" si="22"/>
        <v>#DIV/0!</v>
      </c>
      <c r="E58" s="176" t="e">
        <f t="shared" si="23"/>
        <v>#DIV/0!</v>
      </c>
      <c r="F58" s="176" t="e">
        <f t="shared" si="24"/>
        <v>#DIV/0!</v>
      </c>
      <c r="G58" s="176" t="e">
        <f t="shared" si="25"/>
        <v>#DIV/0!</v>
      </c>
      <c r="H58" s="176" t="e">
        <f t="shared" si="26"/>
        <v>#DIV/0!</v>
      </c>
      <c r="I58" s="178" t="e">
        <f t="shared" si="27"/>
        <v>#DIV/0!</v>
      </c>
    </row>
    <row r="59" spans="1:9" x14ac:dyDescent="0.25">
      <c r="A59" s="174" t="s">
        <v>19</v>
      </c>
      <c r="B59" s="176" t="e">
        <f t="shared" si="20"/>
        <v>#DIV/0!</v>
      </c>
      <c r="C59" s="176" t="e">
        <f t="shared" si="21"/>
        <v>#DIV/0!</v>
      </c>
      <c r="D59" s="176" t="e">
        <f t="shared" si="22"/>
        <v>#DIV/0!</v>
      </c>
      <c r="E59" s="176" t="e">
        <f t="shared" si="23"/>
        <v>#DIV/0!</v>
      </c>
      <c r="F59" s="176" t="e">
        <f t="shared" si="24"/>
        <v>#DIV/0!</v>
      </c>
      <c r="G59" s="176" t="e">
        <f t="shared" si="25"/>
        <v>#DIV/0!</v>
      </c>
      <c r="H59" s="176" t="e">
        <f t="shared" si="26"/>
        <v>#DIV/0!</v>
      </c>
      <c r="I59" s="178" t="e">
        <f t="shared" si="27"/>
        <v>#DIV/0!</v>
      </c>
    </row>
    <row r="60" spans="1:9" x14ac:dyDescent="0.25">
      <c r="A60" s="173" t="s">
        <v>20</v>
      </c>
      <c r="B60" s="176" t="e">
        <f t="shared" si="20"/>
        <v>#DIV/0!</v>
      </c>
      <c r="C60" s="176" t="e">
        <f t="shared" si="21"/>
        <v>#DIV/0!</v>
      </c>
      <c r="D60" s="176" t="e">
        <f t="shared" si="22"/>
        <v>#DIV/0!</v>
      </c>
      <c r="E60" s="176" t="e">
        <f t="shared" si="23"/>
        <v>#DIV/0!</v>
      </c>
      <c r="F60" s="176" t="e">
        <f t="shared" si="24"/>
        <v>#DIV/0!</v>
      </c>
      <c r="G60" s="176" t="e">
        <f t="shared" si="25"/>
        <v>#DIV/0!</v>
      </c>
      <c r="H60" s="176" t="e">
        <f t="shared" si="26"/>
        <v>#DIV/0!</v>
      </c>
      <c r="I60" s="178" t="e">
        <f t="shared" si="27"/>
        <v>#DIV/0!</v>
      </c>
    </row>
    <row r="61" spans="1:9" x14ac:dyDescent="0.25">
      <c r="A61" s="174" t="s">
        <v>21</v>
      </c>
      <c r="B61" s="176" t="e">
        <f t="shared" si="20"/>
        <v>#DIV/0!</v>
      </c>
      <c r="C61" s="176" t="e">
        <f t="shared" si="21"/>
        <v>#DIV/0!</v>
      </c>
      <c r="D61" s="176" t="e">
        <f t="shared" si="22"/>
        <v>#DIV/0!</v>
      </c>
      <c r="E61" s="176" t="e">
        <f t="shared" si="23"/>
        <v>#DIV/0!</v>
      </c>
      <c r="F61" s="176" t="e">
        <f t="shared" si="24"/>
        <v>#DIV/0!</v>
      </c>
      <c r="G61" s="176" t="e">
        <f t="shared" si="25"/>
        <v>#DIV/0!</v>
      </c>
      <c r="H61" s="176" t="e">
        <f t="shared" si="26"/>
        <v>#DIV/0!</v>
      </c>
      <c r="I61" s="178" t="e">
        <f t="shared" si="27"/>
        <v>#DIV/0!</v>
      </c>
    </row>
    <row r="62" spans="1:9" x14ac:dyDescent="0.25">
      <c r="A62" s="173" t="s">
        <v>14</v>
      </c>
      <c r="B62" s="176" t="e">
        <f t="shared" si="20"/>
        <v>#DIV/0!</v>
      </c>
      <c r="C62" s="176" t="e">
        <f t="shared" si="21"/>
        <v>#DIV/0!</v>
      </c>
      <c r="D62" s="176" t="e">
        <f t="shared" si="22"/>
        <v>#DIV/0!</v>
      </c>
      <c r="E62" s="176" t="e">
        <f t="shared" si="23"/>
        <v>#DIV/0!</v>
      </c>
      <c r="F62" s="176" t="e">
        <f t="shared" si="24"/>
        <v>#DIV/0!</v>
      </c>
      <c r="G62" s="176" t="e">
        <f t="shared" si="25"/>
        <v>#DIV/0!</v>
      </c>
      <c r="H62" s="176" t="e">
        <f t="shared" si="26"/>
        <v>#DIV/0!</v>
      </c>
      <c r="I62" s="178" t="e">
        <f t="shared" si="27"/>
        <v>#DIV/0!</v>
      </c>
    </row>
    <row r="63" spans="1:9" x14ac:dyDescent="0.25">
      <c r="A63" s="175" t="s">
        <v>7329</v>
      </c>
      <c r="B63" s="177" t="e">
        <f>SUBTOTAL(109,B54:B62)</f>
        <v>#DIV/0!</v>
      </c>
      <c r="C63" s="176" t="e">
        <f t="shared" si="21"/>
        <v>#DIV/0!</v>
      </c>
      <c r="D63" s="176" t="e">
        <f t="shared" si="22"/>
        <v>#DIV/0!</v>
      </c>
      <c r="E63" s="176" t="e">
        <f t="shared" si="23"/>
        <v>#DIV/0!</v>
      </c>
      <c r="F63" s="176" t="e">
        <f t="shared" si="24"/>
        <v>#DIV/0!</v>
      </c>
      <c r="G63" s="176" t="e">
        <f t="shared" si="25"/>
        <v>#DIV/0!</v>
      </c>
      <c r="H63" s="176" t="e">
        <f t="shared" si="26"/>
        <v>#DIV/0!</v>
      </c>
      <c r="I63" s="178" t="e">
        <f t="shared" si="27"/>
        <v>#DIV/0!</v>
      </c>
    </row>
    <row r="65" spans="1:15" ht="30" x14ac:dyDescent="0.25">
      <c r="A65" t="s">
        <v>7325</v>
      </c>
      <c r="B65" t="s">
        <v>7340</v>
      </c>
      <c r="C65" s="7" t="s">
        <v>7347</v>
      </c>
      <c r="D65" t="s">
        <v>7348</v>
      </c>
      <c r="E65" t="s">
        <v>7349</v>
      </c>
      <c r="F65" t="s">
        <v>7350</v>
      </c>
      <c r="G65" t="s">
        <v>7351</v>
      </c>
      <c r="H65" t="s">
        <v>7352</v>
      </c>
      <c r="I65" t="s">
        <v>7353</v>
      </c>
    </row>
    <row r="66" spans="1:15" x14ac:dyDescent="0.25">
      <c r="A66" t="s">
        <v>41</v>
      </c>
      <c r="B66" s="110">
        <f>SUMIFS(Tabla1[Precio Adjudicado],Tabla1[AREA],Tabla30[[#This Row],[Area]],Tabla1[Año],'Reporte Licitaciones'!$B$2,Tabla1[Mes],'Reporte Licitaciones'!$B$1,Tabla1[Responsable],'Reporte Licitaciones'!$B$3,Tabla1[Participa],"SI",Tabla1[Estado],"Adjudicada")</f>
        <v>0</v>
      </c>
      <c r="C66" s="110">
        <f>SUMIFS(Tabla1[Precio Adjudicado],Tabla1[AREA],Tabla30[[#This Row],[Area]],Tabla1[Año],'Reporte Licitaciones'!$B$2,Tabla1[Mes],'Reporte Licitaciones'!$B$1,Tabla1[Responsable],'Reporte Licitaciones'!$B$3,Tabla1[Participa],"SI",Tabla1[Estado],"Adjudicada",Tabla1[EMPRESA],"LINDE GAS CHILE S.A.")</f>
        <v>0</v>
      </c>
      <c r="D66" s="110">
        <f>SUMIFS(Tabla1[Precio Adjudicado],Tabla1[AREA],Tabla30[[#This Row],[Area]],Tabla1[Año],'Reporte Licitaciones'!$B$2,Tabla1[Mes],'Reporte Licitaciones'!$B$1,Tabla1[Responsable],'Reporte Licitaciones'!$B$3,Tabla1[Participa],"SI",Tabla1[Estado],"Adjudicada",Tabla1[EMPRESA],"AIRLIQUIDE")</f>
        <v>0</v>
      </c>
      <c r="E66" s="110">
        <f>SUMIFS(Tabla1[Precio Adjudicado],Tabla1[AREA],Tabla30[[#This Row],[Area]],Tabla1[Año],'Reporte Licitaciones'!$B$2,Tabla1[Mes],'Reporte Licitaciones'!$B$1,Tabla1[Responsable],'Reporte Licitaciones'!$B$3,Tabla1[Participa],"SI",Tabla1[Estado],"Adjudicada",Tabla1[EMPRESA],"INDURA")</f>
        <v>0</v>
      </c>
      <c r="F66" s="110">
        <f>SUMIFS(Tabla1[Precio Adjudicado],Tabla1[AREA],Tabla30[[#This Row],[Area]],Tabla1[Año],'Reporte Licitaciones'!$B$2,Tabla1[Mes],'Reporte Licitaciones'!$B$1,Tabla1[Responsable],'Reporte Licitaciones'!$B$3,Tabla1[Participa],"SI",Tabla1[Estado],"Adjudicada",Tabla1[EMPRESA],"MESSER")</f>
        <v>0</v>
      </c>
      <c r="G66" s="110">
        <f>SUMIFS(Tabla1[Precio Adjudicado],Tabla1[AREA],Tabla30[[#This Row],[Area]],Tabla1[Año],'Reporte Licitaciones'!$B$2,Tabla1[Mes],'Reporte Licitaciones'!$B$1,Tabla1[Responsable],'Reporte Licitaciones'!$B$3,Tabla1[Participa],"SI",Tabla1[Estado],"Adjudicada",Tabla1[EMPRESA],"INTERNATIONAL")</f>
        <v>0</v>
      </c>
      <c r="H66" s="110">
        <f>SUMIFS(Tabla1[Precio Adjudicado],Tabla1[AREA],Tabla30[[#This Row],[Area]],Tabla1[Año],'Reporte Licitaciones'!$B$2,Tabla1[Mes],'Reporte Licitaciones'!$B$1,Tabla1[Responsable],'Reporte Licitaciones'!$B$3,Tabla1[Participa],"SI",Tabla1[Estado],"Adjudicada",Tabla1[EMPRESA],"RESPILIFE")</f>
        <v>0</v>
      </c>
      <c r="I66" s="110">
        <f>SUMIFS(Tabla1[Precio Adjudicado],Tabla1[AREA],Tabla30[[#This Row],[Area]],Tabla1[Año],'Reporte Licitaciones'!$B$2,Tabla1[Mes],'Reporte Licitaciones'!$B$1,Tabla1[Responsable],'Reporte Licitaciones'!$B$3,Tabla1[Participa],"SI",Tabla1[Estado],"Adjudicada",Tabla1[EMPRESA],"OTRO")</f>
        <v>0</v>
      </c>
    </row>
    <row r="67" spans="1:15" x14ac:dyDescent="0.25">
      <c r="A67" t="s">
        <v>15</v>
      </c>
      <c r="B67" s="110">
        <f>SUMIFS(Tabla1[Precio Adjudicado],Tabla1[AREA],Tabla30[[#This Row],[Area]],Tabla1[Año],'Reporte Licitaciones'!$B$2,Tabla1[Mes],'Reporte Licitaciones'!$B$1,Tabla1[Responsable],'Reporte Licitaciones'!$B$3,Tabla1[Participa],"SI",Tabla1[Estado],"Adjudicada")</f>
        <v>0</v>
      </c>
      <c r="C67" s="110">
        <f>SUMIFS(Tabla1[Precio Adjudicado],Tabla1[AREA],Tabla30[[#This Row],[Area]],Tabla1[Año],'Reporte Licitaciones'!$B$2,Tabla1[Mes],'Reporte Licitaciones'!$B$1,Tabla1[Responsable],'Reporte Licitaciones'!$B$3,Tabla1[Participa],"SI",Tabla1[Estado],"Adjudicada",Tabla1[EMPRESA],"LINDE GAS CHILE S.A.")</f>
        <v>0</v>
      </c>
      <c r="D67" s="110">
        <f>SUMIFS(Tabla1[Precio Adjudicado],Tabla1[AREA],Tabla30[[#This Row],[Area]],Tabla1[Año],'Reporte Licitaciones'!$B$2,Tabla1[Mes],'Reporte Licitaciones'!$B$1,Tabla1[Responsable],'Reporte Licitaciones'!$B$3,Tabla1[Participa],"SI",Tabla1[Estado],"Adjudicada",Tabla1[EMPRESA],"AIRLIQUIDE")</f>
        <v>0</v>
      </c>
      <c r="E67" s="110">
        <f>SUMIFS(Tabla1[Precio Adjudicado],Tabla1[AREA],Tabla30[[#This Row],[Area]],Tabla1[Año],'Reporte Licitaciones'!$B$2,Tabla1[Mes],'Reporte Licitaciones'!$B$1,Tabla1[Responsable],'Reporte Licitaciones'!$B$3,Tabla1[Participa],"SI",Tabla1[Estado],"Adjudicada",Tabla1[EMPRESA],"INDURA")</f>
        <v>0</v>
      </c>
      <c r="F67" s="110">
        <f>SUMIFS(Tabla1[Precio Adjudicado],Tabla1[AREA],Tabla30[[#This Row],[Area]],Tabla1[Año],'Reporte Licitaciones'!$B$2,Tabla1[Mes],'Reporte Licitaciones'!$B$1,Tabla1[Responsable],'Reporte Licitaciones'!$B$3,Tabla1[Participa],"SI",Tabla1[Estado],"Adjudicada",Tabla1[EMPRESA],"MESSER")</f>
        <v>0</v>
      </c>
      <c r="G67" s="110">
        <f>SUMIFS(Tabla1[Precio Adjudicado],Tabla1[AREA],Tabla30[[#This Row],[Area]],Tabla1[Año],'Reporte Licitaciones'!$B$2,Tabla1[Mes],'Reporte Licitaciones'!$B$1,Tabla1[Responsable],'Reporte Licitaciones'!$B$3,Tabla1[Participa],"SI",Tabla1[Estado],"Adjudicada",Tabla1[EMPRESA],"INTERNATIONAL")</f>
        <v>0</v>
      </c>
      <c r="H67" s="110">
        <f>SUMIFS(Tabla1[Precio Adjudicado],Tabla1[AREA],Tabla30[[#This Row],[Area]],Tabla1[Año],'Reporte Licitaciones'!$B$2,Tabla1[Mes],'Reporte Licitaciones'!$B$1,Tabla1[Responsable],'Reporte Licitaciones'!$B$3,Tabla1[Participa],"SI",Tabla1[Estado],"Adjudicada",Tabla1[EMPRESA],"RESPILIFE")</f>
        <v>0</v>
      </c>
      <c r="I67" s="110">
        <f>SUMIFS(Tabla1[Precio Adjudicado],Tabla1[AREA],Tabla30[[#This Row],[Area]],Tabla1[Año],'Reporte Licitaciones'!$B$2,Tabla1[Mes],'Reporte Licitaciones'!$B$1,Tabla1[Responsable],'Reporte Licitaciones'!$B$3,Tabla1[Participa],"SI",Tabla1[Estado],"Adjudicada",Tabla1[EMPRESA],"OTRO")</f>
        <v>0</v>
      </c>
    </row>
    <row r="68" spans="1:15" x14ac:dyDescent="0.25">
      <c r="A68" t="s">
        <v>16</v>
      </c>
      <c r="B68" s="110">
        <f>SUMIFS(Tabla1[Precio Adjudicado],Tabla1[AREA],Tabla30[[#This Row],[Area]],Tabla1[Año],'Reporte Licitaciones'!$B$2,Tabla1[Mes],'Reporte Licitaciones'!$B$1,Tabla1[Responsable],'Reporte Licitaciones'!$B$3,Tabla1[Participa],"SI",Tabla1[Estado],"Adjudicada")</f>
        <v>0</v>
      </c>
      <c r="C68" s="110">
        <f>SUMIFS(Tabla1[Precio Adjudicado],Tabla1[AREA],Tabla30[[#This Row],[Area]],Tabla1[Año],'Reporte Licitaciones'!$B$2,Tabla1[Mes],'Reporte Licitaciones'!$B$1,Tabla1[Responsable],'Reporte Licitaciones'!$B$3,Tabla1[Participa],"SI",Tabla1[Estado],"Adjudicada",Tabla1[EMPRESA],"LINDE GAS CHILE S.A.")</f>
        <v>0</v>
      </c>
      <c r="D68" s="110">
        <f>SUMIFS(Tabla1[Precio Adjudicado],Tabla1[AREA],Tabla30[[#This Row],[Area]],Tabla1[Año],'Reporte Licitaciones'!$B$2,Tabla1[Mes],'Reporte Licitaciones'!$B$1,Tabla1[Responsable],'Reporte Licitaciones'!$B$3,Tabla1[Participa],"SI",Tabla1[Estado],"Adjudicada",Tabla1[EMPRESA],"AIRLIQUIDE")</f>
        <v>0</v>
      </c>
      <c r="E68" s="110">
        <f>SUMIFS(Tabla1[Precio Adjudicado],Tabla1[AREA],Tabla30[[#This Row],[Area]],Tabla1[Año],'Reporte Licitaciones'!$B$2,Tabla1[Mes],'Reporte Licitaciones'!$B$1,Tabla1[Responsable],'Reporte Licitaciones'!$B$3,Tabla1[Participa],"SI",Tabla1[Estado],"Adjudicada",Tabla1[EMPRESA],"INDURA")</f>
        <v>0</v>
      </c>
      <c r="F68" s="110">
        <f>SUMIFS(Tabla1[Precio Adjudicado],Tabla1[AREA],Tabla30[[#This Row],[Area]],Tabla1[Año],'Reporte Licitaciones'!$B$2,Tabla1[Mes],'Reporte Licitaciones'!$B$1,Tabla1[Responsable],'Reporte Licitaciones'!$B$3,Tabla1[Participa],"SI",Tabla1[Estado],"Adjudicada",Tabla1[EMPRESA],"MESSER")</f>
        <v>0</v>
      </c>
      <c r="G68" s="110">
        <f>SUMIFS(Tabla1[Precio Adjudicado],Tabla1[AREA],Tabla30[[#This Row],[Area]],Tabla1[Año],'Reporte Licitaciones'!$B$2,Tabla1[Mes],'Reporte Licitaciones'!$B$1,Tabla1[Responsable],'Reporte Licitaciones'!$B$3,Tabla1[Participa],"SI",Tabla1[Estado],"Adjudicada",Tabla1[EMPRESA],"INTERNATIONAL")</f>
        <v>0</v>
      </c>
      <c r="H68" s="110">
        <f>SUMIFS(Tabla1[Precio Adjudicado],Tabla1[AREA],Tabla30[[#This Row],[Area]],Tabla1[Año],'Reporte Licitaciones'!$B$2,Tabla1[Mes],'Reporte Licitaciones'!$B$1,Tabla1[Responsable],'Reporte Licitaciones'!$B$3,Tabla1[Participa],"SI",Tabla1[Estado],"Adjudicada",Tabla1[EMPRESA],"RESPILIFE")</f>
        <v>0</v>
      </c>
      <c r="I68" s="110">
        <f>SUMIFS(Tabla1[Precio Adjudicado],Tabla1[AREA],Tabla30[[#This Row],[Area]],Tabla1[Año],'Reporte Licitaciones'!$B$2,Tabla1[Mes],'Reporte Licitaciones'!$B$1,Tabla1[Responsable],'Reporte Licitaciones'!$B$3,Tabla1[Participa],"SI",Tabla1[Estado],"Adjudicada",Tabla1[EMPRESA],"OTRO")</f>
        <v>0</v>
      </c>
    </row>
    <row r="69" spans="1:15" x14ac:dyDescent="0.25">
      <c r="A69" t="s">
        <v>17</v>
      </c>
      <c r="B69" s="110">
        <f>SUMIFS(Tabla1[Precio Adjudicado],Tabla1[AREA],Tabla30[[#This Row],[Area]],Tabla1[Año],'Reporte Licitaciones'!$B$2,Tabla1[Mes],'Reporte Licitaciones'!$B$1,Tabla1[Responsable],'Reporte Licitaciones'!$B$3,Tabla1[Participa],"SI",Tabla1[Estado],"Adjudicada")</f>
        <v>0</v>
      </c>
      <c r="C69" s="110">
        <f>SUMIFS(Tabla1[Precio Adjudicado],Tabla1[AREA],Tabla30[[#This Row],[Area]],Tabla1[Año],'Reporte Licitaciones'!$B$2,Tabla1[Mes],'Reporte Licitaciones'!$B$1,Tabla1[Responsable],'Reporte Licitaciones'!$B$3,Tabla1[Participa],"SI",Tabla1[Estado],"Adjudicada",Tabla1[EMPRESA],"LINDE GAS CHILE S.A.")</f>
        <v>0</v>
      </c>
      <c r="D69" s="110">
        <f>SUMIFS(Tabla1[Precio Adjudicado],Tabla1[AREA],Tabla30[[#This Row],[Area]],Tabla1[Año],'Reporte Licitaciones'!$B$2,Tabla1[Mes],'Reporte Licitaciones'!$B$1,Tabla1[Responsable],'Reporte Licitaciones'!$B$3,Tabla1[Participa],"SI",Tabla1[Estado],"Adjudicada",Tabla1[EMPRESA],"AIRLIQUIDE")</f>
        <v>0</v>
      </c>
      <c r="E69" s="110">
        <f>SUMIFS(Tabla1[Precio Adjudicado],Tabla1[AREA],Tabla30[[#This Row],[Area]],Tabla1[Año],'Reporte Licitaciones'!$B$2,Tabla1[Mes],'Reporte Licitaciones'!$B$1,Tabla1[Responsable],'Reporte Licitaciones'!$B$3,Tabla1[Participa],"SI",Tabla1[Estado],"Adjudicada",Tabla1[EMPRESA],"INDURA")</f>
        <v>0</v>
      </c>
      <c r="F69" s="110">
        <f>SUMIFS(Tabla1[Precio Adjudicado],Tabla1[AREA],Tabla30[[#This Row],[Area]],Tabla1[Año],'Reporte Licitaciones'!$B$2,Tabla1[Mes],'Reporte Licitaciones'!$B$1,Tabla1[Responsable],'Reporte Licitaciones'!$B$3,Tabla1[Participa],"SI",Tabla1[Estado],"Adjudicada",Tabla1[EMPRESA],"MESSER")</f>
        <v>0</v>
      </c>
      <c r="G69" s="110">
        <f>SUMIFS(Tabla1[Precio Adjudicado],Tabla1[AREA],Tabla30[[#This Row],[Area]],Tabla1[Año],'Reporte Licitaciones'!$B$2,Tabla1[Mes],'Reporte Licitaciones'!$B$1,Tabla1[Responsable],'Reporte Licitaciones'!$B$3,Tabla1[Participa],"SI",Tabla1[Estado],"Adjudicada",Tabla1[EMPRESA],"INTERNATIONAL")</f>
        <v>0</v>
      </c>
      <c r="H69" s="110">
        <f>SUMIFS(Tabla1[Precio Adjudicado],Tabla1[AREA],Tabla30[[#This Row],[Area]],Tabla1[Año],'Reporte Licitaciones'!$B$2,Tabla1[Mes],'Reporte Licitaciones'!$B$1,Tabla1[Responsable],'Reporte Licitaciones'!$B$3,Tabla1[Participa],"SI",Tabla1[Estado],"Adjudicada",Tabla1[EMPRESA],"RESPILIFE")</f>
        <v>0</v>
      </c>
      <c r="I69" s="110">
        <f>SUMIFS(Tabla1[Precio Adjudicado],Tabla1[AREA],Tabla30[[#This Row],[Area]],Tabla1[Año],'Reporte Licitaciones'!$B$2,Tabla1[Mes],'Reporte Licitaciones'!$B$1,Tabla1[Responsable],'Reporte Licitaciones'!$B$3,Tabla1[Participa],"SI",Tabla1[Estado],"Adjudicada",Tabla1[EMPRESA],"OTRO")</f>
        <v>0</v>
      </c>
    </row>
    <row r="70" spans="1:15" x14ac:dyDescent="0.25">
      <c r="A70" t="s">
        <v>18</v>
      </c>
      <c r="B70" s="110">
        <f>SUMIFS(Tabla1[Precio Adjudicado],Tabla1[AREA],Tabla30[[#This Row],[Area]],Tabla1[Año],'Reporte Licitaciones'!$B$2,Tabla1[Mes],'Reporte Licitaciones'!$B$1,Tabla1[Responsable],'Reporte Licitaciones'!$B$3,Tabla1[Participa],"SI",Tabla1[Estado],"Adjudicada")</f>
        <v>0</v>
      </c>
      <c r="C70" s="110">
        <f>SUMIFS(Tabla1[Precio Adjudicado],Tabla1[AREA],Tabla30[[#This Row],[Area]],Tabla1[Año],'Reporte Licitaciones'!$B$2,Tabla1[Mes],'Reporte Licitaciones'!$B$1,Tabla1[Responsable],'Reporte Licitaciones'!$B$3,Tabla1[Participa],"SI",Tabla1[Estado],"Adjudicada",Tabla1[EMPRESA],"LINDE GAS CHILE S.A.")</f>
        <v>0</v>
      </c>
      <c r="D70" s="110">
        <f>SUMIFS(Tabla1[Precio Adjudicado],Tabla1[AREA],Tabla30[[#This Row],[Area]],Tabla1[Año],'Reporte Licitaciones'!$B$2,Tabla1[Mes],'Reporte Licitaciones'!$B$1,Tabla1[Responsable],'Reporte Licitaciones'!$B$3,Tabla1[Participa],"SI",Tabla1[Estado],"Adjudicada",Tabla1[EMPRESA],"AIRLIQUIDE")</f>
        <v>0</v>
      </c>
      <c r="E70" s="110">
        <f>SUMIFS(Tabla1[Precio Adjudicado],Tabla1[AREA],Tabla30[[#This Row],[Area]],Tabla1[Año],'Reporte Licitaciones'!$B$2,Tabla1[Mes],'Reporte Licitaciones'!$B$1,Tabla1[Responsable],'Reporte Licitaciones'!$B$3,Tabla1[Participa],"SI",Tabla1[Estado],"Adjudicada",Tabla1[EMPRESA],"INDURA")</f>
        <v>0</v>
      </c>
      <c r="F70" s="110">
        <f>SUMIFS(Tabla1[Precio Adjudicado],Tabla1[AREA],Tabla30[[#This Row],[Area]],Tabla1[Año],'Reporte Licitaciones'!$B$2,Tabla1[Mes],'Reporte Licitaciones'!$B$1,Tabla1[Responsable],'Reporte Licitaciones'!$B$3,Tabla1[Participa],"SI",Tabla1[Estado],"Adjudicada",Tabla1[EMPRESA],"MESSER")</f>
        <v>0</v>
      </c>
      <c r="G70" s="110">
        <f>SUMIFS(Tabla1[Precio Adjudicado],Tabla1[AREA],Tabla30[[#This Row],[Area]],Tabla1[Año],'Reporte Licitaciones'!$B$2,Tabla1[Mes],'Reporte Licitaciones'!$B$1,Tabla1[Responsable],'Reporte Licitaciones'!$B$3,Tabla1[Participa],"SI",Tabla1[Estado],"Adjudicada",Tabla1[EMPRESA],"INTERNATIONAL")</f>
        <v>0</v>
      </c>
      <c r="H70" s="110">
        <f>SUMIFS(Tabla1[Precio Adjudicado],Tabla1[AREA],Tabla30[[#This Row],[Area]],Tabla1[Año],'Reporte Licitaciones'!$B$2,Tabla1[Mes],'Reporte Licitaciones'!$B$1,Tabla1[Responsable],'Reporte Licitaciones'!$B$3,Tabla1[Participa],"SI",Tabla1[Estado],"Adjudicada",Tabla1[EMPRESA],"RESPILIFE")</f>
        <v>0</v>
      </c>
      <c r="I70" s="110">
        <f>SUMIFS(Tabla1[Precio Adjudicado],Tabla1[AREA],Tabla30[[#This Row],[Area]],Tabla1[Año],'Reporte Licitaciones'!$B$2,Tabla1[Mes],'Reporte Licitaciones'!$B$1,Tabla1[Responsable],'Reporte Licitaciones'!$B$3,Tabla1[Participa],"SI",Tabla1[Estado],"Adjudicada",Tabla1[EMPRESA],"OTRO")</f>
        <v>0</v>
      </c>
    </row>
    <row r="71" spans="1:15" x14ac:dyDescent="0.25">
      <c r="A71" t="s">
        <v>19</v>
      </c>
      <c r="B71" s="110">
        <f>SUMIFS(Tabla1[Precio Adjudicado],Tabla1[AREA],Tabla30[[#This Row],[Area]],Tabla1[Año],'Reporte Licitaciones'!$B$2,Tabla1[Mes],'Reporte Licitaciones'!$B$1,Tabla1[Responsable],'Reporte Licitaciones'!$B$3,Tabla1[Participa],"SI",Tabla1[Estado],"Adjudicada")</f>
        <v>0</v>
      </c>
      <c r="C71" s="110">
        <f>SUMIFS(Tabla1[Precio Adjudicado],Tabla1[AREA],Tabla30[[#This Row],[Area]],Tabla1[Año],'Reporte Licitaciones'!$B$2,Tabla1[Mes],'Reporte Licitaciones'!$B$1,Tabla1[Responsable],'Reporte Licitaciones'!$B$3,Tabla1[Participa],"SI",Tabla1[Estado],"Adjudicada",Tabla1[EMPRESA],"LINDE GAS CHILE S.A.")</f>
        <v>0</v>
      </c>
      <c r="D71" s="110">
        <f>SUMIFS(Tabla1[Precio Adjudicado],Tabla1[AREA],Tabla30[[#This Row],[Area]],Tabla1[Año],'Reporte Licitaciones'!$B$2,Tabla1[Mes],'Reporte Licitaciones'!$B$1,Tabla1[Responsable],'Reporte Licitaciones'!$B$3,Tabla1[Participa],"SI",Tabla1[Estado],"Adjudicada",Tabla1[EMPRESA],"AIRLIQUIDE")</f>
        <v>0</v>
      </c>
      <c r="E71" s="110">
        <f>SUMIFS(Tabla1[Precio Adjudicado],Tabla1[AREA],Tabla30[[#This Row],[Area]],Tabla1[Año],'Reporte Licitaciones'!$B$2,Tabla1[Mes],'Reporte Licitaciones'!$B$1,Tabla1[Responsable],'Reporte Licitaciones'!$B$3,Tabla1[Participa],"SI",Tabla1[Estado],"Adjudicada",Tabla1[EMPRESA],"INDURA")</f>
        <v>0</v>
      </c>
      <c r="F71" s="110">
        <f>SUMIFS(Tabla1[Precio Adjudicado],Tabla1[AREA],Tabla30[[#This Row],[Area]],Tabla1[Año],'Reporte Licitaciones'!$B$2,Tabla1[Mes],'Reporte Licitaciones'!$B$1,Tabla1[Responsable],'Reporte Licitaciones'!$B$3,Tabla1[Participa],"SI",Tabla1[Estado],"Adjudicada",Tabla1[EMPRESA],"MESSER")</f>
        <v>0</v>
      </c>
      <c r="G71" s="110">
        <f>SUMIFS(Tabla1[Precio Adjudicado],Tabla1[AREA],Tabla30[[#This Row],[Area]],Tabla1[Año],'Reporte Licitaciones'!$B$2,Tabla1[Mes],'Reporte Licitaciones'!$B$1,Tabla1[Responsable],'Reporte Licitaciones'!$B$3,Tabla1[Participa],"SI",Tabla1[Estado],"Adjudicada",Tabla1[EMPRESA],"INTERNATIONAL")</f>
        <v>0</v>
      </c>
      <c r="H71" s="110">
        <f>SUMIFS(Tabla1[Precio Adjudicado],Tabla1[AREA],Tabla30[[#This Row],[Area]],Tabla1[Año],'Reporte Licitaciones'!$B$2,Tabla1[Mes],'Reporte Licitaciones'!$B$1,Tabla1[Responsable],'Reporte Licitaciones'!$B$3,Tabla1[Participa],"SI",Tabla1[Estado],"Adjudicada",Tabla1[EMPRESA],"RESPILIFE")</f>
        <v>0</v>
      </c>
      <c r="I71" s="110">
        <f>SUMIFS(Tabla1[Precio Adjudicado],Tabla1[AREA],Tabla30[[#This Row],[Area]],Tabla1[Año],'Reporte Licitaciones'!$B$2,Tabla1[Mes],'Reporte Licitaciones'!$B$1,Tabla1[Responsable],'Reporte Licitaciones'!$B$3,Tabla1[Participa],"SI",Tabla1[Estado],"Adjudicada",Tabla1[EMPRESA],"OTRO")</f>
        <v>0</v>
      </c>
    </row>
    <row r="72" spans="1:15" x14ac:dyDescent="0.25">
      <c r="A72" t="s">
        <v>20</v>
      </c>
      <c r="B72" s="110">
        <f>SUMIFS(Tabla1[Precio Adjudicado],Tabla1[AREA],Tabla30[[#This Row],[Area]],Tabla1[Año],'Reporte Licitaciones'!$B$2,Tabla1[Mes],'Reporte Licitaciones'!$B$1,Tabla1[Responsable],'Reporte Licitaciones'!$B$3,Tabla1[Participa],"SI",Tabla1[Estado],"Adjudicada")</f>
        <v>0</v>
      </c>
      <c r="C72" s="110">
        <f>SUMIFS(Tabla1[Precio Adjudicado],Tabla1[AREA],Tabla30[[#This Row],[Area]],Tabla1[Año],'Reporte Licitaciones'!$B$2,Tabla1[Mes],'Reporte Licitaciones'!$B$1,Tabla1[Responsable],'Reporte Licitaciones'!$B$3,Tabla1[Participa],"SI",Tabla1[Estado],"Adjudicada",Tabla1[EMPRESA],"LINDE GAS CHILE S.A.")</f>
        <v>0</v>
      </c>
      <c r="D72" s="110">
        <f>SUMIFS(Tabla1[Precio Adjudicado],Tabla1[AREA],Tabla30[[#This Row],[Area]],Tabla1[Año],'Reporte Licitaciones'!$B$2,Tabla1[Mes],'Reporte Licitaciones'!$B$1,Tabla1[Responsable],'Reporte Licitaciones'!$B$3,Tabla1[Participa],"SI",Tabla1[Estado],"Adjudicada",Tabla1[EMPRESA],"AIRLIQUIDE")</f>
        <v>0</v>
      </c>
      <c r="E72" s="110">
        <f>SUMIFS(Tabla1[Precio Adjudicado],Tabla1[AREA],Tabla30[[#This Row],[Area]],Tabla1[Año],'Reporte Licitaciones'!$B$2,Tabla1[Mes],'Reporte Licitaciones'!$B$1,Tabla1[Responsable],'Reporte Licitaciones'!$B$3,Tabla1[Participa],"SI",Tabla1[Estado],"Adjudicada",Tabla1[EMPRESA],"INDURA")</f>
        <v>0</v>
      </c>
      <c r="F72" s="110">
        <f>SUMIFS(Tabla1[Precio Adjudicado],Tabla1[AREA],Tabla30[[#This Row],[Area]],Tabla1[Año],'Reporte Licitaciones'!$B$2,Tabla1[Mes],'Reporte Licitaciones'!$B$1,Tabla1[Responsable],'Reporte Licitaciones'!$B$3,Tabla1[Participa],"SI",Tabla1[Estado],"Adjudicada",Tabla1[EMPRESA],"MESSER")</f>
        <v>0</v>
      </c>
      <c r="G72" s="110">
        <f>SUMIFS(Tabla1[Precio Adjudicado],Tabla1[AREA],Tabla30[[#This Row],[Area]],Tabla1[Año],'Reporte Licitaciones'!$B$2,Tabla1[Mes],'Reporte Licitaciones'!$B$1,Tabla1[Responsable],'Reporte Licitaciones'!$B$3,Tabla1[Participa],"SI",Tabla1[Estado],"Adjudicada",Tabla1[EMPRESA],"INTERNATIONAL")</f>
        <v>0</v>
      </c>
      <c r="H72" s="110">
        <f>SUMIFS(Tabla1[Precio Adjudicado],Tabla1[AREA],Tabla30[[#This Row],[Area]],Tabla1[Año],'Reporte Licitaciones'!$B$2,Tabla1[Mes],'Reporte Licitaciones'!$B$1,Tabla1[Responsable],'Reporte Licitaciones'!$B$3,Tabla1[Participa],"SI",Tabla1[Estado],"Adjudicada",Tabla1[EMPRESA],"RESPILIFE")</f>
        <v>0</v>
      </c>
      <c r="I72" s="110">
        <f>SUMIFS(Tabla1[Precio Adjudicado],Tabla1[AREA],Tabla30[[#This Row],[Area]],Tabla1[Año],'Reporte Licitaciones'!$B$2,Tabla1[Mes],'Reporte Licitaciones'!$B$1,Tabla1[Responsable],'Reporte Licitaciones'!$B$3,Tabla1[Participa],"SI",Tabla1[Estado],"Adjudicada",Tabla1[EMPRESA],"OTRO")</f>
        <v>0</v>
      </c>
    </row>
    <row r="73" spans="1:15" x14ac:dyDescent="0.25">
      <c r="A73" t="s">
        <v>21</v>
      </c>
      <c r="B73" s="110">
        <f>SUMIFS(Tabla1[Precio Adjudicado],Tabla1[AREA],Tabla30[[#This Row],[Area]],Tabla1[Año],'Reporte Licitaciones'!$B$2,Tabla1[Mes],'Reporte Licitaciones'!$B$1,Tabla1[Responsable],'Reporte Licitaciones'!$B$3,Tabla1[Participa],"SI",Tabla1[Estado],"Adjudicada")</f>
        <v>0</v>
      </c>
      <c r="C73" s="110">
        <f>SUMIFS(Tabla1[Precio Adjudicado],Tabla1[AREA],Tabla30[[#This Row],[Area]],Tabla1[Año],'Reporte Licitaciones'!$B$2,Tabla1[Mes],'Reporte Licitaciones'!$B$1,Tabla1[Responsable],'Reporte Licitaciones'!$B$3,Tabla1[Participa],"SI",Tabla1[Estado],"Adjudicada",Tabla1[EMPRESA],"LINDE GAS CHILE S.A.")</f>
        <v>0</v>
      </c>
      <c r="D73" s="110">
        <f>SUMIFS(Tabla1[Precio Adjudicado],Tabla1[AREA],Tabla30[[#This Row],[Area]],Tabla1[Año],'Reporte Licitaciones'!$B$2,Tabla1[Mes],'Reporte Licitaciones'!$B$1,Tabla1[Responsable],'Reporte Licitaciones'!$B$3,Tabla1[Participa],"SI",Tabla1[Estado],"Adjudicada",Tabla1[EMPRESA],"AIRLIQUIDE")</f>
        <v>0</v>
      </c>
      <c r="E73" s="110">
        <f>SUMIFS(Tabla1[Precio Adjudicado],Tabla1[AREA],Tabla30[[#This Row],[Area]],Tabla1[Año],'Reporte Licitaciones'!$B$2,Tabla1[Mes],'Reporte Licitaciones'!$B$1,Tabla1[Responsable],'Reporte Licitaciones'!$B$3,Tabla1[Participa],"SI",Tabla1[Estado],"Adjudicada",Tabla1[EMPRESA],"INDURA")</f>
        <v>0</v>
      </c>
      <c r="F73" s="110">
        <f>SUMIFS(Tabla1[Precio Adjudicado],Tabla1[AREA],Tabla30[[#This Row],[Area]],Tabla1[Año],'Reporte Licitaciones'!$B$2,Tabla1[Mes],'Reporte Licitaciones'!$B$1,Tabla1[Responsable],'Reporte Licitaciones'!$B$3,Tabla1[Participa],"SI",Tabla1[Estado],"Adjudicada",Tabla1[EMPRESA],"MESSER")</f>
        <v>0</v>
      </c>
      <c r="G73" s="110">
        <f>SUMIFS(Tabla1[Precio Adjudicado],Tabla1[AREA],Tabla30[[#This Row],[Area]],Tabla1[Año],'Reporte Licitaciones'!$B$2,Tabla1[Mes],'Reporte Licitaciones'!$B$1,Tabla1[Responsable],'Reporte Licitaciones'!$B$3,Tabla1[Participa],"SI",Tabla1[Estado],"Adjudicada",Tabla1[EMPRESA],"INTERNATIONAL")</f>
        <v>0</v>
      </c>
      <c r="H73" s="110">
        <f>SUMIFS(Tabla1[Precio Adjudicado],Tabla1[AREA],Tabla30[[#This Row],[Area]],Tabla1[Año],'Reporte Licitaciones'!$B$2,Tabla1[Mes],'Reporte Licitaciones'!$B$1,Tabla1[Responsable],'Reporte Licitaciones'!$B$3,Tabla1[Participa],"SI",Tabla1[Estado],"Adjudicada",Tabla1[EMPRESA],"RESPILIFE")</f>
        <v>0</v>
      </c>
      <c r="I73" s="110">
        <f>SUMIFS(Tabla1[Precio Adjudicado],Tabla1[AREA],Tabla30[[#This Row],[Area]],Tabla1[Año],'Reporte Licitaciones'!$B$2,Tabla1[Mes],'Reporte Licitaciones'!$B$1,Tabla1[Responsable],'Reporte Licitaciones'!$B$3,Tabla1[Participa],"SI",Tabla1[Estado],"Adjudicada",Tabla1[EMPRESA],"OTRO")</f>
        <v>0</v>
      </c>
    </row>
    <row r="74" spans="1:15" x14ac:dyDescent="0.25">
      <c r="A74" t="s">
        <v>14</v>
      </c>
      <c r="B74" s="110">
        <f>SUMIFS(Tabla1[Precio Adjudicado],Tabla1[AREA],Tabla30[[#This Row],[Area]],Tabla1[Año],'Reporte Licitaciones'!$B$2,Tabla1[Mes],'Reporte Licitaciones'!$B$1,Tabla1[Responsable],'Reporte Licitaciones'!$B$3,Tabla1[Participa],"SI",Tabla1[Estado],"Adjudicada")</f>
        <v>0</v>
      </c>
      <c r="C74" s="110">
        <f>SUMIFS(Tabla1[Precio Adjudicado],Tabla1[AREA],Tabla30[[#This Row],[Area]],Tabla1[Año],'Reporte Licitaciones'!$B$2,Tabla1[Mes],'Reporte Licitaciones'!$B$1,Tabla1[Responsable],'Reporte Licitaciones'!$B$3,Tabla1[Participa],"SI",Tabla1[Estado],"Adjudicada",Tabla1[EMPRESA],"LINDE GAS CHILE S.A.")</f>
        <v>0</v>
      </c>
      <c r="D74" s="110">
        <f>SUMIFS(Tabla1[Precio Adjudicado],Tabla1[AREA],Tabla30[[#This Row],[Area]],Tabla1[Año],'Reporte Licitaciones'!$B$2,Tabla1[Mes],'Reporte Licitaciones'!$B$1,Tabla1[Responsable],'Reporte Licitaciones'!$B$3,Tabla1[Participa],"SI",Tabla1[Estado],"Adjudicada",Tabla1[EMPRESA],"AIRLIQUIDE")</f>
        <v>0</v>
      </c>
      <c r="E74" s="110">
        <f>SUMIFS(Tabla1[Precio Adjudicado],Tabla1[AREA],Tabla30[[#This Row],[Area]],Tabla1[Año],'Reporte Licitaciones'!$B$2,Tabla1[Mes],'Reporte Licitaciones'!$B$1,Tabla1[Responsable],'Reporte Licitaciones'!$B$3,Tabla1[Participa],"SI",Tabla1[Estado],"Adjudicada",Tabla1[EMPRESA],"INDURA")</f>
        <v>0</v>
      </c>
      <c r="F74" s="110">
        <f>SUMIFS(Tabla1[Precio Adjudicado],Tabla1[AREA],Tabla30[[#This Row],[Area]],Tabla1[Año],'Reporte Licitaciones'!$B$2,Tabla1[Mes],'Reporte Licitaciones'!$B$1,Tabla1[Responsable],'Reporte Licitaciones'!$B$3,Tabla1[Participa],"SI",Tabla1[Estado],"Adjudicada",Tabla1[EMPRESA],"MESSER")</f>
        <v>0</v>
      </c>
      <c r="G74" s="110">
        <f>SUMIFS(Tabla1[Precio Adjudicado],Tabla1[AREA],Tabla30[[#This Row],[Area]],Tabla1[Año],'Reporte Licitaciones'!$B$2,Tabla1[Mes],'Reporte Licitaciones'!$B$1,Tabla1[Responsable],'Reporte Licitaciones'!$B$3,Tabla1[Participa],"SI",Tabla1[Estado],"Adjudicada",Tabla1[EMPRESA],"INTERNATIONAL")</f>
        <v>0</v>
      </c>
      <c r="H74" s="110">
        <f>SUMIFS(Tabla1[Precio Adjudicado],Tabla1[AREA],Tabla30[[#This Row],[Area]],Tabla1[Año],'Reporte Licitaciones'!$B$2,Tabla1[Mes],'Reporte Licitaciones'!$B$1,Tabla1[Responsable],'Reporte Licitaciones'!$B$3,Tabla1[Participa],"SI",Tabla1[Estado],"Adjudicada",Tabla1[EMPRESA],"RESPILIFE")</f>
        <v>0</v>
      </c>
      <c r="I74" s="110">
        <f>SUMIFS(Tabla1[Precio Adjudicado],Tabla1[AREA],Tabla30[[#This Row],[Area]],Tabla1[Año],'Reporte Licitaciones'!$B$2,Tabla1[Mes],'Reporte Licitaciones'!$B$1,Tabla1[Responsable],'Reporte Licitaciones'!$B$3,Tabla1[Participa],"SI",Tabla1[Estado],"Adjudicada",Tabla1[EMPRESA],"OTRO")</f>
        <v>0</v>
      </c>
    </row>
    <row r="75" spans="1:15" x14ac:dyDescent="0.25">
      <c r="A75" t="s">
        <v>7329</v>
      </c>
      <c r="B75" s="110">
        <f>SUBTOTAL(109,B66:B74)</f>
        <v>0</v>
      </c>
      <c r="C75" s="110">
        <f t="shared" ref="C75:I75" si="28">SUBTOTAL(109,C66:C74)</f>
        <v>0</v>
      </c>
      <c r="D75" s="110">
        <f t="shared" si="28"/>
        <v>0</v>
      </c>
      <c r="E75" s="110">
        <f t="shared" si="28"/>
        <v>0</v>
      </c>
      <c r="F75" s="110">
        <f t="shared" si="28"/>
        <v>0</v>
      </c>
      <c r="G75" s="110">
        <f t="shared" si="28"/>
        <v>0</v>
      </c>
      <c r="H75" s="110">
        <f t="shared" si="28"/>
        <v>0</v>
      </c>
      <c r="I75" s="110">
        <f t="shared" si="28"/>
        <v>0</v>
      </c>
    </row>
    <row r="77" spans="1:15" s="7" customFormat="1" ht="60" x14ac:dyDescent="0.25">
      <c r="A77" t="s">
        <v>7325</v>
      </c>
      <c r="B77" s="7" t="s">
        <v>7326</v>
      </c>
      <c r="C77" s="7" t="s">
        <v>7354</v>
      </c>
      <c r="D77" s="7" t="s">
        <v>25</v>
      </c>
      <c r="E77" s="7" t="s">
        <v>27</v>
      </c>
      <c r="F77" s="7" t="s">
        <v>29</v>
      </c>
      <c r="G77" s="7" t="s">
        <v>34</v>
      </c>
      <c r="H77" s="7" t="s">
        <v>28</v>
      </c>
      <c r="I77" s="7" t="s">
        <v>26</v>
      </c>
      <c r="J77" s="7" t="s">
        <v>30</v>
      </c>
      <c r="K77" s="7" t="s">
        <v>31</v>
      </c>
      <c r="L77" s="7" t="s">
        <v>33</v>
      </c>
      <c r="M77" s="7" t="s">
        <v>35</v>
      </c>
      <c r="N77" s="7" t="s">
        <v>1954</v>
      </c>
      <c r="O77" s="7" t="s">
        <v>32</v>
      </c>
    </row>
    <row r="78" spans="1:15" x14ac:dyDescent="0.25">
      <c r="A78" t="s">
        <v>41</v>
      </c>
      <c r="B78">
        <f>COUNTIFS(Tabla1[AREA],Tabla22[[#This Row],[Area]],Tabla1[Año],'Reporte Licitaciones'!$B$2,Tabla1[Mes],'Reporte Licitaciones'!$B$1,Tabla1[Responsable],'Reporte Licitaciones'!$B$3)</f>
        <v>0</v>
      </c>
      <c r="C78">
        <f>COUNTIFS(Tabla1[AREA],Tabla22[[#This Row],[Area]],Tabla1[Año],'Reporte Licitaciones'!$B$2,Tabla1[Mes],'Reporte Licitaciones'!$B$1,Tabla1[Responsable],'Reporte Licitaciones'!$B$3,Tabla1[Participa],"No")</f>
        <v>0</v>
      </c>
      <c r="D78">
        <f>COUNTIFS(Tabla1[AREA],Tabla22[[#This Row],[Area]],Tabla1[Año],'Reporte Licitaciones'!$B$2,Tabla1[Mes],'Reporte Licitaciones'!$B$1,Tabla1[Responsable],'Reporte Licitaciones'!$B$3,Tabla1[Participa],"No",Tabla1[Motivo],"Comercial no responde")</f>
        <v>0</v>
      </c>
      <c r="E78" s="110">
        <f>COUNTIFS(Tabla1[AREA],Tabla22[[#This Row],[Area]],Tabla1[Año],'Reporte Licitaciones'!$B$2,Tabla1[Mes],'Reporte Licitaciones'!$B$1,Tabla1[Responsable],'Reporte Licitaciones'!$B$3,Tabla1[Participa],"No",Tabla1[Motivo],"Monto Bajo")</f>
        <v>0</v>
      </c>
      <c r="F78">
        <f>COUNTIFS(Tabla1[AREA],Tabla22[[#This Row],[Area]],Tabla1[Año],'Reporte Licitaciones'!$B$2,Tabla1[Mes],'Reporte Licitaciones'!$B$1,Tabla1[Responsable],'Reporte Licitaciones'!$B$3,Tabla1[Participa],"No",Tabla1[Motivo],"No cumple requerimientos técnicos")</f>
        <v>0</v>
      </c>
      <c r="G78">
        <f>COUNTIFS(Tabla1[AREA],Tabla22[[#This Row],[Area]],Tabla1[Año],'Reporte Licitaciones'!$B$2,Tabla1[Mes],'Reporte Licitaciones'!$B$1,Tabla1[Responsable],'Reporte Licitaciones'!$B$3,Tabla1[Participa],"No",Tabla1[Motivo],"Sin stock")</f>
        <v>0</v>
      </c>
      <c r="H78">
        <f>COUNTIFS(Tabla1[AREA],Tabla22[[#This Row],[Area]],Tabla1[Año],'Reporte Licitaciones'!$B$2,Tabla1[Mes],'Reporte Licitaciones'!$B$1,Tabla1[Responsable],'Reporte Licitaciones'!$B$3,Tabla1[Participa],"No",Tabla1[Motivo],"No comercializamos")</f>
        <v>0</v>
      </c>
      <c r="I78" s="110">
        <f>COUNTIFS(Tabla1[AREA],Tabla22[[#This Row],[Area]],Tabla1[Año],'Reporte Licitaciones'!$B$2,Tabla1[Mes],'Reporte Licitaciones'!$B$1,Tabla1[Responsable],'Reporte Licitaciones'!$B$3,Tabla1[Participa],"No",Tabla1[Motivo],"Fuera del Presupuesto")</f>
        <v>0</v>
      </c>
      <c r="J78">
        <f>COUNTIFS(Tabla1[AREA],Tabla22[[#This Row],[Area]],Tabla1[Año],'Reporte Licitaciones'!$B$2,Tabla1[Mes],'Reporte Licitaciones'!$B$1,Tabla1[Responsable],'Reporte Licitaciones'!$B$3,Tabla1[Participa],"No",Tabla1[Motivo],"No se alcanza a presentar boleta")</f>
        <v>0</v>
      </c>
      <c r="K78" s="110">
        <f>COUNTIFS(Tabla1[AREA],Tabla22[[#This Row],[Area]],Tabla1[Año],'Reporte Licitaciones'!$B$2,Tabla1[Mes],'Reporte Licitaciones'!$B$1,Tabla1[Responsable],'Reporte Licitaciones'!$B$3,Tabla1[Participa],"No",Tabla1[Motivo],"No se presenta a la visita a terreno")</f>
        <v>0</v>
      </c>
      <c r="L78">
        <f>COUNTIFS(Tabla1[AREA],Tabla22[[#This Row],[Area]],Tabla1[Año],'Reporte Licitaciones'!$B$2,Tabla1[Mes],'Reporte Licitaciones'!$B$1,Tabla1[Responsable],'Reporte Licitaciones'!$B$3,Tabla1[Participa],"No",Tabla1[Motivo],"Sin cobertura")</f>
        <v>0</v>
      </c>
      <c r="M78">
        <f>COUNTIFS(Tabla1[AREA],Tabla22[[#This Row],[Area]],Tabla1[Año],'Reporte Licitaciones'!$B$2,Tabla1[Mes],'Reporte Licitaciones'!$B$1,Tabla1[Responsable],'Reporte Licitaciones'!$B$3,Tabla1[Participa],"No",Tabla1[Motivo],"Tiempo reducido para ofertar")</f>
        <v>0</v>
      </c>
      <c r="N78">
        <f>COUNTIFS(Tabla1[AREA],Tabla22[[#This Row],[Area]],Tabla1[Año],'Reporte Licitaciones'!$B$2,Tabla1[Mes],'Reporte Licitaciones'!$B$1,Tabla1[Responsable],'Reporte Licitaciones'!$B$3,Tabla1[Participa],"No",Tabla1[Motivo],"No suben las Bases")</f>
        <v>0</v>
      </c>
      <c r="O78">
        <f>COUNTIFS(Tabla1[AREA],Tabla22[[#This Row],[Area]],Tabla1[Año],'Reporte Licitaciones'!$B$2,Tabla1[Mes],'Reporte Licitaciones'!$B$1,Tabla1[Responsable],'Reporte Licitaciones'!$B$3,Tabla1[Participa],"No",Tabla1[Motivo],"No se suben preguntas")</f>
        <v>0</v>
      </c>
    </row>
    <row r="79" spans="1:15" x14ac:dyDescent="0.25">
      <c r="A79" t="s">
        <v>15</v>
      </c>
      <c r="B79">
        <f>COUNTIFS(Tabla1[AREA],Tabla22[[#This Row],[Area]],Tabla1[Año],'Reporte Licitaciones'!$B$2,Tabla1[Mes],'Reporte Licitaciones'!$B$1,Tabla1[Responsable],'Reporte Licitaciones'!$B$3)</f>
        <v>0</v>
      </c>
      <c r="C79">
        <f>COUNTIFS(Tabla1[AREA],Tabla22[[#This Row],[Area]],Tabla1[Año],'Reporte Licitaciones'!$B$2,Tabla1[Mes],'Reporte Licitaciones'!$B$1,Tabla1[Responsable],'Reporte Licitaciones'!$B$3,Tabla1[Participa],"No")</f>
        <v>0</v>
      </c>
      <c r="D79">
        <f>COUNTIFS(Tabla1[AREA],Tabla22[[#This Row],[Area]],Tabla1[Año],'Reporte Licitaciones'!$B$2,Tabla1[Mes],'Reporte Licitaciones'!$B$1,Tabla1[Responsable],'Reporte Licitaciones'!$B$3,Tabla1[Participa],"No",Tabla1[Motivo],"Comercial no responde")</f>
        <v>0</v>
      </c>
      <c r="E79" s="110">
        <f>COUNTIFS(Tabla1[AREA],Tabla22[[#This Row],[Area]],Tabla1[Año],'Reporte Licitaciones'!$B$2,Tabla1[Mes],'Reporte Licitaciones'!$B$1,Tabla1[Responsable],'Reporte Licitaciones'!$B$3,Tabla1[Participa],"No",Tabla1[Motivo],"Monto Bajo")</f>
        <v>0</v>
      </c>
      <c r="F79">
        <f>COUNTIFS(Tabla1[AREA],Tabla22[[#This Row],[Area]],Tabla1[Año],'Reporte Licitaciones'!$B$2,Tabla1[Mes],'Reporte Licitaciones'!$B$1,Tabla1[Responsable],'Reporte Licitaciones'!$B$3,Tabla1[Participa],"No",Tabla1[Motivo],"No cumple requerimientos técnicos")</f>
        <v>0</v>
      </c>
      <c r="G79">
        <f>COUNTIFS(Tabla1[AREA],Tabla22[[#This Row],[Area]],Tabla1[Año],'Reporte Licitaciones'!$B$2,Tabla1[Mes],'Reporte Licitaciones'!$B$1,Tabla1[Responsable],'Reporte Licitaciones'!$B$3,Tabla1[Participa],"No",Tabla1[Motivo],"Sin stock")</f>
        <v>0</v>
      </c>
      <c r="H79">
        <f>COUNTIFS(Tabla1[AREA],Tabla22[[#This Row],[Area]],Tabla1[Año],'Reporte Licitaciones'!$B$2,Tabla1[Mes],'Reporte Licitaciones'!$B$1,Tabla1[Responsable],'Reporte Licitaciones'!$B$3,Tabla1[Participa],"No",Tabla1[Motivo],"No comercializamos")</f>
        <v>0</v>
      </c>
      <c r="I79" s="110">
        <f>COUNTIFS(Tabla1[AREA],Tabla22[[#This Row],[Area]],Tabla1[Año],'Reporte Licitaciones'!$B$2,Tabla1[Mes],'Reporte Licitaciones'!$B$1,Tabla1[Responsable],'Reporte Licitaciones'!$B$3,Tabla1[Participa],"No",Tabla1[Motivo],"Fuera del Presupuesto")</f>
        <v>0</v>
      </c>
      <c r="J79">
        <f>COUNTIFS(Tabla1[AREA],Tabla22[[#This Row],[Area]],Tabla1[Año],'Reporte Licitaciones'!$B$2,Tabla1[Mes],'Reporte Licitaciones'!$B$1,Tabla1[Responsable],'Reporte Licitaciones'!$B$3,Tabla1[Participa],"No",Tabla1[Motivo],"No se alcanza a presentar boleta")</f>
        <v>0</v>
      </c>
      <c r="K79" s="110">
        <f>COUNTIFS(Tabla1[AREA],Tabla22[[#This Row],[Area]],Tabla1[Año],'Reporte Licitaciones'!$B$2,Tabla1[Mes],'Reporte Licitaciones'!$B$1,Tabla1[Responsable],'Reporte Licitaciones'!$B$3,Tabla1[Participa],"No",Tabla1[Motivo],"No se presenta a la visita a terreno")</f>
        <v>0</v>
      </c>
      <c r="L79">
        <f>COUNTIFS(Tabla1[AREA],Tabla22[[#This Row],[Area]],Tabla1[Año],'Reporte Licitaciones'!$B$2,Tabla1[Mes],'Reporte Licitaciones'!$B$1,Tabla1[Responsable],'Reporte Licitaciones'!$B$3,Tabla1[Participa],"No",Tabla1[Motivo],"Sin cobertura")</f>
        <v>0</v>
      </c>
      <c r="M79">
        <f>COUNTIFS(Tabla1[AREA],Tabla22[[#This Row],[Area]],Tabla1[Año],'Reporte Licitaciones'!$B$2,Tabla1[Mes],'Reporte Licitaciones'!$B$1,Tabla1[Responsable],'Reporte Licitaciones'!$B$3,Tabla1[Participa],"No",Tabla1[Motivo],"Tiempo reducido para ofertar")</f>
        <v>0</v>
      </c>
      <c r="N79">
        <f>COUNTIFS(Tabla1[AREA],Tabla22[[#This Row],[Area]],Tabla1[Año],'Reporte Licitaciones'!$B$2,Tabla1[Mes],'Reporte Licitaciones'!$B$1,Tabla1[Responsable],'Reporte Licitaciones'!$B$3,Tabla1[Participa],"No",Tabla1[Motivo],"No suben las Bases")</f>
        <v>0</v>
      </c>
      <c r="O79">
        <f>COUNTIFS(Tabla1[AREA],Tabla22[[#This Row],[Area]],Tabla1[Año],'Reporte Licitaciones'!$B$2,Tabla1[Mes],'Reporte Licitaciones'!$B$1,Tabla1[Responsable],'Reporte Licitaciones'!$B$3,Tabla1[Participa],"No",Tabla1[Motivo],"No se suben preguntas")</f>
        <v>0</v>
      </c>
    </row>
    <row r="80" spans="1:15" x14ac:dyDescent="0.25">
      <c r="A80" t="s">
        <v>16</v>
      </c>
      <c r="B80">
        <f>COUNTIFS(Tabla1[AREA],Tabla22[[#This Row],[Area]],Tabla1[Año],'Reporte Licitaciones'!$B$2,Tabla1[Mes],'Reporte Licitaciones'!$B$1,Tabla1[Responsable],'Reporte Licitaciones'!$B$3)</f>
        <v>0</v>
      </c>
      <c r="C80">
        <f>COUNTIFS(Tabla1[AREA],Tabla22[[#This Row],[Area]],Tabla1[Año],'Reporte Licitaciones'!$B$2,Tabla1[Mes],'Reporte Licitaciones'!$B$1,Tabla1[Responsable],'Reporte Licitaciones'!$B$3,Tabla1[Participa],"No")</f>
        <v>0</v>
      </c>
      <c r="D80">
        <f>COUNTIFS(Tabla1[AREA],Tabla22[[#This Row],[Area]],Tabla1[Año],'Reporte Licitaciones'!$B$2,Tabla1[Mes],'Reporte Licitaciones'!$B$1,Tabla1[Responsable],'Reporte Licitaciones'!$B$3,Tabla1[Participa],"No",Tabla1[Motivo],"Comercial no responde")</f>
        <v>0</v>
      </c>
      <c r="E80" s="110">
        <f>COUNTIFS(Tabla1[AREA],Tabla22[[#This Row],[Area]],Tabla1[Año],'Reporte Licitaciones'!$B$2,Tabla1[Mes],'Reporte Licitaciones'!$B$1,Tabla1[Responsable],'Reporte Licitaciones'!$B$3,Tabla1[Participa],"No",Tabla1[Motivo],"Monto Bajo")</f>
        <v>0</v>
      </c>
      <c r="F80">
        <f>COUNTIFS(Tabla1[AREA],Tabla22[[#This Row],[Area]],Tabla1[Año],'Reporte Licitaciones'!$B$2,Tabla1[Mes],'Reporte Licitaciones'!$B$1,Tabla1[Responsable],'Reporte Licitaciones'!$B$3,Tabla1[Participa],"No",Tabla1[Motivo],"No cumple requerimientos técnicos")</f>
        <v>0</v>
      </c>
      <c r="G80">
        <f>COUNTIFS(Tabla1[AREA],Tabla22[[#This Row],[Area]],Tabla1[Año],'Reporte Licitaciones'!$B$2,Tabla1[Mes],'Reporte Licitaciones'!$B$1,Tabla1[Responsable],'Reporte Licitaciones'!$B$3,Tabla1[Participa],"No",Tabla1[Motivo],"Sin stock")</f>
        <v>0</v>
      </c>
      <c r="H80">
        <f>COUNTIFS(Tabla1[AREA],Tabla22[[#This Row],[Area]],Tabla1[Año],'Reporte Licitaciones'!$B$2,Tabla1[Mes],'Reporte Licitaciones'!$B$1,Tabla1[Responsable],'Reporte Licitaciones'!$B$3,Tabla1[Participa],"No",Tabla1[Motivo],"No comercializamos")</f>
        <v>0</v>
      </c>
      <c r="I80" s="110">
        <f>COUNTIFS(Tabla1[AREA],Tabla22[[#This Row],[Area]],Tabla1[Año],'Reporte Licitaciones'!$B$2,Tabla1[Mes],'Reporte Licitaciones'!$B$1,Tabla1[Responsable],'Reporte Licitaciones'!$B$3,Tabla1[Participa],"No",Tabla1[Motivo],"Fuera del Presupuesto")</f>
        <v>0</v>
      </c>
      <c r="J80">
        <f>COUNTIFS(Tabla1[AREA],Tabla22[[#This Row],[Area]],Tabla1[Año],'Reporte Licitaciones'!$B$2,Tabla1[Mes],'Reporte Licitaciones'!$B$1,Tabla1[Responsable],'Reporte Licitaciones'!$B$3,Tabla1[Participa],"No",Tabla1[Motivo],"No se alcanza a presentar boleta")</f>
        <v>0</v>
      </c>
      <c r="K80" s="110">
        <f>COUNTIFS(Tabla1[AREA],Tabla22[[#This Row],[Area]],Tabla1[Año],'Reporte Licitaciones'!$B$2,Tabla1[Mes],'Reporte Licitaciones'!$B$1,Tabla1[Responsable],'Reporte Licitaciones'!$B$3,Tabla1[Participa],"No",Tabla1[Motivo],"No se presenta a la visita a terreno")</f>
        <v>0</v>
      </c>
      <c r="L80">
        <f>COUNTIFS(Tabla1[AREA],Tabla22[[#This Row],[Area]],Tabla1[Año],'Reporte Licitaciones'!$B$2,Tabla1[Mes],'Reporte Licitaciones'!$B$1,Tabla1[Responsable],'Reporte Licitaciones'!$B$3,Tabla1[Participa],"No",Tabla1[Motivo],"Sin cobertura")</f>
        <v>0</v>
      </c>
      <c r="M80">
        <f>COUNTIFS(Tabla1[AREA],Tabla22[[#This Row],[Area]],Tabla1[Año],'Reporte Licitaciones'!$B$2,Tabla1[Mes],'Reporte Licitaciones'!$B$1,Tabla1[Responsable],'Reporte Licitaciones'!$B$3,Tabla1[Participa],"No",Tabla1[Motivo],"Tiempo reducido para ofertar")</f>
        <v>0</v>
      </c>
      <c r="N80">
        <f>COUNTIFS(Tabla1[AREA],Tabla22[[#This Row],[Area]],Tabla1[Año],'Reporte Licitaciones'!$B$2,Tabla1[Mes],'Reporte Licitaciones'!$B$1,Tabla1[Responsable],'Reporte Licitaciones'!$B$3,Tabla1[Participa],"No",Tabla1[Motivo],"No suben las Bases")</f>
        <v>0</v>
      </c>
      <c r="O80">
        <f>COUNTIFS(Tabla1[AREA],Tabla22[[#This Row],[Area]],Tabla1[Año],'Reporte Licitaciones'!$B$2,Tabla1[Mes],'Reporte Licitaciones'!$B$1,Tabla1[Responsable],'Reporte Licitaciones'!$B$3,Tabla1[Participa],"No",Tabla1[Motivo],"No se suben preguntas")</f>
        <v>0</v>
      </c>
    </row>
    <row r="81" spans="1:15" x14ac:dyDescent="0.25">
      <c r="A81" t="s">
        <v>17</v>
      </c>
      <c r="B81">
        <f>COUNTIFS(Tabla1[AREA],Tabla22[[#This Row],[Area]],Tabla1[Año],'Reporte Licitaciones'!$B$2,Tabla1[Mes],'Reporte Licitaciones'!$B$1,Tabla1[Responsable],'Reporte Licitaciones'!$B$3)</f>
        <v>0</v>
      </c>
      <c r="C81">
        <f>COUNTIFS(Tabla1[AREA],Tabla22[[#This Row],[Area]],Tabla1[Año],'Reporte Licitaciones'!$B$2,Tabla1[Mes],'Reporte Licitaciones'!$B$1,Tabla1[Responsable],'Reporte Licitaciones'!$B$3,Tabla1[Participa],"No")</f>
        <v>0</v>
      </c>
      <c r="D81">
        <f>COUNTIFS(Tabla1[AREA],Tabla22[[#This Row],[Area]],Tabla1[Año],'Reporte Licitaciones'!$B$2,Tabla1[Mes],'Reporte Licitaciones'!$B$1,Tabla1[Responsable],'Reporte Licitaciones'!$B$3,Tabla1[Participa],"No",Tabla1[Motivo],"Comercial no responde")</f>
        <v>0</v>
      </c>
      <c r="E81" s="110">
        <f>COUNTIFS(Tabla1[AREA],Tabla22[[#This Row],[Area]],Tabla1[Año],'Reporte Licitaciones'!$B$2,Tabla1[Mes],'Reporte Licitaciones'!$B$1,Tabla1[Responsable],'Reporte Licitaciones'!$B$3,Tabla1[Participa],"No",Tabla1[Motivo],"Monto Bajo")</f>
        <v>0</v>
      </c>
      <c r="F81">
        <f>COUNTIFS(Tabla1[AREA],Tabla22[[#This Row],[Area]],Tabla1[Año],'Reporte Licitaciones'!$B$2,Tabla1[Mes],'Reporte Licitaciones'!$B$1,Tabla1[Responsable],'Reporte Licitaciones'!$B$3,Tabla1[Participa],"No",Tabla1[Motivo],"No cumple requerimientos técnicos")</f>
        <v>0</v>
      </c>
      <c r="G81">
        <f>COUNTIFS(Tabla1[AREA],Tabla22[[#This Row],[Area]],Tabla1[Año],'Reporte Licitaciones'!$B$2,Tabla1[Mes],'Reporte Licitaciones'!$B$1,Tabla1[Responsable],'Reporte Licitaciones'!$B$3,Tabla1[Participa],"No",Tabla1[Motivo],"Sin stock")</f>
        <v>0</v>
      </c>
      <c r="H81">
        <f>COUNTIFS(Tabla1[AREA],Tabla22[[#This Row],[Area]],Tabla1[Año],'Reporte Licitaciones'!$B$2,Tabla1[Mes],'Reporte Licitaciones'!$B$1,Tabla1[Responsable],'Reporte Licitaciones'!$B$3,Tabla1[Participa],"No",Tabla1[Motivo],"No comercializamos")</f>
        <v>0</v>
      </c>
      <c r="I81" s="110">
        <f>COUNTIFS(Tabla1[AREA],Tabla22[[#This Row],[Area]],Tabla1[Año],'Reporte Licitaciones'!$B$2,Tabla1[Mes],'Reporte Licitaciones'!$B$1,Tabla1[Responsable],'Reporte Licitaciones'!$B$3,Tabla1[Participa],"No",Tabla1[Motivo],"Fuera del Presupuesto")</f>
        <v>0</v>
      </c>
      <c r="J81">
        <f>COUNTIFS(Tabla1[AREA],Tabla22[[#This Row],[Area]],Tabla1[Año],'Reporte Licitaciones'!$B$2,Tabla1[Mes],'Reporte Licitaciones'!$B$1,Tabla1[Responsable],'Reporte Licitaciones'!$B$3,Tabla1[Participa],"No",Tabla1[Motivo],"No se alcanza a presentar boleta")</f>
        <v>0</v>
      </c>
      <c r="K81" s="110">
        <f>COUNTIFS(Tabla1[AREA],Tabla22[[#This Row],[Area]],Tabla1[Año],'Reporte Licitaciones'!$B$2,Tabla1[Mes],'Reporte Licitaciones'!$B$1,Tabla1[Responsable],'Reporte Licitaciones'!$B$3,Tabla1[Participa],"No",Tabla1[Motivo],"No se presenta a la visita a terreno")</f>
        <v>0</v>
      </c>
      <c r="L81">
        <f>COUNTIFS(Tabla1[AREA],Tabla22[[#This Row],[Area]],Tabla1[Año],'Reporte Licitaciones'!$B$2,Tabla1[Mes],'Reporte Licitaciones'!$B$1,Tabla1[Responsable],'Reporte Licitaciones'!$B$3,Tabla1[Participa],"No",Tabla1[Motivo],"Sin cobertura")</f>
        <v>0</v>
      </c>
      <c r="M81">
        <f>COUNTIFS(Tabla1[AREA],Tabla22[[#This Row],[Area]],Tabla1[Año],'Reporte Licitaciones'!$B$2,Tabla1[Mes],'Reporte Licitaciones'!$B$1,Tabla1[Responsable],'Reporte Licitaciones'!$B$3,Tabla1[Participa],"No",Tabla1[Motivo],"Tiempo reducido para ofertar")</f>
        <v>0</v>
      </c>
      <c r="N81">
        <f>COUNTIFS(Tabla1[AREA],Tabla22[[#This Row],[Area]],Tabla1[Año],'Reporte Licitaciones'!$B$2,Tabla1[Mes],'Reporte Licitaciones'!$B$1,Tabla1[Responsable],'Reporte Licitaciones'!$B$3,Tabla1[Participa],"No",Tabla1[Motivo],"No suben las Bases")</f>
        <v>0</v>
      </c>
      <c r="O81">
        <f>COUNTIFS(Tabla1[AREA],Tabla22[[#This Row],[Area]],Tabla1[Año],'Reporte Licitaciones'!$B$2,Tabla1[Mes],'Reporte Licitaciones'!$B$1,Tabla1[Responsable],'Reporte Licitaciones'!$B$3,Tabla1[Participa],"No",Tabla1[Motivo],"No se suben preguntas")</f>
        <v>0</v>
      </c>
    </row>
    <row r="82" spans="1:15" x14ac:dyDescent="0.25">
      <c r="A82" t="s">
        <v>18</v>
      </c>
      <c r="B82">
        <f>COUNTIFS(Tabla1[AREA],Tabla22[[#This Row],[Area]],Tabla1[Año],'Reporte Licitaciones'!$B$2,Tabla1[Mes],'Reporte Licitaciones'!$B$1,Tabla1[Responsable],'Reporte Licitaciones'!$B$3)</f>
        <v>0</v>
      </c>
      <c r="C82">
        <f>COUNTIFS(Tabla1[AREA],Tabla22[[#This Row],[Area]],Tabla1[Año],'Reporte Licitaciones'!$B$2,Tabla1[Mes],'Reporte Licitaciones'!$B$1,Tabla1[Responsable],'Reporte Licitaciones'!$B$3,Tabla1[Participa],"No")</f>
        <v>0</v>
      </c>
      <c r="D82">
        <f>COUNTIFS(Tabla1[AREA],Tabla22[[#This Row],[Area]],Tabla1[Año],'Reporte Licitaciones'!$B$2,Tabla1[Mes],'Reporte Licitaciones'!$B$1,Tabla1[Responsable],'Reporte Licitaciones'!$B$3,Tabla1[Participa],"No",Tabla1[Motivo],"Comercial no responde")</f>
        <v>0</v>
      </c>
      <c r="E82" s="110">
        <f>COUNTIFS(Tabla1[AREA],Tabla22[[#This Row],[Area]],Tabla1[Año],'Reporte Licitaciones'!$B$2,Tabla1[Mes],'Reporte Licitaciones'!$B$1,Tabla1[Responsable],'Reporte Licitaciones'!$B$3,Tabla1[Participa],"No",Tabla1[Motivo],"Monto Bajo")</f>
        <v>0</v>
      </c>
      <c r="F82">
        <f>COUNTIFS(Tabla1[AREA],Tabla22[[#This Row],[Area]],Tabla1[Año],'Reporte Licitaciones'!$B$2,Tabla1[Mes],'Reporte Licitaciones'!$B$1,Tabla1[Responsable],'Reporte Licitaciones'!$B$3,Tabla1[Participa],"No",Tabla1[Motivo],"No cumple requerimientos técnicos")</f>
        <v>0</v>
      </c>
      <c r="G82">
        <f>COUNTIFS(Tabla1[AREA],Tabla22[[#This Row],[Area]],Tabla1[Año],'Reporte Licitaciones'!$B$2,Tabla1[Mes],'Reporte Licitaciones'!$B$1,Tabla1[Responsable],'Reporte Licitaciones'!$B$3,Tabla1[Participa],"No",Tabla1[Motivo],"Sin stock")</f>
        <v>0</v>
      </c>
      <c r="H82">
        <f>COUNTIFS(Tabla1[AREA],Tabla22[[#This Row],[Area]],Tabla1[Año],'Reporte Licitaciones'!$B$2,Tabla1[Mes],'Reporte Licitaciones'!$B$1,Tabla1[Responsable],'Reporte Licitaciones'!$B$3,Tabla1[Participa],"No",Tabla1[Motivo],"No comercializamos")</f>
        <v>0</v>
      </c>
      <c r="I82" s="110">
        <f>COUNTIFS(Tabla1[AREA],Tabla22[[#This Row],[Area]],Tabla1[Año],'Reporte Licitaciones'!$B$2,Tabla1[Mes],'Reporte Licitaciones'!$B$1,Tabla1[Responsable],'Reporte Licitaciones'!$B$3,Tabla1[Participa],"No",Tabla1[Motivo],"Fuera del Presupuesto")</f>
        <v>0</v>
      </c>
      <c r="J82">
        <f>COUNTIFS(Tabla1[AREA],Tabla22[[#This Row],[Area]],Tabla1[Año],'Reporte Licitaciones'!$B$2,Tabla1[Mes],'Reporte Licitaciones'!$B$1,Tabla1[Responsable],'Reporte Licitaciones'!$B$3,Tabla1[Participa],"No",Tabla1[Motivo],"No se alcanza a presentar boleta")</f>
        <v>0</v>
      </c>
      <c r="K82" s="110">
        <f>COUNTIFS(Tabla1[AREA],Tabla22[[#This Row],[Area]],Tabla1[Año],'Reporte Licitaciones'!$B$2,Tabla1[Mes],'Reporte Licitaciones'!$B$1,Tabla1[Responsable],'Reporte Licitaciones'!$B$3,Tabla1[Participa],"No",Tabla1[Motivo],"No se presenta a la visita a terreno")</f>
        <v>0</v>
      </c>
      <c r="L82">
        <f>COUNTIFS(Tabla1[AREA],Tabla22[[#This Row],[Area]],Tabla1[Año],'Reporte Licitaciones'!$B$2,Tabla1[Mes],'Reporte Licitaciones'!$B$1,Tabla1[Responsable],'Reporte Licitaciones'!$B$3,Tabla1[Participa],"No",Tabla1[Motivo],"Sin cobertura")</f>
        <v>0</v>
      </c>
      <c r="M82">
        <f>COUNTIFS(Tabla1[AREA],Tabla22[[#This Row],[Area]],Tabla1[Año],'Reporte Licitaciones'!$B$2,Tabla1[Mes],'Reporte Licitaciones'!$B$1,Tabla1[Responsable],'Reporte Licitaciones'!$B$3,Tabla1[Participa],"No",Tabla1[Motivo],"Tiempo reducido para ofertar")</f>
        <v>0</v>
      </c>
      <c r="N82">
        <f>COUNTIFS(Tabla1[AREA],Tabla22[[#This Row],[Area]],Tabla1[Año],'Reporte Licitaciones'!$B$2,Tabla1[Mes],'Reporte Licitaciones'!$B$1,Tabla1[Responsable],'Reporte Licitaciones'!$B$3,Tabla1[Participa],"No",Tabla1[Motivo],"No suben las Bases")</f>
        <v>0</v>
      </c>
      <c r="O82">
        <f>COUNTIFS(Tabla1[AREA],Tabla22[[#This Row],[Area]],Tabla1[Año],'Reporte Licitaciones'!$B$2,Tabla1[Mes],'Reporte Licitaciones'!$B$1,Tabla1[Responsable],'Reporte Licitaciones'!$B$3,Tabla1[Participa],"No",Tabla1[Motivo],"No se suben preguntas")</f>
        <v>0</v>
      </c>
    </row>
    <row r="83" spans="1:15" x14ac:dyDescent="0.25">
      <c r="A83" t="s">
        <v>19</v>
      </c>
      <c r="B83">
        <f>COUNTIFS(Tabla1[AREA],Tabla22[[#This Row],[Area]],Tabla1[Año],'Reporte Licitaciones'!$B$2,Tabla1[Mes],'Reporte Licitaciones'!$B$1,Tabla1[Responsable],'Reporte Licitaciones'!$B$3)</f>
        <v>0</v>
      </c>
      <c r="C83">
        <f>COUNTIFS(Tabla1[AREA],Tabla22[[#This Row],[Area]],Tabla1[Año],'Reporte Licitaciones'!$B$2,Tabla1[Mes],'Reporte Licitaciones'!$B$1,Tabla1[Responsable],'Reporte Licitaciones'!$B$3,Tabla1[Participa],"No")</f>
        <v>0</v>
      </c>
      <c r="D83">
        <f>COUNTIFS(Tabla1[AREA],Tabla22[[#This Row],[Area]],Tabla1[Año],'Reporte Licitaciones'!$B$2,Tabla1[Mes],'Reporte Licitaciones'!$B$1,Tabla1[Responsable],'Reporte Licitaciones'!$B$3,Tabla1[Participa],"No",Tabla1[Motivo],"Comercial no responde")</f>
        <v>0</v>
      </c>
      <c r="E83" s="110">
        <f>COUNTIFS(Tabla1[AREA],Tabla22[[#This Row],[Area]],Tabla1[Año],'Reporte Licitaciones'!$B$2,Tabla1[Mes],'Reporte Licitaciones'!$B$1,Tabla1[Responsable],'Reporte Licitaciones'!$B$3,Tabla1[Participa],"No",Tabla1[Motivo],"Monto Bajo")</f>
        <v>0</v>
      </c>
      <c r="F83">
        <f>COUNTIFS(Tabla1[AREA],Tabla22[[#This Row],[Area]],Tabla1[Año],'Reporte Licitaciones'!$B$2,Tabla1[Mes],'Reporte Licitaciones'!$B$1,Tabla1[Responsable],'Reporte Licitaciones'!$B$3,Tabla1[Participa],"No",Tabla1[Motivo],"No cumple requerimientos técnicos")</f>
        <v>0</v>
      </c>
      <c r="G83">
        <f>COUNTIFS(Tabla1[AREA],Tabla22[[#This Row],[Area]],Tabla1[Año],'Reporte Licitaciones'!$B$2,Tabla1[Mes],'Reporte Licitaciones'!$B$1,Tabla1[Responsable],'Reporte Licitaciones'!$B$3,Tabla1[Participa],"No",Tabla1[Motivo],"Sin stock")</f>
        <v>0</v>
      </c>
      <c r="H83">
        <f>COUNTIFS(Tabla1[AREA],Tabla22[[#This Row],[Area]],Tabla1[Año],'Reporte Licitaciones'!$B$2,Tabla1[Mes],'Reporte Licitaciones'!$B$1,Tabla1[Responsable],'Reporte Licitaciones'!$B$3,Tabla1[Participa],"No",Tabla1[Motivo],"No comercializamos")</f>
        <v>0</v>
      </c>
      <c r="I83" s="110">
        <f>COUNTIFS(Tabla1[AREA],Tabla22[[#This Row],[Area]],Tabla1[Año],'Reporte Licitaciones'!$B$2,Tabla1[Mes],'Reporte Licitaciones'!$B$1,Tabla1[Responsable],'Reporte Licitaciones'!$B$3,Tabla1[Participa],"No",Tabla1[Motivo],"Fuera del Presupuesto")</f>
        <v>0</v>
      </c>
      <c r="J83">
        <f>COUNTIFS(Tabla1[AREA],Tabla22[[#This Row],[Area]],Tabla1[Año],'Reporte Licitaciones'!$B$2,Tabla1[Mes],'Reporte Licitaciones'!$B$1,Tabla1[Responsable],'Reporte Licitaciones'!$B$3,Tabla1[Participa],"No",Tabla1[Motivo],"No se alcanza a presentar boleta")</f>
        <v>0</v>
      </c>
      <c r="K83" s="110">
        <f>COUNTIFS(Tabla1[AREA],Tabla22[[#This Row],[Area]],Tabla1[Año],'Reporte Licitaciones'!$B$2,Tabla1[Mes],'Reporte Licitaciones'!$B$1,Tabla1[Responsable],'Reporte Licitaciones'!$B$3,Tabla1[Participa],"No",Tabla1[Motivo],"No se presenta a la visita a terreno")</f>
        <v>0</v>
      </c>
      <c r="L83">
        <f>COUNTIFS(Tabla1[AREA],Tabla22[[#This Row],[Area]],Tabla1[Año],'Reporte Licitaciones'!$B$2,Tabla1[Mes],'Reporte Licitaciones'!$B$1,Tabla1[Responsable],'Reporte Licitaciones'!$B$3,Tabla1[Participa],"No",Tabla1[Motivo],"Sin cobertura")</f>
        <v>0</v>
      </c>
      <c r="M83">
        <f>COUNTIFS(Tabla1[AREA],Tabla22[[#This Row],[Area]],Tabla1[Año],'Reporte Licitaciones'!$B$2,Tabla1[Mes],'Reporte Licitaciones'!$B$1,Tabla1[Responsable],'Reporte Licitaciones'!$B$3,Tabla1[Participa],"No",Tabla1[Motivo],"Tiempo reducido para ofertar")</f>
        <v>0</v>
      </c>
      <c r="N83">
        <f>COUNTIFS(Tabla1[AREA],Tabla22[[#This Row],[Area]],Tabla1[Año],'Reporte Licitaciones'!$B$2,Tabla1[Mes],'Reporte Licitaciones'!$B$1,Tabla1[Responsable],'Reporte Licitaciones'!$B$3,Tabla1[Participa],"No",Tabla1[Motivo],"No suben las Bases")</f>
        <v>0</v>
      </c>
      <c r="O83">
        <f>COUNTIFS(Tabla1[AREA],Tabla22[[#This Row],[Area]],Tabla1[Año],'Reporte Licitaciones'!$B$2,Tabla1[Mes],'Reporte Licitaciones'!$B$1,Tabla1[Responsable],'Reporte Licitaciones'!$B$3,Tabla1[Participa],"No",Tabla1[Motivo],"No se suben preguntas")</f>
        <v>0</v>
      </c>
    </row>
    <row r="84" spans="1:15" x14ac:dyDescent="0.25">
      <c r="A84" t="s">
        <v>20</v>
      </c>
      <c r="B84">
        <f>COUNTIFS(Tabla1[AREA],Tabla22[[#This Row],[Area]],Tabla1[Año],'Reporte Licitaciones'!$B$2,Tabla1[Mes],'Reporte Licitaciones'!$B$1,Tabla1[Responsable],'Reporte Licitaciones'!$B$3)</f>
        <v>0</v>
      </c>
      <c r="C84">
        <f>COUNTIFS(Tabla1[AREA],Tabla22[[#This Row],[Area]],Tabla1[Año],'Reporte Licitaciones'!$B$2,Tabla1[Mes],'Reporte Licitaciones'!$B$1,Tabla1[Responsable],'Reporte Licitaciones'!$B$3,Tabla1[Participa],"No")</f>
        <v>0</v>
      </c>
      <c r="D84">
        <f>COUNTIFS(Tabla1[AREA],Tabla22[[#This Row],[Area]],Tabla1[Año],'Reporte Licitaciones'!$B$2,Tabla1[Mes],'Reporte Licitaciones'!$B$1,Tabla1[Responsable],'Reporte Licitaciones'!$B$3,Tabla1[Participa],"No",Tabla1[Motivo],"Comercial no responde")</f>
        <v>0</v>
      </c>
      <c r="E84" s="110">
        <f>COUNTIFS(Tabla1[AREA],Tabla22[[#This Row],[Area]],Tabla1[Año],'Reporte Licitaciones'!$B$2,Tabla1[Mes],'Reporte Licitaciones'!$B$1,Tabla1[Responsable],'Reporte Licitaciones'!$B$3,Tabla1[Participa],"No",Tabla1[Motivo],"Monto Bajo")</f>
        <v>0</v>
      </c>
      <c r="F84">
        <f>COUNTIFS(Tabla1[AREA],Tabla22[[#This Row],[Area]],Tabla1[Año],'Reporte Licitaciones'!$B$2,Tabla1[Mes],'Reporte Licitaciones'!$B$1,Tabla1[Responsable],'Reporte Licitaciones'!$B$3,Tabla1[Participa],"No",Tabla1[Motivo],"No cumple requerimientos técnicos")</f>
        <v>0</v>
      </c>
      <c r="G84">
        <f>COUNTIFS(Tabla1[AREA],Tabla22[[#This Row],[Area]],Tabla1[Año],'Reporte Licitaciones'!$B$2,Tabla1[Mes],'Reporte Licitaciones'!$B$1,Tabla1[Responsable],'Reporte Licitaciones'!$B$3,Tabla1[Participa],"No",Tabla1[Motivo],"Sin stock")</f>
        <v>0</v>
      </c>
      <c r="H84">
        <f>COUNTIFS(Tabla1[AREA],Tabla22[[#This Row],[Area]],Tabla1[Año],'Reporte Licitaciones'!$B$2,Tabla1[Mes],'Reporte Licitaciones'!$B$1,Tabla1[Responsable],'Reporte Licitaciones'!$B$3,Tabla1[Participa],"No",Tabla1[Motivo],"No comercializamos")</f>
        <v>0</v>
      </c>
      <c r="I84" s="110">
        <f>COUNTIFS(Tabla1[AREA],Tabla22[[#This Row],[Area]],Tabla1[Año],'Reporte Licitaciones'!$B$2,Tabla1[Mes],'Reporte Licitaciones'!$B$1,Tabla1[Responsable],'Reporte Licitaciones'!$B$3,Tabla1[Participa],"No",Tabla1[Motivo],"Fuera del Presupuesto")</f>
        <v>0</v>
      </c>
      <c r="J84">
        <f>COUNTIFS(Tabla1[AREA],Tabla22[[#This Row],[Area]],Tabla1[Año],'Reporte Licitaciones'!$B$2,Tabla1[Mes],'Reporte Licitaciones'!$B$1,Tabla1[Responsable],'Reporte Licitaciones'!$B$3,Tabla1[Participa],"No",Tabla1[Motivo],"No se alcanza a presentar boleta")</f>
        <v>0</v>
      </c>
      <c r="K84" s="110">
        <f>COUNTIFS(Tabla1[AREA],Tabla22[[#This Row],[Area]],Tabla1[Año],'Reporte Licitaciones'!$B$2,Tabla1[Mes],'Reporte Licitaciones'!$B$1,Tabla1[Responsable],'Reporte Licitaciones'!$B$3,Tabla1[Participa],"No",Tabla1[Motivo],"No se presenta a la visita a terreno")</f>
        <v>0</v>
      </c>
      <c r="L84">
        <f>COUNTIFS(Tabla1[AREA],Tabla22[[#This Row],[Area]],Tabla1[Año],'Reporte Licitaciones'!$B$2,Tabla1[Mes],'Reporte Licitaciones'!$B$1,Tabla1[Responsable],'Reporte Licitaciones'!$B$3,Tabla1[Participa],"No",Tabla1[Motivo],"Sin cobertura")</f>
        <v>0</v>
      </c>
      <c r="M84">
        <f>COUNTIFS(Tabla1[AREA],Tabla22[[#This Row],[Area]],Tabla1[Año],'Reporte Licitaciones'!$B$2,Tabla1[Mes],'Reporte Licitaciones'!$B$1,Tabla1[Responsable],'Reporte Licitaciones'!$B$3,Tabla1[Participa],"No",Tabla1[Motivo],"Tiempo reducido para ofertar")</f>
        <v>0</v>
      </c>
      <c r="N84">
        <f>COUNTIFS(Tabla1[AREA],Tabla22[[#This Row],[Area]],Tabla1[Año],'Reporte Licitaciones'!$B$2,Tabla1[Mes],'Reporte Licitaciones'!$B$1,Tabla1[Responsable],'Reporte Licitaciones'!$B$3,Tabla1[Participa],"No",Tabla1[Motivo],"No suben las Bases")</f>
        <v>0</v>
      </c>
      <c r="O84">
        <f>COUNTIFS(Tabla1[AREA],Tabla22[[#This Row],[Area]],Tabla1[Año],'Reporte Licitaciones'!$B$2,Tabla1[Mes],'Reporte Licitaciones'!$B$1,Tabla1[Responsable],'Reporte Licitaciones'!$B$3,Tabla1[Participa],"No",Tabla1[Motivo],"No se suben preguntas")</f>
        <v>0</v>
      </c>
    </row>
    <row r="85" spans="1:15" x14ac:dyDescent="0.25">
      <c r="A85" t="s">
        <v>21</v>
      </c>
      <c r="B85">
        <f>COUNTIFS(Tabla1[AREA],Tabla22[[#This Row],[Area]],Tabla1[Año],'Reporte Licitaciones'!$B$2,Tabla1[Mes],'Reporte Licitaciones'!$B$1,Tabla1[Responsable],'Reporte Licitaciones'!$B$3)</f>
        <v>0</v>
      </c>
      <c r="C85">
        <f>COUNTIFS(Tabla1[AREA],Tabla22[[#This Row],[Area]],Tabla1[Año],'Reporte Licitaciones'!$B$2,Tabla1[Mes],'Reporte Licitaciones'!$B$1,Tabla1[Responsable],'Reporte Licitaciones'!$B$3,Tabla1[Participa],"No")</f>
        <v>0</v>
      </c>
      <c r="D85">
        <f>COUNTIFS(Tabla1[AREA],Tabla22[[#This Row],[Area]],Tabla1[Año],'Reporte Licitaciones'!$B$2,Tabla1[Mes],'Reporte Licitaciones'!$B$1,Tabla1[Responsable],'Reporte Licitaciones'!$B$3,Tabla1[Participa],"No",Tabla1[Motivo],"Comercial no responde")</f>
        <v>0</v>
      </c>
      <c r="E85" s="110">
        <f>COUNTIFS(Tabla1[AREA],Tabla22[[#This Row],[Area]],Tabla1[Año],'Reporte Licitaciones'!$B$2,Tabla1[Mes],'Reporte Licitaciones'!$B$1,Tabla1[Responsable],'Reporte Licitaciones'!$B$3,Tabla1[Participa],"No",Tabla1[Motivo],"Monto Bajo")</f>
        <v>0</v>
      </c>
      <c r="F85">
        <f>COUNTIFS(Tabla1[AREA],Tabla22[[#This Row],[Area]],Tabla1[Año],'Reporte Licitaciones'!$B$2,Tabla1[Mes],'Reporte Licitaciones'!$B$1,Tabla1[Responsable],'Reporte Licitaciones'!$B$3,Tabla1[Participa],"No",Tabla1[Motivo],"No cumple requerimientos técnicos")</f>
        <v>0</v>
      </c>
      <c r="G85">
        <f>COUNTIFS(Tabla1[AREA],Tabla22[[#This Row],[Area]],Tabla1[Año],'Reporte Licitaciones'!$B$2,Tabla1[Mes],'Reporte Licitaciones'!$B$1,Tabla1[Responsable],'Reporte Licitaciones'!$B$3,Tabla1[Participa],"No",Tabla1[Motivo],"Sin stock")</f>
        <v>0</v>
      </c>
      <c r="H85">
        <f>COUNTIFS(Tabla1[AREA],Tabla22[[#This Row],[Area]],Tabla1[Año],'Reporte Licitaciones'!$B$2,Tabla1[Mes],'Reporte Licitaciones'!$B$1,Tabla1[Responsable],'Reporte Licitaciones'!$B$3,Tabla1[Participa],"No",Tabla1[Motivo],"No comercializamos")</f>
        <v>0</v>
      </c>
      <c r="I85" s="110">
        <f>COUNTIFS(Tabla1[AREA],Tabla22[[#This Row],[Area]],Tabla1[Año],'Reporte Licitaciones'!$B$2,Tabla1[Mes],'Reporte Licitaciones'!$B$1,Tabla1[Responsable],'Reporte Licitaciones'!$B$3,Tabla1[Participa],"No",Tabla1[Motivo],"Fuera del Presupuesto")</f>
        <v>0</v>
      </c>
      <c r="J85">
        <f>COUNTIFS(Tabla1[AREA],Tabla22[[#This Row],[Area]],Tabla1[Año],'Reporte Licitaciones'!$B$2,Tabla1[Mes],'Reporte Licitaciones'!$B$1,Tabla1[Responsable],'Reporte Licitaciones'!$B$3,Tabla1[Participa],"No",Tabla1[Motivo],"No se alcanza a presentar boleta")</f>
        <v>0</v>
      </c>
      <c r="K85" s="110">
        <f>COUNTIFS(Tabla1[AREA],Tabla22[[#This Row],[Area]],Tabla1[Año],'Reporte Licitaciones'!$B$2,Tabla1[Mes],'Reporte Licitaciones'!$B$1,Tabla1[Responsable],'Reporte Licitaciones'!$B$3,Tabla1[Participa],"No",Tabla1[Motivo],"No se presenta a la visita a terreno")</f>
        <v>0</v>
      </c>
      <c r="L85">
        <f>COUNTIFS(Tabla1[AREA],Tabla22[[#This Row],[Area]],Tabla1[Año],'Reporte Licitaciones'!$B$2,Tabla1[Mes],'Reporte Licitaciones'!$B$1,Tabla1[Responsable],'Reporte Licitaciones'!$B$3,Tabla1[Participa],"No",Tabla1[Motivo],"Sin cobertura")</f>
        <v>0</v>
      </c>
      <c r="M85">
        <f>COUNTIFS(Tabla1[AREA],Tabla22[[#This Row],[Area]],Tabla1[Año],'Reporte Licitaciones'!$B$2,Tabla1[Mes],'Reporte Licitaciones'!$B$1,Tabla1[Responsable],'Reporte Licitaciones'!$B$3,Tabla1[Participa],"No",Tabla1[Motivo],"Tiempo reducido para ofertar")</f>
        <v>0</v>
      </c>
      <c r="N85">
        <f>COUNTIFS(Tabla1[AREA],Tabla22[[#This Row],[Area]],Tabla1[Año],'Reporte Licitaciones'!$B$2,Tabla1[Mes],'Reporte Licitaciones'!$B$1,Tabla1[Responsable],'Reporte Licitaciones'!$B$3,Tabla1[Participa],"No",Tabla1[Motivo],"No suben las Bases")</f>
        <v>0</v>
      </c>
      <c r="O85">
        <f>COUNTIFS(Tabla1[AREA],Tabla22[[#This Row],[Area]],Tabla1[Año],'Reporte Licitaciones'!$B$2,Tabla1[Mes],'Reporte Licitaciones'!$B$1,Tabla1[Responsable],'Reporte Licitaciones'!$B$3,Tabla1[Participa],"No",Tabla1[Motivo],"No se suben preguntas")</f>
        <v>0</v>
      </c>
    </row>
    <row r="86" spans="1:15" x14ac:dyDescent="0.25">
      <c r="A86" t="s">
        <v>14</v>
      </c>
      <c r="B86">
        <f>COUNTIFS(Tabla1[AREA],Tabla22[[#This Row],[Area]],Tabla1[Año],'Reporte Licitaciones'!$B$2,Tabla1[Mes],'Reporte Licitaciones'!$B$1,Tabla1[Responsable],'Reporte Licitaciones'!$B$3)</f>
        <v>0</v>
      </c>
      <c r="C86">
        <f>COUNTIFS(Tabla1[AREA],Tabla22[[#This Row],[Area]],Tabla1[Año],'Reporte Licitaciones'!$B$2,Tabla1[Mes],'Reporte Licitaciones'!$B$1,Tabla1[Responsable],'Reporte Licitaciones'!$B$3,Tabla1[Participa],"No")</f>
        <v>0</v>
      </c>
      <c r="D86">
        <f>COUNTIFS(Tabla1[AREA],Tabla22[[#This Row],[Area]],Tabla1[Año],'Reporte Licitaciones'!$B$2,Tabla1[Mes],'Reporte Licitaciones'!$B$1,Tabla1[Responsable],'Reporte Licitaciones'!$B$3,Tabla1[Participa],"No",Tabla1[Motivo],"Comercial no responde")</f>
        <v>0</v>
      </c>
      <c r="E86" s="110">
        <f>COUNTIFS(Tabla1[AREA],Tabla22[[#This Row],[Area]],Tabla1[Año],'Reporte Licitaciones'!$B$2,Tabla1[Mes],'Reporte Licitaciones'!$B$1,Tabla1[Responsable],'Reporte Licitaciones'!$B$3,Tabla1[Participa],"No",Tabla1[Motivo],"Monto Bajo")</f>
        <v>0</v>
      </c>
      <c r="F86">
        <f>COUNTIFS(Tabla1[AREA],Tabla22[[#This Row],[Area]],Tabla1[Año],'Reporte Licitaciones'!$B$2,Tabla1[Mes],'Reporte Licitaciones'!$B$1,Tabla1[Responsable],'Reporte Licitaciones'!$B$3,Tabla1[Participa],"No",Tabla1[Motivo],"No cumple requerimientos técnicos")</f>
        <v>0</v>
      </c>
      <c r="G86">
        <f>COUNTIFS(Tabla1[AREA],Tabla22[[#This Row],[Area]],Tabla1[Año],'Reporte Licitaciones'!$B$2,Tabla1[Mes],'Reporte Licitaciones'!$B$1,Tabla1[Responsable],'Reporte Licitaciones'!$B$3,Tabla1[Participa],"No",Tabla1[Motivo],"Sin stock")</f>
        <v>0</v>
      </c>
      <c r="H86">
        <f>COUNTIFS(Tabla1[AREA],Tabla22[[#This Row],[Area]],Tabla1[Año],'Reporte Licitaciones'!$B$2,Tabla1[Mes],'Reporte Licitaciones'!$B$1,Tabla1[Responsable],'Reporte Licitaciones'!$B$3,Tabla1[Participa],"No",Tabla1[Motivo],"No comercializamos")</f>
        <v>0</v>
      </c>
      <c r="I86" s="110">
        <f>COUNTIFS(Tabla1[AREA],Tabla22[[#This Row],[Area]],Tabla1[Año],'Reporte Licitaciones'!$B$2,Tabla1[Mes],'Reporte Licitaciones'!$B$1,Tabla1[Responsable],'Reporte Licitaciones'!$B$3,Tabla1[Participa],"No",Tabla1[Motivo],"Fuera del Presupuesto")</f>
        <v>0</v>
      </c>
      <c r="J86">
        <f>COUNTIFS(Tabla1[AREA],Tabla22[[#This Row],[Area]],Tabla1[Año],'Reporte Licitaciones'!$B$2,Tabla1[Mes],'Reporte Licitaciones'!$B$1,Tabla1[Responsable],'Reporte Licitaciones'!$B$3,Tabla1[Participa],"No",Tabla1[Motivo],"No se alcanza a presentar boleta")</f>
        <v>0</v>
      </c>
      <c r="K86" s="110">
        <f>COUNTIFS(Tabla1[AREA],Tabla22[[#This Row],[Area]],Tabla1[Año],'Reporte Licitaciones'!$B$2,Tabla1[Mes],'Reporte Licitaciones'!$B$1,Tabla1[Responsable],'Reporte Licitaciones'!$B$3,Tabla1[Participa],"No",Tabla1[Motivo],"No se presenta a la visita a terreno")</f>
        <v>0</v>
      </c>
      <c r="L86">
        <f>COUNTIFS(Tabla1[AREA],Tabla22[[#This Row],[Area]],Tabla1[Año],'Reporte Licitaciones'!$B$2,Tabla1[Mes],'Reporte Licitaciones'!$B$1,Tabla1[Responsable],'Reporte Licitaciones'!$B$3,Tabla1[Participa],"No",Tabla1[Motivo],"Sin cobertura")</f>
        <v>0</v>
      </c>
      <c r="M86">
        <f>COUNTIFS(Tabla1[AREA],Tabla22[[#This Row],[Area]],Tabla1[Año],'Reporte Licitaciones'!$B$2,Tabla1[Mes],'Reporte Licitaciones'!$B$1,Tabla1[Responsable],'Reporte Licitaciones'!$B$3,Tabla1[Participa],"No",Tabla1[Motivo],"Tiempo reducido para ofertar")</f>
        <v>0</v>
      </c>
      <c r="N86">
        <f>COUNTIFS(Tabla1[AREA],Tabla22[[#This Row],[Area]],Tabla1[Año],'Reporte Licitaciones'!$B$2,Tabla1[Mes],'Reporte Licitaciones'!$B$1,Tabla1[Responsable],'Reporte Licitaciones'!$B$3,Tabla1[Participa],"No",Tabla1[Motivo],"No suben las Bases")</f>
        <v>0</v>
      </c>
      <c r="O86">
        <f>COUNTIFS(Tabla1[AREA],Tabla22[[#This Row],[Area]],Tabla1[Año],'Reporte Licitaciones'!$B$2,Tabla1[Mes],'Reporte Licitaciones'!$B$1,Tabla1[Responsable],'Reporte Licitaciones'!$B$3,Tabla1[Participa],"No",Tabla1[Motivo],"No se suben preguntas")</f>
        <v>0</v>
      </c>
    </row>
    <row r="87" spans="1:15" x14ac:dyDescent="0.25">
      <c r="A87" t="s">
        <v>7329</v>
      </c>
      <c r="B87">
        <f>SUBTOTAL(109,B78:B86)</f>
        <v>0</v>
      </c>
      <c r="C87">
        <f>SUBTOTAL(109,C78:C86)</f>
        <v>0</v>
      </c>
      <c r="D87">
        <f>SUBTOTAL(109,D78:D86)</f>
        <v>0</v>
      </c>
      <c r="E87">
        <f t="shared" ref="E87:O87" si="29">SUBTOTAL(109,E78:E86)</f>
        <v>0</v>
      </c>
      <c r="F87">
        <f t="shared" si="29"/>
        <v>0</v>
      </c>
      <c r="G87">
        <f t="shared" si="29"/>
        <v>0</v>
      </c>
      <c r="H87">
        <f>SUBTOTAL(109,H78:H86)</f>
        <v>0</v>
      </c>
      <c r="I87">
        <f t="shared" si="29"/>
        <v>0</v>
      </c>
      <c r="J87">
        <f t="shared" si="29"/>
        <v>0</v>
      </c>
      <c r="K87">
        <f t="shared" si="29"/>
        <v>0</v>
      </c>
      <c r="L87">
        <f t="shared" si="29"/>
        <v>0</v>
      </c>
      <c r="M87">
        <f t="shared" si="29"/>
        <v>0</v>
      </c>
      <c r="N87">
        <f t="shared" si="29"/>
        <v>0</v>
      </c>
      <c r="O87">
        <f t="shared" si="29"/>
        <v>0</v>
      </c>
    </row>
    <row r="89" spans="1:15" ht="60" x14ac:dyDescent="0.25">
      <c r="A89" t="s">
        <v>7325</v>
      </c>
      <c r="B89" s="7" t="s">
        <v>7326</v>
      </c>
      <c r="C89" s="7" t="s">
        <v>7354</v>
      </c>
      <c r="D89" s="7" t="s">
        <v>25</v>
      </c>
      <c r="E89" s="7" t="s">
        <v>27</v>
      </c>
      <c r="F89" s="7" t="s">
        <v>29</v>
      </c>
      <c r="G89" s="7" t="s">
        <v>34</v>
      </c>
      <c r="H89" s="7" t="s">
        <v>28</v>
      </c>
      <c r="I89" s="7" t="s">
        <v>26</v>
      </c>
      <c r="J89" s="7" t="s">
        <v>30</v>
      </c>
      <c r="K89" s="7" t="s">
        <v>31</v>
      </c>
      <c r="L89" s="7" t="s">
        <v>33</v>
      </c>
      <c r="M89" s="7" t="s">
        <v>35</v>
      </c>
      <c r="N89" s="7" t="s">
        <v>1954</v>
      </c>
      <c r="O89" s="7" t="s">
        <v>32</v>
      </c>
    </row>
    <row r="90" spans="1:15" x14ac:dyDescent="0.25">
      <c r="A90" t="s">
        <v>41</v>
      </c>
      <c r="B90" s="109"/>
      <c r="C90" s="109" t="e">
        <f>C78/B78</f>
        <v>#DIV/0!</v>
      </c>
      <c r="D90" s="109" t="e">
        <f>D78/C78</f>
        <v>#DIV/0!</v>
      </c>
      <c r="E90" s="109" t="e">
        <f>E78/C78</f>
        <v>#DIV/0!</v>
      </c>
      <c r="F90" s="109" t="e">
        <f>F78/C78</f>
        <v>#DIV/0!</v>
      </c>
      <c r="G90" s="109" t="e">
        <f>G78/C78</f>
        <v>#DIV/0!</v>
      </c>
      <c r="H90" s="109" t="e">
        <f>H78/C78</f>
        <v>#DIV/0!</v>
      </c>
      <c r="I90" s="109" t="e">
        <f>I78/C78</f>
        <v>#DIV/0!</v>
      </c>
      <c r="J90" s="109" t="e">
        <f>J78/C78</f>
        <v>#DIV/0!</v>
      </c>
      <c r="K90" s="109" t="e">
        <f>K78/C78</f>
        <v>#DIV/0!</v>
      </c>
      <c r="L90" s="109" t="e">
        <f>L78/C78</f>
        <v>#DIV/0!</v>
      </c>
      <c r="M90" s="109" t="e">
        <f>M78/C78</f>
        <v>#DIV/0!</v>
      </c>
      <c r="N90" s="109" t="e">
        <f>N78/C78</f>
        <v>#DIV/0!</v>
      </c>
      <c r="O90" s="109" t="e">
        <f>O78/C78</f>
        <v>#DIV/0!</v>
      </c>
    </row>
    <row r="91" spans="1:15" x14ac:dyDescent="0.25">
      <c r="A91" t="s">
        <v>15</v>
      </c>
      <c r="B91" s="109"/>
      <c r="C91" s="109" t="e">
        <f t="shared" ref="C91:D97" si="30">C79/B79</f>
        <v>#DIV/0!</v>
      </c>
      <c r="D91" s="109" t="e">
        <f t="shared" si="30"/>
        <v>#DIV/0!</v>
      </c>
      <c r="E91" s="109" t="e">
        <f t="shared" ref="E91:E98" si="31">E79/C79</f>
        <v>#DIV/0!</v>
      </c>
      <c r="F91" s="109" t="e">
        <f t="shared" ref="F91:F98" si="32">F79/C79</f>
        <v>#DIV/0!</v>
      </c>
      <c r="G91" s="109" t="e">
        <f t="shared" ref="G91:G98" si="33">G79/C79</f>
        <v>#DIV/0!</v>
      </c>
      <c r="H91" s="109" t="e">
        <f t="shared" ref="H91:H98" si="34">H79/C79</f>
        <v>#DIV/0!</v>
      </c>
      <c r="I91" s="109" t="e">
        <f t="shared" ref="I91:I98" si="35">I79/C79</f>
        <v>#DIV/0!</v>
      </c>
      <c r="J91" s="109" t="e">
        <f t="shared" ref="J91:J98" si="36">J79/C79</f>
        <v>#DIV/0!</v>
      </c>
      <c r="K91" s="109" t="e">
        <f t="shared" ref="K91:K98" si="37">K79/C79</f>
        <v>#DIV/0!</v>
      </c>
      <c r="L91" s="109" t="e">
        <f t="shared" ref="L91:L98" si="38">L79/C79</f>
        <v>#DIV/0!</v>
      </c>
      <c r="M91" s="109" t="e">
        <f t="shared" ref="M91:M98" si="39">M79/C79</f>
        <v>#DIV/0!</v>
      </c>
      <c r="N91" s="109" t="e">
        <f t="shared" ref="N91:N98" si="40">N79/C79</f>
        <v>#DIV/0!</v>
      </c>
      <c r="O91" s="109" t="e">
        <f t="shared" ref="O91:O98" si="41">O79/C79</f>
        <v>#DIV/0!</v>
      </c>
    </row>
    <row r="92" spans="1:15" x14ac:dyDescent="0.25">
      <c r="A92" t="s">
        <v>16</v>
      </c>
      <c r="B92" s="109"/>
      <c r="C92" s="109" t="e">
        <f t="shared" si="30"/>
        <v>#DIV/0!</v>
      </c>
      <c r="D92" s="109" t="e">
        <f t="shared" si="30"/>
        <v>#DIV/0!</v>
      </c>
      <c r="E92" s="109" t="e">
        <f t="shared" si="31"/>
        <v>#DIV/0!</v>
      </c>
      <c r="F92" s="109" t="e">
        <f t="shared" si="32"/>
        <v>#DIV/0!</v>
      </c>
      <c r="G92" s="109" t="e">
        <f t="shared" si="33"/>
        <v>#DIV/0!</v>
      </c>
      <c r="H92" s="109" t="e">
        <f t="shared" si="34"/>
        <v>#DIV/0!</v>
      </c>
      <c r="I92" s="109" t="e">
        <f t="shared" si="35"/>
        <v>#DIV/0!</v>
      </c>
      <c r="J92" s="109" t="e">
        <f t="shared" si="36"/>
        <v>#DIV/0!</v>
      </c>
      <c r="K92" s="109" t="e">
        <f t="shared" si="37"/>
        <v>#DIV/0!</v>
      </c>
      <c r="L92" s="109" t="e">
        <f t="shared" si="38"/>
        <v>#DIV/0!</v>
      </c>
      <c r="M92" s="109" t="e">
        <f t="shared" si="39"/>
        <v>#DIV/0!</v>
      </c>
      <c r="N92" s="109" t="e">
        <f t="shared" si="40"/>
        <v>#DIV/0!</v>
      </c>
      <c r="O92" s="109" t="e">
        <f t="shared" si="41"/>
        <v>#DIV/0!</v>
      </c>
    </row>
    <row r="93" spans="1:15" x14ac:dyDescent="0.25">
      <c r="A93" t="s">
        <v>17</v>
      </c>
      <c r="B93" s="109"/>
      <c r="C93" s="109" t="e">
        <f t="shared" si="30"/>
        <v>#DIV/0!</v>
      </c>
      <c r="D93" s="109" t="e">
        <f t="shared" si="30"/>
        <v>#DIV/0!</v>
      </c>
      <c r="E93" s="109" t="e">
        <f t="shared" si="31"/>
        <v>#DIV/0!</v>
      </c>
      <c r="F93" s="109" t="e">
        <f t="shared" si="32"/>
        <v>#DIV/0!</v>
      </c>
      <c r="G93" s="109" t="e">
        <f t="shared" si="33"/>
        <v>#DIV/0!</v>
      </c>
      <c r="H93" s="109" t="e">
        <f t="shared" si="34"/>
        <v>#DIV/0!</v>
      </c>
      <c r="I93" s="109" t="e">
        <f t="shared" si="35"/>
        <v>#DIV/0!</v>
      </c>
      <c r="J93" s="109" t="e">
        <f t="shared" si="36"/>
        <v>#DIV/0!</v>
      </c>
      <c r="K93" s="109" t="e">
        <f t="shared" si="37"/>
        <v>#DIV/0!</v>
      </c>
      <c r="L93" s="109" t="e">
        <f t="shared" si="38"/>
        <v>#DIV/0!</v>
      </c>
      <c r="M93" s="109" t="e">
        <f t="shared" si="39"/>
        <v>#DIV/0!</v>
      </c>
      <c r="N93" s="109" t="e">
        <f t="shared" si="40"/>
        <v>#DIV/0!</v>
      </c>
      <c r="O93" s="109" t="e">
        <f t="shared" si="41"/>
        <v>#DIV/0!</v>
      </c>
    </row>
    <row r="94" spans="1:15" x14ac:dyDescent="0.25">
      <c r="A94" t="s">
        <v>18</v>
      </c>
      <c r="B94" s="109"/>
      <c r="C94" s="109" t="e">
        <f t="shared" si="30"/>
        <v>#DIV/0!</v>
      </c>
      <c r="D94" s="109" t="e">
        <f t="shared" si="30"/>
        <v>#DIV/0!</v>
      </c>
      <c r="E94" s="109" t="e">
        <f t="shared" si="31"/>
        <v>#DIV/0!</v>
      </c>
      <c r="F94" s="109" t="e">
        <f t="shared" si="32"/>
        <v>#DIV/0!</v>
      </c>
      <c r="G94" s="109" t="e">
        <f t="shared" si="33"/>
        <v>#DIV/0!</v>
      </c>
      <c r="H94" s="109" t="e">
        <f t="shared" si="34"/>
        <v>#DIV/0!</v>
      </c>
      <c r="I94" s="109" t="e">
        <f t="shared" si="35"/>
        <v>#DIV/0!</v>
      </c>
      <c r="J94" s="109" t="e">
        <f t="shared" si="36"/>
        <v>#DIV/0!</v>
      </c>
      <c r="K94" s="109" t="e">
        <f t="shared" si="37"/>
        <v>#DIV/0!</v>
      </c>
      <c r="L94" s="109" t="e">
        <f t="shared" si="38"/>
        <v>#DIV/0!</v>
      </c>
      <c r="M94" s="109" t="e">
        <f t="shared" si="39"/>
        <v>#DIV/0!</v>
      </c>
      <c r="N94" s="109" t="e">
        <f t="shared" si="40"/>
        <v>#DIV/0!</v>
      </c>
      <c r="O94" s="109" t="e">
        <f t="shared" si="41"/>
        <v>#DIV/0!</v>
      </c>
    </row>
    <row r="95" spans="1:15" x14ac:dyDescent="0.25">
      <c r="A95" t="s">
        <v>19</v>
      </c>
      <c r="B95" s="109"/>
      <c r="C95" s="109" t="e">
        <f t="shared" si="30"/>
        <v>#DIV/0!</v>
      </c>
      <c r="D95" s="109" t="e">
        <f t="shared" si="30"/>
        <v>#DIV/0!</v>
      </c>
      <c r="E95" s="109" t="e">
        <f t="shared" si="31"/>
        <v>#DIV/0!</v>
      </c>
      <c r="F95" s="109" t="e">
        <f t="shared" si="32"/>
        <v>#DIV/0!</v>
      </c>
      <c r="G95" s="109" t="e">
        <f t="shared" si="33"/>
        <v>#DIV/0!</v>
      </c>
      <c r="H95" s="109" t="e">
        <f t="shared" si="34"/>
        <v>#DIV/0!</v>
      </c>
      <c r="I95" s="109" t="e">
        <f t="shared" si="35"/>
        <v>#DIV/0!</v>
      </c>
      <c r="J95" s="109" t="e">
        <f t="shared" si="36"/>
        <v>#DIV/0!</v>
      </c>
      <c r="K95" s="109" t="e">
        <f t="shared" si="37"/>
        <v>#DIV/0!</v>
      </c>
      <c r="L95" s="109" t="e">
        <f t="shared" si="38"/>
        <v>#DIV/0!</v>
      </c>
      <c r="M95" s="109" t="e">
        <f t="shared" si="39"/>
        <v>#DIV/0!</v>
      </c>
      <c r="N95" s="109" t="e">
        <f t="shared" si="40"/>
        <v>#DIV/0!</v>
      </c>
      <c r="O95" s="109" t="e">
        <f t="shared" si="41"/>
        <v>#DIV/0!</v>
      </c>
    </row>
    <row r="96" spans="1:15" x14ac:dyDescent="0.25">
      <c r="A96" t="s">
        <v>20</v>
      </c>
      <c r="B96" s="109"/>
      <c r="C96" s="109" t="e">
        <f t="shared" si="30"/>
        <v>#DIV/0!</v>
      </c>
      <c r="D96" s="109" t="e">
        <f t="shared" si="30"/>
        <v>#DIV/0!</v>
      </c>
      <c r="E96" s="109" t="e">
        <f t="shared" si="31"/>
        <v>#DIV/0!</v>
      </c>
      <c r="F96" s="109" t="e">
        <f t="shared" si="32"/>
        <v>#DIV/0!</v>
      </c>
      <c r="G96" s="109" t="e">
        <f t="shared" si="33"/>
        <v>#DIV/0!</v>
      </c>
      <c r="H96" s="109" t="e">
        <f t="shared" si="34"/>
        <v>#DIV/0!</v>
      </c>
      <c r="I96" s="109" t="e">
        <f t="shared" si="35"/>
        <v>#DIV/0!</v>
      </c>
      <c r="J96" s="109" t="e">
        <f t="shared" si="36"/>
        <v>#DIV/0!</v>
      </c>
      <c r="K96" s="109" t="e">
        <f t="shared" si="37"/>
        <v>#DIV/0!</v>
      </c>
      <c r="L96" s="109" t="e">
        <f t="shared" si="38"/>
        <v>#DIV/0!</v>
      </c>
      <c r="M96" s="109" t="e">
        <f t="shared" si="39"/>
        <v>#DIV/0!</v>
      </c>
      <c r="N96" s="109" t="e">
        <f t="shared" si="40"/>
        <v>#DIV/0!</v>
      </c>
      <c r="O96" s="109" t="e">
        <f t="shared" si="41"/>
        <v>#DIV/0!</v>
      </c>
    </row>
    <row r="97" spans="1:15" x14ac:dyDescent="0.25">
      <c r="A97" t="s">
        <v>21</v>
      </c>
      <c r="B97" s="109"/>
      <c r="C97" s="109" t="e">
        <f t="shared" si="30"/>
        <v>#DIV/0!</v>
      </c>
      <c r="D97" s="109" t="e">
        <f t="shared" si="30"/>
        <v>#DIV/0!</v>
      </c>
      <c r="E97" s="109" t="e">
        <f t="shared" si="31"/>
        <v>#DIV/0!</v>
      </c>
      <c r="F97" s="109" t="e">
        <f t="shared" si="32"/>
        <v>#DIV/0!</v>
      </c>
      <c r="G97" s="109" t="e">
        <f t="shared" si="33"/>
        <v>#DIV/0!</v>
      </c>
      <c r="H97" s="109" t="e">
        <f t="shared" si="34"/>
        <v>#DIV/0!</v>
      </c>
      <c r="I97" s="109" t="e">
        <f t="shared" si="35"/>
        <v>#DIV/0!</v>
      </c>
      <c r="J97" s="109" t="e">
        <f t="shared" si="36"/>
        <v>#DIV/0!</v>
      </c>
      <c r="K97" s="109" t="e">
        <f t="shared" si="37"/>
        <v>#DIV/0!</v>
      </c>
      <c r="L97" s="109" t="e">
        <f t="shared" si="38"/>
        <v>#DIV/0!</v>
      </c>
      <c r="M97" s="109" t="e">
        <f t="shared" si="39"/>
        <v>#DIV/0!</v>
      </c>
      <c r="N97" s="109" t="e">
        <f t="shared" si="40"/>
        <v>#DIV/0!</v>
      </c>
      <c r="O97" s="109" t="e">
        <f t="shared" si="41"/>
        <v>#DIV/0!</v>
      </c>
    </row>
    <row r="98" spans="1:15" x14ac:dyDescent="0.25">
      <c r="A98" t="s">
        <v>14</v>
      </c>
      <c r="B98" s="109"/>
      <c r="C98" s="109" t="e">
        <f t="shared" ref="C98:D98" si="42">C86/B86</f>
        <v>#DIV/0!</v>
      </c>
      <c r="D98" s="109" t="e">
        <f t="shared" si="42"/>
        <v>#DIV/0!</v>
      </c>
      <c r="E98" s="109" t="e">
        <f t="shared" si="31"/>
        <v>#DIV/0!</v>
      </c>
      <c r="F98" s="109" t="e">
        <f t="shared" si="32"/>
        <v>#DIV/0!</v>
      </c>
      <c r="G98" s="109" t="e">
        <f t="shared" si="33"/>
        <v>#DIV/0!</v>
      </c>
      <c r="H98" s="109" t="e">
        <f t="shared" si="34"/>
        <v>#DIV/0!</v>
      </c>
      <c r="I98" s="109" t="e">
        <f t="shared" si="35"/>
        <v>#DIV/0!</v>
      </c>
      <c r="J98" s="109" t="e">
        <f t="shared" si="36"/>
        <v>#DIV/0!</v>
      </c>
      <c r="K98" s="109" t="e">
        <f t="shared" si="37"/>
        <v>#DIV/0!</v>
      </c>
      <c r="L98" s="109" t="e">
        <f t="shared" si="38"/>
        <v>#DIV/0!</v>
      </c>
      <c r="M98" s="109" t="e">
        <f t="shared" si="39"/>
        <v>#DIV/0!</v>
      </c>
      <c r="N98" s="109" t="e">
        <f t="shared" si="40"/>
        <v>#DIV/0!</v>
      </c>
      <c r="O98" s="109" t="e">
        <f t="shared" si="41"/>
        <v>#DIV/0!</v>
      </c>
    </row>
    <row r="99" spans="1:15" x14ac:dyDescent="0.25">
      <c r="A99" t="s">
        <v>7329</v>
      </c>
      <c r="B99" s="109"/>
      <c r="C99" s="109" t="e">
        <f t="shared" ref="C99:D99" si="43">C87/B87</f>
        <v>#DIV/0!</v>
      </c>
      <c r="D99" s="109" t="e">
        <f t="shared" si="43"/>
        <v>#DIV/0!</v>
      </c>
      <c r="E99" s="109" t="e">
        <f>E87/C87</f>
        <v>#DIV/0!</v>
      </c>
      <c r="F99" s="109" t="e">
        <f>F87/C87</f>
        <v>#DIV/0!</v>
      </c>
      <c r="G99" s="109" t="e">
        <f>G87/C87</f>
        <v>#DIV/0!</v>
      </c>
      <c r="H99" s="109" t="e">
        <f>H87/C87</f>
        <v>#DIV/0!</v>
      </c>
      <c r="I99" s="109" t="e">
        <f>I87/C87</f>
        <v>#DIV/0!</v>
      </c>
      <c r="J99" s="109" t="e">
        <f>J87/C87</f>
        <v>#DIV/0!</v>
      </c>
      <c r="K99" s="109" t="e">
        <f>K87/C87</f>
        <v>#DIV/0!</v>
      </c>
      <c r="L99" s="109" t="e">
        <f>L87/C87</f>
        <v>#DIV/0!</v>
      </c>
      <c r="M99" s="109" t="e">
        <f>M87/C87</f>
        <v>#DIV/0!</v>
      </c>
      <c r="N99" s="109" t="e">
        <f>N87/C87</f>
        <v>#DIV/0!</v>
      </c>
      <c r="O99" s="109" t="e">
        <f>O87/C87</f>
        <v>#DIV/0!</v>
      </c>
    </row>
    <row r="101" spans="1:15" ht="60" x14ac:dyDescent="0.25">
      <c r="A101" t="s">
        <v>7325</v>
      </c>
      <c r="B101" s="7" t="s">
        <v>7338</v>
      </c>
      <c r="C101" s="7" t="s">
        <v>7354</v>
      </c>
      <c r="D101" s="7" t="s">
        <v>25</v>
      </c>
      <c r="E101" s="7" t="s">
        <v>27</v>
      </c>
      <c r="F101" s="7" t="s">
        <v>29</v>
      </c>
      <c r="G101" s="7" t="s">
        <v>34</v>
      </c>
      <c r="H101" s="7" t="s">
        <v>28</v>
      </c>
      <c r="I101" s="7" t="s">
        <v>26</v>
      </c>
      <c r="J101" s="7" t="s">
        <v>30</v>
      </c>
      <c r="K101" s="7" t="s">
        <v>31</v>
      </c>
      <c r="L101" s="7" t="s">
        <v>33</v>
      </c>
      <c r="M101" s="7" t="s">
        <v>35</v>
      </c>
      <c r="N101" s="7" t="s">
        <v>1954</v>
      </c>
      <c r="O101" s="7" t="s">
        <v>32</v>
      </c>
    </row>
    <row r="102" spans="1:15" x14ac:dyDescent="0.25">
      <c r="A102" t="s">
        <v>41</v>
      </c>
      <c r="B102" s="110"/>
      <c r="C102" s="110">
        <f>SUMIFS(Tabla1[PPTO Neto],Tabla1[AREA],Tabla32[[#This Row],[Area]],Tabla1[Año],'Reporte Licitaciones'!$B$2,Tabla1[Mes],'Reporte Licitaciones'!$B$1,Tabla1[Responsable],'Reporte Licitaciones'!$B$3,Tabla1[Participa],"No")</f>
        <v>0</v>
      </c>
      <c r="D102" s="110">
        <f>SUMIFS(Tabla1[PPTO Neto],Tabla1[AREA],Tabla32[[#This Row],[Area]],Tabla1[Año],'Reporte Licitaciones'!$B$2,Tabla1[Mes],'Reporte Licitaciones'!$B$1,Tabla1[Responsable],'Reporte Licitaciones'!$B$3,Tabla1[Participa],"No",Tabla1[Motivo],"Comercial no responde")</f>
        <v>0</v>
      </c>
      <c r="E102" s="110">
        <f>SUMIFS(Tabla1[PPTO Neto],Tabla1[AREA],Tabla32[[#This Row],[Area]],Tabla1[Año],'Reporte Licitaciones'!$B$2,Tabla1[Mes],'Reporte Licitaciones'!$B$1,Tabla1[Responsable],'Reporte Licitaciones'!$B$3,Tabla1[Participa],"No",Tabla1[Motivo],"Monto bajo")</f>
        <v>0</v>
      </c>
      <c r="F102" s="110">
        <f>SUMIFS(Tabla1[PPTO Neto],Tabla1[AREA],Tabla32[[#This Row],[Area]],Tabla1[Año],'Reporte Licitaciones'!$B$2,Tabla1[Mes],'Reporte Licitaciones'!$B$1,Tabla1[Responsable],'Reporte Licitaciones'!$B$3,Tabla1[Participa],"No",Tabla1[Motivo],"No cumple requerimientos técnicos")</f>
        <v>0</v>
      </c>
      <c r="G102" s="110">
        <f>SUMIFS(Tabla1[PPTO Neto],Tabla1[AREA],Tabla32[[#This Row],[Area]],Tabla1[Año],'Reporte Licitaciones'!$B$2,Tabla1[Mes],'Reporte Licitaciones'!$B$1,Tabla1[Responsable],'Reporte Licitaciones'!$B$3,Tabla1[Participa],"No",Tabla1[Motivo],"Sin stock")</f>
        <v>0</v>
      </c>
      <c r="H102" s="110">
        <f>SUMIFS(Tabla1[PPTO Neto],Tabla1[AREA],Tabla32[[#This Row],[Area]],Tabla1[Año],'Reporte Licitaciones'!$B$2,Tabla1[Mes],'Reporte Licitaciones'!$B$1,Tabla1[Responsable],'Reporte Licitaciones'!$B$3,Tabla1[Participa],"No",Tabla1[Motivo],"No comercializamos")</f>
        <v>0</v>
      </c>
      <c r="I102" s="110">
        <f>SUMIFS(Tabla1[PPTO Neto],Tabla1[AREA],Tabla32[[#This Row],[Area]],Tabla1[Año],'Reporte Licitaciones'!$B$2,Tabla1[Mes],'Reporte Licitaciones'!$B$1,Tabla1[Responsable],'Reporte Licitaciones'!$B$3,Tabla1[Participa],"No",Tabla1[Motivo],"Fuera del Presupuesto")</f>
        <v>0</v>
      </c>
      <c r="J102" s="110">
        <f>SUMIFS(Tabla1[PPTO Neto],Tabla1[AREA],Tabla32[[#This Row],[Area]],Tabla1[Año],'Reporte Licitaciones'!$B$2,Tabla1[Mes],'Reporte Licitaciones'!$B$1,Tabla1[Responsable],'Reporte Licitaciones'!$B$3,Tabla1[Participa],"No",Tabla1[Motivo],"No se alcanza a presentar boleta")</f>
        <v>0</v>
      </c>
      <c r="K102" s="110">
        <f>SUMIFS(Tabla1[PPTO Neto],Tabla1[AREA],Tabla32[[#This Row],[Area]],Tabla1[Año],'Reporte Licitaciones'!$B$2,Tabla1[Mes],'Reporte Licitaciones'!$B$1,Tabla1[Responsable],'Reporte Licitaciones'!$B$3,Tabla1[Participa],"No",Tabla1[Motivo],"No se presenta a la visita a terreno")</f>
        <v>0</v>
      </c>
      <c r="L102" s="110">
        <f>SUMIFS(Tabla1[PPTO Neto],Tabla1[AREA],Tabla32[[#This Row],[Area]],Tabla1[Año],'Reporte Licitaciones'!$B$2,Tabla1[Mes],'Reporte Licitaciones'!$B$1,Tabla1[Responsable],'Reporte Licitaciones'!$B$3,Tabla1[Participa],"No",Tabla1[Motivo],"Sin cobertura")</f>
        <v>0</v>
      </c>
      <c r="M102" s="110">
        <f>SUMIFS(Tabla1[PPTO Neto],Tabla1[AREA],Tabla32[[#This Row],[Area]],Tabla1[Año],'Reporte Licitaciones'!$B$2,Tabla1[Mes],'Reporte Licitaciones'!$B$1,Tabla1[Responsable],'Reporte Licitaciones'!$B$3,Tabla1[Participa],"No",Tabla1[Motivo],"Tiempo reducido para ofertar")</f>
        <v>0</v>
      </c>
      <c r="N102" s="110">
        <f>SUMIFS(Tabla1[PPTO Neto],Tabla1[AREA],Tabla32[[#This Row],[Area]],Tabla1[Año],'Reporte Licitaciones'!$B$2,Tabla1[Mes],'Reporte Licitaciones'!$B$1,Tabla1[Responsable],'Reporte Licitaciones'!$B$3,Tabla1[Participa],"No",Tabla1[Motivo],"No suben las Bases")</f>
        <v>0</v>
      </c>
      <c r="O102" s="110">
        <f>SUMIFS(Tabla1[PPTO Neto],Tabla1[AREA],Tabla32[[#This Row],[Area]],Tabla1[Año],'Reporte Licitaciones'!$B$2,Tabla1[Mes],'Reporte Licitaciones'!$B$1,Tabla1[Responsable],'Reporte Licitaciones'!$B$3,Tabla1[Participa],"No",Tabla1[Motivo],"No se suben preguntas")</f>
        <v>0</v>
      </c>
    </row>
    <row r="103" spans="1:15" x14ac:dyDescent="0.25">
      <c r="A103" t="s">
        <v>15</v>
      </c>
      <c r="B103" s="110"/>
      <c r="C103" s="110">
        <f>SUMIFS(Tabla1[PPTO Neto],Tabla1[AREA],Tabla32[[#This Row],[Area]],Tabla1[Año],'Reporte Licitaciones'!$B$2,Tabla1[Mes],'Reporte Licitaciones'!$B$1,Tabla1[Responsable],'Reporte Licitaciones'!$B$3,Tabla1[Participa],"No")</f>
        <v>0</v>
      </c>
      <c r="D103" s="110">
        <f>SUMIFS(Tabla1[PPTO Neto],Tabla1[AREA],Tabla32[[#This Row],[Area]],Tabla1[Año],'Reporte Licitaciones'!$B$2,Tabla1[Mes],'Reporte Licitaciones'!$B$1,Tabla1[Responsable],'Reporte Licitaciones'!$B$3,Tabla1[Participa],"No",Tabla1[Motivo],"Comercial no responde")</f>
        <v>0</v>
      </c>
      <c r="E103" s="110">
        <f>SUMIFS(Tabla1[PPTO Neto],Tabla1[AREA],Tabla32[[#This Row],[Area]],Tabla1[Año],'Reporte Licitaciones'!$B$2,Tabla1[Mes],'Reporte Licitaciones'!$B$1,Tabla1[Responsable],'Reporte Licitaciones'!$B$3,Tabla1[Participa],"No",Tabla1[Motivo],"Monto bajo")</f>
        <v>0</v>
      </c>
      <c r="F103" s="110">
        <f>SUMIFS(Tabla1[PPTO Neto],Tabla1[AREA],Tabla32[[#This Row],[Area]],Tabla1[Año],'Reporte Licitaciones'!$B$2,Tabla1[Mes],'Reporte Licitaciones'!$B$1,Tabla1[Responsable],'Reporte Licitaciones'!$B$3,Tabla1[Participa],"No",Tabla1[Motivo],"No cumple requerimientos técnicos")</f>
        <v>0</v>
      </c>
      <c r="G103" s="110">
        <f>SUMIFS(Tabla1[PPTO Neto],Tabla1[AREA],Tabla32[[#This Row],[Area]],Tabla1[Año],'Reporte Licitaciones'!$B$2,Tabla1[Mes],'Reporte Licitaciones'!$B$1,Tabla1[Responsable],'Reporte Licitaciones'!$B$3,Tabla1[Participa],"No",Tabla1[Motivo],"Sin stock")</f>
        <v>0</v>
      </c>
      <c r="H103" s="110">
        <f>SUMIFS(Tabla1[PPTO Neto],Tabla1[AREA],Tabla32[[#This Row],[Area]],Tabla1[Año],'Reporte Licitaciones'!$B$2,Tabla1[Mes],'Reporte Licitaciones'!$B$1,Tabla1[Responsable],'Reporte Licitaciones'!$B$3,Tabla1[Participa],"No",Tabla1[Motivo],"No comercializamos")</f>
        <v>0</v>
      </c>
      <c r="I103" s="110">
        <f>SUMIFS(Tabla1[PPTO Neto],Tabla1[AREA],Tabla32[[#This Row],[Area]],Tabla1[Año],'Reporte Licitaciones'!$B$2,Tabla1[Mes],'Reporte Licitaciones'!$B$1,Tabla1[Responsable],'Reporte Licitaciones'!$B$3,Tabla1[Participa],"No",Tabla1[Motivo],"Fuera del Presupuesto")</f>
        <v>0</v>
      </c>
      <c r="J103" s="110">
        <f>SUMIFS(Tabla1[PPTO Neto],Tabla1[AREA],Tabla32[[#This Row],[Area]],Tabla1[Año],'Reporte Licitaciones'!$B$2,Tabla1[Mes],'Reporte Licitaciones'!$B$1,Tabla1[Responsable],'Reporte Licitaciones'!$B$3,Tabla1[Participa],"No",Tabla1[Motivo],"No se alcanza a presentar boleta")</f>
        <v>0</v>
      </c>
      <c r="K103" s="110">
        <f>SUMIFS(Tabla1[PPTO Neto],Tabla1[AREA],Tabla32[[#This Row],[Area]],Tabla1[Año],'Reporte Licitaciones'!$B$2,Tabla1[Mes],'Reporte Licitaciones'!$B$1,Tabla1[Responsable],'Reporte Licitaciones'!$B$3,Tabla1[Participa],"No",Tabla1[Motivo],"No se presenta a la visita a terreno")</f>
        <v>0</v>
      </c>
      <c r="L103" s="110">
        <f>SUMIFS(Tabla1[PPTO Neto],Tabla1[AREA],Tabla32[[#This Row],[Area]],Tabla1[Año],'Reporte Licitaciones'!$B$2,Tabla1[Mes],'Reporte Licitaciones'!$B$1,Tabla1[Responsable],'Reporte Licitaciones'!$B$3,Tabla1[Participa],"No",Tabla1[Motivo],"Sin cobertura")</f>
        <v>0</v>
      </c>
      <c r="M103" s="110">
        <f>SUMIFS(Tabla1[PPTO Neto],Tabla1[AREA],Tabla32[[#This Row],[Area]],Tabla1[Año],'Reporte Licitaciones'!$B$2,Tabla1[Mes],'Reporte Licitaciones'!$B$1,Tabla1[Responsable],'Reporte Licitaciones'!$B$3,Tabla1[Participa],"No",Tabla1[Motivo],"Tiempo reducido para ofertar")</f>
        <v>0</v>
      </c>
      <c r="N103" s="110">
        <f>SUMIFS(Tabla1[PPTO Neto],Tabla1[AREA],Tabla32[[#This Row],[Area]],Tabla1[Año],'Reporte Licitaciones'!$B$2,Tabla1[Mes],'Reporte Licitaciones'!$B$1,Tabla1[Responsable],'Reporte Licitaciones'!$B$3,Tabla1[Participa],"No",Tabla1[Motivo],"No suben las Bases")</f>
        <v>0</v>
      </c>
      <c r="O103" s="110">
        <f>SUMIFS(Tabla1[PPTO Neto],Tabla1[AREA],Tabla32[[#This Row],[Area]],Tabla1[Año],'Reporte Licitaciones'!$B$2,Tabla1[Mes],'Reporte Licitaciones'!$B$1,Tabla1[Responsable],'Reporte Licitaciones'!$B$3,Tabla1[Participa],"No",Tabla1[Motivo],"No se suben preguntas")</f>
        <v>0</v>
      </c>
    </row>
    <row r="104" spans="1:15" x14ac:dyDescent="0.25">
      <c r="A104" t="s">
        <v>16</v>
      </c>
      <c r="B104" s="110"/>
      <c r="C104" s="110">
        <f>SUMIFS(Tabla1[PPTO Neto],Tabla1[AREA],Tabla32[[#This Row],[Area]],Tabla1[Año],'Reporte Licitaciones'!$B$2,Tabla1[Mes],'Reporte Licitaciones'!$B$1,Tabla1[Responsable],'Reporte Licitaciones'!$B$3,Tabla1[Participa],"No")</f>
        <v>0</v>
      </c>
      <c r="D104" s="110">
        <f>SUMIFS(Tabla1[PPTO Neto],Tabla1[AREA],Tabla32[[#This Row],[Area]],Tabla1[Año],'Reporte Licitaciones'!$B$2,Tabla1[Mes],'Reporte Licitaciones'!$B$1,Tabla1[Responsable],'Reporte Licitaciones'!$B$3,Tabla1[Participa],"No",Tabla1[Motivo],"Comercial no responde")</f>
        <v>0</v>
      </c>
      <c r="E104" s="110">
        <f>SUMIFS(Tabla1[PPTO Neto],Tabla1[AREA],Tabla32[[#This Row],[Area]],Tabla1[Año],'Reporte Licitaciones'!$B$2,Tabla1[Mes],'Reporte Licitaciones'!$B$1,Tabla1[Responsable],'Reporte Licitaciones'!$B$3,Tabla1[Participa],"No",Tabla1[Motivo],"Monto bajo")</f>
        <v>0</v>
      </c>
      <c r="F104" s="110">
        <f>SUMIFS(Tabla1[PPTO Neto],Tabla1[AREA],Tabla32[[#This Row],[Area]],Tabla1[Año],'Reporte Licitaciones'!$B$2,Tabla1[Mes],'Reporte Licitaciones'!$B$1,Tabla1[Responsable],'Reporte Licitaciones'!$B$3,Tabla1[Participa],"No",Tabla1[Motivo],"No cumple requerimientos técnicos")</f>
        <v>0</v>
      </c>
      <c r="G104" s="110">
        <f>SUMIFS(Tabla1[PPTO Neto],Tabla1[AREA],Tabla32[[#This Row],[Area]],Tabla1[Año],'Reporte Licitaciones'!$B$2,Tabla1[Mes],'Reporte Licitaciones'!$B$1,Tabla1[Responsable],'Reporte Licitaciones'!$B$3,Tabla1[Participa],"No",Tabla1[Motivo],"Sin stock")</f>
        <v>0</v>
      </c>
      <c r="H104" s="110">
        <f>SUMIFS(Tabla1[PPTO Neto],Tabla1[AREA],Tabla32[[#This Row],[Area]],Tabla1[Año],'Reporte Licitaciones'!$B$2,Tabla1[Mes],'Reporte Licitaciones'!$B$1,Tabla1[Responsable],'Reporte Licitaciones'!$B$3,Tabla1[Participa],"No",Tabla1[Motivo],"No comercializamos")</f>
        <v>0</v>
      </c>
      <c r="I104" s="110">
        <f>SUMIFS(Tabla1[PPTO Neto],Tabla1[AREA],Tabla32[[#This Row],[Area]],Tabla1[Año],'Reporte Licitaciones'!$B$2,Tabla1[Mes],'Reporte Licitaciones'!$B$1,Tabla1[Responsable],'Reporte Licitaciones'!$B$3,Tabla1[Participa],"No",Tabla1[Motivo],"Fuera del Presupuesto")</f>
        <v>0</v>
      </c>
      <c r="J104" s="110">
        <f>SUMIFS(Tabla1[PPTO Neto],Tabla1[AREA],Tabla32[[#This Row],[Area]],Tabla1[Año],'Reporte Licitaciones'!$B$2,Tabla1[Mes],'Reporte Licitaciones'!$B$1,Tabla1[Responsable],'Reporte Licitaciones'!$B$3,Tabla1[Participa],"No",Tabla1[Motivo],"No se alcanza a presentar boleta")</f>
        <v>0</v>
      </c>
      <c r="K104" s="110">
        <f>SUMIFS(Tabla1[PPTO Neto],Tabla1[AREA],Tabla32[[#This Row],[Area]],Tabla1[Año],'Reporte Licitaciones'!$B$2,Tabla1[Mes],'Reporte Licitaciones'!$B$1,Tabla1[Responsable],'Reporte Licitaciones'!$B$3,Tabla1[Participa],"No",Tabla1[Motivo],"No se presenta a la visita a terreno")</f>
        <v>0</v>
      </c>
      <c r="L104" s="110">
        <f>SUMIFS(Tabla1[PPTO Neto],Tabla1[AREA],Tabla32[[#This Row],[Area]],Tabla1[Año],'Reporte Licitaciones'!$B$2,Tabla1[Mes],'Reporte Licitaciones'!$B$1,Tabla1[Responsable],'Reporte Licitaciones'!$B$3,Tabla1[Participa],"No",Tabla1[Motivo],"Sin cobertura")</f>
        <v>0</v>
      </c>
      <c r="M104" s="110">
        <f>SUMIFS(Tabla1[PPTO Neto],Tabla1[AREA],Tabla32[[#This Row],[Area]],Tabla1[Año],'Reporte Licitaciones'!$B$2,Tabla1[Mes],'Reporte Licitaciones'!$B$1,Tabla1[Responsable],'Reporte Licitaciones'!$B$3,Tabla1[Participa],"No",Tabla1[Motivo],"Tiempo reducido para ofertar")</f>
        <v>0</v>
      </c>
      <c r="N104" s="110">
        <f>SUMIFS(Tabla1[PPTO Neto],Tabla1[AREA],Tabla32[[#This Row],[Area]],Tabla1[Año],'Reporte Licitaciones'!$B$2,Tabla1[Mes],'Reporte Licitaciones'!$B$1,Tabla1[Responsable],'Reporte Licitaciones'!$B$3,Tabla1[Participa],"No",Tabla1[Motivo],"No suben las Bases")</f>
        <v>0</v>
      </c>
      <c r="O104" s="110">
        <f>SUMIFS(Tabla1[PPTO Neto],Tabla1[AREA],Tabla32[[#This Row],[Area]],Tabla1[Año],'Reporte Licitaciones'!$B$2,Tabla1[Mes],'Reporte Licitaciones'!$B$1,Tabla1[Responsable],'Reporte Licitaciones'!$B$3,Tabla1[Participa],"No",Tabla1[Motivo],"No se suben preguntas")</f>
        <v>0</v>
      </c>
    </row>
    <row r="105" spans="1:15" x14ac:dyDescent="0.25">
      <c r="A105" t="s">
        <v>17</v>
      </c>
      <c r="B105" s="110"/>
      <c r="C105" s="110">
        <f>SUMIFS(Tabla1[PPTO Neto],Tabla1[AREA],Tabla32[[#This Row],[Area]],Tabla1[Año],'Reporte Licitaciones'!$B$2,Tabla1[Mes],'Reporte Licitaciones'!$B$1,Tabla1[Responsable],'Reporte Licitaciones'!$B$3,Tabla1[Participa],"No")</f>
        <v>0</v>
      </c>
      <c r="D105" s="110">
        <f>SUMIFS(Tabla1[PPTO Neto],Tabla1[AREA],Tabla32[[#This Row],[Area]],Tabla1[Año],'Reporte Licitaciones'!$B$2,Tabla1[Mes],'Reporte Licitaciones'!$B$1,Tabla1[Responsable],'Reporte Licitaciones'!$B$3,Tabla1[Participa],"No",Tabla1[Motivo],"Comercial no responde")</f>
        <v>0</v>
      </c>
      <c r="E105" s="110">
        <f>SUMIFS(Tabla1[PPTO Neto],Tabla1[AREA],Tabla32[[#This Row],[Area]],Tabla1[Año],'Reporte Licitaciones'!$B$2,Tabla1[Mes],'Reporte Licitaciones'!$B$1,Tabla1[Responsable],'Reporte Licitaciones'!$B$3,Tabla1[Participa],"No",Tabla1[Motivo],"Monto bajo")</f>
        <v>0</v>
      </c>
      <c r="F105" s="110">
        <f>SUMIFS(Tabla1[PPTO Neto],Tabla1[AREA],Tabla32[[#This Row],[Area]],Tabla1[Año],'Reporte Licitaciones'!$B$2,Tabla1[Mes],'Reporte Licitaciones'!$B$1,Tabla1[Responsable],'Reporte Licitaciones'!$B$3,Tabla1[Participa],"No",Tabla1[Motivo],"No cumple requerimientos técnicos")</f>
        <v>0</v>
      </c>
      <c r="G105" s="110">
        <f>SUMIFS(Tabla1[PPTO Neto],Tabla1[AREA],Tabla32[[#This Row],[Area]],Tabla1[Año],'Reporte Licitaciones'!$B$2,Tabla1[Mes],'Reporte Licitaciones'!$B$1,Tabla1[Responsable],'Reporte Licitaciones'!$B$3,Tabla1[Participa],"No",Tabla1[Motivo],"Sin stock")</f>
        <v>0</v>
      </c>
      <c r="H105" s="110">
        <f>SUMIFS(Tabla1[PPTO Neto],Tabla1[AREA],Tabla32[[#This Row],[Area]],Tabla1[Año],'Reporte Licitaciones'!$B$2,Tabla1[Mes],'Reporte Licitaciones'!$B$1,Tabla1[Responsable],'Reporte Licitaciones'!$B$3,Tabla1[Participa],"No",Tabla1[Motivo],"No comercializamos")</f>
        <v>0</v>
      </c>
      <c r="I105" s="110">
        <f>SUMIFS(Tabla1[PPTO Neto],Tabla1[AREA],Tabla32[[#This Row],[Area]],Tabla1[Año],'Reporte Licitaciones'!$B$2,Tabla1[Mes],'Reporte Licitaciones'!$B$1,Tabla1[Responsable],'Reporte Licitaciones'!$B$3,Tabla1[Participa],"No",Tabla1[Motivo],"Fuera del Presupuesto")</f>
        <v>0</v>
      </c>
      <c r="J105" s="110">
        <f>SUMIFS(Tabla1[PPTO Neto],Tabla1[AREA],Tabla32[[#This Row],[Area]],Tabla1[Año],'Reporte Licitaciones'!$B$2,Tabla1[Mes],'Reporte Licitaciones'!$B$1,Tabla1[Responsable],'Reporte Licitaciones'!$B$3,Tabla1[Participa],"No",Tabla1[Motivo],"No se alcanza a presentar boleta")</f>
        <v>0</v>
      </c>
      <c r="K105" s="110">
        <f>SUMIFS(Tabla1[PPTO Neto],Tabla1[AREA],Tabla32[[#This Row],[Area]],Tabla1[Año],'Reporte Licitaciones'!$B$2,Tabla1[Mes],'Reporte Licitaciones'!$B$1,Tabla1[Responsable],'Reporte Licitaciones'!$B$3,Tabla1[Participa],"No",Tabla1[Motivo],"No se presenta a la visita a terreno")</f>
        <v>0</v>
      </c>
      <c r="L105" s="110">
        <f>SUMIFS(Tabla1[PPTO Neto],Tabla1[AREA],Tabla32[[#This Row],[Area]],Tabla1[Año],'Reporte Licitaciones'!$B$2,Tabla1[Mes],'Reporte Licitaciones'!$B$1,Tabla1[Responsable],'Reporte Licitaciones'!$B$3,Tabla1[Participa],"No",Tabla1[Motivo],"Sin cobertura")</f>
        <v>0</v>
      </c>
      <c r="M105" s="110">
        <f>SUMIFS(Tabla1[PPTO Neto],Tabla1[AREA],Tabla32[[#This Row],[Area]],Tabla1[Año],'Reporte Licitaciones'!$B$2,Tabla1[Mes],'Reporte Licitaciones'!$B$1,Tabla1[Responsable],'Reporte Licitaciones'!$B$3,Tabla1[Participa],"No",Tabla1[Motivo],"Tiempo reducido para ofertar")</f>
        <v>0</v>
      </c>
      <c r="N105" s="110">
        <f>SUMIFS(Tabla1[PPTO Neto],Tabla1[AREA],Tabla32[[#This Row],[Area]],Tabla1[Año],'Reporte Licitaciones'!$B$2,Tabla1[Mes],'Reporte Licitaciones'!$B$1,Tabla1[Responsable],'Reporte Licitaciones'!$B$3,Tabla1[Participa],"No",Tabla1[Motivo],"No suben las Bases")</f>
        <v>0</v>
      </c>
      <c r="O105" s="110">
        <f>SUMIFS(Tabla1[PPTO Neto],Tabla1[AREA],Tabla32[[#This Row],[Area]],Tabla1[Año],'Reporte Licitaciones'!$B$2,Tabla1[Mes],'Reporte Licitaciones'!$B$1,Tabla1[Responsable],'Reporte Licitaciones'!$B$3,Tabla1[Participa],"No",Tabla1[Motivo],"No se suben preguntas")</f>
        <v>0</v>
      </c>
    </row>
    <row r="106" spans="1:15" x14ac:dyDescent="0.25">
      <c r="A106" t="s">
        <v>18</v>
      </c>
      <c r="B106" s="110"/>
      <c r="C106" s="110">
        <f>SUMIFS(Tabla1[PPTO Neto],Tabla1[AREA],Tabla32[[#This Row],[Area]],Tabla1[Año],'Reporte Licitaciones'!$B$2,Tabla1[Mes],'Reporte Licitaciones'!$B$1,Tabla1[Responsable],'Reporte Licitaciones'!$B$3,Tabla1[Participa],"No")</f>
        <v>0</v>
      </c>
      <c r="D106" s="110">
        <f>SUMIFS(Tabla1[PPTO Neto],Tabla1[AREA],Tabla32[[#This Row],[Area]],Tabla1[Año],'Reporte Licitaciones'!$B$2,Tabla1[Mes],'Reporte Licitaciones'!$B$1,Tabla1[Responsable],'Reporte Licitaciones'!$B$3,Tabla1[Participa],"No",Tabla1[Motivo],"Comercial no responde")</f>
        <v>0</v>
      </c>
      <c r="E106" s="110">
        <f>SUMIFS(Tabla1[PPTO Neto],Tabla1[AREA],Tabla32[[#This Row],[Area]],Tabla1[Año],'Reporte Licitaciones'!$B$2,Tabla1[Mes],'Reporte Licitaciones'!$B$1,Tabla1[Responsable],'Reporte Licitaciones'!$B$3,Tabla1[Participa],"No",Tabla1[Motivo],"Monto bajo")</f>
        <v>0</v>
      </c>
      <c r="F106" s="110">
        <f>SUMIFS(Tabla1[PPTO Neto],Tabla1[AREA],Tabla32[[#This Row],[Area]],Tabla1[Año],'Reporte Licitaciones'!$B$2,Tabla1[Mes],'Reporte Licitaciones'!$B$1,Tabla1[Responsable],'Reporte Licitaciones'!$B$3,Tabla1[Participa],"No",Tabla1[Motivo],"No cumple requerimientos técnicos")</f>
        <v>0</v>
      </c>
      <c r="G106" s="110">
        <f>SUMIFS(Tabla1[PPTO Neto],Tabla1[AREA],Tabla32[[#This Row],[Area]],Tabla1[Año],'Reporte Licitaciones'!$B$2,Tabla1[Mes],'Reporte Licitaciones'!$B$1,Tabla1[Responsable],'Reporte Licitaciones'!$B$3,Tabla1[Participa],"No",Tabla1[Motivo],"Sin stock")</f>
        <v>0</v>
      </c>
      <c r="H106" s="110">
        <f>SUMIFS(Tabla1[PPTO Neto],Tabla1[AREA],Tabla32[[#This Row],[Area]],Tabla1[Año],'Reporte Licitaciones'!$B$2,Tabla1[Mes],'Reporte Licitaciones'!$B$1,Tabla1[Responsable],'Reporte Licitaciones'!$B$3,Tabla1[Participa],"No",Tabla1[Motivo],"No comercializamos")</f>
        <v>0</v>
      </c>
      <c r="I106" s="110">
        <f>SUMIFS(Tabla1[PPTO Neto],Tabla1[AREA],Tabla32[[#This Row],[Area]],Tabla1[Año],'Reporte Licitaciones'!$B$2,Tabla1[Mes],'Reporte Licitaciones'!$B$1,Tabla1[Responsable],'Reporte Licitaciones'!$B$3,Tabla1[Participa],"No",Tabla1[Motivo],"Fuera del Presupuesto")</f>
        <v>0</v>
      </c>
      <c r="J106" s="110">
        <f>SUMIFS(Tabla1[PPTO Neto],Tabla1[AREA],Tabla32[[#This Row],[Area]],Tabla1[Año],'Reporte Licitaciones'!$B$2,Tabla1[Mes],'Reporte Licitaciones'!$B$1,Tabla1[Responsable],'Reporte Licitaciones'!$B$3,Tabla1[Participa],"No",Tabla1[Motivo],"No se alcanza a presentar boleta")</f>
        <v>0</v>
      </c>
      <c r="K106" s="110">
        <f>SUMIFS(Tabla1[PPTO Neto],Tabla1[AREA],Tabla32[[#This Row],[Area]],Tabla1[Año],'Reporte Licitaciones'!$B$2,Tabla1[Mes],'Reporte Licitaciones'!$B$1,Tabla1[Responsable],'Reporte Licitaciones'!$B$3,Tabla1[Participa],"No",Tabla1[Motivo],"No se presenta a la visita a terreno")</f>
        <v>0</v>
      </c>
      <c r="L106" s="110">
        <f>SUMIFS(Tabla1[PPTO Neto],Tabla1[AREA],Tabla32[[#This Row],[Area]],Tabla1[Año],'Reporte Licitaciones'!$B$2,Tabla1[Mes],'Reporte Licitaciones'!$B$1,Tabla1[Responsable],'Reporte Licitaciones'!$B$3,Tabla1[Participa],"No",Tabla1[Motivo],"Sin cobertura")</f>
        <v>0</v>
      </c>
      <c r="M106" s="110">
        <f>SUMIFS(Tabla1[PPTO Neto],Tabla1[AREA],Tabla32[[#This Row],[Area]],Tabla1[Año],'Reporte Licitaciones'!$B$2,Tabla1[Mes],'Reporte Licitaciones'!$B$1,Tabla1[Responsable],'Reporte Licitaciones'!$B$3,Tabla1[Participa],"No",Tabla1[Motivo],"Tiempo reducido para ofertar")</f>
        <v>0</v>
      </c>
      <c r="N106" s="110">
        <f>SUMIFS(Tabla1[PPTO Neto],Tabla1[AREA],Tabla32[[#This Row],[Area]],Tabla1[Año],'Reporte Licitaciones'!$B$2,Tabla1[Mes],'Reporte Licitaciones'!$B$1,Tabla1[Responsable],'Reporte Licitaciones'!$B$3,Tabla1[Participa],"No",Tabla1[Motivo],"No suben las Bases")</f>
        <v>0</v>
      </c>
      <c r="O106" s="110">
        <f>SUMIFS(Tabla1[PPTO Neto],Tabla1[AREA],Tabla32[[#This Row],[Area]],Tabla1[Año],'Reporte Licitaciones'!$B$2,Tabla1[Mes],'Reporte Licitaciones'!$B$1,Tabla1[Responsable],'Reporte Licitaciones'!$B$3,Tabla1[Participa],"No",Tabla1[Motivo],"No se suben preguntas")</f>
        <v>0</v>
      </c>
    </row>
    <row r="107" spans="1:15" x14ac:dyDescent="0.25">
      <c r="A107" t="s">
        <v>19</v>
      </c>
      <c r="B107" s="110"/>
      <c r="C107" s="110">
        <f>SUMIFS(Tabla1[PPTO Neto],Tabla1[AREA],Tabla32[[#This Row],[Area]],Tabla1[Año],'Reporte Licitaciones'!$B$2,Tabla1[Mes],'Reporte Licitaciones'!$B$1,Tabla1[Responsable],'Reporte Licitaciones'!$B$3,Tabla1[Participa],"No")</f>
        <v>0</v>
      </c>
      <c r="D107" s="110">
        <f>SUMIFS(Tabla1[PPTO Neto],Tabla1[AREA],Tabla32[[#This Row],[Area]],Tabla1[Año],'Reporte Licitaciones'!$B$2,Tabla1[Mes],'Reporte Licitaciones'!$B$1,Tabla1[Responsable],'Reporte Licitaciones'!$B$3,Tabla1[Participa],"No",Tabla1[Motivo],"Comercial no responde")</f>
        <v>0</v>
      </c>
      <c r="E107" s="110">
        <f>SUMIFS(Tabla1[PPTO Neto],Tabla1[AREA],Tabla32[[#This Row],[Area]],Tabla1[Año],'Reporte Licitaciones'!$B$2,Tabla1[Mes],'Reporte Licitaciones'!$B$1,Tabla1[Responsable],'Reporte Licitaciones'!$B$3,Tabla1[Participa],"No",Tabla1[Motivo],"Monto bajo")</f>
        <v>0</v>
      </c>
      <c r="F107" s="110">
        <f>SUMIFS(Tabla1[PPTO Neto],Tabla1[AREA],Tabla32[[#This Row],[Area]],Tabla1[Año],'Reporte Licitaciones'!$B$2,Tabla1[Mes],'Reporte Licitaciones'!$B$1,Tabla1[Responsable],'Reporte Licitaciones'!$B$3,Tabla1[Participa],"No",Tabla1[Motivo],"No cumple requerimientos técnicos")</f>
        <v>0</v>
      </c>
      <c r="G107" s="110">
        <f>SUMIFS(Tabla1[PPTO Neto],Tabla1[AREA],Tabla32[[#This Row],[Area]],Tabla1[Año],'Reporte Licitaciones'!$B$2,Tabla1[Mes],'Reporte Licitaciones'!$B$1,Tabla1[Responsable],'Reporte Licitaciones'!$B$3,Tabla1[Participa],"No",Tabla1[Motivo],"Sin stock")</f>
        <v>0</v>
      </c>
      <c r="H107" s="110">
        <f>SUMIFS(Tabla1[PPTO Neto],Tabla1[AREA],Tabla32[[#This Row],[Area]],Tabla1[Año],'Reporte Licitaciones'!$B$2,Tabla1[Mes],'Reporte Licitaciones'!$B$1,Tabla1[Responsable],'Reporte Licitaciones'!$B$3,Tabla1[Participa],"No",Tabla1[Motivo],"No comercializamos")</f>
        <v>0</v>
      </c>
      <c r="I107" s="110">
        <f>SUMIFS(Tabla1[PPTO Neto],Tabla1[AREA],Tabla32[[#This Row],[Area]],Tabla1[Año],'Reporte Licitaciones'!$B$2,Tabla1[Mes],'Reporte Licitaciones'!$B$1,Tabla1[Responsable],'Reporte Licitaciones'!$B$3,Tabla1[Participa],"No",Tabla1[Motivo],"Fuera del Presupuesto")</f>
        <v>0</v>
      </c>
      <c r="J107" s="110">
        <f>SUMIFS(Tabla1[PPTO Neto],Tabla1[AREA],Tabla32[[#This Row],[Area]],Tabla1[Año],'Reporte Licitaciones'!$B$2,Tabla1[Mes],'Reporte Licitaciones'!$B$1,Tabla1[Responsable],'Reporte Licitaciones'!$B$3,Tabla1[Participa],"No",Tabla1[Motivo],"No se alcanza a presentar boleta")</f>
        <v>0</v>
      </c>
      <c r="K107" s="110">
        <f>SUMIFS(Tabla1[PPTO Neto],Tabla1[AREA],Tabla32[[#This Row],[Area]],Tabla1[Año],'Reporte Licitaciones'!$B$2,Tabla1[Mes],'Reporte Licitaciones'!$B$1,Tabla1[Responsable],'Reporte Licitaciones'!$B$3,Tabla1[Participa],"No",Tabla1[Motivo],"No se presenta a la visita a terreno")</f>
        <v>0</v>
      </c>
      <c r="L107" s="110">
        <f>SUMIFS(Tabla1[PPTO Neto],Tabla1[AREA],Tabla32[[#This Row],[Area]],Tabla1[Año],'Reporte Licitaciones'!$B$2,Tabla1[Mes],'Reporte Licitaciones'!$B$1,Tabla1[Responsable],'Reporte Licitaciones'!$B$3,Tabla1[Participa],"No",Tabla1[Motivo],"Sin cobertura")</f>
        <v>0</v>
      </c>
      <c r="M107" s="110">
        <f>SUMIFS(Tabla1[PPTO Neto],Tabla1[AREA],Tabla32[[#This Row],[Area]],Tabla1[Año],'Reporte Licitaciones'!$B$2,Tabla1[Mes],'Reporte Licitaciones'!$B$1,Tabla1[Responsable],'Reporte Licitaciones'!$B$3,Tabla1[Participa],"No",Tabla1[Motivo],"Tiempo reducido para ofertar")</f>
        <v>0</v>
      </c>
      <c r="N107" s="110">
        <f>SUMIFS(Tabla1[PPTO Neto],Tabla1[AREA],Tabla32[[#This Row],[Area]],Tabla1[Año],'Reporte Licitaciones'!$B$2,Tabla1[Mes],'Reporte Licitaciones'!$B$1,Tabla1[Responsable],'Reporte Licitaciones'!$B$3,Tabla1[Participa],"No",Tabla1[Motivo],"No suben las Bases")</f>
        <v>0</v>
      </c>
      <c r="O107" s="110">
        <f>SUMIFS(Tabla1[PPTO Neto],Tabla1[AREA],Tabla32[[#This Row],[Area]],Tabla1[Año],'Reporte Licitaciones'!$B$2,Tabla1[Mes],'Reporte Licitaciones'!$B$1,Tabla1[Responsable],'Reporte Licitaciones'!$B$3,Tabla1[Participa],"No",Tabla1[Motivo],"No se suben preguntas")</f>
        <v>0</v>
      </c>
    </row>
    <row r="108" spans="1:15" x14ac:dyDescent="0.25">
      <c r="A108" t="s">
        <v>20</v>
      </c>
      <c r="B108" s="110"/>
      <c r="C108" s="110">
        <f>SUMIFS(Tabla1[PPTO Neto],Tabla1[AREA],Tabla32[[#This Row],[Area]],Tabla1[Año],'Reporte Licitaciones'!$B$2,Tabla1[Mes],'Reporte Licitaciones'!$B$1,Tabla1[Responsable],'Reporte Licitaciones'!$B$3,Tabla1[Participa],"No")</f>
        <v>0</v>
      </c>
      <c r="D108" s="110">
        <f>SUMIFS(Tabla1[PPTO Neto],Tabla1[AREA],Tabla32[[#This Row],[Area]],Tabla1[Año],'Reporte Licitaciones'!$B$2,Tabla1[Mes],'Reporte Licitaciones'!$B$1,Tabla1[Responsable],'Reporte Licitaciones'!$B$3,Tabla1[Participa],"No",Tabla1[Motivo],"Comercial no responde")</f>
        <v>0</v>
      </c>
      <c r="E108" s="110">
        <f>SUMIFS(Tabla1[PPTO Neto],Tabla1[AREA],Tabla32[[#This Row],[Area]],Tabla1[Año],'Reporte Licitaciones'!$B$2,Tabla1[Mes],'Reporte Licitaciones'!$B$1,Tabla1[Responsable],'Reporte Licitaciones'!$B$3,Tabla1[Participa],"No",Tabla1[Motivo],"Monto bajo")</f>
        <v>0</v>
      </c>
      <c r="F108" s="110">
        <f>SUMIFS(Tabla1[PPTO Neto],Tabla1[AREA],Tabla32[[#This Row],[Area]],Tabla1[Año],'Reporte Licitaciones'!$B$2,Tabla1[Mes],'Reporte Licitaciones'!$B$1,Tabla1[Responsable],'Reporte Licitaciones'!$B$3,Tabla1[Participa],"No",Tabla1[Motivo],"No cumple requerimientos técnicos")</f>
        <v>0</v>
      </c>
      <c r="G108" s="110">
        <f>SUMIFS(Tabla1[PPTO Neto],Tabla1[AREA],Tabla32[[#This Row],[Area]],Tabla1[Año],'Reporte Licitaciones'!$B$2,Tabla1[Mes],'Reporte Licitaciones'!$B$1,Tabla1[Responsable],'Reporte Licitaciones'!$B$3,Tabla1[Participa],"No",Tabla1[Motivo],"Sin stock")</f>
        <v>0</v>
      </c>
      <c r="H108" s="110">
        <f>SUMIFS(Tabla1[PPTO Neto],Tabla1[AREA],Tabla32[[#This Row],[Area]],Tabla1[Año],'Reporte Licitaciones'!$B$2,Tabla1[Mes],'Reporte Licitaciones'!$B$1,Tabla1[Responsable],'Reporte Licitaciones'!$B$3,Tabla1[Participa],"No",Tabla1[Motivo],"No comercializamos")</f>
        <v>0</v>
      </c>
      <c r="I108" s="110">
        <f>SUMIFS(Tabla1[PPTO Neto],Tabla1[AREA],Tabla32[[#This Row],[Area]],Tabla1[Año],'Reporte Licitaciones'!$B$2,Tabla1[Mes],'Reporte Licitaciones'!$B$1,Tabla1[Responsable],'Reporte Licitaciones'!$B$3,Tabla1[Participa],"No",Tabla1[Motivo],"Fuera del Presupuesto")</f>
        <v>0</v>
      </c>
      <c r="J108" s="110">
        <f>SUMIFS(Tabla1[PPTO Neto],Tabla1[AREA],Tabla32[[#This Row],[Area]],Tabla1[Año],'Reporte Licitaciones'!$B$2,Tabla1[Mes],'Reporte Licitaciones'!$B$1,Tabla1[Responsable],'Reporte Licitaciones'!$B$3,Tabla1[Participa],"No",Tabla1[Motivo],"No se alcanza a presentar boleta")</f>
        <v>0</v>
      </c>
      <c r="K108" s="110">
        <f>SUMIFS(Tabla1[PPTO Neto],Tabla1[AREA],Tabla32[[#This Row],[Area]],Tabla1[Año],'Reporte Licitaciones'!$B$2,Tabla1[Mes],'Reporte Licitaciones'!$B$1,Tabla1[Responsable],'Reporte Licitaciones'!$B$3,Tabla1[Participa],"No",Tabla1[Motivo],"No se presenta a la visita a terreno")</f>
        <v>0</v>
      </c>
      <c r="L108" s="110">
        <f>SUMIFS(Tabla1[PPTO Neto],Tabla1[AREA],Tabla32[[#This Row],[Area]],Tabla1[Año],'Reporte Licitaciones'!$B$2,Tabla1[Mes],'Reporte Licitaciones'!$B$1,Tabla1[Responsable],'Reporte Licitaciones'!$B$3,Tabla1[Participa],"No",Tabla1[Motivo],"Sin cobertura")</f>
        <v>0</v>
      </c>
      <c r="M108" s="110">
        <f>SUMIFS(Tabla1[PPTO Neto],Tabla1[AREA],Tabla32[[#This Row],[Area]],Tabla1[Año],'Reporte Licitaciones'!$B$2,Tabla1[Mes],'Reporte Licitaciones'!$B$1,Tabla1[Responsable],'Reporte Licitaciones'!$B$3,Tabla1[Participa],"No",Tabla1[Motivo],"Tiempo reducido para ofertar")</f>
        <v>0</v>
      </c>
      <c r="N108" s="110">
        <f>SUMIFS(Tabla1[PPTO Neto],Tabla1[AREA],Tabla32[[#This Row],[Area]],Tabla1[Año],'Reporte Licitaciones'!$B$2,Tabla1[Mes],'Reporte Licitaciones'!$B$1,Tabla1[Responsable],'Reporte Licitaciones'!$B$3,Tabla1[Participa],"No",Tabla1[Motivo],"No suben las Bases")</f>
        <v>0</v>
      </c>
      <c r="O108" s="110">
        <f>SUMIFS(Tabla1[PPTO Neto],Tabla1[AREA],Tabla32[[#This Row],[Area]],Tabla1[Año],'Reporte Licitaciones'!$B$2,Tabla1[Mes],'Reporte Licitaciones'!$B$1,Tabla1[Responsable],'Reporte Licitaciones'!$B$3,Tabla1[Participa],"No",Tabla1[Motivo],"No se suben preguntas")</f>
        <v>0</v>
      </c>
    </row>
    <row r="109" spans="1:15" x14ac:dyDescent="0.25">
      <c r="A109" t="s">
        <v>21</v>
      </c>
      <c r="B109" s="110"/>
      <c r="C109" s="110">
        <f>SUMIFS(Tabla1[PPTO Neto],Tabla1[AREA],Tabla32[[#This Row],[Area]],Tabla1[Año],'Reporte Licitaciones'!$B$2,Tabla1[Mes],'Reporte Licitaciones'!$B$1,Tabla1[Responsable],'Reporte Licitaciones'!$B$3,Tabla1[Participa],"No")</f>
        <v>0</v>
      </c>
      <c r="D109" s="110">
        <f>SUMIFS(Tabla1[PPTO Neto],Tabla1[AREA],Tabla32[[#This Row],[Area]],Tabla1[Año],'Reporte Licitaciones'!$B$2,Tabla1[Mes],'Reporte Licitaciones'!$B$1,Tabla1[Responsable],'Reporte Licitaciones'!$B$3,Tabla1[Participa],"No",Tabla1[Motivo],"Comercial no responde")</f>
        <v>0</v>
      </c>
      <c r="E109" s="110">
        <f>SUMIFS(Tabla1[PPTO Neto],Tabla1[AREA],Tabla32[[#This Row],[Area]],Tabla1[Año],'Reporte Licitaciones'!$B$2,Tabla1[Mes],'Reporte Licitaciones'!$B$1,Tabla1[Responsable],'Reporte Licitaciones'!$B$3,Tabla1[Participa],"No",Tabla1[Motivo],"Monto bajo")</f>
        <v>0</v>
      </c>
      <c r="F109" s="110">
        <f>SUMIFS(Tabla1[PPTO Neto],Tabla1[AREA],Tabla32[[#This Row],[Area]],Tabla1[Año],'Reporte Licitaciones'!$B$2,Tabla1[Mes],'Reporte Licitaciones'!$B$1,Tabla1[Responsable],'Reporte Licitaciones'!$B$3,Tabla1[Participa],"No",Tabla1[Motivo],"No cumple requerimientos técnicos")</f>
        <v>0</v>
      </c>
      <c r="G109" s="110">
        <f>SUMIFS(Tabla1[PPTO Neto],Tabla1[AREA],Tabla32[[#This Row],[Area]],Tabla1[Año],'Reporte Licitaciones'!$B$2,Tabla1[Mes],'Reporte Licitaciones'!$B$1,Tabla1[Responsable],'Reporte Licitaciones'!$B$3,Tabla1[Participa],"No",Tabla1[Motivo],"Sin stock")</f>
        <v>0</v>
      </c>
      <c r="H109" s="110">
        <f>SUMIFS(Tabla1[PPTO Neto],Tabla1[AREA],Tabla32[[#This Row],[Area]],Tabla1[Año],'Reporte Licitaciones'!$B$2,Tabla1[Mes],'Reporte Licitaciones'!$B$1,Tabla1[Responsable],'Reporte Licitaciones'!$B$3,Tabla1[Participa],"No",Tabla1[Motivo],"No comercializamos")</f>
        <v>0</v>
      </c>
      <c r="I109" s="110">
        <f>SUMIFS(Tabla1[PPTO Neto],Tabla1[AREA],Tabla32[[#This Row],[Area]],Tabla1[Año],'Reporte Licitaciones'!$B$2,Tabla1[Mes],'Reporte Licitaciones'!$B$1,Tabla1[Responsable],'Reporte Licitaciones'!$B$3,Tabla1[Participa],"No",Tabla1[Motivo],"Fuera del Presupuesto")</f>
        <v>0</v>
      </c>
      <c r="J109" s="110">
        <f>SUMIFS(Tabla1[PPTO Neto],Tabla1[AREA],Tabla32[[#This Row],[Area]],Tabla1[Año],'Reporte Licitaciones'!$B$2,Tabla1[Mes],'Reporte Licitaciones'!$B$1,Tabla1[Responsable],'Reporte Licitaciones'!$B$3,Tabla1[Participa],"No",Tabla1[Motivo],"No se alcanza a presentar boleta")</f>
        <v>0</v>
      </c>
      <c r="K109" s="110">
        <f>SUMIFS(Tabla1[PPTO Neto],Tabla1[AREA],Tabla32[[#This Row],[Area]],Tabla1[Año],'Reporte Licitaciones'!$B$2,Tabla1[Mes],'Reporte Licitaciones'!$B$1,Tabla1[Responsable],'Reporte Licitaciones'!$B$3,Tabla1[Participa],"No",Tabla1[Motivo],"No se presenta a la visita a terreno")</f>
        <v>0</v>
      </c>
      <c r="L109" s="110">
        <f>SUMIFS(Tabla1[PPTO Neto],Tabla1[AREA],Tabla32[[#This Row],[Area]],Tabla1[Año],'Reporte Licitaciones'!$B$2,Tabla1[Mes],'Reporte Licitaciones'!$B$1,Tabla1[Responsable],'Reporte Licitaciones'!$B$3,Tabla1[Participa],"No",Tabla1[Motivo],"Sin cobertura")</f>
        <v>0</v>
      </c>
      <c r="M109" s="110">
        <f>SUMIFS(Tabla1[PPTO Neto],Tabla1[AREA],Tabla32[[#This Row],[Area]],Tabla1[Año],'Reporte Licitaciones'!$B$2,Tabla1[Mes],'Reporte Licitaciones'!$B$1,Tabla1[Responsable],'Reporte Licitaciones'!$B$3,Tabla1[Participa],"No",Tabla1[Motivo],"Tiempo reducido para ofertar")</f>
        <v>0</v>
      </c>
      <c r="N109" s="110">
        <f>SUMIFS(Tabla1[PPTO Neto],Tabla1[AREA],Tabla32[[#This Row],[Area]],Tabla1[Año],'Reporte Licitaciones'!$B$2,Tabla1[Mes],'Reporte Licitaciones'!$B$1,Tabla1[Responsable],'Reporte Licitaciones'!$B$3,Tabla1[Participa],"No",Tabla1[Motivo],"No suben las Bases")</f>
        <v>0</v>
      </c>
      <c r="O109" s="110">
        <f>SUMIFS(Tabla1[PPTO Neto],Tabla1[AREA],Tabla32[[#This Row],[Area]],Tabla1[Año],'Reporte Licitaciones'!$B$2,Tabla1[Mes],'Reporte Licitaciones'!$B$1,Tabla1[Responsable],'Reporte Licitaciones'!$B$3,Tabla1[Participa],"No",Tabla1[Motivo],"No se suben preguntas")</f>
        <v>0</v>
      </c>
    </row>
    <row r="110" spans="1:15" x14ac:dyDescent="0.25">
      <c r="A110" t="s">
        <v>14</v>
      </c>
      <c r="B110" s="110"/>
      <c r="C110" s="110">
        <f>SUMIFS(Tabla1[PPTO Neto],Tabla1[AREA],Tabla32[[#This Row],[Area]],Tabla1[Año],'Reporte Licitaciones'!$B$2,Tabla1[Mes],'Reporte Licitaciones'!$B$1,Tabla1[Responsable],'Reporte Licitaciones'!$B$3,Tabla1[Participa],"No")</f>
        <v>0</v>
      </c>
      <c r="D110" s="110">
        <f>SUMIFS(Tabla1[PPTO Neto],Tabla1[AREA],Tabla32[[#This Row],[Area]],Tabla1[Año],'Reporte Licitaciones'!$B$2,Tabla1[Mes],'Reporte Licitaciones'!$B$1,Tabla1[Responsable],'Reporte Licitaciones'!$B$3,Tabla1[Participa],"No",Tabla1[Motivo],"Comercial no responde")</f>
        <v>0</v>
      </c>
      <c r="E110" s="110">
        <f>SUMIFS(Tabla1[PPTO Neto],Tabla1[AREA],Tabla32[[#This Row],[Area]],Tabla1[Año],'Reporte Licitaciones'!$B$2,Tabla1[Mes],'Reporte Licitaciones'!$B$1,Tabla1[Responsable],'Reporte Licitaciones'!$B$3,Tabla1[Participa],"No",Tabla1[Motivo],"Monto bajo")</f>
        <v>0</v>
      </c>
      <c r="F110" s="110">
        <f>SUMIFS(Tabla1[PPTO Neto],Tabla1[AREA],Tabla32[[#This Row],[Area]],Tabla1[Año],'Reporte Licitaciones'!$B$2,Tabla1[Mes],'Reporte Licitaciones'!$B$1,Tabla1[Responsable],'Reporte Licitaciones'!$B$3,Tabla1[Participa],"No",Tabla1[Motivo],"No cumple requerimientos técnicos")</f>
        <v>0</v>
      </c>
      <c r="G110" s="110">
        <f>SUMIFS(Tabla1[PPTO Neto],Tabla1[AREA],Tabla32[[#This Row],[Area]],Tabla1[Año],'Reporte Licitaciones'!$B$2,Tabla1[Mes],'Reporte Licitaciones'!$B$1,Tabla1[Responsable],'Reporte Licitaciones'!$B$3,Tabla1[Participa],"No",Tabla1[Motivo],"Sin stock")</f>
        <v>0</v>
      </c>
      <c r="H110" s="110">
        <f>SUMIFS(Tabla1[PPTO Neto],Tabla1[AREA],Tabla32[[#This Row],[Area]],Tabla1[Año],'Reporte Licitaciones'!$B$2,Tabla1[Mes],'Reporte Licitaciones'!$B$1,Tabla1[Responsable],'Reporte Licitaciones'!$B$3,Tabla1[Participa],"No",Tabla1[Motivo],"No comercializamos")</f>
        <v>0</v>
      </c>
      <c r="I110" s="110">
        <f>SUMIFS(Tabla1[PPTO Neto],Tabla1[AREA],Tabla32[[#This Row],[Area]],Tabla1[Año],'Reporte Licitaciones'!$B$2,Tabla1[Mes],'Reporte Licitaciones'!$B$1,Tabla1[Responsable],'Reporte Licitaciones'!$B$3,Tabla1[Participa],"No",Tabla1[Motivo],"Fuera del Presupuesto")</f>
        <v>0</v>
      </c>
      <c r="J110" s="110">
        <f>SUMIFS(Tabla1[PPTO Neto],Tabla1[AREA],Tabla32[[#This Row],[Area]],Tabla1[Año],'Reporte Licitaciones'!$B$2,Tabla1[Mes],'Reporte Licitaciones'!$B$1,Tabla1[Responsable],'Reporte Licitaciones'!$B$3,Tabla1[Participa],"No",Tabla1[Motivo],"No se alcanza a presentar boleta")</f>
        <v>0</v>
      </c>
      <c r="K110" s="110">
        <f>SUMIFS(Tabla1[PPTO Neto],Tabla1[AREA],Tabla32[[#This Row],[Area]],Tabla1[Año],'Reporte Licitaciones'!$B$2,Tabla1[Mes],'Reporte Licitaciones'!$B$1,Tabla1[Responsable],'Reporte Licitaciones'!$B$3,Tabla1[Participa],"No",Tabla1[Motivo],"No se presenta a la visita a terreno")</f>
        <v>0</v>
      </c>
      <c r="L110" s="110">
        <f>SUMIFS(Tabla1[PPTO Neto],Tabla1[AREA],Tabla32[[#This Row],[Area]],Tabla1[Año],'Reporte Licitaciones'!$B$2,Tabla1[Mes],'Reporte Licitaciones'!$B$1,Tabla1[Responsable],'Reporte Licitaciones'!$B$3,Tabla1[Participa],"No",Tabla1[Motivo],"Sin cobertura")</f>
        <v>0</v>
      </c>
      <c r="M110" s="110">
        <f>SUMIFS(Tabla1[PPTO Neto],Tabla1[AREA],Tabla32[[#This Row],[Area]],Tabla1[Año],'Reporte Licitaciones'!$B$2,Tabla1[Mes],'Reporte Licitaciones'!$B$1,Tabla1[Responsable],'Reporte Licitaciones'!$B$3,Tabla1[Participa],"No",Tabla1[Motivo],"Tiempo reducido para ofertar")</f>
        <v>0</v>
      </c>
      <c r="N110" s="110">
        <f>SUMIFS(Tabla1[PPTO Neto],Tabla1[AREA],Tabla32[[#This Row],[Area]],Tabla1[Año],'Reporte Licitaciones'!$B$2,Tabla1[Mes],'Reporte Licitaciones'!$B$1,Tabla1[Responsable],'Reporte Licitaciones'!$B$3,Tabla1[Participa],"No",Tabla1[Motivo],"No suben las Bases")</f>
        <v>0</v>
      </c>
      <c r="O110" s="110">
        <f>SUMIFS(Tabla1[PPTO Neto],Tabla1[AREA],Tabla32[[#This Row],[Area]],Tabla1[Año],'Reporte Licitaciones'!$B$2,Tabla1[Mes],'Reporte Licitaciones'!$B$1,Tabla1[Responsable],'Reporte Licitaciones'!$B$3,Tabla1[Participa],"No",Tabla1[Motivo],"No se suben preguntas")</f>
        <v>0</v>
      </c>
    </row>
    <row r="111" spans="1:15" x14ac:dyDescent="0.25">
      <c r="A111" t="s">
        <v>7329</v>
      </c>
      <c r="B111" s="110"/>
      <c r="C111" s="110">
        <f>SUBTOTAL(109,C102:C110)</f>
        <v>0</v>
      </c>
      <c r="D111" s="110">
        <f t="shared" ref="D111:O111" si="44">SUBTOTAL(109,D102:D110)</f>
        <v>0</v>
      </c>
      <c r="E111" s="110">
        <f t="shared" si="44"/>
        <v>0</v>
      </c>
      <c r="F111" s="110">
        <f t="shared" si="44"/>
        <v>0</v>
      </c>
      <c r="G111" s="110">
        <f t="shared" si="44"/>
        <v>0</v>
      </c>
      <c r="H111" s="110">
        <f t="shared" si="44"/>
        <v>0</v>
      </c>
      <c r="I111" s="110">
        <f t="shared" si="44"/>
        <v>0</v>
      </c>
      <c r="J111" s="110">
        <f t="shared" si="44"/>
        <v>0</v>
      </c>
      <c r="K111" s="110">
        <f t="shared" si="44"/>
        <v>0</v>
      </c>
      <c r="L111" s="110">
        <f t="shared" si="44"/>
        <v>0</v>
      </c>
      <c r="M111" s="110">
        <f t="shared" si="44"/>
        <v>0</v>
      </c>
      <c r="N111" s="110">
        <f t="shared" si="44"/>
        <v>0</v>
      </c>
      <c r="O111" s="110">
        <f t="shared" si="44"/>
        <v>0</v>
      </c>
    </row>
  </sheetData>
  <dataValidations count="3">
    <dataValidation type="list" allowBlank="1" showInputMessage="1" showErrorMessage="1" sqref="B1" xr:uid="{F40FF3A8-72B1-4A5A-AA72-E647BFFE0A10}">
      <formula1>Mes</formula1>
    </dataValidation>
    <dataValidation type="list" allowBlank="1" showInputMessage="1" showErrorMessage="1" sqref="B3" xr:uid="{96997EB9-DEB3-42DB-ADE5-56F5B927D04C}">
      <formula1>Responsable</formula1>
    </dataValidation>
    <dataValidation type="list" allowBlank="1" showInputMessage="1" showErrorMessage="1" sqref="B2" xr:uid="{25C8D5A9-F954-45DB-AAA4-BC29D844E495}">
      <formula1>Año</formula1>
    </dataValidation>
  </dataValidations>
  <pageMargins left="0.7" right="0.7" top="0.75" bottom="0.75" header="0.3" footer="0.3"/>
  <pageSetup paperSize="9" orientation="portrait" r:id="rId1"/>
  <tableParts count="9">
    <tablePart r:id="rId2"/>
    <tablePart r:id="rId3"/>
    <tablePart r:id="rId4"/>
    <tablePart r:id="rId5"/>
    <tablePart r:id="rId6"/>
    <tablePart r:id="rId7"/>
    <tablePart r:id="rId8"/>
    <tablePart r:id="rId9"/>
    <tablePart r:id="rId10"/>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30768-208D-495C-A12B-54A7EEB44A7C}">
  <dimension ref="A1:AG20"/>
  <sheetViews>
    <sheetView topLeftCell="A7" workbookViewId="0">
      <selection activeCell="G17" sqref="G17"/>
    </sheetView>
  </sheetViews>
  <sheetFormatPr defaultColWidth="11.42578125" defaultRowHeight="15" x14ac:dyDescent="0.25"/>
  <cols>
    <col min="1" max="1" width="10.5703125" customWidth="1"/>
    <col min="3" max="3" width="11.28515625" customWidth="1"/>
    <col min="9" max="9" width="14.42578125" customWidth="1"/>
    <col min="11" max="11" width="12.5703125" customWidth="1"/>
    <col min="25" max="25" width="13.42578125" customWidth="1"/>
  </cols>
  <sheetData>
    <row r="1" spans="1:33" x14ac:dyDescent="0.25">
      <c r="A1" t="s">
        <v>7355</v>
      </c>
      <c r="B1" s="4">
        <v>0.19</v>
      </c>
    </row>
    <row r="3" spans="1:33" x14ac:dyDescent="0.25">
      <c r="A3" t="s">
        <v>59</v>
      </c>
      <c r="C3" t="s">
        <v>6</v>
      </c>
      <c r="E3" t="s">
        <v>24</v>
      </c>
      <c r="G3" t="s">
        <v>63</v>
      </c>
      <c r="I3" t="s">
        <v>64</v>
      </c>
      <c r="K3" t="s">
        <v>100</v>
      </c>
      <c r="M3" t="s">
        <v>7356</v>
      </c>
      <c r="O3" t="s">
        <v>7357</v>
      </c>
      <c r="Q3" t="s">
        <v>7358</v>
      </c>
      <c r="S3" t="s">
        <v>7359</v>
      </c>
      <c r="U3" s="3" t="s">
        <v>39</v>
      </c>
      <c r="W3" s="3" t="s">
        <v>7360</v>
      </c>
      <c r="Y3" t="s">
        <v>7361</v>
      </c>
      <c r="AA3" t="s">
        <v>98</v>
      </c>
      <c r="AC3" t="s">
        <v>177</v>
      </c>
      <c r="AE3" t="s">
        <v>3</v>
      </c>
      <c r="AG3" t="s">
        <v>5</v>
      </c>
    </row>
    <row r="4" spans="1:33" x14ac:dyDescent="0.25">
      <c r="A4" t="s">
        <v>41</v>
      </c>
      <c r="C4" t="s">
        <v>1983</v>
      </c>
      <c r="E4" s="3" t="s">
        <v>11</v>
      </c>
      <c r="G4" t="s">
        <v>28</v>
      </c>
      <c r="I4" t="s">
        <v>11</v>
      </c>
      <c r="K4">
        <v>30</v>
      </c>
      <c r="M4" s="94" t="s">
        <v>11</v>
      </c>
      <c r="O4" t="s">
        <v>11</v>
      </c>
      <c r="Q4" t="s">
        <v>512</v>
      </c>
      <c r="S4" s="83" t="s">
        <v>11</v>
      </c>
      <c r="U4" s="3" t="s">
        <v>44</v>
      </c>
      <c r="W4" s="3" t="s">
        <v>115</v>
      </c>
      <c r="Y4" t="s">
        <v>177</v>
      </c>
      <c r="AA4" t="s">
        <v>11</v>
      </c>
      <c r="AC4" t="s">
        <v>7362</v>
      </c>
      <c r="AE4">
        <v>1</v>
      </c>
      <c r="AG4">
        <v>2021</v>
      </c>
    </row>
    <row r="5" spans="1:33" x14ac:dyDescent="0.25">
      <c r="A5" t="s">
        <v>15</v>
      </c>
      <c r="C5" t="s">
        <v>213</v>
      </c>
      <c r="E5" s="3" t="s">
        <v>10</v>
      </c>
      <c r="G5" t="s">
        <v>25</v>
      </c>
      <c r="I5" t="s">
        <v>10</v>
      </c>
      <c r="K5">
        <v>45</v>
      </c>
      <c r="M5" s="95" t="s">
        <v>10</v>
      </c>
      <c r="O5" t="s">
        <v>10</v>
      </c>
      <c r="Q5" t="s">
        <v>177</v>
      </c>
      <c r="S5" s="96" t="s">
        <v>10</v>
      </c>
      <c r="U5" s="3" t="s">
        <v>137</v>
      </c>
      <c r="W5" s="3" t="s">
        <v>472</v>
      </c>
      <c r="Y5" t="s">
        <v>292</v>
      </c>
      <c r="AA5" t="s">
        <v>7363</v>
      </c>
      <c r="AC5" t="s">
        <v>7364</v>
      </c>
      <c r="AE5">
        <v>2</v>
      </c>
      <c r="AG5">
        <v>2022</v>
      </c>
    </row>
    <row r="6" spans="1:33" x14ac:dyDescent="0.25">
      <c r="A6" t="s">
        <v>16</v>
      </c>
      <c r="C6" t="s">
        <v>778</v>
      </c>
      <c r="G6" t="s">
        <v>29</v>
      </c>
      <c r="U6" s="3" t="s">
        <v>270</v>
      </c>
      <c r="W6" s="3" t="s">
        <v>45</v>
      </c>
      <c r="AA6" t="s">
        <v>7365</v>
      </c>
      <c r="AC6" t="s">
        <v>7366</v>
      </c>
      <c r="AE6">
        <v>3</v>
      </c>
      <c r="AG6">
        <v>2023</v>
      </c>
    </row>
    <row r="7" spans="1:33" x14ac:dyDescent="0.25">
      <c r="A7" t="s">
        <v>17</v>
      </c>
      <c r="C7" t="s">
        <v>910</v>
      </c>
      <c r="G7" t="s">
        <v>34</v>
      </c>
      <c r="U7" s="3" t="s">
        <v>385</v>
      </c>
      <c r="W7" s="3" t="s">
        <v>191</v>
      </c>
      <c r="AE7">
        <v>4</v>
      </c>
    </row>
    <row r="8" spans="1:33" x14ac:dyDescent="0.25">
      <c r="A8" t="s">
        <v>18</v>
      </c>
      <c r="C8" t="s">
        <v>145</v>
      </c>
      <c r="G8" t="s">
        <v>30</v>
      </c>
      <c r="U8" s="3" t="s">
        <v>2439</v>
      </c>
      <c r="W8" s="3" t="s">
        <v>582</v>
      </c>
      <c r="AE8">
        <v>5</v>
      </c>
    </row>
    <row r="9" spans="1:33" x14ac:dyDescent="0.25">
      <c r="A9" t="s">
        <v>19</v>
      </c>
      <c r="C9" t="s">
        <v>106</v>
      </c>
      <c r="G9" t="s">
        <v>27</v>
      </c>
      <c r="U9" s="3" t="s">
        <v>5099</v>
      </c>
      <c r="W9" s="3" t="s">
        <v>205</v>
      </c>
      <c r="AE9">
        <v>6</v>
      </c>
    </row>
    <row r="10" spans="1:33" x14ac:dyDescent="0.25">
      <c r="A10" t="s">
        <v>20</v>
      </c>
      <c r="C10" t="s">
        <v>533</v>
      </c>
      <c r="G10" t="s">
        <v>26</v>
      </c>
      <c r="W10" s="3" t="s">
        <v>7367</v>
      </c>
      <c r="AE10">
        <v>7</v>
      </c>
    </row>
    <row r="11" spans="1:33" x14ac:dyDescent="0.25">
      <c r="A11" t="s">
        <v>21</v>
      </c>
      <c r="C11" t="s">
        <v>2511</v>
      </c>
      <c r="G11" t="s">
        <v>31</v>
      </c>
      <c r="W11" s="3" t="s">
        <v>46</v>
      </c>
      <c r="AE11">
        <v>8</v>
      </c>
    </row>
    <row r="12" spans="1:33" x14ac:dyDescent="0.25">
      <c r="A12" t="s">
        <v>14</v>
      </c>
      <c r="C12" t="s">
        <v>176</v>
      </c>
      <c r="G12" t="s">
        <v>33</v>
      </c>
      <c r="W12" s="3" t="s">
        <v>4798</v>
      </c>
      <c r="AE12">
        <v>9</v>
      </c>
    </row>
    <row r="13" spans="1:33" x14ac:dyDescent="0.25">
      <c r="C13" t="s">
        <v>520</v>
      </c>
      <c r="G13" t="s">
        <v>35</v>
      </c>
      <c r="W13" s="3" t="s">
        <v>1905</v>
      </c>
      <c r="AE13">
        <v>10</v>
      </c>
    </row>
    <row r="14" spans="1:33" x14ac:dyDescent="0.25">
      <c r="C14" t="s">
        <v>123</v>
      </c>
      <c r="G14" t="s">
        <v>1954</v>
      </c>
      <c r="W14" s="3" t="s">
        <v>7346</v>
      </c>
      <c r="AE14">
        <v>11</v>
      </c>
    </row>
    <row r="15" spans="1:33" x14ac:dyDescent="0.25">
      <c r="C15" t="s">
        <v>1596</v>
      </c>
      <c r="G15" t="s">
        <v>32</v>
      </c>
      <c r="AE15">
        <v>12</v>
      </c>
    </row>
    <row r="16" spans="1:33" x14ac:dyDescent="0.25">
      <c r="C16" t="s">
        <v>345</v>
      </c>
      <c r="G16" t="s">
        <v>4489</v>
      </c>
      <c r="AE16" t="s">
        <v>7323</v>
      </c>
    </row>
    <row r="17" spans="3:7" x14ac:dyDescent="0.25">
      <c r="C17" t="s">
        <v>114</v>
      </c>
      <c r="G17" t="s">
        <v>5609</v>
      </c>
    </row>
    <row r="18" spans="3:7" x14ac:dyDescent="0.25">
      <c r="C18" t="s">
        <v>7368</v>
      </c>
    </row>
    <row r="19" spans="3:7" x14ac:dyDescent="0.25">
      <c r="C19" t="s">
        <v>7369</v>
      </c>
    </row>
    <row r="20" spans="3:7" x14ac:dyDescent="0.25">
      <c r="C20" t="s">
        <v>7324</v>
      </c>
    </row>
  </sheetData>
  <sheetProtection algorithmName="SHA-512" hashValue="2ASX13xY+h9goRr+xLQyL3M5gLpJjiPbrWTf+wdRvgC5mqIOKsISwel/trLaGMaa8tlUicBYrBEg6+WwpzpVMw==" saltValue="vx6l6YWOQrH14STqqe4VnQ==" spinCount="100000" sheet="1" objects="1" scenarios="1"/>
  <pageMargins left="0.7" right="0.7" top="0.75" bottom="0.75" header="0.3" footer="0.3"/>
  <tableParts count="17">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31</vt:i4>
      </vt:variant>
    </vt:vector>
  </HeadingPairs>
  <TitlesOfParts>
    <vt:vector size="36" baseType="lpstr">
      <vt:lpstr>Reporte</vt:lpstr>
      <vt:lpstr>Licitaciones</vt:lpstr>
      <vt:lpstr>Cotizaciones</vt:lpstr>
      <vt:lpstr>Reporte Licitaciones</vt:lpstr>
      <vt:lpstr>Lista Datos</vt:lpstr>
      <vt:lpstr>Año</vt:lpstr>
      <vt:lpstr>Cotizaciones!AREA</vt:lpstr>
      <vt:lpstr>AREA</vt:lpstr>
      <vt:lpstr>Cotizaciones!Contrato</vt:lpstr>
      <vt:lpstr>Contrato</vt:lpstr>
      <vt:lpstr>Cotizaciones!Documento</vt:lpstr>
      <vt:lpstr>Documento</vt:lpstr>
      <vt:lpstr>Cotizaciones!Empresa</vt:lpstr>
      <vt:lpstr>Empresa</vt:lpstr>
      <vt:lpstr>Cotizaciones!Estado</vt:lpstr>
      <vt:lpstr>Estado</vt:lpstr>
      <vt:lpstr>Cotizaciones!Goferta</vt:lpstr>
      <vt:lpstr>Goferta</vt:lpstr>
      <vt:lpstr>Mes</vt:lpstr>
      <vt:lpstr>Cotizaciones!Motivo</vt:lpstr>
      <vt:lpstr>Motivo</vt:lpstr>
      <vt:lpstr>Cotizaciones!Muestra</vt:lpstr>
      <vt:lpstr>Muestra</vt:lpstr>
      <vt:lpstr>Cotizaciones!Participa</vt:lpstr>
      <vt:lpstr>Participa</vt:lpstr>
      <vt:lpstr>Cotizaciones!Plazo</vt:lpstr>
      <vt:lpstr>Plazo</vt:lpstr>
      <vt:lpstr>Cotizaciones!Prorroga</vt:lpstr>
      <vt:lpstr>Prorroga</vt:lpstr>
      <vt:lpstr>Cotizaciones!Responsable</vt:lpstr>
      <vt:lpstr>Responsable</vt:lpstr>
      <vt:lpstr>Seguimiento</vt:lpstr>
      <vt:lpstr>Cotizaciones!Terreno</vt:lpstr>
      <vt:lpstr>Terreno</vt:lpstr>
      <vt:lpstr>Cotizaciones!Venta</vt:lpstr>
      <vt:lpstr>Venta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Katherine Teuber</dc:creator>
  <cp:keywords/>
  <dc:description/>
  <cp:lastModifiedBy>Felipe Zebulun (External)</cp:lastModifiedBy>
  <cp:revision/>
  <dcterms:created xsi:type="dcterms:W3CDTF">2023-02-10T19:24:26Z</dcterms:created>
  <dcterms:modified xsi:type="dcterms:W3CDTF">2023-12-19T11:45:22Z</dcterms:modified>
  <cp:category/>
  <cp:contentStatus/>
</cp:coreProperties>
</file>