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3"/>
  </bookViews>
  <sheets>
    <sheet name="BIData" sheetId="1" r:id="rId1"/>
    <sheet name="ReferenceData" sheetId="2" r:id="rId2"/>
    <sheet name="Help-Reference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E137" i="2" l="1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CG69" i="2"/>
  <c r="CF69" i="2"/>
  <c r="CF69" i="1" s="1"/>
  <c r="CE69" i="2"/>
  <c r="CD69" i="2"/>
  <c r="CD69" i="1" s="1"/>
  <c r="CC69" i="2"/>
  <c r="CB69" i="2"/>
  <c r="CB69" i="1" s="1"/>
  <c r="CA69" i="2"/>
  <c r="BZ69" i="2"/>
  <c r="BZ69" i="1" s="1"/>
  <c r="BY69" i="2"/>
  <c r="BX69" i="2"/>
  <c r="BX69" i="1" s="1"/>
  <c r="BW69" i="2"/>
  <c r="BV69" i="2"/>
  <c r="BV69" i="1" s="1"/>
  <c r="BU69" i="2"/>
  <c r="BT69" i="2"/>
  <c r="BT69" i="1" s="1"/>
  <c r="BS69" i="2"/>
  <c r="BR69" i="2"/>
  <c r="BR69" i="1" s="1"/>
  <c r="BQ69" i="2"/>
  <c r="BP69" i="2"/>
  <c r="BP69" i="1" s="1"/>
  <c r="BO69" i="2"/>
  <c r="BN69" i="2"/>
  <c r="BN69" i="1" s="1"/>
  <c r="BM69" i="2"/>
  <c r="BL69" i="2"/>
  <c r="BL69" i="1" s="1"/>
  <c r="BK69" i="2"/>
  <c r="BJ69" i="2"/>
  <c r="BJ69" i="1" s="1"/>
  <c r="BI69" i="2"/>
  <c r="BH69" i="2"/>
  <c r="BH69" i="1" s="1"/>
  <c r="BG69" i="2"/>
  <c r="BF69" i="2"/>
  <c r="BF69" i="1" s="1"/>
  <c r="BE69" i="2"/>
  <c r="BD69" i="2"/>
  <c r="BD69" i="1" s="1"/>
  <c r="BC69" i="2"/>
  <c r="BB69" i="2"/>
  <c r="BB69" i="1" s="1"/>
  <c r="BA69" i="2"/>
  <c r="AZ69" i="2"/>
  <c r="AZ69" i="1" s="1"/>
  <c r="AY69" i="2"/>
  <c r="AX69" i="2"/>
  <c r="AX69" i="1" s="1"/>
  <c r="AW69" i="2"/>
  <c r="AV69" i="2"/>
  <c r="AV69" i="1" s="1"/>
  <c r="AU69" i="2"/>
  <c r="AT69" i="2"/>
  <c r="AT69" i="1" s="1"/>
  <c r="AS69" i="2"/>
  <c r="AR69" i="2"/>
  <c r="AR69" i="1" s="1"/>
  <c r="AQ69" i="2"/>
  <c r="AP69" i="2"/>
  <c r="AP69" i="1" s="1"/>
  <c r="AO69" i="2"/>
  <c r="AN69" i="2"/>
  <c r="AN69" i="1" s="1"/>
  <c r="AM69" i="2"/>
  <c r="AL69" i="2"/>
  <c r="AL69" i="1" s="1"/>
  <c r="AK69" i="2"/>
  <c r="AJ69" i="2"/>
  <c r="AJ69" i="1" s="1"/>
  <c r="AI69" i="2"/>
  <c r="AH69" i="2"/>
  <c r="AH69" i="1" s="1"/>
  <c r="AG69" i="2"/>
  <c r="AF69" i="2"/>
  <c r="AF69" i="1" s="1"/>
  <c r="AE69" i="2"/>
  <c r="AD69" i="2"/>
  <c r="AD69" i="1" s="1"/>
  <c r="AC69" i="2"/>
  <c r="AB69" i="2"/>
  <c r="AB69" i="1" s="1"/>
  <c r="AA69" i="2"/>
  <c r="Z69" i="2"/>
  <c r="Z69" i="1" s="1"/>
  <c r="Y69" i="2"/>
  <c r="X69" i="2"/>
  <c r="X69" i="1" s="1"/>
  <c r="W69" i="2"/>
  <c r="V69" i="2"/>
  <c r="V69" i="1" s="1"/>
  <c r="U69" i="2"/>
  <c r="T69" i="2"/>
  <c r="T69" i="1" s="1"/>
  <c r="S69" i="2"/>
  <c r="R69" i="2"/>
  <c r="R69" i="1" s="1"/>
  <c r="Q69" i="2"/>
  <c r="P69" i="2"/>
  <c r="P69" i="1" s="1"/>
  <c r="O69" i="2"/>
  <c r="N69" i="2"/>
  <c r="N69" i="1" s="1"/>
  <c r="M69" i="2"/>
  <c r="L69" i="2"/>
  <c r="L69" i="1" s="1"/>
  <c r="K69" i="2"/>
  <c r="J69" i="2"/>
  <c r="J69" i="1" s="1"/>
  <c r="I69" i="2"/>
  <c r="H69" i="2"/>
  <c r="H69" i="1" s="1"/>
  <c r="G69" i="2"/>
  <c r="E69" i="2"/>
  <c r="D69" i="2"/>
  <c r="C69" i="2"/>
  <c r="B69" i="2"/>
  <c r="A69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E68" i="2"/>
  <c r="D68" i="2"/>
  <c r="C68" i="2"/>
  <c r="B68" i="2"/>
  <c r="A68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E67" i="2"/>
  <c r="D67" i="2"/>
  <c r="C67" i="2"/>
  <c r="B67" i="2"/>
  <c r="A67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E66" i="2"/>
  <c r="D66" i="2"/>
  <c r="C66" i="2"/>
  <c r="B66" i="2"/>
  <c r="A66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E65" i="2"/>
  <c r="D65" i="2"/>
  <c r="C65" i="2"/>
  <c r="B65" i="2"/>
  <c r="A65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E64" i="2"/>
  <c r="D64" i="2"/>
  <c r="C64" i="2"/>
  <c r="B64" i="2"/>
  <c r="A64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E63" i="2"/>
  <c r="D63" i="2"/>
  <c r="C63" i="2"/>
  <c r="B63" i="2"/>
  <c r="A63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E60" i="2"/>
  <c r="D60" i="2"/>
  <c r="C60" i="2"/>
  <c r="B60" i="2"/>
  <c r="A60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E59" i="2"/>
  <c r="D59" i="2"/>
  <c r="C59" i="2"/>
  <c r="B59" i="2"/>
  <c r="A59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E58" i="2"/>
  <c r="D58" i="2"/>
  <c r="C58" i="2"/>
  <c r="B58" i="2"/>
  <c r="A58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E56" i="2"/>
  <c r="D56" i="2"/>
  <c r="C56" i="2"/>
  <c r="B56" i="2"/>
  <c r="A56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E55" i="2"/>
  <c r="D55" i="2"/>
  <c r="C55" i="2"/>
  <c r="B55" i="2"/>
  <c r="A55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E54" i="2"/>
  <c r="D54" i="2"/>
  <c r="C54" i="2"/>
  <c r="B54" i="2"/>
  <c r="A54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C53" i="2"/>
  <c r="B53" i="2"/>
  <c r="A53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E49" i="2"/>
  <c r="D49" i="2"/>
  <c r="C49" i="2"/>
  <c r="B49" i="2"/>
  <c r="A49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E48" i="2"/>
  <c r="D48" i="2"/>
  <c r="C48" i="2"/>
  <c r="B48" i="2"/>
  <c r="A48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E47" i="2"/>
  <c r="D47" i="2"/>
  <c r="C47" i="2"/>
  <c r="B47" i="2"/>
  <c r="A47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E46" i="2"/>
  <c r="D46" i="2"/>
  <c r="C46" i="2"/>
  <c r="B46" i="2"/>
  <c r="A46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/>
  <c r="D43" i="2"/>
  <c r="C43" i="2"/>
  <c r="B43" i="2"/>
  <c r="A43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E42" i="2"/>
  <c r="D42" i="2"/>
  <c r="C42" i="2"/>
  <c r="B42" i="2"/>
  <c r="A42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E41" i="2"/>
  <c r="D41" i="2"/>
  <c r="C41" i="2"/>
  <c r="B41" i="2"/>
  <c r="A41" i="2"/>
  <c r="CG40" i="2"/>
  <c r="CG40" i="1" s="1"/>
  <c r="CF40" i="2"/>
  <c r="CE40" i="2"/>
  <c r="CE40" i="1" s="1"/>
  <c r="CD40" i="2"/>
  <c r="CC40" i="2"/>
  <c r="CC40" i="1" s="1"/>
  <c r="CB40" i="2"/>
  <c r="CA40" i="2"/>
  <c r="CA40" i="1" s="1"/>
  <c r="BZ40" i="2"/>
  <c r="BY40" i="2"/>
  <c r="BY40" i="1" s="1"/>
  <c r="BX40" i="2"/>
  <c r="BW40" i="2"/>
  <c r="BW40" i="1" s="1"/>
  <c r="BV40" i="2"/>
  <c r="BU40" i="2"/>
  <c r="BU40" i="1" s="1"/>
  <c r="BT40" i="2"/>
  <c r="BS40" i="2"/>
  <c r="BS40" i="1" s="1"/>
  <c r="BR40" i="2"/>
  <c r="BQ40" i="2"/>
  <c r="BQ40" i="1" s="1"/>
  <c r="BP40" i="2"/>
  <c r="BO40" i="2"/>
  <c r="BO40" i="1" s="1"/>
  <c r="BN40" i="2"/>
  <c r="BM40" i="2"/>
  <c r="BM40" i="1" s="1"/>
  <c r="BL40" i="2"/>
  <c r="BK40" i="2"/>
  <c r="BK40" i="1" s="1"/>
  <c r="BJ40" i="2"/>
  <c r="BI40" i="2"/>
  <c r="BI40" i="1" s="1"/>
  <c r="BH40" i="2"/>
  <c r="BG40" i="2"/>
  <c r="BG40" i="1" s="1"/>
  <c r="BF40" i="2"/>
  <c r="BE40" i="2"/>
  <c r="BE40" i="1" s="1"/>
  <c r="BD40" i="2"/>
  <c r="BC40" i="2"/>
  <c r="BC40" i="1" s="1"/>
  <c r="BB40" i="2"/>
  <c r="BA40" i="2"/>
  <c r="BA40" i="1" s="1"/>
  <c r="AZ40" i="2"/>
  <c r="AY40" i="2"/>
  <c r="AY40" i="1" s="1"/>
  <c r="AX40" i="2"/>
  <c r="AW40" i="2"/>
  <c r="AW40" i="1" s="1"/>
  <c r="AV40" i="2"/>
  <c r="AU40" i="2"/>
  <c r="AU40" i="1" s="1"/>
  <c r="AT40" i="2"/>
  <c r="AS40" i="2"/>
  <c r="AS40" i="1" s="1"/>
  <c r="AR40" i="2"/>
  <c r="AQ40" i="2"/>
  <c r="AQ40" i="1" s="1"/>
  <c r="AP40" i="2"/>
  <c r="AO40" i="2"/>
  <c r="AO40" i="1" s="1"/>
  <c r="AN40" i="2"/>
  <c r="AM40" i="2"/>
  <c r="AM40" i="1" s="1"/>
  <c r="AL40" i="2"/>
  <c r="AK40" i="2"/>
  <c r="AK40" i="1" s="1"/>
  <c r="AJ40" i="2"/>
  <c r="AI40" i="2"/>
  <c r="AI40" i="1" s="1"/>
  <c r="AH40" i="2"/>
  <c r="AG40" i="2"/>
  <c r="AG40" i="1" s="1"/>
  <c r="AF40" i="2"/>
  <c r="AE40" i="2"/>
  <c r="AE40" i="1" s="1"/>
  <c r="AD40" i="2"/>
  <c r="AC40" i="2"/>
  <c r="AC40" i="1" s="1"/>
  <c r="AB40" i="2"/>
  <c r="AA40" i="2"/>
  <c r="AA40" i="1" s="1"/>
  <c r="Z40" i="2"/>
  <c r="Y40" i="2"/>
  <c r="Y40" i="1" s="1"/>
  <c r="X40" i="2"/>
  <c r="W40" i="2"/>
  <c r="W40" i="1" s="1"/>
  <c r="V40" i="2"/>
  <c r="U40" i="2"/>
  <c r="U40" i="1" s="1"/>
  <c r="T40" i="2"/>
  <c r="S40" i="2"/>
  <c r="S40" i="1" s="1"/>
  <c r="R40" i="2"/>
  <c r="Q40" i="2"/>
  <c r="Q40" i="1" s="1"/>
  <c r="P40" i="2"/>
  <c r="O40" i="2"/>
  <c r="O40" i="1" s="1"/>
  <c r="N40" i="2"/>
  <c r="M40" i="2"/>
  <c r="M40" i="1" s="1"/>
  <c r="L40" i="2"/>
  <c r="K40" i="2"/>
  <c r="K40" i="1" s="1"/>
  <c r="J40" i="2"/>
  <c r="I40" i="2"/>
  <c r="I40" i="1" s="1"/>
  <c r="H40" i="2"/>
  <c r="G40" i="2"/>
  <c r="G40" i="1" s="1"/>
  <c r="E40" i="2"/>
  <c r="D40" i="2"/>
  <c r="C40" i="2"/>
  <c r="B40" i="2"/>
  <c r="A40" i="2"/>
  <c r="CG39" i="2"/>
  <c r="CG39" i="1" s="1"/>
  <c r="CF39" i="2"/>
  <c r="CE39" i="2"/>
  <c r="CE39" i="1" s="1"/>
  <c r="CD39" i="2"/>
  <c r="CC39" i="2"/>
  <c r="CC39" i="1" s="1"/>
  <c r="CB39" i="2"/>
  <c r="CA39" i="2"/>
  <c r="CA39" i="1" s="1"/>
  <c r="BZ39" i="2"/>
  <c r="BY39" i="2"/>
  <c r="BY39" i="1" s="1"/>
  <c r="BX39" i="2"/>
  <c r="BW39" i="2"/>
  <c r="BW39" i="1" s="1"/>
  <c r="BV39" i="2"/>
  <c r="BU39" i="2"/>
  <c r="BU39" i="1" s="1"/>
  <c r="BT39" i="2"/>
  <c r="BS39" i="2"/>
  <c r="BS39" i="1" s="1"/>
  <c r="BR39" i="2"/>
  <c r="BQ39" i="2"/>
  <c r="BQ39" i="1" s="1"/>
  <c r="BP39" i="2"/>
  <c r="BO39" i="2"/>
  <c r="BO39" i="1" s="1"/>
  <c r="BN39" i="2"/>
  <c r="BM39" i="2"/>
  <c r="BM39" i="1" s="1"/>
  <c r="BL39" i="2"/>
  <c r="BK39" i="2"/>
  <c r="BK39" i="1" s="1"/>
  <c r="BJ39" i="2"/>
  <c r="BI39" i="2"/>
  <c r="BI39" i="1" s="1"/>
  <c r="BH39" i="2"/>
  <c r="BG39" i="2"/>
  <c r="BG39" i="1" s="1"/>
  <c r="BF39" i="2"/>
  <c r="BE39" i="2"/>
  <c r="BE39" i="1" s="1"/>
  <c r="BD39" i="2"/>
  <c r="BC39" i="2"/>
  <c r="BC39" i="1" s="1"/>
  <c r="BB39" i="2"/>
  <c r="BA39" i="2"/>
  <c r="BA39" i="1" s="1"/>
  <c r="AZ39" i="2"/>
  <c r="AY39" i="2"/>
  <c r="AY39" i="1" s="1"/>
  <c r="AX39" i="2"/>
  <c r="AW39" i="2"/>
  <c r="AW39" i="1" s="1"/>
  <c r="AV39" i="2"/>
  <c r="AU39" i="2"/>
  <c r="AU39" i="1" s="1"/>
  <c r="AT39" i="2"/>
  <c r="AS39" i="2"/>
  <c r="AS39" i="1" s="1"/>
  <c r="AR39" i="2"/>
  <c r="AQ39" i="2"/>
  <c r="AQ39" i="1" s="1"/>
  <c r="AP39" i="2"/>
  <c r="AO39" i="2"/>
  <c r="AO39" i="1" s="1"/>
  <c r="AN39" i="2"/>
  <c r="AM39" i="2"/>
  <c r="AM39" i="1" s="1"/>
  <c r="AL39" i="2"/>
  <c r="AK39" i="2"/>
  <c r="AK39" i="1" s="1"/>
  <c r="AJ39" i="2"/>
  <c r="AI39" i="2"/>
  <c r="AI39" i="1" s="1"/>
  <c r="AH39" i="2"/>
  <c r="AG39" i="2"/>
  <c r="AG39" i="1" s="1"/>
  <c r="AF39" i="2"/>
  <c r="AE39" i="2"/>
  <c r="AE39" i="1" s="1"/>
  <c r="AD39" i="2"/>
  <c r="AC39" i="2"/>
  <c r="AC39" i="1" s="1"/>
  <c r="AB39" i="2"/>
  <c r="AA39" i="2"/>
  <c r="AA39" i="1" s="1"/>
  <c r="Z39" i="2"/>
  <c r="Y39" i="2"/>
  <c r="Y39" i="1" s="1"/>
  <c r="X39" i="2"/>
  <c r="W39" i="2"/>
  <c r="W39" i="1" s="1"/>
  <c r="V39" i="2"/>
  <c r="U39" i="2"/>
  <c r="U39" i="1" s="1"/>
  <c r="T39" i="2"/>
  <c r="S39" i="2"/>
  <c r="S39" i="1" s="1"/>
  <c r="R39" i="2"/>
  <c r="Q39" i="2"/>
  <c r="Q39" i="1" s="1"/>
  <c r="P39" i="2"/>
  <c r="O39" i="2"/>
  <c r="O39" i="1" s="1"/>
  <c r="N39" i="2"/>
  <c r="M39" i="2"/>
  <c r="M39" i="1" s="1"/>
  <c r="L39" i="2"/>
  <c r="K39" i="2"/>
  <c r="K39" i="1" s="1"/>
  <c r="J39" i="2"/>
  <c r="I39" i="2"/>
  <c r="I39" i="1" s="1"/>
  <c r="H39" i="2"/>
  <c r="G39" i="2"/>
  <c r="G39" i="1" s="1"/>
  <c r="E39" i="2"/>
  <c r="D39" i="2"/>
  <c r="C39" i="2"/>
  <c r="B39" i="2"/>
  <c r="A39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E38" i="2"/>
  <c r="D38" i="2"/>
  <c r="C38" i="2"/>
  <c r="B38" i="2"/>
  <c r="A38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E36" i="2"/>
  <c r="D36" i="2"/>
  <c r="C36" i="2"/>
  <c r="B36" i="2"/>
  <c r="A36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E35" i="2"/>
  <c r="D35" i="2"/>
  <c r="C35" i="2"/>
  <c r="B35" i="2"/>
  <c r="A35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E34" i="2"/>
  <c r="D34" i="2"/>
  <c r="C34" i="2"/>
  <c r="B34" i="2"/>
  <c r="A34" i="2"/>
  <c r="CG33" i="2"/>
  <c r="CG33" i="1" s="1"/>
  <c r="CF33" i="2"/>
  <c r="CE33" i="2"/>
  <c r="CE33" i="1" s="1"/>
  <c r="CD33" i="2"/>
  <c r="CC33" i="2"/>
  <c r="CC33" i="1" s="1"/>
  <c r="CB33" i="2"/>
  <c r="CA33" i="2"/>
  <c r="CA33" i="1" s="1"/>
  <c r="BZ33" i="2"/>
  <c r="BY33" i="2"/>
  <c r="BY33" i="1" s="1"/>
  <c r="BX33" i="2"/>
  <c r="BW33" i="2"/>
  <c r="BW33" i="1" s="1"/>
  <c r="BV33" i="2"/>
  <c r="BU33" i="2"/>
  <c r="BU33" i="1" s="1"/>
  <c r="BT33" i="2"/>
  <c r="BS33" i="2"/>
  <c r="BS33" i="1" s="1"/>
  <c r="BR33" i="2"/>
  <c r="BQ33" i="2"/>
  <c r="BQ33" i="1" s="1"/>
  <c r="BP33" i="2"/>
  <c r="BO33" i="2"/>
  <c r="BO33" i="1" s="1"/>
  <c r="BN33" i="2"/>
  <c r="BM33" i="2"/>
  <c r="BM33" i="1" s="1"/>
  <c r="BL33" i="2"/>
  <c r="BK33" i="2"/>
  <c r="BK33" i="1" s="1"/>
  <c r="BJ33" i="2"/>
  <c r="BI33" i="2"/>
  <c r="BI33" i="1" s="1"/>
  <c r="BH33" i="2"/>
  <c r="BG33" i="2"/>
  <c r="BG33" i="1" s="1"/>
  <c r="BF33" i="2"/>
  <c r="BE33" i="2"/>
  <c r="BE33" i="1" s="1"/>
  <c r="BD33" i="2"/>
  <c r="BC33" i="2"/>
  <c r="BC33" i="1" s="1"/>
  <c r="BB33" i="2"/>
  <c r="BA33" i="2"/>
  <c r="BA33" i="1" s="1"/>
  <c r="AZ33" i="2"/>
  <c r="AY33" i="2"/>
  <c r="AY33" i="1" s="1"/>
  <c r="AX33" i="2"/>
  <c r="AW33" i="2"/>
  <c r="AW33" i="1" s="1"/>
  <c r="AV33" i="2"/>
  <c r="AU33" i="2"/>
  <c r="AU33" i="1" s="1"/>
  <c r="AT33" i="2"/>
  <c r="AS33" i="2"/>
  <c r="AS33" i="1" s="1"/>
  <c r="AR33" i="2"/>
  <c r="AQ33" i="2"/>
  <c r="AQ33" i="1" s="1"/>
  <c r="AP33" i="2"/>
  <c r="AO33" i="2"/>
  <c r="AO33" i="1" s="1"/>
  <c r="AN33" i="2"/>
  <c r="AM33" i="2"/>
  <c r="AM33" i="1" s="1"/>
  <c r="AL33" i="2"/>
  <c r="AK33" i="2"/>
  <c r="AK33" i="1" s="1"/>
  <c r="AJ33" i="2"/>
  <c r="AI33" i="2"/>
  <c r="AI33" i="1" s="1"/>
  <c r="AH33" i="2"/>
  <c r="AG33" i="2"/>
  <c r="AG33" i="1" s="1"/>
  <c r="AF33" i="2"/>
  <c r="AE33" i="2"/>
  <c r="AE33" i="1" s="1"/>
  <c r="AD33" i="2"/>
  <c r="AC33" i="2"/>
  <c r="AC33" i="1" s="1"/>
  <c r="AB33" i="2"/>
  <c r="AA33" i="2"/>
  <c r="AA33" i="1" s="1"/>
  <c r="Z33" i="2"/>
  <c r="Y33" i="2"/>
  <c r="Y33" i="1" s="1"/>
  <c r="X33" i="2"/>
  <c r="W33" i="2"/>
  <c r="W33" i="1" s="1"/>
  <c r="V33" i="2"/>
  <c r="U33" i="2"/>
  <c r="U33" i="1" s="1"/>
  <c r="T33" i="2"/>
  <c r="S33" i="2"/>
  <c r="S33" i="1" s="1"/>
  <c r="R33" i="2"/>
  <c r="Q33" i="2"/>
  <c r="Q33" i="1" s="1"/>
  <c r="P33" i="2"/>
  <c r="O33" i="2"/>
  <c r="O33" i="1" s="1"/>
  <c r="N33" i="2"/>
  <c r="M33" i="2"/>
  <c r="M33" i="1" s="1"/>
  <c r="L33" i="2"/>
  <c r="K33" i="2"/>
  <c r="K33" i="1" s="1"/>
  <c r="J33" i="2"/>
  <c r="I33" i="2"/>
  <c r="I33" i="1" s="1"/>
  <c r="H33" i="2"/>
  <c r="G33" i="2"/>
  <c r="G33" i="1" s="1"/>
  <c r="E33" i="2"/>
  <c r="D33" i="2"/>
  <c r="C33" i="2"/>
  <c r="B33" i="2"/>
  <c r="A33" i="2"/>
  <c r="CG32" i="2"/>
  <c r="CG32" i="1" s="1"/>
  <c r="CF32" i="2"/>
  <c r="CE32" i="2"/>
  <c r="CE32" i="1" s="1"/>
  <c r="CD32" i="2"/>
  <c r="CC32" i="2"/>
  <c r="CC32" i="1" s="1"/>
  <c r="CB32" i="2"/>
  <c r="CA32" i="2"/>
  <c r="CA32" i="1" s="1"/>
  <c r="BZ32" i="2"/>
  <c r="BY32" i="2"/>
  <c r="BY32" i="1" s="1"/>
  <c r="BX32" i="2"/>
  <c r="BW32" i="2"/>
  <c r="BW32" i="1" s="1"/>
  <c r="BV32" i="2"/>
  <c r="BU32" i="2"/>
  <c r="BU32" i="1" s="1"/>
  <c r="BT32" i="2"/>
  <c r="BS32" i="2"/>
  <c r="BS32" i="1" s="1"/>
  <c r="BR32" i="2"/>
  <c r="BQ32" i="2"/>
  <c r="BQ32" i="1" s="1"/>
  <c r="BP32" i="2"/>
  <c r="BO32" i="2"/>
  <c r="BO32" i="1" s="1"/>
  <c r="BN32" i="2"/>
  <c r="BM32" i="2"/>
  <c r="BM32" i="1" s="1"/>
  <c r="BL32" i="2"/>
  <c r="BK32" i="2"/>
  <c r="BK32" i="1" s="1"/>
  <c r="BJ32" i="2"/>
  <c r="BI32" i="2"/>
  <c r="BI32" i="1" s="1"/>
  <c r="BH32" i="2"/>
  <c r="BG32" i="2"/>
  <c r="BG32" i="1" s="1"/>
  <c r="BF32" i="2"/>
  <c r="BE32" i="2"/>
  <c r="BE32" i="1" s="1"/>
  <c r="BD32" i="2"/>
  <c r="BC32" i="2"/>
  <c r="BC32" i="1" s="1"/>
  <c r="BB32" i="2"/>
  <c r="BA32" i="2"/>
  <c r="BA32" i="1" s="1"/>
  <c r="AZ32" i="2"/>
  <c r="AY32" i="2"/>
  <c r="AY32" i="1" s="1"/>
  <c r="AX32" i="2"/>
  <c r="AW32" i="2"/>
  <c r="AW32" i="1" s="1"/>
  <c r="AV32" i="2"/>
  <c r="AU32" i="2"/>
  <c r="AU32" i="1" s="1"/>
  <c r="AT32" i="2"/>
  <c r="AS32" i="2"/>
  <c r="AS32" i="1" s="1"/>
  <c r="AR32" i="2"/>
  <c r="AQ32" i="2"/>
  <c r="AQ32" i="1" s="1"/>
  <c r="AP32" i="2"/>
  <c r="AO32" i="2"/>
  <c r="AO32" i="1" s="1"/>
  <c r="AN32" i="2"/>
  <c r="AM32" i="2"/>
  <c r="AM32" i="1" s="1"/>
  <c r="AL32" i="2"/>
  <c r="AK32" i="2"/>
  <c r="AK32" i="1" s="1"/>
  <c r="AJ32" i="2"/>
  <c r="AI32" i="2"/>
  <c r="AI32" i="1" s="1"/>
  <c r="AH32" i="2"/>
  <c r="AG32" i="2"/>
  <c r="AG32" i="1" s="1"/>
  <c r="AF32" i="2"/>
  <c r="AE32" i="2"/>
  <c r="AE32" i="1" s="1"/>
  <c r="AD32" i="2"/>
  <c r="AC32" i="2"/>
  <c r="AC32" i="1" s="1"/>
  <c r="AB32" i="2"/>
  <c r="AA32" i="2"/>
  <c r="AA32" i="1" s="1"/>
  <c r="Z32" i="2"/>
  <c r="Y32" i="2"/>
  <c r="Y32" i="1" s="1"/>
  <c r="X32" i="2"/>
  <c r="W32" i="2"/>
  <c r="W32" i="1" s="1"/>
  <c r="V32" i="2"/>
  <c r="U32" i="2"/>
  <c r="U32" i="1" s="1"/>
  <c r="T32" i="2"/>
  <c r="S32" i="2"/>
  <c r="S32" i="1" s="1"/>
  <c r="R32" i="2"/>
  <c r="Q32" i="2"/>
  <c r="Q32" i="1" s="1"/>
  <c r="P32" i="2"/>
  <c r="O32" i="2"/>
  <c r="O32" i="1" s="1"/>
  <c r="N32" i="2"/>
  <c r="M32" i="2"/>
  <c r="M32" i="1" s="1"/>
  <c r="L32" i="2"/>
  <c r="K32" i="2"/>
  <c r="K32" i="1" s="1"/>
  <c r="J32" i="2"/>
  <c r="I32" i="2"/>
  <c r="I32" i="1" s="1"/>
  <c r="H32" i="2"/>
  <c r="G32" i="2"/>
  <c r="G32" i="1" s="1"/>
  <c r="E32" i="2"/>
  <c r="D32" i="2"/>
  <c r="C32" i="2"/>
  <c r="B32" i="2"/>
  <c r="A32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E31" i="2"/>
  <c r="D31" i="2"/>
  <c r="C31" i="2"/>
  <c r="B31" i="2"/>
  <c r="A31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E27" i="2"/>
  <c r="D27" i="2"/>
  <c r="C27" i="2"/>
  <c r="B27" i="2"/>
  <c r="A27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E23" i="2"/>
  <c r="D23" i="2"/>
  <c r="C23" i="2"/>
  <c r="B23" i="2"/>
  <c r="A23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E21" i="2"/>
  <c r="D21" i="2"/>
  <c r="C21" i="2"/>
  <c r="B21" i="2"/>
  <c r="A21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C20" i="2"/>
  <c r="B20" i="2"/>
  <c r="A20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E19" i="2"/>
  <c r="D19" i="2"/>
  <c r="C19" i="2"/>
  <c r="B19" i="2"/>
  <c r="A19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E18" i="2"/>
  <c r="D18" i="2"/>
  <c r="C18" i="2"/>
  <c r="B18" i="2"/>
  <c r="A18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E17" i="2"/>
  <c r="D17" i="2"/>
  <c r="C17" i="2"/>
  <c r="B17" i="2"/>
  <c r="A17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E16" i="2"/>
  <c r="D16" i="2"/>
  <c r="C16" i="2"/>
  <c r="B16" i="2"/>
  <c r="A16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E15" i="2"/>
  <c r="D15" i="2"/>
  <c r="C15" i="2"/>
  <c r="B15" i="2"/>
  <c r="A15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E14" i="2"/>
  <c r="D14" i="2"/>
  <c r="C14" i="2"/>
  <c r="B14" i="2"/>
  <c r="A14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B13" i="1" s="1"/>
  <c r="BA13" i="2"/>
  <c r="AZ13" i="2"/>
  <c r="AZ13" i="1" s="1"/>
  <c r="AY13" i="2"/>
  <c r="AX13" i="2"/>
  <c r="AX13" i="1" s="1"/>
  <c r="AW13" i="2"/>
  <c r="AV13" i="2"/>
  <c r="AV13" i="1" s="1"/>
  <c r="AU13" i="2"/>
  <c r="AT13" i="2"/>
  <c r="AT13" i="1" s="1"/>
  <c r="AS13" i="2"/>
  <c r="AR13" i="2"/>
  <c r="AR13" i="1" s="1"/>
  <c r="AQ13" i="2"/>
  <c r="AP13" i="2"/>
  <c r="AP13" i="1" s="1"/>
  <c r="AO13" i="2"/>
  <c r="AN13" i="2"/>
  <c r="AN13" i="1" s="1"/>
  <c r="AM13" i="2"/>
  <c r="AL13" i="2"/>
  <c r="AL13" i="1" s="1"/>
  <c r="AK13" i="2"/>
  <c r="AJ13" i="2"/>
  <c r="AJ13" i="1" s="1"/>
  <c r="AI13" i="2"/>
  <c r="AH13" i="2"/>
  <c r="AH13" i="1" s="1"/>
  <c r="AG13" i="2"/>
  <c r="AF13" i="2"/>
  <c r="AF13" i="1" s="1"/>
  <c r="AE13" i="2"/>
  <c r="AD13" i="2"/>
  <c r="AD13" i="1" s="1"/>
  <c r="AC13" i="2"/>
  <c r="AB13" i="2"/>
  <c r="AB13" i="1" s="1"/>
  <c r="AA13" i="2"/>
  <c r="Z13" i="2"/>
  <c r="Z13" i="1" s="1"/>
  <c r="Y13" i="2"/>
  <c r="X13" i="2"/>
  <c r="X13" i="1" s="1"/>
  <c r="W13" i="2"/>
  <c r="V13" i="2"/>
  <c r="V13" i="1" s="1"/>
  <c r="U13" i="2"/>
  <c r="T13" i="2"/>
  <c r="T13" i="1" s="1"/>
  <c r="S13" i="2"/>
  <c r="R13" i="2"/>
  <c r="R13" i="1" s="1"/>
  <c r="Q13" i="2"/>
  <c r="P13" i="2"/>
  <c r="P13" i="1" s="1"/>
  <c r="O13" i="2"/>
  <c r="N13" i="2"/>
  <c r="N13" i="1" s="1"/>
  <c r="M13" i="2"/>
  <c r="L13" i="2"/>
  <c r="L13" i="1" s="1"/>
  <c r="K13" i="2"/>
  <c r="J13" i="2"/>
  <c r="J13" i="1" s="1"/>
  <c r="I13" i="2"/>
  <c r="H13" i="2"/>
  <c r="H13" i="1" s="1"/>
  <c r="G13" i="2"/>
  <c r="E13" i="2"/>
  <c r="D13" i="2"/>
  <c r="C13" i="2"/>
  <c r="B13" i="2"/>
  <c r="A13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E12" i="2"/>
  <c r="D12" i="2"/>
  <c r="C12" i="2"/>
  <c r="B12" i="2"/>
  <c r="A12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E11" i="2"/>
  <c r="D11" i="2"/>
  <c r="C11" i="2"/>
  <c r="B11" i="2"/>
  <c r="A11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E10" i="2"/>
  <c r="D10" i="2"/>
  <c r="C10" i="2"/>
  <c r="B10" i="2"/>
  <c r="A10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E9" i="2"/>
  <c r="D9" i="2"/>
  <c r="C9" i="2"/>
  <c r="B9" i="2"/>
  <c r="A9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E7" i="2"/>
  <c r="D7" i="2"/>
  <c r="C7" i="2"/>
  <c r="B7" i="2"/>
  <c r="A7" i="2"/>
  <c r="CG6" i="2"/>
  <c r="CF6" i="2"/>
  <c r="CF6" i="1" s="1"/>
  <c r="CE6" i="2"/>
  <c r="CD6" i="2"/>
  <c r="CD6" i="1" s="1"/>
  <c r="CC6" i="2"/>
  <c r="CB6" i="2"/>
  <c r="CB6" i="1" s="1"/>
  <c r="CA6" i="2"/>
  <c r="BZ6" i="2"/>
  <c r="BZ6" i="1" s="1"/>
  <c r="BY6" i="2"/>
  <c r="BX6" i="2"/>
  <c r="BX6" i="1" s="1"/>
  <c r="BW6" i="2"/>
  <c r="BV6" i="2"/>
  <c r="BV6" i="1" s="1"/>
  <c r="BU6" i="2"/>
  <c r="BT6" i="2"/>
  <c r="BT6" i="1" s="1"/>
  <c r="BS6" i="2"/>
  <c r="BR6" i="2"/>
  <c r="BR6" i="1" s="1"/>
  <c r="BQ6" i="2"/>
  <c r="BP6" i="2"/>
  <c r="BP6" i="1" s="1"/>
  <c r="BO6" i="2"/>
  <c r="BN6" i="2"/>
  <c r="BN6" i="1" s="1"/>
  <c r="BM6" i="2"/>
  <c r="BL6" i="2"/>
  <c r="BL6" i="1" s="1"/>
  <c r="BK6" i="2"/>
  <c r="BJ6" i="2"/>
  <c r="BJ6" i="1" s="1"/>
  <c r="BI6" i="2"/>
  <c r="BH6" i="2"/>
  <c r="BH6" i="1" s="1"/>
  <c r="BG6" i="2"/>
  <c r="BF6" i="2"/>
  <c r="BF6" i="1" s="1"/>
  <c r="BE6" i="2"/>
  <c r="BD6" i="2"/>
  <c r="BD6" i="1" s="1"/>
  <c r="BC6" i="2"/>
  <c r="BB6" i="2"/>
  <c r="BB6" i="1" s="1"/>
  <c r="BA6" i="2"/>
  <c r="AZ6" i="2"/>
  <c r="AZ6" i="1" s="1"/>
  <c r="AY6" i="2"/>
  <c r="AX6" i="2"/>
  <c r="AX6" i="1" s="1"/>
  <c r="AW6" i="2"/>
  <c r="AV6" i="2"/>
  <c r="AV6" i="1" s="1"/>
  <c r="AU6" i="2"/>
  <c r="AT6" i="2"/>
  <c r="AT6" i="1" s="1"/>
  <c r="AS6" i="2"/>
  <c r="AR6" i="2"/>
  <c r="AR6" i="1" s="1"/>
  <c r="AQ6" i="2"/>
  <c r="AP6" i="2"/>
  <c r="AP6" i="1" s="1"/>
  <c r="AO6" i="2"/>
  <c r="AN6" i="2"/>
  <c r="AN6" i="1" s="1"/>
  <c r="AM6" i="2"/>
  <c r="AL6" i="2"/>
  <c r="AL6" i="1" s="1"/>
  <c r="AK6" i="2"/>
  <c r="AJ6" i="2"/>
  <c r="AJ6" i="1" s="1"/>
  <c r="AI6" i="2"/>
  <c r="AH6" i="2"/>
  <c r="AH6" i="1" s="1"/>
  <c r="AG6" i="2"/>
  <c r="AF6" i="2"/>
  <c r="AF6" i="1" s="1"/>
  <c r="AE6" i="2"/>
  <c r="AD6" i="2"/>
  <c r="AD6" i="1" s="1"/>
  <c r="AC6" i="2"/>
  <c r="AB6" i="2"/>
  <c r="AB6" i="1" s="1"/>
  <c r="AA6" i="2"/>
  <c r="Z6" i="2"/>
  <c r="Z6" i="1" s="1"/>
  <c r="Y6" i="2"/>
  <c r="X6" i="2"/>
  <c r="X6" i="1" s="1"/>
  <c r="W6" i="2"/>
  <c r="V6" i="2"/>
  <c r="V6" i="1" s="1"/>
  <c r="U6" i="2"/>
  <c r="T6" i="2"/>
  <c r="T6" i="1" s="1"/>
  <c r="S6" i="2"/>
  <c r="R6" i="2"/>
  <c r="R6" i="1" s="1"/>
  <c r="Q6" i="2"/>
  <c r="P6" i="2"/>
  <c r="P6" i="1" s="1"/>
  <c r="O6" i="2"/>
  <c r="N6" i="2"/>
  <c r="N6" i="1" s="1"/>
  <c r="M6" i="2"/>
  <c r="L6" i="2"/>
  <c r="L6" i="1" s="1"/>
  <c r="K6" i="2"/>
  <c r="J6" i="2"/>
  <c r="J6" i="1" s="1"/>
  <c r="I6" i="2"/>
  <c r="H6" i="2"/>
  <c r="H6" i="1" s="1"/>
  <c r="G6" i="2"/>
  <c r="E6" i="2"/>
  <c r="D6" i="2"/>
  <c r="C6" i="2"/>
  <c r="B6" i="2"/>
  <c r="A6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E5" i="2"/>
  <c r="D5" i="2"/>
  <c r="C5" i="2"/>
  <c r="B5" i="2"/>
  <c r="A5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E4" i="2"/>
  <c r="D4" i="2"/>
  <c r="C4" i="2"/>
  <c r="B4" i="2"/>
  <c r="A4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G69" i="1"/>
  <c r="CE69" i="1"/>
  <c r="CC69" i="1"/>
  <c r="CA69" i="1"/>
  <c r="BY69" i="1"/>
  <c r="BW69" i="1"/>
  <c r="BU69" i="1"/>
  <c r="BS69" i="1"/>
  <c r="BQ69" i="1"/>
  <c r="BO69" i="1"/>
  <c r="BM69" i="1"/>
  <c r="BK69" i="1"/>
  <c r="BI69" i="1"/>
  <c r="BG69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D69" i="1"/>
  <c r="C69" i="1"/>
  <c r="B69" i="1"/>
  <c r="A69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E68" i="1"/>
  <c r="D68" i="1"/>
  <c r="C68" i="1"/>
  <c r="B68" i="1"/>
  <c r="A68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E67" i="1"/>
  <c r="D67" i="1"/>
  <c r="C67" i="1"/>
  <c r="B67" i="1"/>
  <c r="A67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E66" i="1"/>
  <c r="D66" i="1"/>
  <c r="C66" i="1"/>
  <c r="B66" i="1"/>
  <c r="A66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E65" i="1"/>
  <c r="D65" i="1"/>
  <c r="C65" i="1"/>
  <c r="B65" i="1"/>
  <c r="A65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E64" i="1"/>
  <c r="D64" i="1"/>
  <c r="C64" i="1"/>
  <c r="B64" i="1"/>
  <c r="A64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E63" i="1"/>
  <c r="D63" i="1"/>
  <c r="C63" i="1"/>
  <c r="B63" i="1"/>
  <c r="A63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E60" i="1"/>
  <c r="D60" i="1"/>
  <c r="C60" i="1"/>
  <c r="B60" i="1"/>
  <c r="A60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E59" i="1"/>
  <c r="D59" i="1"/>
  <c r="C59" i="1"/>
  <c r="B59" i="1"/>
  <c r="A59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E58" i="1"/>
  <c r="D58" i="1"/>
  <c r="C58" i="1"/>
  <c r="B58" i="1"/>
  <c r="A58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A56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A55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A54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A53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E49" i="1"/>
  <c r="D49" i="1"/>
  <c r="C49" i="1"/>
  <c r="B49" i="1"/>
  <c r="A49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C48" i="1"/>
  <c r="B48" i="1"/>
  <c r="A48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C47" i="1"/>
  <c r="B47" i="1"/>
  <c r="A47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C46" i="1"/>
  <c r="B46" i="1"/>
  <c r="A46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C43" i="1"/>
  <c r="B43" i="1"/>
  <c r="A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E42" i="1"/>
  <c r="D42" i="1"/>
  <c r="C42" i="1"/>
  <c r="B42" i="1"/>
  <c r="A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A41" i="1"/>
  <c r="CF40" i="1"/>
  <c r="CD40" i="1"/>
  <c r="CB40" i="1"/>
  <c r="BZ40" i="1"/>
  <c r="BX40" i="1"/>
  <c r="BV40" i="1"/>
  <c r="BT40" i="1"/>
  <c r="BR40" i="1"/>
  <c r="BP40" i="1"/>
  <c r="BN40" i="1"/>
  <c r="BL40" i="1"/>
  <c r="BJ40" i="1"/>
  <c r="BH40" i="1"/>
  <c r="BF40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E40" i="1"/>
  <c r="D40" i="1"/>
  <c r="C40" i="1"/>
  <c r="B40" i="1"/>
  <c r="A40" i="1"/>
  <c r="CF39" i="1"/>
  <c r="CD39" i="1"/>
  <c r="CB39" i="1"/>
  <c r="BZ39" i="1"/>
  <c r="BX39" i="1"/>
  <c r="BV39" i="1"/>
  <c r="BT39" i="1"/>
  <c r="BR39" i="1"/>
  <c r="BP39" i="1"/>
  <c r="BN39" i="1"/>
  <c r="BL39" i="1"/>
  <c r="BJ39" i="1"/>
  <c r="BH39" i="1"/>
  <c r="BF39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E39" i="1"/>
  <c r="D39" i="1"/>
  <c r="C39" i="1"/>
  <c r="B39" i="1"/>
  <c r="A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E38" i="1"/>
  <c r="D38" i="1"/>
  <c r="C38" i="1"/>
  <c r="B38" i="1"/>
  <c r="A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B36" i="1"/>
  <c r="A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B35" i="1"/>
  <c r="A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E34" i="1"/>
  <c r="D34" i="1"/>
  <c r="C34" i="1"/>
  <c r="B34" i="1"/>
  <c r="A34" i="1"/>
  <c r="CF33" i="1"/>
  <c r="CD33" i="1"/>
  <c r="CB33" i="1"/>
  <c r="BZ33" i="1"/>
  <c r="BX33" i="1"/>
  <c r="BV33" i="1"/>
  <c r="BT33" i="1"/>
  <c r="BR33" i="1"/>
  <c r="BP33" i="1"/>
  <c r="BN33" i="1"/>
  <c r="BL33" i="1"/>
  <c r="BJ33" i="1"/>
  <c r="BH33" i="1"/>
  <c r="BF33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E33" i="1"/>
  <c r="D33" i="1"/>
  <c r="C33" i="1"/>
  <c r="B33" i="1"/>
  <c r="A33" i="1"/>
  <c r="CF32" i="1"/>
  <c r="CD32" i="1"/>
  <c r="CB32" i="1"/>
  <c r="BZ32" i="1"/>
  <c r="BX32" i="1"/>
  <c r="BV32" i="1"/>
  <c r="BT32" i="1"/>
  <c r="BR32" i="1"/>
  <c r="BP32" i="1"/>
  <c r="BN32" i="1"/>
  <c r="BL32" i="1"/>
  <c r="BJ32" i="1"/>
  <c r="BH32" i="1"/>
  <c r="BF32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E32" i="1"/>
  <c r="D32" i="1"/>
  <c r="C32" i="1"/>
  <c r="B32" i="1"/>
  <c r="A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C31" i="1"/>
  <c r="B31" i="1"/>
  <c r="A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C27" i="1"/>
  <c r="B27" i="1"/>
  <c r="A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E23" i="1"/>
  <c r="D23" i="1"/>
  <c r="C23" i="1"/>
  <c r="B23" i="1"/>
  <c r="A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E21" i="1"/>
  <c r="D21" i="1"/>
  <c r="C21" i="1"/>
  <c r="B21" i="1"/>
  <c r="A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E20" i="1"/>
  <c r="D20" i="1"/>
  <c r="C20" i="1"/>
  <c r="B20" i="1"/>
  <c r="A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E19" i="1"/>
  <c r="D19" i="1"/>
  <c r="C19" i="1"/>
  <c r="B19" i="1"/>
  <c r="A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E18" i="1"/>
  <c r="D18" i="1"/>
  <c r="C18" i="1"/>
  <c r="B18" i="1"/>
  <c r="A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A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E16" i="1"/>
  <c r="D16" i="1"/>
  <c r="C16" i="1"/>
  <c r="B16" i="1"/>
  <c r="A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E15" i="1"/>
  <c r="D15" i="1"/>
  <c r="C15" i="1"/>
  <c r="B15" i="1"/>
  <c r="A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E14" i="1"/>
  <c r="D14" i="1"/>
  <c r="C14" i="1"/>
  <c r="B14" i="1"/>
  <c r="A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D13" i="1"/>
  <c r="C13" i="1"/>
  <c r="B13" i="1"/>
  <c r="A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E12" i="1"/>
  <c r="D12" i="1"/>
  <c r="C12" i="1"/>
  <c r="B12" i="1"/>
  <c r="A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E11" i="1"/>
  <c r="D11" i="1"/>
  <c r="C11" i="1"/>
  <c r="B11" i="1"/>
  <c r="A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E10" i="1"/>
  <c r="D10" i="1"/>
  <c r="C10" i="1"/>
  <c r="B10" i="1"/>
  <c r="A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C9" i="1"/>
  <c r="B9" i="1"/>
  <c r="A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E7" i="1"/>
  <c r="D7" i="1"/>
  <c r="C7" i="1"/>
  <c r="B7" i="1"/>
  <c r="A7" i="1"/>
  <c r="CG6" i="1"/>
  <c r="CE6" i="1"/>
  <c r="CC6" i="1"/>
  <c r="CA6" i="1"/>
  <c r="BY6" i="1"/>
  <c r="BW6" i="1"/>
  <c r="BU6" i="1"/>
  <c r="BS6" i="1"/>
  <c r="BQ6" i="1"/>
  <c r="BO6" i="1"/>
  <c r="BM6" i="1"/>
  <c r="BK6" i="1"/>
  <c r="BI6" i="1"/>
  <c r="BG6" i="1"/>
  <c r="BE6" i="1"/>
  <c r="BC6" i="1"/>
  <c r="BA6" i="1"/>
  <c r="AY6" i="1"/>
  <c r="AW6" i="1"/>
  <c r="AU6" i="1"/>
  <c r="AS6" i="1"/>
  <c r="AQ6" i="1"/>
  <c r="AO6" i="1"/>
  <c r="AM6" i="1"/>
  <c r="AK6" i="1"/>
  <c r="AI6" i="1"/>
  <c r="AG6" i="1"/>
  <c r="AE6" i="1"/>
  <c r="AC6" i="1"/>
  <c r="AA6" i="1"/>
  <c r="Y6" i="1"/>
  <c r="W6" i="1"/>
  <c r="U6" i="1"/>
  <c r="S6" i="1"/>
  <c r="Q6" i="1"/>
  <c r="O6" i="1"/>
  <c r="M6" i="1"/>
  <c r="K6" i="1"/>
  <c r="I6" i="1"/>
  <c r="G6" i="1"/>
  <c r="E6" i="1"/>
  <c r="D6" i="1"/>
  <c r="C6" i="1"/>
  <c r="B6" i="1"/>
  <c r="A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E5" i="1"/>
  <c r="D5" i="1"/>
  <c r="C5" i="1"/>
  <c r="B5" i="1"/>
  <c r="A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E4" i="1"/>
  <c r="D4" i="1"/>
  <c r="C4" i="1"/>
  <c r="B4" i="1"/>
  <c r="A4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K29" i="5"/>
  <c r="E29" i="5"/>
  <c r="Q29" i="5"/>
  <c r="B29" i="5"/>
  <c r="W29" i="5"/>
  <c r="Z29" i="5"/>
  <c r="H29" i="5"/>
  <c r="T29" i="5"/>
  <c r="N29" i="5"/>
  <c r="A87" i="2"/>
  <c r="F99" i="2"/>
  <c r="F102" i="2"/>
  <c r="F109" i="2"/>
  <c r="F119" i="2"/>
  <c r="F127" i="2"/>
  <c r="F134" i="2"/>
  <c r="F94" i="2"/>
  <c r="F105" i="2"/>
  <c r="F111" i="2"/>
  <c r="F120" i="2"/>
  <c r="F129" i="2"/>
  <c r="F136" i="2"/>
  <c r="F97" i="2"/>
  <c r="F107" i="2"/>
  <c r="F116" i="2"/>
  <c r="F123" i="2"/>
  <c r="F132" i="2"/>
  <c r="F103" i="2"/>
  <c r="F100" i="2"/>
  <c r="F112" i="2"/>
  <c r="F121" i="2"/>
  <c r="F126" i="2"/>
  <c r="F95" i="2"/>
  <c r="F104" i="2"/>
  <c r="F114" i="2"/>
  <c r="F122" i="2"/>
  <c r="F131" i="2"/>
  <c r="F98" i="2"/>
  <c r="F108" i="2"/>
  <c r="F117" i="2"/>
  <c r="F125" i="2"/>
  <c r="F133" i="2"/>
  <c r="F110" i="2"/>
  <c r="F101" i="2"/>
  <c r="F113" i="2"/>
  <c r="F118" i="2"/>
  <c r="F128" i="2"/>
  <c r="F135" i="2"/>
  <c r="F96" i="2"/>
  <c r="F106" i="2"/>
  <c r="F115" i="2"/>
  <c r="F124" i="2"/>
  <c r="F130" i="2"/>
  <c r="F137" i="2"/>
  <c r="F7" i="2" l="1"/>
  <c r="F7" i="1" s="1"/>
  <c r="F12" i="2"/>
  <c r="F12" i="1" s="1"/>
  <c r="F23" i="2"/>
  <c r="F23" i="1" s="1"/>
  <c r="F46" i="2"/>
  <c r="F46" i="1" s="1"/>
  <c r="F47" i="2"/>
  <c r="F47" i="1" s="1"/>
  <c r="F54" i="2"/>
  <c r="F54" i="1" s="1"/>
  <c r="F55" i="2"/>
  <c r="F55" i="1" s="1"/>
  <c r="F56" i="2"/>
  <c r="F56" i="1" s="1"/>
  <c r="F58" i="2"/>
  <c r="F58" i="1" s="1"/>
  <c r="F64" i="2"/>
  <c r="F65" i="2"/>
  <c r="F65" i="1" s="1"/>
  <c r="F66" i="2"/>
  <c r="F66" i="1" s="1"/>
  <c r="F67" i="2"/>
  <c r="F67" i="1" s="1"/>
  <c r="F68" i="2"/>
  <c r="F68" i="1" s="1"/>
  <c r="F69" i="2"/>
  <c r="F69" i="1" s="1"/>
  <c r="F4" i="2"/>
  <c r="F4" i="1" s="1"/>
  <c r="F5" i="2"/>
  <c r="F5" i="1" s="1"/>
  <c r="F6" i="2"/>
  <c r="F6" i="1" s="1"/>
  <c r="F9" i="2"/>
  <c r="F9" i="1" s="1"/>
  <c r="F10" i="2"/>
  <c r="F10" i="1" s="1"/>
  <c r="F11" i="2"/>
  <c r="F11" i="1" s="1"/>
  <c r="F14" i="2"/>
  <c r="F16" i="2"/>
  <c r="F17" i="2"/>
  <c r="F17" i="1" s="1"/>
  <c r="F18" i="2"/>
  <c r="F18" i="1" s="1"/>
  <c r="F19" i="2"/>
  <c r="F19" i="1" s="1"/>
  <c r="F20" i="2"/>
  <c r="F20" i="1" s="1"/>
  <c r="F21" i="2"/>
  <c r="F21" i="1" s="1"/>
  <c r="F27" i="2"/>
  <c r="F27" i="1" s="1"/>
  <c r="F31" i="2"/>
  <c r="F31" i="1" s="1"/>
  <c r="F33" i="2"/>
  <c r="F34" i="2"/>
  <c r="F34" i="1" s="1"/>
  <c r="F35" i="2"/>
  <c r="F35" i="1" s="1"/>
  <c r="F36" i="2"/>
  <c r="F36" i="1" s="1"/>
  <c r="F38" i="2"/>
  <c r="F38" i="1" s="1"/>
  <c r="F40" i="2"/>
  <c r="F41" i="2"/>
  <c r="F41" i="1" s="1"/>
  <c r="F42" i="2"/>
  <c r="F42" i="1" s="1"/>
  <c r="F43" i="2"/>
  <c r="F43" i="1" s="1"/>
  <c r="F48" i="2"/>
  <c r="F48" i="1" s="1"/>
  <c r="F49" i="2"/>
  <c r="F49" i="1" s="1"/>
  <c r="F53" i="2"/>
  <c r="F53" i="1" s="1"/>
  <c r="F59" i="2"/>
  <c r="F59" i="1" s="1"/>
  <c r="F60" i="2"/>
  <c r="F60" i="1" s="1"/>
  <c r="F39" i="2" l="1"/>
  <c r="F39" i="1" s="1"/>
  <c r="F40" i="1"/>
  <c r="F14" i="1"/>
  <c r="F63" i="2"/>
  <c r="F63" i="1" s="1"/>
  <c r="F64" i="1"/>
  <c r="F33" i="1"/>
  <c r="F32" i="2"/>
  <c r="F32" i="1" s="1"/>
  <c r="F15" i="2"/>
  <c r="F15" i="1" s="1"/>
  <c r="F16" i="1"/>
  <c r="F13" i="2" l="1"/>
  <c r="F13" i="1" s="1"/>
</calcChain>
</file>

<file path=xl/sharedStrings.xml><?xml version="1.0" encoding="utf-8"?>
<sst xmlns="http://schemas.openxmlformats.org/spreadsheetml/2006/main" count="3313" uniqueCount="235">
  <si>
    <t>Description</t>
  </si>
  <si>
    <t>Ticker</t>
  </si>
  <si>
    <t>Field ID</t>
  </si>
  <si>
    <t>Field Mnemonic</t>
  </si>
  <si>
    <t>Data State</t>
  </si>
  <si>
    <t>06/27</t>
  </si>
  <si>
    <t>06/20</t>
  </si>
  <si>
    <t>06/13</t>
  </si>
  <si>
    <t>06/06</t>
  </si>
  <si>
    <t>05/30</t>
  </si>
  <si>
    <t>05/23</t>
  </si>
  <si>
    <t>05/16</t>
  </si>
  <si>
    <t>05/09</t>
  </si>
  <si>
    <t>05/02</t>
  </si>
  <si>
    <t>04/25</t>
  </si>
  <si>
    <t>04/18</t>
  </si>
  <si>
    <t>04/11</t>
  </si>
  <si>
    <t>04/04</t>
  </si>
  <si>
    <t>03/28</t>
  </si>
  <si>
    <t>03/21</t>
  </si>
  <si>
    <t>03/14</t>
  </si>
  <si>
    <t>03/07</t>
  </si>
  <si>
    <t>02/28</t>
  </si>
  <si>
    <t>02/21</t>
  </si>
  <si>
    <t>02/14</t>
  </si>
  <si>
    <t>02/07</t>
  </si>
  <si>
    <t>01/31</t>
  </si>
  <si>
    <t>01/24</t>
  </si>
  <si>
    <t>01/17</t>
  </si>
  <si>
    <t>01/10</t>
  </si>
  <si>
    <t>01/03</t>
  </si>
  <si>
    <t>12/27</t>
  </si>
  <si>
    <t>12/20</t>
  </si>
  <si>
    <t>12/13</t>
  </si>
  <si>
    <t>12/06</t>
  </si>
  <si>
    <t>11/29</t>
  </si>
  <si>
    <t>11/22</t>
  </si>
  <si>
    <t>11/15</t>
  </si>
  <si>
    <t>11/08</t>
  </si>
  <si>
    <t>11/01</t>
  </si>
  <si>
    <t>10/25</t>
  </si>
  <si>
    <t>10/18</t>
  </si>
  <si>
    <t>10/11</t>
  </si>
  <si>
    <t>10/04</t>
  </si>
  <si>
    <t>09/27</t>
  </si>
  <si>
    <t>09/20</t>
  </si>
  <si>
    <t>09/13</t>
  </si>
  <si>
    <t>09/06</t>
  </si>
  <si>
    <t>08/30</t>
  </si>
  <si>
    <t>08/23</t>
  </si>
  <si>
    <t>08/16</t>
  </si>
  <si>
    <t>08/09</t>
  </si>
  <si>
    <t>08/02</t>
  </si>
  <si>
    <t>07/26</t>
  </si>
  <si>
    <t>07/19</t>
  </si>
  <si>
    <t>07/12</t>
  </si>
  <si>
    <t>07/05</t>
  </si>
  <si>
    <t>06/28</t>
  </si>
  <si>
    <t>06/21</t>
  </si>
  <si>
    <t>06/14</t>
  </si>
  <si>
    <t>06/07</t>
  </si>
  <si>
    <t>05/31</t>
  </si>
  <si>
    <t>05/24</t>
  </si>
  <si>
    <t>05/17</t>
  </si>
  <si>
    <t>05/10</t>
  </si>
  <si>
    <t>05/03</t>
  </si>
  <si>
    <t>04/26</t>
  </si>
  <si>
    <t>04/19</t>
  </si>
  <si>
    <t>04/12</t>
  </si>
  <si>
    <t>04/05</t>
  </si>
  <si>
    <t>03/29</t>
  </si>
  <si>
    <t>03/22</t>
  </si>
  <si>
    <t>03/15</t>
  </si>
  <si>
    <t>03/08</t>
  </si>
  <si>
    <t>03/01</t>
  </si>
  <si>
    <t>02/22</t>
  </si>
  <si>
    <t>02/15</t>
  </si>
  <si>
    <t>02/08</t>
  </si>
  <si>
    <t>02/01</t>
  </si>
  <si>
    <t>01/25</t>
  </si>
  <si>
    <t>01/18</t>
  </si>
  <si>
    <t>01/11</t>
  </si>
  <si>
    <t>01/04</t>
  </si>
  <si>
    <t>12/28</t>
  </si>
  <si>
    <t>12/21</t>
  </si>
  <si>
    <t>**IMPORTANT NOTE**</t>
  </si>
  <si>
    <t>This document, the information contained herein and any derived information created therefrom are for the exclusive use of ULTRABURSATILES ULTRABURSATILES at ULTRABURSATILES.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</si>
  <si>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</si>
  <si>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</si>
  <si>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</si>
  <si>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</si>
  <si>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</si>
  <si>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</si>
  <si>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</si>
  <si>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</si>
  <si>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</si>
  <si>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</si>
  <si>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</si>
  <si>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</si>
  <si>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</si>
  <si>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</si>
  <si>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</si>
  <si>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</si>
  <si>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</si>
  <si>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</si>
  <si>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</si>
  <si>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</si>
  <si>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</si>
  <si>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</si>
  <si>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</si>
  <si>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</si>
  <si>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</si>
  <si>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</si>
  <si>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LTRO REPAYMENT (EUR B)</t>
  </si>
  <si>
    <t/>
  </si>
  <si>
    <t>Static</t>
  </si>
  <si>
    <t xml:space="preserve">    (Switch to WEEKLY view to see latest data)</t>
  </si>
  <si>
    <t>Heading</t>
  </si>
  <si>
    <t xml:space="preserve">    LTRO I Weekly Repayment</t>
  </si>
  <si>
    <t>ECBA3YP1 Index</t>
  </si>
  <si>
    <t>PR005</t>
  </si>
  <si>
    <t>PX_LAST</t>
  </si>
  <si>
    <t>Dynamic</t>
  </si>
  <si>
    <t xml:space="preserve">    LTRO I Cumulative Repayment</t>
  </si>
  <si>
    <t>ECBA3YC1 Index</t>
  </si>
  <si>
    <t xml:space="preserve">    LTRO I Outstanding</t>
  </si>
  <si>
    <t>ECBA3YO1 Index</t>
  </si>
  <si>
    <t xml:space="preserve">    LTRO I Outstanding % Initial Allotment</t>
  </si>
  <si>
    <t>Expression</t>
  </si>
  <si>
    <t xml:space="preserve">    </t>
  </si>
  <si>
    <t xml:space="preserve">    LTRO II Weekly Repayment</t>
  </si>
  <si>
    <t>ECBA3YP2 Index</t>
  </si>
  <si>
    <t xml:space="preserve">    LTRO II Cumulative Repayment</t>
  </si>
  <si>
    <t>ECBA3YC2 Index</t>
  </si>
  <si>
    <t xml:space="preserve">    LTRO II Outstanding</t>
  </si>
  <si>
    <t>ECBA3YO2 Index</t>
  </si>
  <si>
    <t xml:space="preserve">    LTRO II Outstanding % Initial Allotment</t>
  </si>
  <si>
    <t>ECB NET LENDING (EUR B)</t>
  </si>
  <si>
    <t xml:space="preserve">    Gross Lending to Euro Area Credit Institutions</t>
  </si>
  <si>
    <t>EBBSA050 Index</t>
  </si>
  <si>
    <t xml:space="preserve">    Liabilities to Credit Institutions</t>
  </si>
  <si>
    <t>Sum</t>
  </si>
  <si>
    <t xml:space="preserve">        Deposit Facility</t>
  </si>
  <si>
    <t>EBBSDEPF Index</t>
  </si>
  <si>
    <t xml:space="preserve">        Fixed-Term Deposits</t>
  </si>
  <si>
    <t>EBBSFIXE Index</t>
  </si>
  <si>
    <t xml:space="preserve">        Fine-tuning Reverse Operations</t>
  </si>
  <si>
    <t>EBBSDEPO Index</t>
  </si>
  <si>
    <t xml:space="preserve">        Deposits Related to Margin Calls</t>
  </si>
  <si>
    <t>EBBSL025 Index</t>
  </si>
  <si>
    <t xml:space="preserve">        Debt Certificates Issued</t>
  </si>
  <si>
    <t>EBBSCERT Index</t>
  </si>
  <si>
    <t xml:space="preserve">    ECB Current Accounts (incl. Minimum Reserve System)</t>
  </si>
  <si>
    <t>EBBSCA Index</t>
  </si>
  <si>
    <t>EXCESS LIQUIDITY (EUR B)</t>
  </si>
  <si>
    <t>ECBLXLIQ Index</t>
  </si>
  <si>
    <t>(Deposit Facility-Marginal Lending</t>
  </si>
  <si>
    <t>+ (Current Account Holdings - Reserve Requirements)</t>
  </si>
  <si>
    <t>ECB USD Total Swap Line Currently Drawndown (USD B)</t>
  </si>
  <si>
    <t>FESLECB Index</t>
  </si>
  <si>
    <t>ECB MARKET OPERATIONS (EUR B)</t>
  </si>
  <si>
    <t xml:space="preserve">    Main Refinancing Operations</t>
  </si>
  <si>
    <t xml:space="preserve">        Net Added/Drained</t>
  </si>
  <si>
    <t>ECBANET Index</t>
  </si>
  <si>
    <t xml:space="preserve">        Bid Cover Ratio</t>
  </si>
  <si>
    <t xml:space="preserve">            Bid Amount</t>
  </si>
  <si>
    <t>ECBATBID Index</t>
  </si>
  <si>
    <t xml:space="preserve">            Alloted Amount</t>
  </si>
  <si>
    <t>ECBATOT Index</t>
  </si>
  <si>
    <t xml:space="preserve">        Marginal Rate (%)</t>
  </si>
  <si>
    <t>ECBAMARG Index</t>
  </si>
  <si>
    <t xml:space="preserve">        Duration (days)</t>
  </si>
  <si>
    <t>ECBADUR Index</t>
  </si>
  <si>
    <t xml:space="preserve">    Long Term Refinancing Operations</t>
  </si>
  <si>
    <t xml:space="preserve">        Total Allotment</t>
  </si>
  <si>
    <t>ECBALTAL Index</t>
  </si>
  <si>
    <t>ECBALTB Index</t>
  </si>
  <si>
    <t>ECBALTMR Index</t>
  </si>
  <si>
    <t>ECBALYDY Index</t>
  </si>
  <si>
    <t xml:space="preserve">    Fine Tunning Operations</t>
  </si>
  <si>
    <t xml:space="preserve">    7 Day Tender Operations</t>
  </si>
  <si>
    <t>ECBA7DTO Index</t>
  </si>
  <si>
    <t xml:space="preserve">        Total Bids</t>
  </si>
  <si>
    <t>ECBA7DBI Index</t>
  </si>
  <si>
    <t>ECBA7DBC Index</t>
  </si>
  <si>
    <t>ECBA7DDU Index</t>
  </si>
  <si>
    <t xml:space="preserve">    US Dollar Auctions</t>
  </si>
  <si>
    <t>ECB SECURITIES MARKET PROGRAM (EUR B)</t>
  </si>
  <si>
    <t xml:space="preserve">    Securities Held for Monetary Policy Purposes</t>
  </si>
  <si>
    <t>EBBSSECM Index</t>
  </si>
  <si>
    <t xml:space="preserve">    Securities Market Program-Outstanding</t>
  </si>
  <si>
    <t>ECBCSMP Index</t>
  </si>
  <si>
    <t xml:space="preserve">    Covered Bond Purchase Programme</t>
  </si>
  <si>
    <t>ECBCBOND Index</t>
  </si>
  <si>
    <t xml:space="preserve">    Covered Bond Purchase Programme 2</t>
  </si>
  <si>
    <t>ECBCBND2 Index</t>
  </si>
  <si>
    <t xml:space="preserve">    Securities Market Program-Weekly Amount</t>
  </si>
  <si>
    <t>ECBCSMPW Index</t>
  </si>
  <si>
    <t xml:space="preserve">    7 Day Average Rate</t>
  </si>
  <si>
    <t>ECBA7DAV Index</t>
  </si>
  <si>
    <t xml:space="preserve">    7 Day Bid to Cover Ratio</t>
  </si>
  <si>
    <t>ECB LIQUIDITY CONDITIONS (DAILY)  (EUR B)</t>
  </si>
  <si>
    <t xml:space="preserve">    Deposit Facility + Current Account</t>
  </si>
  <si>
    <t xml:space="preserve">        Current Account Holdings</t>
  </si>
  <si>
    <t>ECBLCAHO Index</t>
  </si>
  <si>
    <t xml:space="preserve">        Use of the Deposit Facility</t>
  </si>
  <si>
    <t>ECBLDEPO Index</t>
  </si>
  <si>
    <t xml:space="preserve">    Average Reserve Requirements (a)</t>
  </si>
  <si>
    <t>ECBLRERE Index</t>
  </si>
  <si>
    <t xml:space="preserve">    Use of the Marginal Lending Facility</t>
  </si>
  <si>
    <t>ECBLMARG Index</t>
  </si>
  <si>
    <t xml:space="preserve">    Net Liquidity Effect from Autonomous Factors and SMP</t>
  </si>
  <si>
    <t>ECBLALIQ Index</t>
  </si>
  <si>
    <t xml:space="preserve">    Overnight Deposit Facility Rate (%)</t>
  </si>
  <si>
    <t>EUORDEPO Index</t>
  </si>
  <si>
    <t>ECB LIQUIDITY OPERATIONS (MONTHLY AVG) (EUR B)</t>
  </si>
  <si>
    <t>Source: European Central Bank</t>
  </si>
  <si>
    <t>EURO AREA SYSTEMIC STRESS INDICATORS - Source: European Central Bank</t>
  </si>
  <si>
    <t>EURO AREA SYSTEMIC STRESS INDICATORS - For a more detailed definition</t>
  </si>
  <si>
    <t>EURO AREA SYSTEMIC STRESS INDICATORS - of stress indicators please view</t>
  </si>
  <si>
    <t>EURO AREA SYSTEMIC STRESS INDICATORS - http://sdw.ecb.europa.eu/browse.do?node=9551138</t>
  </si>
  <si>
    <t>Liabilities to Credit Institutions</t>
  </si>
  <si>
    <t>Total Allotment</t>
  </si>
  <si>
    <t>Securities Market Program-Outstanding</t>
  </si>
  <si>
    <t>Current Account Holdings</t>
  </si>
  <si>
    <t>Use of the Deposit Facility</t>
  </si>
  <si>
    <t>Date</t>
  </si>
  <si>
    <t>LTRO</t>
  </si>
  <si>
    <t xml:space="preserve">  MRO</t>
  </si>
  <si>
    <t>Cuenta Corriente (Incluye reservas)</t>
  </si>
  <si>
    <t>Cuenta Depósitos</t>
  </si>
  <si>
    <t>Ecbatot Index</t>
  </si>
  <si>
    <t>Tasa Intervención (Der)</t>
  </si>
  <si>
    <t>Tasa Depósito (Der)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</si>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</sst>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/>
  </cellStyleXfs>
  <cellXfs count="3">
    <xf numFmtId="0" fontId="0" fillId="0" borderId="0" xfId="0"/>
    <xf numFmtId="0" fontId="18" fillId="33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lp_column_header" xfId="42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ECBALTMR Index</stp>
        <stp>PR005</stp>
        <stp>-80CW</stp>
        <stp>9/26/2014</stp>
        <stp>[Copia de LTRO Desagregado.xlsx]ReferenceData!R131C6</stp>
        <stp>Per=CW</stp>
        <stp>Dts=H</stp>
        <stp>Dir=H</stp>
        <stp>Points=80</stp>
        <stp>Sort=R</stp>
        <stp>Days=A</stp>
        <stp>Fill=B</stp>
        <stp>FX=</stp>
        <stp>cols=80;rows=1</stp>
        <tr r="F131" s="2"/>
      </tp>
      <tp t="e">
        <v>#N/A</v>
        <stp/>
        <stp>##V3_BDHV12</stp>
        <stp>ECBA7DBI Index</stp>
        <stp>PR005</stp>
        <stp>-80CW</stp>
        <stp>9/26/2014</stp>
        <stp>[Copia de LTRO Desagregado.xlsx]ReferenceData!R98C6</stp>
        <stp>Per=CW</stp>
        <stp>Dts=H</stp>
        <stp>Dir=H</stp>
        <stp>Points=80</stp>
        <stp>Sort=R</stp>
        <stp>Days=A</stp>
        <stp>Fill=B</stp>
        <stp>FX=</stp>
        <stp>cols=80;rows=1</stp>
        <tr r="F98" s="2"/>
      </tp>
      <tp t="e">
        <v>#N/A</v>
        <stp/>
        <stp>##V3_BDHV12</stp>
        <stp>ECBANET Index</stp>
        <stp>PR005</stp>
        <stp>-80CW</stp>
        <stp>9/26/2014</stp>
        <stp>[Copia de LTRO Desagregado.xlsx]ReferenceData!R123C6</stp>
        <stp>Per=CW</stp>
        <stp>Dts=H</stp>
        <stp>Dir=H</stp>
        <stp>Points=80</stp>
        <stp>Sort=R</stp>
        <stp>Days=A</stp>
        <stp>Fill=B</stp>
        <stp>FX=</stp>
        <stp>cols=80;rows=1</stp>
        <tr r="F123" s="2"/>
      </tp>
      <tp t="e">
        <v>#N/A</v>
        <stp/>
        <stp>##V3_BDHV12</stp>
        <stp>ECBATOT Index</stp>
        <stp>PR005</stp>
        <stp>-80CW</stp>
        <stp>9/26/2014</stp>
        <stp>[Copia de LTRO Desagregado.xlsx]ReferenceData!R125C6</stp>
        <stp>Per=CW</stp>
        <stp>Dts=H</stp>
        <stp>Dir=H</stp>
        <stp>Points=80</stp>
        <stp>Sort=R</stp>
        <stp>Days=A</stp>
        <stp>Fill=B</stp>
        <stp>FX=</stp>
        <stp>cols=80;rows=1</stp>
        <tr r="F125" s="2"/>
      </tp>
      <tp t="e">
        <v>#N/A</v>
        <stp/>
        <stp>##V3_BDHV12</stp>
        <stp>ECBA7DAV Index</stp>
        <stp>PR005</stp>
        <stp>-80CW</stp>
        <stp>9/26/2014</stp>
        <stp>[Copia de LTRO Desagregado.xlsx]ReferenceData!R136C6</stp>
        <stp>Per=CW</stp>
        <stp>Dts=H</stp>
        <stp>Dir=H</stp>
        <stp>Points=80</stp>
        <stp>Sort=R</stp>
        <stp>Days=A</stp>
        <stp>Fill=B</stp>
        <stp>FX=</stp>
        <stp>cols=80;rows=1</stp>
        <tr r="F136" s="2"/>
      </tp>
      <tp t="e">
        <v>#N/A</v>
        <stp/>
        <stp>##V3_BDHV12</stp>
        <stp>FESLECB Index</stp>
        <stp>PR005</stp>
        <stp>-80CW</stp>
        <stp>9/26/2014</stp>
        <stp>[Copia de LTRO Desagregado.xlsx]ReferenceData!R122C6</stp>
        <stp>Per=CW</stp>
        <stp>Dts=H</stp>
        <stp>Dir=H</stp>
        <stp>Points=80</stp>
        <stp>Sort=R</stp>
        <stp>Days=A</stp>
        <stp>Fill=B</stp>
        <stp>FX=</stp>
        <stp>cols=80;rows=1</stp>
        <tr r="F122" s="2"/>
      </tp>
      <tp t="e">
        <v>#N/A</v>
        <stp/>
        <stp>##V3_BDHV12</stp>
        <stp>EBBSFIXE Index</stp>
        <stp>PR005</stp>
        <stp>-80CW</stp>
        <stp>9/26/2014</stp>
        <stp>[Copia de LTRO Desagregado.xlsx]ReferenceData!R117C6</stp>
        <stp>Per=CW</stp>
        <stp>Dts=H</stp>
        <stp>Dir=H</stp>
        <stp>Points=80</stp>
        <stp>Sort=R</stp>
        <stp>Days=A</stp>
        <stp>Fill=B</stp>
        <stp>FX=</stp>
        <stp>cols=80;rows=1</stp>
        <tr r="F117" s="2"/>
      </tp>
      <tp t="e">
        <v>#N/A</v>
        <stp/>
        <stp>##V3_BDHV12</stp>
        <stp>ECBADUR Index</stp>
        <stp>PR005</stp>
        <stp>-80CW</stp>
        <stp>9/26/2014</stp>
        <stp>[Copia de LTRO Desagregado.xlsx]ReferenceData!R127C6</stp>
        <stp>Per=CW</stp>
        <stp>Dts=H</stp>
        <stp>Dir=H</stp>
        <stp>Points=80</stp>
        <stp>Sort=R</stp>
        <stp>Days=A</stp>
        <stp>Fill=B</stp>
        <stp>FX=</stp>
        <stp>cols=80;rows=1</stp>
        <tr r="F127" s="2"/>
      </tp>
      <tp t="e">
        <v>#N/A</v>
        <stp/>
        <stp>##V3_BDHV12</stp>
        <stp>EBBSDEPF Index</stp>
        <stp>PR005</stp>
        <stp>-80CW</stp>
        <stp>9/26/2014</stp>
        <stp>[Copia de LTRO Desagregado.xlsx]ReferenceData!R116C6</stp>
        <stp>Per=CW</stp>
        <stp>Dts=H</stp>
        <stp>Dir=H</stp>
        <stp>Points=80</stp>
        <stp>Sort=R</stp>
        <stp>Days=A</stp>
        <stp>Fill=B</stp>
        <stp>FX=</stp>
        <stp>cols=80;rows=1</stp>
        <tr r="F116" s="2"/>
      </tp>
      <tp t="e">
        <v>#N/A</v>
        <stp/>
        <stp>##V3_BDHV12</stp>
        <stp>ECBA7DDU Index</stp>
        <stp>PR005</stp>
        <stp>-80CW</stp>
        <stp>9/26/2014</stp>
        <stp>[Copia de LTRO Desagregado.xlsx]ReferenceData!R134C6</stp>
        <stp>Per=CW</stp>
        <stp>Dts=H</stp>
        <stp>Dir=H</stp>
        <stp>Points=80</stp>
        <stp>Sort=R</stp>
        <stp>Days=A</stp>
        <stp>Fill=B</stp>
        <stp>FX=</stp>
        <stp>cols=80;rows=1</stp>
        <tr r="F134" s="2"/>
      </tp>
      <tp t="e">
        <v>#N/A</v>
        <stp/>
        <stp>##V3_BDHV12</stp>
        <stp>ECBCSMPW Index</stp>
        <stp>PR005</stp>
        <stp>-80CW</stp>
        <stp>9/26/2014</stp>
        <stp>[Copia de LTRO Desagregado.xlsx]ReferenceData!R102C6</stp>
        <stp>Per=CW</stp>
        <stp>Dts=H</stp>
        <stp>Dir=H</stp>
        <stp>Points=80</stp>
        <stp>Sort=R</stp>
        <stp>Days=A</stp>
        <stp>Fill=B</stp>
        <stp>FX=</stp>
        <stp>cols=80;rows=1</stp>
        <tr r="F102" s="2"/>
      </tp>
      <tp t="e">
        <v>#N/A</v>
        <stp/>
        <stp>##V3_BDHV12</stp>
        <stp>ECBLXLIQ Index</stp>
        <stp>PR005</stp>
        <stp>-80CW</stp>
        <stp>9/26/2014</stp>
        <stp>[Copia de LTRO Desagregado.xlsx]ReferenceData!R96C6</stp>
        <stp>Per=CW</stp>
        <stp>Dts=H</stp>
        <stp>Dir=H</stp>
        <stp>Points=80</stp>
        <stp>Sort=R</stp>
        <stp>Days=A</stp>
        <stp>Fill=B</stp>
        <stp>FX=</stp>
        <stp>cols=80;rows=1</stp>
        <tr r="F96" s="2"/>
      </tp>
      <tp t="e">
        <v>#N/A</v>
        <stp/>
        <stp>##V3_BDHV12</stp>
        <stp>ECBALYDY Index</stp>
        <stp>PR005</stp>
        <stp>-80CW</stp>
        <stp>9/26/2014</stp>
        <stp>[Copia de LTRO Desagregado.xlsx]ReferenceData!R132C6</stp>
        <stp>Per=CW</stp>
        <stp>Dts=H</stp>
        <stp>Dir=H</stp>
        <stp>Points=80</stp>
        <stp>Sort=R</stp>
        <stp>Days=A</stp>
        <stp>Fill=B</stp>
        <stp>FX=</stp>
        <stp>cols=80;rows=1</stp>
        <tr r="F132" s="2"/>
      </tp>
      <tp t="e">
        <v>#N/A</v>
        <stp/>
        <stp>##V3_BDHV12</stp>
        <stp>ECBA3YO2 Index</stp>
        <stp>PR005</stp>
        <stp>-80CW</stp>
        <stp>9/26/2014</stp>
        <stp>[Copia de LTRO Desagregado.xlsx]ReferenceData!R95C6</stp>
        <stp>Per=CW</stp>
        <stp>Dts=H</stp>
        <stp>Dir=H</stp>
        <stp>Points=80</stp>
        <stp>Sort=R</stp>
        <stp>Days=A</stp>
        <stp>Fill=B</stp>
        <stp>FX=</stp>
        <stp>cols=80;rows=1</stp>
        <tr r="F95" s="2"/>
      </tp>
      <tp t="e">
        <v>#N/A</v>
        <stp/>
        <stp>##V3_BDHV12</stp>
        <stp>ECBA3YO1 Index</stp>
        <stp>PR005</stp>
        <stp>-80CW</stp>
        <stp>9/26/2014</stp>
        <stp>[Copia de LTRO Desagregado.xlsx]ReferenceData!R94C6</stp>
        <stp>Per=CW</stp>
        <stp>Dts=H</stp>
        <stp>Dir=H</stp>
        <stp>Points=80</stp>
        <stp>Sort=R</stp>
        <stp>Days=A</stp>
        <stp>Fill=B</stp>
        <stp>FX=</stp>
        <stp>cols=80;rows=1</stp>
        <tr r="F94" s="2"/>
      </tp>
      <tp t="e">
        <v>#N/A</v>
        <stp/>
        <stp>##V3_BDHV12</stp>
        <stp>EBBSSECM Index</stp>
        <stp>PR005</stp>
        <stp>-80CW</stp>
        <stp>9/26/2014</stp>
        <stp>[Copia de LTRO Desagregado.xlsx]ReferenceData!R135C6</stp>
        <stp>Per=CW</stp>
        <stp>Dts=H</stp>
        <stp>Dir=H</stp>
        <stp>Points=80</stp>
        <stp>Sort=R</stp>
        <stp>Days=A</stp>
        <stp>Fill=B</stp>
        <stp>FX=</stp>
        <stp>cols=80;rows=1</stp>
        <tr r="F135" s="2"/>
      </tp>
      <tp t="e">
        <v>#N/A</v>
        <stp/>
        <stp>##V3_BDHV12</stp>
        <stp>EUORDEPO Index</stp>
        <stp>PR005</stp>
        <stp>-80CW</stp>
        <stp>9/26/2014</stp>
        <stp>[Copia de LTRO Desagregado.xlsx]ReferenceData!R108C6</stp>
        <stp>Per=CW</stp>
        <stp>Dts=H</stp>
        <stp>Dir=H</stp>
        <stp>Points=80</stp>
        <stp>Sort=R</stp>
        <stp>Days=A</stp>
        <stp>Fill=B</stp>
        <stp>FX=</stp>
        <stp>cols=80;rows=1</stp>
        <tr r="F108" s="2"/>
      </tp>
      <tp t="e">
        <v>#N/A</v>
        <stp/>
        <stp>##V3_BDHV12</stp>
        <stp>ECBLALIQ Index</stp>
        <stp>PR005</stp>
        <stp>-80CW</stp>
        <stp>9/26/2014</stp>
        <stp>[Copia de LTRO Desagregado.xlsx]ReferenceData!R107C6</stp>
        <stp>Per=CW</stp>
        <stp>Dts=H</stp>
        <stp>Dir=H</stp>
        <stp>Points=80</stp>
        <stp>Sort=R</stp>
        <stp>Days=A</stp>
        <stp>Fill=B</stp>
        <stp>FX=</stp>
        <stp>cols=80;rows=1</stp>
        <tr r="F107" s="2"/>
      </tp>
      <tp t="e">
        <v>#N/A</v>
        <stp/>
        <stp>##V3_BDHV12</stp>
        <stp>EBBSDEPO Index</stp>
        <stp>PR005</stp>
        <stp>-80CW</stp>
        <stp>9/26/2014</stp>
        <stp>[Copia de LTRO Desagregado.xlsx]ReferenceData!R118C6</stp>
        <stp>Per=CW</stp>
        <stp>Dts=H</stp>
        <stp>Dir=H</stp>
        <stp>Points=80</stp>
        <stp>Sort=R</stp>
        <stp>Days=A</stp>
        <stp>Fill=B</stp>
        <stp>FX=</stp>
        <stp>cols=80;rows=1</stp>
        <tr r="F118" s="2"/>
      </tp>
      <tp t="e">
        <v>#N/A</v>
        <stp/>
        <stp>##V3_BDHV12</stp>
        <stp>ECBLDEPO Index</stp>
        <stp>PR005</stp>
        <stp>-80CW</stp>
        <stp>9/26/2014</stp>
        <stp>[Copia de LTRO Desagregado.xlsx]ReferenceData!R104C6</stp>
        <stp>Per=CW</stp>
        <stp>Dts=H</stp>
        <stp>Dir=H</stp>
        <stp>Points=80</stp>
        <stp>Sort=R</stp>
        <stp>Days=A</stp>
        <stp>Fill=B</stp>
        <stp>FX=</stp>
        <stp>cols=80;rows=1</stp>
        <tr r="F104" s="2"/>
      </tp>
      <tp t="e">
        <v>#N/A</v>
        <stp/>
        <stp>##V3_BDHV12</stp>
        <stp>ECBLCAHO Index</stp>
        <stp>PR005</stp>
        <stp>-80CW</stp>
        <stp>9/26/2014</stp>
        <stp>[Copia de LTRO Desagregado.xlsx]ReferenceData!R103C6</stp>
        <stp>Per=CW</stp>
        <stp>Dts=H</stp>
        <stp>Dir=H</stp>
        <stp>Points=80</stp>
        <stp>Sort=R</stp>
        <stp>Days=A</stp>
        <stp>Fill=B</stp>
        <stp>FX=</stp>
        <stp>cols=80;rows=1</stp>
        <tr r="F103" s="2"/>
      </tp>
      <tp t="e">
        <v>#N/A</v>
        <stp/>
        <stp>##V3_BDHV12</stp>
        <stp>ECBA7DBC Index</stp>
        <stp>PR005</stp>
        <stp>-80CW</stp>
        <stp>9/26/2014</stp>
        <stp>[Copia de LTRO Desagregado.xlsx]ReferenceData!R133C6</stp>
        <stp>Per=CW</stp>
        <stp>Dts=H</stp>
        <stp>Dir=H</stp>
        <stp>Points=80</stp>
        <stp>Sort=R</stp>
        <stp>Days=A</stp>
        <stp>Fill=B</stp>
        <stp>FX=</stp>
        <stp>cols=80;rows=1</stp>
        <tr r="F133" s="2"/>
      </tp>
      <tp t="e">
        <v>#N/A</v>
        <stp/>
        <stp>##V3_BDHV12</stp>
        <stp>ECBA7DBC Index</stp>
        <stp>PR005</stp>
        <stp>-80CW</stp>
        <stp>9/26/2014</stp>
        <stp>[Copia de LTRO Desagregado.xlsx]ReferenceData!R137C6</stp>
        <stp>Per=CW</stp>
        <stp>Dts=H</stp>
        <stp>Dir=H</stp>
        <stp>Points=80</stp>
        <stp>Sort=R</stp>
        <stp>Days=A</stp>
        <stp>Fill=B</stp>
        <stp>FX=</stp>
        <stp>cols=80;rows=1</stp>
        <tr r="F137" s="2"/>
      </tp>
      <tp t="e">
        <v>#N/A</v>
        <stp/>
        <stp>##V3_BDHV12</stp>
        <stp>Ecbatot Index</stp>
        <stp>PX_LAST</stp>
        <stp>1/1/2012</stp>
        <stp/>
        <stp>[Copia de LTRO Desagregado.xlsx]Hoja5!R29C5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E29" s="5"/>
      </tp>
      <tp t="e">
        <v>#N/A</v>
        <stp/>
        <stp>##V3_BDHV12</stp>
        <stp>EBBSDEPF Index</stp>
        <stp>PX_LAST</stp>
        <stp>1/1/2012</stp>
        <stp/>
        <stp>[Copia de LTRO Desagregado.xlsx]Hoja5!R29C2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B29" s="5"/>
      </tp>
      <tp t="e">
        <v>#N/A</v>
        <stp/>
        <stp>##V3_BDHV12</stp>
        <stp>ECBCBOND Index</stp>
        <stp>PR005</stp>
        <stp>-80CW</stp>
        <stp>9/26/2014</stp>
        <stp>[Copia de LTRO Desagregado.xlsx]ReferenceData!R100C6</stp>
        <stp>Per=CW</stp>
        <stp>Dts=H</stp>
        <stp>Dir=H</stp>
        <stp>Points=80</stp>
        <stp>Sort=R</stp>
        <stp>Days=A</stp>
        <stp>Fill=B</stp>
        <stp>FX=</stp>
        <stp>cols=80;rows=1</stp>
        <tr r="F100" s="2"/>
      </tp>
      <tp t="e">
        <v>#N/A</v>
        <stp/>
        <stp>##V3_BDHV12</stp>
        <stp>EBBSCERT Index</stp>
        <stp>PR005</stp>
        <stp>-80CW</stp>
        <stp>9/26/2014</stp>
        <stp>[Copia de LTRO Desagregado.xlsx]ReferenceData!R120C6</stp>
        <stp>Per=CW</stp>
        <stp>Dts=H</stp>
        <stp>Dir=H</stp>
        <stp>Points=80</stp>
        <stp>Sort=R</stp>
        <stp>Days=A</stp>
        <stp>Fill=B</stp>
        <stp>FX=</stp>
        <stp>cols=80;rows=1</stp>
        <tr r="F120" s="2"/>
      </tp>
      <tp t="e">
        <v>#N/A</v>
        <stp/>
        <stp>##V3_BDHV12</stp>
        <stp>ECBAMARG Index</stp>
        <stp>PR005</stp>
        <stp>-80CW</stp>
        <stp>9/26/2014</stp>
        <stp>[Copia de LTRO Desagregado.xlsx]ReferenceData!R126C6</stp>
        <stp>Per=CW</stp>
        <stp>Dts=H</stp>
        <stp>Dir=H</stp>
        <stp>Points=80</stp>
        <stp>Sort=R</stp>
        <stp>Days=A</stp>
        <stp>Fill=B</stp>
        <stp>FX=</stp>
        <stp>cols=80;rows=1</stp>
        <tr r="F126" s="2"/>
      </tp>
      <tp t="e">
        <v>#N/A</v>
        <stp/>
        <stp>##V3_BDHV12</stp>
        <stp>ECBALTB Index</stp>
        <stp>PR005</stp>
        <stp>-80CW</stp>
        <stp>9/26/2014</stp>
        <stp>[Copia de LTRO Desagregado.xlsx]ReferenceData!R129C6</stp>
        <stp>Per=CW</stp>
        <stp>Dts=H</stp>
        <stp>Dir=H</stp>
        <stp>Points=80</stp>
        <stp>Sort=R</stp>
        <stp>Days=A</stp>
        <stp>Fill=B</stp>
        <stp>FX=</stp>
        <stp>cols=80;rows=1</stp>
        <tr r="F129" s="2"/>
      </tp>
      <tp t="e">
        <v>#N/A</v>
        <stp/>
        <stp>##V3_BDHV12</stp>
        <stp>ECBATBID Index</stp>
        <stp>PR005</stp>
        <stp>-80CW</stp>
        <stp>9/26/2014</stp>
        <stp>[Copia de LTRO Desagregado.xlsx]ReferenceData!R124C6</stp>
        <stp>Per=CW</stp>
        <stp>Dts=H</stp>
        <stp>Dir=H</stp>
        <stp>Points=80</stp>
        <stp>Sort=R</stp>
        <stp>Days=A</stp>
        <stp>Fill=B</stp>
        <stp>FX=</stp>
        <stp>cols=80;rows=1</stp>
        <tr r="F124" s="2"/>
      </tp>
      <tp t="e">
        <v>#N/A</v>
        <stp/>
        <stp>##V3_BDHV12</stp>
        <stp>ECBA7DTO Index</stp>
        <stp>PR005</stp>
        <stp>-80CW</stp>
        <stp>9/26/2014</stp>
        <stp>[Copia de LTRO Desagregado.xlsx]ReferenceData!R97C6</stp>
        <stp>Per=CW</stp>
        <stp>Dts=H</stp>
        <stp>Dir=H</stp>
        <stp>Points=80</stp>
        <stp>Sort=R</stp>
        <stp>Days=A</stp>
        <stp>Fill=B</stp>
        <stp>FX=</stp>
        <stp>cols=80;rows=1</stp>
        <tr r="F97" s="2"/>
      </tp>
      <tp t="e">
        <v>#N/A</v>
        <stp/>
        <stp>##V3_BDHV12</stp>
        <stp>ECBLMARG Index</stp>
        <stp>PR005</stp>
        <stp>-80CW</stp>
        <stp>9/26/2014</stp>
        <stp>[Copia de LTRO Desagregado.xlsx]ReferenceData!R106C6</stp>
        <stp>Per=CW</stp>
        <stp>Dts=H</stp>
        <stp>Dir=H</stp>
        <stp>Points=80</stp>
        <stp>Sort=R</stp>
        <stp>Days=A</stp>
        <stp>Fill=B</stp>
        <stp>FX=</stp>
        <stp>cols=80;rows=1</stp>
        <tr r="F106" s="2"/>
      </tp>
      <tp t="e">
        <v>#N/A</v>
        <stp/>
        <stp>##V3_BDHV12</stp>
        <stp>ECBLRERE Index</stp>
        <stp>PR005</stp>
        <stp>-80CW</stp>
        <stp>9/26/2014</stp>
        <stp>[Copia de LTRO Desagregado.xlsx]ReferenceData!R105C6</stp>
        <stp>Per=CW</stp>
        <stp>Dts=H</stp>
        <stp>Dir=H</stp>
        <stp>Points=80</stp>
        <stp>Sort=R</stp>
        <stp>Days=A</stp>
        <stp>Fill=B</stp>
        <stp>FX=</stp>
        <stp>cols=80;rows=1</stp>
        <tr r="F105" s="2"/>
      </tp>
      <tp t="e">
        <v>#N/A</v>
        <stp/>
        <stp>##V3_BDHV12</stp>
        <stp>ECBATOT Index</stp>
        <stp>PX_LAST</stp>
        <stp>1/1/2012</stp>
        <stp/>
        <stp>[Copia de LTRO Desagregado.xlsx]Hoja5!R29C8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H29" s="5"/>
      </tp>
      <tp t="e">
        <v>#N/A</v>
        <stp/>
        <stp>##V3_BDHV12</stp>
        <stp>ECBALTAL Index</stp>
        <stp>PR005</stp>
        <stp>-80CW</stp>
        <stp>9/26/2014</stp>
        <stp>[Copia de LTRO Desagregado.xlsx]ReferenceData!R128C6</stp>
        <stp>Per=CW</stp>
        <stp>Dts=H</stp>
        <stp>Dir=H</stp>
        <stp>Points=80</stp>
        <stp>Sort=R</stp>
        <stp>Days=A</stp>
        <stp>Fill=B</stp>
        <stp>FX=</stp>
        <stp>cols=80;rows=1</stp>
        <tr r="F128" s="2"/>
      </tp>
      <tp t="e">
        <v>#N/A</v>
        <stp/>
        <stp>##V3_BDHV12</stp>
        <stp>ECBALTAL Index</stp>
        <stp>PR005</stp>
        <stp>-80CW</stp>
        <stp>9/26/2014</stp>
        <stp>[Copia de LTRO Desagregado.xlsx]ReferenceData!R130C6</stp>
        <stp>Per=CW</stp>
        <stp>Dts=H</stp>
        <stp>Dir=H</stp>
        <stp>Points=80</stp>
        <stp>Sort=R</stp>
        <stp>Days=A</stp>
        <stp>Fill=B</stp>
        <stp>FX=</stp>
        <stp>cols=80;rows=1</stp>
        <tr r="F130" s="2"/>
      </tp>
    </main>
    <main first="bloomberg.ccyreader">
      <tp t="s">
        <v/>
        <stp/>
        <stp>#track</stp>
        <stp>DBG</stp>
        <stp>BIHITX</stp>
        <stp>1.0</stp>
        <stp>RepeatHit</stp>
        <tr r="A87" s="2"/>
      </tp>
    </main>
    <main first="bloomberg.rtd">
      <tp t="e">
        <v>#N/A</v>
        <stp/>
        <stp>##V3_BDHV12</stp>
        <stp>EBBSCA Index</stp>
        <stp>PR005</stp>
        <stp>-80CW</stp>
        <stp>9/26/2014</stp>
        <stp>[Copia de LTRO Desagregado.xlsx]ReferenceData!R121C6</stp>
        <stp>Per=CW</stp>
        <stp>Dts=H</stp>
        <stp>Dir=H</stp>
        <stp>Points=80</stp>
        <stp>Sort=R</stp>
        <stp>Days=A</stp>
        <stp>Fill=B</stp>
        <stp>FX=</stp>
        <stp>cols=80;rows=1</stp>
        <tr r="F121" s="2"/>
      </tp>
      <tp t="e">
        <v>#N/A</v>
        <stp/>
        <stp>##V3_BDHV12</stp>
        <stp>ECBCSMP Index</stp>
        <stp>PR005</stp>
        <stp>-80CW</stp>
        <stp>9/26/2014</stp>
        <stp>[Copia de LTRO Desagregado.xlsx]ReferenceData!R99C6</stp>
        <stp>Per=CW</stp>
        <stp>Dts=H</stp>
        <stp>Dir=H</stp>
        <stp>Points=80</stp>
        <stp>Sort=R</stp>
        <stp>Days=A</stp>
        <stp>Fill=B</stp>
        <stp>FX=</stp>
        <stp>cols=80;rows=1</stp>
        <tr r="F99" s="2"/>
      </tp>
      <tp t="e">
        <v>#N/A</v>
        <stp/>
        <stp>##V3_BDHV12</stp>
        <stp>ECBA3YO2 Index</stp>
        <stp>PR005</stp>
        <stp>-80CW</stp>
        <stp>9/26/2014</stp>
        <stp>[Copia de LTRO Desagregado.xlsx]ReferenceData!R114C6</stp>
        <stp>Per=CW</stp>
        <stp>Dts=H</stp>
        <stp>Dir=H</stp>
        <stp>Points=80</stp>
        <stp>Sort=R</stp>
        <stp>Days=A</stp>
        <stp>Fill=B</stp>
        <stp>FX=</stp>
        <stp>cols=80;rows=1</stp>
        <tr r="F114" s="2"/>
      </tp>
      <tp t="e">
        <v>#N/A</v>
        <stp/>
        <stp>##V3_BDHV12</stp>
        <stp>ECBA3YC2 Index</stp>
        <stp>PR005</stp>
        <stp>-80CW</stp>
        <stp>9/26/2014</stp>
        <stp>[Copia de LTRO Desagregado.xlsx]ReferenceData!R113C6</stp>
        <stp>Per=CW</stp>
        <stp>Dts=H</stp>
        <stp>Dir=H</stp>
        <stp>Points=80</stp>
        <stp>Sort=R</stp>
        <stp>Days=A</stp>
        <stp>Fill=B</stp>
        <stp>FX=</stp>
        <stp>cols=80;rows=1</stp>
        <tr r="F113" s="2"/>
      </tp>
      <tp t="e">
        <v>#N/A</v>
        <stp/>
        <stp>##V3_BDHV12</stp>
        <stp>ECBA3YP2 Index</stp>
        <stp>PR005</stp>
        <stp>-80CW</stp>
        <stp>9/26/2014</stp>
        <stp>[Copia de LTRO Desagregado.xlsx]ReferenceData!R112C6</stp>
        <stp>Per=CW</stp>
        <stp>Dts=H</stp>
        <stp>Dir=H</stp>
        <stp>Points=80</stp>
        <stp>Sort=R</stp>
        <stp>Days=A</stp>
        <stp>Fill=B</stp>
        <stp>FX=</stp>
        <stp>cols=80;rows=1</stp>
        <tr r="F112" s="2"/>
      </tp>
      <tp t="e">
        <v>#N/A</v>
        <stp/>
        <stp>##V3_BDHV12</stp>
        <stp>ECBCBND2 Index</stp>
        <stp>PR005</stp>
        <stp>-80CW</stp>
        <stp>9/26/2014</stp>
        <stp>[Copia de LTRO Desagregado.xlsx]ReferenceData!R101C6</stp>
        <stp>Per=CW</stp>
        <stp>Dts=H</stp>
        <stp>Dir=H</stp>
        <stp>Points=80</stp>
        <stp>Sort=R</stp>
        <stp>Days=A</stp>
        <stp>Fill=B</stp>
        <stp>FX=</stp>
        <stp>cols=80;rows=1</stp>
        <tr r="F101" s="2"/>
      </tp>
      <tp t="e">
        <v>#N/A</v>
        <stp/>
        <stp>##V3_BDHV12</stp>
        <stp>ECBA3YO1 Index</stp>
        <stp>PR005</stp>
        <stp>-80CW</stp>
        <stp>9/26/2014</stp>
        <stp>[Copia de LTRO Desagregado.xlsx]ReferenceData!R111C6</stp>
        <stp>Per=CW</stp>
        <stp>Dts=H</stp>
        <stp>Dir=H</stp>
        <stp>Points=80</stp>
        <stp>Sort=R</stp>
        <stp>Days=A</stp>
        <stp>Fill=B</stp>
        <stp>FX=</stp>
        <stp>cols=80;rows=1</stp>
        <tr r="F111" s="2"/>
      </tp>
      <tp t="e">
        <v>#N/A</v>
        <stp/>
        <stp>##V3_BDHV12</stp>
        <stp>ECBA3YC1 Index</stp>
        <stp>PR005</stp>
        <stp>-80CW</stp>
        <stp>9/26/2014</stp>
        <stp>[Copia de LTRO Desagregado.xlsx]ReferenceData!R110C6</stp>
        <stp>Per=CW</stp>
        <stp>Dts=H</stp>
        <stp>Dir=H</stp>
        <stp>Points=80</stp>
        <stp>Sort=R</stp>
        <stp>Days=A</stp>
        <stp>Fill=B</stp>
        <stp>FX=</stp>
        <stp>cols=80;rows=1</stp>
        <tr r="F110" s="2"/>
      </tp>
      <tp t="e">
        <v>#N/A</v>
        <stp/>
        <stp>##V3_BDHV12</stp>
        <stp>ECBA3YP1 Index</stp>
        <stp>PR005</stp>
        <stp>-80CW</stp>
        <stp>9/26/2014</stp>
        <stp>[Copia de LTRO Desagregado.xlsx]ReferenceData!R109C6</stp>
        <stp>Per=CW</stp>
        <stp>Dts=H</stp>
        <stp>Dir=H</stp>
        <stp>Points=80</stp>
        <stp>Sort=R</stp>
        <stp>Days=A</stp>
        <stp>Fill=B</stp>
        <stp>FX=</stp>
        <stp>cols=80;rows=1</stp>
        <tr r="F109" s="2"/>
      </tp>
      <tp t="e">
        <v>#N/A</v>
        <stp/>
        <stp>##V3_BDHV12</stp>
        <stp>EBBSA050 Index</stp>
        <stp>PR005</stp>
        <stp>-80CW</stp>
        <stp>9/26/2014</stp>
        <stp>[Copia de LTRO Desagregado.xlsx]ReferenceData!R115C6</stp>
        <stp>Per=CW</stp>
        <stp>Dts=H</stp>
        <stp>Dir=H</stp>
        <stp>Points=80</stp>
        <stp>Sort=R</stp>
        <stp>Days=A</stp>
        <stp>Fill=B</stp>
        <stp>FX=</stp>
        <stp>cols=80;rows=1</stp>
        <tr r="F115" s="2"/>
      </tp>
      <tp t="e">
        <v>#N/A</v>
        <stp/>
        <stp>##V3_BDHV12</stp>
        <stp>ECBALTAL Index</stp>
        <stp>PX_LAST</stp>
        <stp>1/1/2012</stp>
        <stp/>
        <stp>[Copia de LTRO Desagregado.xlsx]Hoja5!R29C11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K29" s="5"/>
      </tp>
      <tp t="e">
        <v>#N/A</v>
        <stp/>
        <stp>##V3_BDHV12</stp>
        <stp>ECBAMARG Index</stp>
        <stp>PX_LAST</stp>
        <stp>1/1/2012</stp>
        <stp/>
        <stp>[Copia de LTRO Desagregado.xlsx]Hoja5!R29C23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W29" s="5"/>
      </tp>
      <tp t="e">
        <v>#N/A</v>
        <stp/>
        <stp>##V3_BDHV12</stp>
        <stp>ECBCSMP Index</stp>
        <stp>PX_LAST</stp>
        <stp>1/1/2012</stp>
        <stp/>
        <stp>[Copia de LTRO Desagregado.xlsx]Hoja5!R29C14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N29" s="5"/>
      </tp>
      <tp t="e">
        <v>#N/A</v>
        <stp/>
        <stp>##V3_BDHV12</stp>
        <stp>EBBSL025 Index</stp>
        <stp>PR005</stp>
        <stp>-80CW</stp>
        <stp>9/26/2014</stp>
        <stp>[Copia de LTRO Desagregado.xlsx]ReferenceData!R119C6</stp>
        <stp>Per=CW</stp>
        <stp>Dts=H</stp>
        <stp>Dir=H</stp>
        <stp>Points=80</stp>
        <stp>Sort=R</stp>
        <stp>Days=A</stp>
        <stp>Fill=B</stp>
        <stp>FX=</stp>
        <stp>cols=80;rows=1</stp>
        <tr r="F119" s="2"/>
      </tp>
      <tp t="e">
        <v>#N/A</v>
        <stp/>
        <stp>##V3_BDHV12</stp>
        <stp>ECBLCAHO Index</stp>
        <stp>PX_LAST</stp>
        <stp>1/1/2012</stp>
        <stp/>
        <stp>[Copia de LTRO Desagregado.xlsx]Hoja5!R29C17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Q29" s="5"/>
      </tp>
      <tp t="e">
        <v>#N/A</v>
        <stp/>
        <stp>##V3_BDHV12</stp>
        <stp>ECBLDEPO Index</stp>
        <stp>PX_LAST</stp>
        <stp>1/1/2012</stp>
        <stp/>
        <stp>[Copia de LTRO Desagregado.xlsx]Hoja5!R29C20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T29" s="5"/>
      </tp>
      <tp t="e">
        <v>#N/A</v>
        <stp/>
        <stp>##V3_BDHV12</stp>
        <stp>EUORDEPO Index</stp>
        <stp>PX_LAST</stp>
        <stp>1/1/2012</stp>
        <stp/>
        <stp>[Copia de LTRO Desagregado.xlsx]Hoja5!R29C26</stp>
        <stp>Dir=V</stp>
        <stp>Dts=S</stp>
        <stp>Sort=A</stp>
        <stp>Quote=C</stp>
        <stp>QtTyp=Y</stp>
        <stp>Days=W</stp>
        <stp>Per=cw</stp>
        <stp>DtFmt=D</stp>
        <stp>Fill=P</stp>
        <stp>UseDPDF=Y</stp>
        <stp>cols=2;rows=142</stp>
        <tr r="Z29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Hoja5!$D$24</c:f>
              <c:strCache>
                <c:ptCount val="1"/>
                <c:pt idx="0">
                  <c:v>    Main Refinancing Operations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Hoja5!$F$29:$F$499</c:f>
              <c:numCache>
                <c:formatCode>General</c:formatCode>
                <c:ptCount val="471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  <c:pt idx="129">
                  <c:v>115.04</c:v>
                </c:pt>
                <c:pt idx="130">
                  <c:v>97.1</c:v>
                </c:pt>
                <c:pt idx="131">
                  <c:v>94.15</c:v>
                </c:pt>
                <c:pt idx="132">
                  <c:v>99.91</c:v>
                </c:pt>
                <c:pt idx="133">
                  <c:v>97.89</c:v>
                </c:pt>
                <c:pt idx="134">
                  <c:v>133.30000000000001</c:v>
                </c:pt>
                <c:pt idx="135">
                  <c:v>107.92</c:v>
                </c:pt>
                <c:pt idx="136">
                  <c:v>108.2</c:v>
                </c:pt>
                <c:pt idx="137">
                  <c:v>107.61</c:v>
                </c:pt>
                <c:pt idx="138">
                  <c:v>131.76</c:v>
                </c:pt>
                <c:pt idx="139">
                  <c:v>111.2</c:v>
                </c:pt>
                <c:pt idx="140">
                  <c:v>110.7</c:v>
                </c:pt>
                <c:pt idx="141">
                  <c:v>105.69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15776"/>
        <c:axId val="221938048"/>
      </c:lineChart>
      <c:lineChart>
        <c:grouping val="standard"/>
        <c:varyColors val="0"/>
        <c:ser>
          <c:idx val="3"/>
          <c:order val="1"/>
          <c:tx>
            <c:strRef>
              <c:f>Hoja5!$Z$26</c:f>
              <c:strCache>
                <c:ptCount val="1"/>
                <c:pt idx="0">
                  <c:v>Tasa Depósito (Der)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Hoja5!$X$30:$X$500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0.05</c:v>
                </c:pt>
                <c:pt idx="140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67488"/>
        <c:axId val="221939968"/>
      </c:lineChart>
      <c:dateAx>
        <c:axId val="221915776"/>
        <c:scaling>
          <c:orientation val="minMax"/>
          <c:min val="40921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s-CO"/>
          </a:p>
        </c:txPr>
        <c:crossAx val="221938048"/>
        <c:crosses val="autoZero"/>
        <c:auto val="1"/>
        <c:lblOffset val="100"/>
        <c:baseTimeUnit val="days"/>
      </c:dateAx>
      <c:valAx>
        <c:axId val="221938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</a:t>
                </a:r>
                <a:r>
                  <a:rPr lang="es-CO" baseline="0"/>
                  <a:t> de Millones </a:t>
                </a:r>
                <a:r>
                  <a:rPr lang="es-CO" baseline="0">
                    <a:latin typeface="Times New Roman"/>
                    <a:cs typeface="Times New Roman"/>
                  </a:rPr>
                  <a:t>€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15776"/>
        <c:crosses val="autoZero"/>
        <c:crossBetween val="between"/>
      </c:valAx>
      <c:valAx>
        <c:axId val="221939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967488"/>
        <c:crosses val="max"/>
        <c:crossBetween val="between"/>
      </c:valAx>
      <c:dateAx>
        <c:axId val="221967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21939968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Hoja5!$H$24</c:f>
              <c:strCache>
                <c:ptCount val="1"/>
                <c:pt idx="0">
                  <c:v>  MRO</c:v>
                </c:pt>
              </c:strCache>
            </c:strRef>
          </c:tx>
          <c:marker>
            <c:symbol val="none"/>
          </c:marker>
          <c:cat>
            <c:numRef>
              <c:f>Hoja5!$H$29:$H$157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Hoja5!$I$29:$I$157</c:f>
              <c:numCache>
                <c:formatCode>General</c:formatCode>
                <c:ptCount val="129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Hoja5!$K$24</c:f>
              <c:strCache>
                <c:ptCount val="1"/>
                <c:pt idx="0">
                  <c:v>LTRO</c:v>
                </c:pt>
              </c:strCache>
            </c:strRef>
          </c:tx>
          <c:marker>
            <c:symbol val="none"/>
          </c:marker>
          <c:cat>
            <c:numRef>
              <c:f>Hoja5!$B$29:$B$157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Hoja5!$L$29:$L$157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38.734000000000002</c:v>
                </c:pt>
                <c:pt idx="3">
                  <c:v>19.579999999999998</c:v>
                </c:pt>
                <c:pt idx="4">
                  <c:v>19.579999999999998</c:v>
                </c:pt>
                <c:pt idx="5">
                  <c:v>19.579999999999998</c:v>
                </c:pt>
                <c:pt idx="6">
                  <c:v>14.324999999999999</c:v>
                </c:pt>
                <c:pt idx="7">
                  <c:v>14.324999999999999</c:v>
                </c:pt>
                <c:pt idx="8">
                  <c:v>6.4960000000000004</c:v>
                </c:pt>
                <c:pt idx="9">
                  <c:v>6.4960000000000004</c:v>
                </c:pt>
                <c:pt idx="10">
                  <c:v>9.7539999999999996</c:v>
                </c:pt>
                <c:pt idx="11">
                  <c:v>9.7539999999999996</c:v>
                </c:pt>
                <c:pt idx="12">
                  <c:v>25.126999999999999</c:v>
                </c:pt>
                <c:pt idx="13">
                  <c:v>25.126999999999999</c:v>
                </c:pt>
                <c:pt idx="14">
                  <c:v>11.388999999999999</c:v>
                </c:pt>
                <c:pt idx="15">
                  <c:v>11.388999999999999</c:v>
                </c:pt>
                <c:pt idx="16">
                  <c:v>21.338000000000001</c:v>
                </c:pt>
                <c:pt idx="17">
                  <c:v>21.338000000000001</c:v>
                </c:pt>
                <c:pt idx="18">
                  <c:v>12.988</c:v>
                </c:pt>
                <c:pt idx="19">
                  <c:v>12.988</c:v>
                </c:pt>
                <c:pt idx="20">
                  <c:v>12.988</c:v>
                </c:pt>
                <c:pt idx="21">
                  <c:v>8.3070000000000004</c:v>
                </c:pt>
                <c:pt idx="22">
                  <c:v>8.3070000000000004</c:v>
                </c:pt>
                <c:pt idx="23">
                  <c:v>18.905000000000001</c:v>
                </c:pt>
                <c:pt idx="24">
                  <c:v>18.905000000000001</c:v>
                </c:pt>
                <c:pt idx="25">
                  <c:v>26.295000000000002</c:v>
                </c:pt>
                <c:pt idx="26">
                  <c:v>26.295000000000002</c:v>
                </c:pt>
                <c:pt idx="27">
                  <c:v>24.398</c:v>
                </c:pt>
                <c:pt idx="28">
                  <c:v>24.398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25.18</c:v>
                </c:pt>
                <c:pt idx="32">
                  <c:v>25.18</c:v>
                </c:pt>
                <c:pt idx="33">
                  <c:v>25.18</c:v>
                </c:pt>
                <c:pt idx="34">
                  <c:v>9.7460000000000004</c:v>
                </c:pt>
                <c:pt idx="35">
                  <c:v>9.7460000000000004</c:v>
                </c:pt>
                <c:pt idx="36">
                  <c:v>13.843999999999999</c:v>
                </c:pt>
                <c:pt idx="37">
                  <c:v>13.843999999999999</c:v>
                </c:pt>
                <c:pt idx="38">
                  <c:v>18.709</c:v>
                </c:pt>
                <c:pt idx="39">
                  <c:v>18.709</c:v>
                </c:pt>
                <c:pt idx="40">
                  <c:v>12.629</c:v>
                </c:pt>
                <c:pt idx="41">
                  <c:v>12.629</c:v>
                </c:pt>
                <c:pt idx="42">
                  <c:v>12.629</c:v>
                </c:pt>
                <c:pt idx="43">
                  <c:v>6.1559999999999997</c:v>
                </c:pt>
                <c:pt idx="44">
                  <c:v>6.1559999999999997</c:v>
                </c:pt>
                <c:pt idx="45">
                  <c:v>15.926</c:v>
                </c:pt>
                <c:pt idx="46">
                  <c:v>15.926</c:v>
                </c:pt>
                <c:pt idx="47">
                  <c:v>7.3710000000000004</c:v>
                </c:pt>
                <c:pt idx="48">
                  <c:v>7.3710000000000004</c:v>
                </c:pt>
                <c:pt idx="49">
                  <c:v>15.295999999999999</c:v>
                </c:pt>
                <c:pt idx="50">
                  <c:v>14.962</c:v>
                </c:pt>
                <c:pt idx="51">
                  <c:v>14.962</c:v>
                </c:pt>
                <c:pt idx="52">
                  <c:v>14.962</c:v>
                </c:pt>
                <c:pt idx="53">
                  <c:v>14.962</c:v>
                </c:pt>
                <c:pt idx="54">
                  <c:v>10.455</c:v>
                </c:pt>
                <c:pt idx="55">
                  <c:v>10.455</c:v>
                </c:pt>
                <c:pt idx="56">
                  <c:v>3.7130000000000001</c:v>
                </c:pt>
                <c:pt idx="57">
                  <c:v>3.7130000000000001</c:v>
                </c:pt>
                <c:pt idx="58">
                  <c:v>7.7590000000000003</c:v>
                </c:pt>
                <c:pt idx="59">
                  <c:v>7.7590000000000003</c:v>
                </c:pt>
                <c:pt idx="60">
                  <c:v>8.3279999999999994</c:v>
                </c:pt>
                <c:pt idx="61">
                  <c:v>8.3279999999999994</c:v>
                </c:pt>
                <c:pt idx="62">
                  <c:v>4.2080000000000002</c:v>
                </c:pt>
                <c:pt idx="63">
                  <c:v>4.2080000000000002</c:v>
                </c:pt>
                <c:pt idx="64">
                  <c:v>9.1129999999999995</c:v>
                </c:pt>
                <c:pt idx="65">
                  <c:v>9.1129999999999995</c:v>
                </c:pt>
                <c:pt idx="66">
                  <c:v>5.1589999999999998</c:v>
                </c:pt>
                <c:pt idx="67">
                  <c:v>5.1589999999999998</c:v>
                </c:pt>
                <c:pt idx="68">
                  <c:v>2.9769999999999999</c:v>
                </c:pt>
                <c:pt idx="69">
                  <c:v>2.9769999999999999</c:v>
                </c:pt>
                <c:pt idx="70">
                  <c:v>5.23</c:v>
                </c:pt>
                <c:pt idx="71">
                  <c:v>5.23</c:v>
                </c:pt>
                <c:pt idx="72">
                  <c:v>5.23</c:v>
                </c:pt>
                <c:pt idx="73">
                  <c:v>5.83</c:v>
                </c:pt>
                <c:pt idx="74">
                  <c:v>5.83</c:v>
                </c:pt>
                <c:pt idx="75">
                  <c:v>3.5910000000000002</c:v>
                </c:pt>
                <c:pt idx="76">
                  <c:v>3.5910000000000002</c:v>
                </c:pt>
                <c:pt idx="77">
                  <c:v>9.4770000000000003</c:v>
                </c:pt>
                <c:pt idx="78">
                  <c:v>9.4770000000000003</c:v>
                </c:pt>
                <c:pt idx="79">
                  <c:v>3.536</c:v>
                </c:pt>
                <c:pt idx="80">
                  <c:v>3.536</c:v>
                </c:pt>
                <c:pt idx="81">
                  <c:v>3.536</c:v>
                </c:pt>
                <c:pt idx="82">
                  <c:v>2.6829999999999998</c:v>
                </c:pt>
                <c:pt idx="83">
                  <c:v>3.91</c:v>
                </c:pt>
                <c:pt idx="84">
                  <c:v>3.91</c:v>
                </c:pt>
                <c:pt idx="85">
                  <c:v>3.91</c:v>
                </c:pt>
                <c:pt idx="86">
                  <c:v>6.8230000000000004</c:v>
                </c:pt>
                <c:pt idx="87">
                  <c:v>6.8230000000000004</c:v>
                </c:pt>
                <c:pt idx="88">
                  <c:v>3.43</c:v>
                </c:pt>
                <c:pt idx="89">
                  <c:v>3.43</c:v>
                </c:pt>
                <c:pt idx="90">
                  <c:v>8.6069999999999993</c:v>
                </c:pt>
                <c:pt idx="91">
                  <c:v>8.6069999999999993</c:v>
                </c:pt>
                <c:pt idx="92">
                  <c:v>3.4470000000000001</c:v>
                </c:pt>
                <c:pt idx="93">
                  <c:v>3.4470000000000001</c:v>
                </c:pt>
                <c:pt idx="94">
                  <c:v>3.4470000000000001</c:v>
                </c:pt>
                <c:pt idx="95">
                  <c:v>1.9300000000000002</c:v>
                </c:pt>
                <c:pt idx="96">
                  <c:v>1.9300000000000002</c:v>
                </c:pt>
                <c:pt idx="97">
                  <c:v>3.194</c:v>
                </c:pt>
                <c:pt idx="98">
                  <c:v>3.194</c:v>
                </c:pt>
                <c:pt idx="99">
                  <c:v>5.9260000000000002</c:v>
                </c:pt>
                <c:pt idx="100">
                  <c:v>5.9260000000000002</c:v>
                </c:pt>
                <c:pt idx="101">
                  <c:v>10.143000000000001</c:v>
                </c:pt>
                <c:pt idx="102">
                  <c:v>20.914000000000001</c:v>
                </c:pt>
                <c:pt idx="103">
                  <c:v>20.914000000000001</c:v>
                </c:pt>
                <c:pt idx="104">
                  <c:v>20.914000000000001</c:v>
                </c:pt>
                <c:pt idx="105">
                  <c:v>20.914000000000001</c:v>
                </c:pt>
                <c:pt idx="106">
                  <c:v>7.0919999999999996</c:v>
                </c:pt>
                <c:pt idx="107">
                  <c:v>7.0919999999999996</c:v>
                </c:pt>
                <c:pt idx="108">
                  <c:v>4.9550000000000001</c:v>
                </c:pt>
                <c:pt idx="109">
                  <c:v>4.9550000000000001</c:v>
                </c:pt>
                <c:pt idx="110">
                  <c:v>6.48</c:v>
                </c:pt>
                <c:pt idx="111">
                  <c:v>6.48</c:v>
                </c:pt>
                <c:pt idx="112">
                  <c:v>6.2969999999999997</c:v>
                </c:pt>
                <c:pt idx="113">
                  <c:v>6.2969999999999997</c:v>
                </c:pt>
                <c:pt idx="114">
                  <c:v>7.5220000000000002</c:v>
                </c:pt>
                <c:pt idx="115">
                  <c:v>7.5220000000000002</c:v>
                </c:pt>
                <c:pt idx="116">
                  <c:v>11.617000000000001</c:v>
                </c:pt>
                <c:pt idx="117">
                  <c:v>11.617000000000001</c:v>
                </c:pt>
                <c:pt idx="118">
                  <c:v>28.023</c:v>
                </c:pt>
                <c:pt idx="119">
                  <c:v>28.023</c:v>
                </c:pt>
                <c:pt idx="120">
                  <c:v>28.023</c:v>
                </c:pt>
                <c:pt idx="121">
                  <c:v>13.193</c:v>
                </c:pt>
                <c:pt idx="122">
                  <c:v>13.193</c:v>
                </c:pt>
                <c:pt idx="123">
                  <c:v>32.335000000000001</c:v>
                </c:pt>
                <c:pt idx="124">
                  <c:v>32.335000000000001</c:v>
                </c:pt>
                <c:pt idx="125">
                  <c:v>10.949</c:v>
                </c:pt>
                <c:pt idx="126">
                  <c:v>10.949</c:v>
                </c:pt>
                <c:pt idx="127">
                  <c:v>9.9700000000000006</c:v>
                </c:pt>
                <c:pt idx="128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73760"/>
        <c:axId val="218902528"/>
      </c:lineChart>
      <c:lineChart>
        <c:grouping val="standard"/>
        <c:varyColors val="0"/>
        <c:ser>
          <c:idx val="2"/>
          <c:order val="0"/>
          <c:tx>
            <c:strRef>
              <c:f>Hoja5!$W$26</c:f>
              <c:strCache>
                <c:ptCount val="1"/>
                <c:pt idx="0">
                  <c:v>Tasa Intervención (Der)</c:v>
                </c:pt>
              </c:strCache>
            </c:strRef>
          </c:tx>
          <c:marker>
            <c:symbol val="none"/>
          </c:marker>
          <c:cat>
            <c:numRef>
              <c:f>Hoja5!$B$29:$B$157</c:f>
              <c:numCache>
                <c:formatCode>m/d/yyyy</c:formatCode>
                <c:ptCount val="129"/>
                <c:pt idx="0">
                  <c:v>40914</c:v>
                </c:pt>
                <c:pt idx="1">
                  <c:v>40921</c:v>
                </c:pt>
                <c:pt idx="2">
                  <c:v>40928</c:v>
                </c:pt>
                <c:pt idx="3">
                  <c:v>40935</c:v>
                </c:pt>
                <c:pt idx="4">
                  <c:v>40942</c:v>
                </c:pt>
                <c:pt idx="5">
                  <c:v>40949</c:v>
                </c:pt>
                <c:pt idx="6">
                  <c:v>40956</c:v>
                </c:pt>
                <c:pt idx="7">
                  <c:v>40963</c:v>
                </c:pt>
                <c:pt idx="8">
                  <c:v>40970</c:v>
                </c:pt>
                <c:pt idx="9">
                  <c:v>40977</c:v>
                </c:pt>
                <c:pt idx="10">
                  <c:v>40984</c:v>
                </c:pt>
                <c:pt idx="11">
                  <c:v>40991</c:v>
                </c:pt>
                <c:pt idx="12">
                  <c:v>40998</c:v>
                </c:pt>
                <c:pt idx="13">
                  <c:v>41005</c:v>
                </c:pt>
                <c:pt idx="14">
                  <c:v>41012</c:v>
                </c:pt>
                <c:pt idx="15">
                  <c:v>41019</c:v>
                </c:pt>
                <c:pt idx="16">
                  <c:v>41026</c:v>
                </c:pt>
                <c:pt idx="17">
                  <c:v>41033</c:v>
                </c:pt>
                <c:pt idx="18">
                  <c:v>41040</c:v>
                </c:pt>
                <c:pt idx="19">
                  <c:v>41047</c:v>
                </c:pt>
                <c:pt idx="20">
                  <c:v>41054</c:v>
                </c:pt>
                <c:pt idx="21">
                  <c:v>41061</c:v>
                </c:pt>
                <c:pt idx="22">
                  <c:v>41068</c:v>
                </c:pt>
                <c:pt idx="23">
                  <c:v>41075</c:v>
                </c:pt>
                <c:pt idx="24">
                  <c:v>41082</c:v>
                </c:pt>
                <c:pt idx="25">
                  <c:v>41089</c:v>
                </c:pt>
                <c:pt idx="26">
                  <c:v>41096</c:v>
                </c:pt>
                <c:pt idx="27">
                  <c:v>41103</c:v>
                </c:pt>
                <c:pt idx="28">
                  <c:v>41110</c:v>
                </c:pt>
                <c:pt idx="29">
                  <c:v>41117</c:v>
                </c:pt>
                <c:pt idx="30">
                  <c:v>41124</c:v>
                </c:pt>
                <c:pt idx="31">
                  <c:v>41131</c:v>
                </c:pt>
                <c:pt idx="32">
                  <c:v>41138</c:v>
                </c:pt>
                <c:pt idx="33">
                  <c:v>41145</c:v>
                </c:pt>
                <c:pt idx="34">
                  <c:v>41152</c:v>
                </c:pt>
                <c:pt idx="35">
                  <c:v>41159</c:v>
                </c:pt>
                <c:pt idx="36">
                  <c:v>41166</c:v>
                </c:pt>
                <c:pt idx="37">
                  <c:v>41173</c:v>
                </c:pt>
                <c:pt idx="38">
                  <c:v>41180</c:v>
                </c:pt>
                <c:pt idx="39">
                  <c:v>41187</c:v>
                </c:pt>
                <c:pt idx="40">
                  <c:v>41194</c:v>
                </c:pt>
                <c:pt idx="41">
                  <c:v>41201</c:v>
                </c:pt>
                <c:pt idx="42">
                  <c:v>41208</c:v>
                </c:pt>
                <c:pt idx="43">
                  <c:v>41215</c:v>
                </c:pt>
                <c:pt idx="44">
                  <c:v>41222</c:v>
                </c:pt>
                <c:pt idx="45">
                  <c:v>41229</c:v>
                </c:pt>
                <c:pt idx="46">
                  <c:v>41236</c:v>
                </c:pt>
                <c:pt idx="47">
                  <c:v>41243</c:v>
                </c:pt>
                <c:pt idx="48">
                  <c:v>41250</c:v>
                </c:pt>
                <c:pt idx="49">
                  <c:v>41257</c:v>
                </c:pt>
                <c:pt idx="50">
                  <c:v>41264</c:v>
                </c:pt>
                <c:pt idx="51">
                  <c:v>41271</c:v>
                </c:pt>
                <c:pt idx="52">
                  <c:v>41278</c:v>
                </c:pt>
                <c:pt idx="53">
                  <c:v>41285</c:v>
                </c:pt>
                <c:pt idx="54">
                  <c:v>41292</c:v>
                </c:pt>
                <c:pt idx="55">
                  <c:v>41299</c:v>
                </c:pt>
                <c:pt idx="56">
                  <c:v>41306</c:v>
                </c:pt>
                <c:pt idx="57">
                  <c:v>41313</c:v>
                </c:pt>
                <c:pt idx="58">
                  <c:v>41320</c:v>
                </c:pt>
                <c:pt idx="59">
                  <c:v>41327</c:v>
                </c:pt>
                <c:pt idx="60">
                  <c:v>41334</c:v>
                </c:pt>
                <c:pt idx="61">
                  <c:v>41341</c:v>
                </c:pt>
                <c:pt idx="62">
                  <c:v>41348</c:v>
                </c:pt>
                <c:pt idx="63">
                  <c:v>41355</c:v>
                </c:pt>
                <c:pt idx="64">
                  <c:v>41362</c:v>
                </c:pt>
                <c:pt idx="65">
                  <c:v>41369</c:v>
                </c:pt>
                <c:pt idx="66">
                  <c:v>41376</c:v>
                </c:pt>
                <c:pt idx="67">
                  <c:v>41383</c:v>
                </c:pt>
                <c:pt idx="68">
                  <c:v>41390</c:v>
                </c:pt>
                <c:pt idx="69">
                  <c:v>41397</c:v>
                </c:pt>
                <c:pt idx="70">
                  <c:v>41404</c:v>
                </c:pt>
                <c:pt idx="71">
                  <c:v>41411</c:v>
                </c:pt>
                <c:pt idx="72">
                  <c:v>41418</c:v>
                </c:pt>
                <c:pt idx="73">
                  <c:v>41425</c:v>
                </c:pt>
                <c:pt idx="74">
                  <c:v>41432</c:v>
                </c:pt>
                <c:pt idx="75">
                  <c:v>41439</c:v>
                </c:pt>
                <c:pt idx="76">
                  <c:v>41446</c:v>
                </c:pt>
                <c:pt idx="77">
                  <c:v>41453</c:v>
                </c:pt>
                <c:pt idx="78">
                  <c:v>41460</c:v>
                </c:pt>
                <c:pt idx="79">
                  <c:v>41467</c:v>
                </c:pt>
                <c:pt idx="80">
                  <c:v>41474</c:v>
                </c:pt>
                <c:pt idx="81">
                  <c:v>41481</c:v>
                </c:pt>
                <c:pt idx="82">
                  <c:v>41488</c:v>
                </c:pt>
                <c:pt idx="83">
                  <c:v>41495</c:v>
                </c:pt>
                <c:pt idx="84">
                  <c:v>41502</c:v>
                </c:pt>
                <c:pt idx="85">
                  <c:v>41509</c:v>
                </c:pt>
                <c:pt idx="86">
                  <c:v>41516</c:v>
                </c:pt>
                <c:pt idx="87">
                  <c:v>41523</c:v>
                </c:pt>
                <c:pt idx="88">
                  <c:v>41530</c:v>
                </c:pt>
                <c:pt idx="89">
                  <c:v>41537</c:v>
                </c:pt>
                <c:pt idx="90">
                  <c:v>41544</c:v>
                </c:pt>
                <c:pt idx="91">
                  <c:v>41551</c:v>
                </c:pt>
                <c:pt idx="92">
                  <c:v>41558</c:v>
                </c:pt>
                <c:pt idx="93">
                  <c:v>41565</c:v>
                </c:pt>
                <c:pt idx="94">
                  <c:v>41572</c:v>
                </c:pt>
                <c:pt idx="95">
                  <c:v>41579</c:v>
                </c:pt>
                <c:pt idx="96">
                  <c:v>41586</c:v>
                </c:pt>
                <c:pt idx="97">
                  <c:v>41593</c:v>
                </c:pt>
                <c:pt idx="98">
                  <c:v>41600</c:v>
                </c:pt>
                <c:pt idx="99">
                  <c:v>41607</c:v>
                </c:pt>
                <c:pt idx="100">
                  <c:v>41614</c:v>
                </c:pt>
                <c:pt idx="101">
                  <c:v>41621</c:v>
                </c:pt>
                <c:pt idx="102">
                  <c:v>41628</c:v>
                </c:pt>
                <c:pt idx="103">
                  <c:v>41635</c:v>
                </c:pt>
                <c:pt idx="104">
                  <c:v>41642</c:v>
                </c:pt>
                <c:pt idx="105">
                  <c:v>41649</c:v>
                </c:pt>
                <c:pt idx="106">
                  <c:v>41656</c:v>
                </c:pt>
                <c:pt idx="107">
                  <c:v>41663</c:v>
                </c:pt>
                <c:pt idx="108">
                  <c:v>41670</c:v>
                </c:pt>
                <c:pt idx="109">
                  <c:v>41677</c:v>
                </c:pt>
                <c:pt idx="110">
                  <c:v>41684</c:v>
                </c:pt>
                <c:pt idx="111">
                  <c:v>41691</c:v>
                </c:pt>
                <c:pt idx="112">
                  <c:v>41698</c:v>
                </c:pt>
                <c:pt idx="113">
                  <c:v>41705</c:v>
                </c:pt>
                <c:pt idx="114">
                  <c:v>41712</c:v>
                </c:pt>
                <c:pt idx="115">
                  <c:v>41719</c:v>
                </c:pt>
                <c:pt idx="116">
                  <c:v>41726</c:v>
                </c:pt>
                <c:pt idx="117">
                  <c:v>41733</c:v>
                </c:pt>
                <c:pt idx="118">
                  <c:v>41740</c:v>
                </c:pt>
                <c:pt idx="119">
                  <c:v>41747</c:v>
                </c:pt>
                <c:pt idx="120">
                  <c:v>41754</c:v>
                </c:pt>
                <c:pt idx="121">
                  <c:v>41761</c:v>
                </c:pt>
                <c:pt idx="122">
                  <c:v>41768</c:v>
                </c:pt>
                <c:pt idx="123">
                  <c:v>41775</c:v>
                </c:pt>
                <c:pt idx="124">
                  <c:v>41782</c:v>
                </c:pt>
                <c:pt idx="125">
                  <c:v>41789</c:v>
                </c:pt>
                <c:pt idx="126">
                  <c:v>41796</c:v>
                </c:pt>
                <c:pt idx="127">
                  <c:v>41803</c:v>
                </c:pt>
                <c:pt idx="128">
                  <c:v>41810</c:v>
                </c:pt>
              </c:numCache>
            </c:numRef>
          </c:cat>
          <c:val>
            <c:numRef>
              <c:f>Hoja5!$X$29:$X$157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0.15</c:v>
                </c:pt>
                <c:pt idx="128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05600"/>
        <c:axId val="218904064"/>
      </c:lineChart>
      <c:dateAx>
        <c:axId val="23357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8902528"/>
        <c:crosses val="autoZero"/>
        <c:auto val="1"/>
        <c:lblOffset val="100"/>
        <c:baseTimeUnit val="days"/>
      </c:dateAx>
      <c:valAx>
        <c:axId val="21890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3573760"/>
        <c:crosses val="autoZero"/>
        <c:crossBetween val="between"/>
      </c:valAx>
      <c:valAx>
        <c:axId val="21890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8905600"/>
        <c:crosses val="max"/>
        <c:crossBetween val="between"/>
      </c:valAx>
      <c:dateAx>
        <c:axId val="218905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18904064"/>
        <c:crosses val="autoZero"/>
        <c:auto val="1"/>
        <c:lblOffset val="100"/>
        <c:baseTimeUnit val="days"/>
        <c:majorUnit val="1"/>
        <c:minorUnit val="1"/>
      </c:date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Hoja5!$B$25</c:f>
              <c:strCache>
                <c:ptCount val="1"/>
                <c:pt idx="0">
                  <c:v>Cuenta Depósitos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Hoja5!$C$30:$C$500</c:f>
              <c:numCache>
                <c:formatCode>General</c:formatCode>
                <c:ptCount val="471"/>
                <c:pt idx="0">
                  <c:v>493.27199999999999</c:v>
                </c:pt>
                <c:pt idx="1">
                  <c:v>491.78</c:v>
                </c:pt>
                <c:pt idx="2">
                  <c:v>488.88400000000001</c:v>
                </c:pt>
                <c:pt idx="3">
                  <c:v>511.43799999999999</c:v>
                </c:pt>
                <c:pt idx="4">
                  <c:v>507.87599999999998</c:v>
                </c:pt>
                <c:pt idx="5">
                  <c:v>454.35599999999999</c:v>
                </c:pt>
                <c:pt idx="6">
                  <c:v>477.32400000000001</c:v>
                </c:pt>
                <c:pt idx="7">
                  <c:v>820.81899999999996</c:v>
                </c:pt>
                <c:pt idx="8">
                  <c:v>797.95299999999997</c:v>
                </c:pt>
                <c:pt idx="9">
                  <c:v>758.75400000000002</c:v>
                </c:pt>
                <c:pt idx="10">
                  <c:v>785.39300000000003</c:v>
                </c:pt>
                <c:pt idx="11">
                  <c:v>778.702</c:v>
                </c:pt>
                <c:pt idx="12">
                  <c:v>784.82899999999995</c:v>
                </c:pt>
                <c:pt idx="13">
                  <c:v>742.82500000000005</c:v>
                </c:pt>
                <c:pt idx="14">
                  <c:v>775.65</c:v>
                </c:pt>
                <c:pt idx="15">
                  <c:v>793.95799999999997</c:v>
                </c:pt>
                <c:pt idx="16">
                  <c:v>801.48900000000003</c:v>
                </c:pt>
                <c:pt idx="17">
                  <c:v>763.11900000000003</c:v>
                </c:pt>
                <c:pt idx="18">
                  <c:v>789.71500000000003</c:v>
                </c:pt>
                <c:pt idx="19">
                  <c:v>760.10199999999998</c:v>
                </c:pt>
                <c:pt idx="20">
                  <c:v>784.97299999999996</c:v>
                </c:pt>
                <c:pt idx="21">
                  <c:v>788.21799999999996</c:v>
                </c:pt>
                <c:pt idx="22">
                  <c:v>741.19100000000003</c:v>
                </c:pt>
                <c:pt idx="23">
                  <c:v>775.26300000000003</c:v>
                </c:pt>
                <c:pt idx="24">
                  <c:v>772.85500000000002</c:v>
                </c:pt>
                <c:pt idx="25">
                  <c:v>795.20299999999997</c:v>
                </c:pt>
                <c:pt idx="26">
                  <c:v>386.82600000000002</c:v>
                </c:pt>
                <c:pt idx="27">
                  <c:v>349.43400000000003</c:v>
                </c:pt>
                <c:pt idx="28">
                  <c:v>337.02499999999998</c:v>
                </c:pt>
                <c:pt idx="29">
                  <c:v>300.38400000000001</c:v>
                </c:pt>
                <c:pt idx="30">
                  <c:v>310.822</c:v>
                </c:pt>
                <c:pt idx="31">
                  <c:v>326.92</c:v>
                </c:pt>
                <c:pt idx="32">
                  <c:v>329.34800000000001</c:v>
                </c:pt>
                <c:pt idx="33">
                  <c:v>345.95600000000002</c:v>
                </c:pt>
                <c:pt idx="34">
                  <c:v>326.80500000000001</c:v>
                </c:pt>
                <c:pt idx="35">
                  <c:v>335.048</c:v>
                </c:pt>
                <c:pt idx="36">
                  <c:v>305.64699999999999</c:v>
                </c:pt>
                <c:pt idx="37">
                  <c:v>315.75400000000002</c:v>
                </c:pt>
                <c:pt idx="38">
                  <c:v>296.464</c:v>
                </c:pt>
                <c:pt idx="39">
                  <c:v>260.47699999999998</c:v>
                </c:pt>
                <c:pt idx="40">
                  <c:v>248.71100000000001</c:v>
                </c:pt>
                <c:pt idx="41">
                  <c:v>266.96699999999998</c:v>
                </c:pt>
                <c:pt idx="42">
                  <c:v>261.36799999999999</c:v>
                </c:pt>
                <c:pt idx="43">
                  <c:v>248.51</c:v>
                </c:pt>
                <c:pt idx="44">
                  <c:v>215.9</c:v>
                </c:pt>
                <c:pt idx="45">
                  <c:v>233.55799999999999</c:v>
                </c:pt>
                <c:pt idx="46">
                  <c:v>237.81299999999999</c:v>
                </c:pt>
                <c:pt idx="47">
                  <c:v>235.29599999999999</c:v>
                </c:pt>
                <c:pt idx="48">
                  <c:v>225.06299999999999</c:v>
                </c:pt>
                <c:pt idx="49">
                  <c:v>229.38399999999999</c:v>
                </c:pt>
                <c:pt idx="50">
                  <c:v>261.68900000000002</c:v>
                </c:pt>
                <c:pt idx="51">
                  <c:v>252.61500000000001</c:v>
                </c:pt>
                <c:pt idx="52">
                  <c:v>222.608</c:v>
                </c:pt>
                <c:pt idx="53">
                  <c:v>196.399</c:v>
                </c:pt>
                <c:pt idx="54">
                  <c:v>207.19800000000001</c:v>
                </c:pt>
                <c:pt idx="55">
                  <c:v>180.95699999999999</c:v>
                </c:pt>
                <c:pt idx="56">
                  <c:v>157.19800000000001</c:v>
                </c:pt>
                <c:pt idx="57">
                  <c:v>131.88499999999999</c:v>
                </c:pt>
                <c:pt idx="58">
                  <c:v>166.43700000000001</c:v>
                </c:pt>
                <c:pt idx="59">
                  <c:v>144.71</c:v>
                </c:pt>
                <c:pt idx="60">
                  <c:v>134.083</c:v>
                </c:pt>
                <c:pt idx="61">
                  <c:v>132.63399999999999</c:v>
                </c:pt>
                <c:pt idx="62">
                  <c:v>126.755</c:v>
                </c:pt>
                <c:pt idx="63">
                  <c:v>144.648</c:v>
                </c:pt>
                <c:pt idx="64">
                  <c:v>134.90199999999999</c:v>
                </c:pt>
                <c:pt idx="65">
                  <c:v>119.90600000000001</c:v>
                </c:pt>
                <c:pt idx="66">
                  <c:v>105.59</c:v>
                </c:pt>
                <c:pt idx="67">
                  <c:v>109.66200000000001</c:v>
                </c:pt>
                <c:pt idx="68">
                  <c:v>124.102</c:v>
                </c:pt>
                <c:pt idx="69">
                  <c:v>95.338999999999999</c:v>
                </c:pt>
                <c:pt idx="70">
                  <c:v>83.039000000000001</c:v>
                </c:pt>
                <c:pt idx="71">
                  <c:v>81.037000000000006</c:v>
                </c:pt>
                <c:pt idx="72">
                  <c:v>85.64</c:v>
                </c:pt>
                <c:pt idx="73">
                  <c:v>100.881</c:v>
                </c:pt>
                <c:pt idx="74">
                  <c:v>89.956999999999994</c:v>
                </c:pt>
                <c:pt idx="75">
                  <c:v>82.963999999999999</c:v>
                </c:pt>
                <c:pt idx="76">
                  <c:v>92.18</c:v>
                </c:pt>
                <c:pt idx="77">
                  <c:v>103.86199999999999</c:v>
                </c:pt>
                <c:pt idx="78">
                  <c:v>94.619</c:v>
                </c:pt>
                <c:pt idx="79">
                  <c:v>76.430999999999997</c:v>
                </c:pt>
                <c:pt idx="80">
                  <c:v>79.242000000000004</c:v>
                </c:pt>
                <c:pt idx="81">
                  <c:v>87.347999999999999</c:v>
                </c:pt>
                <c:pt idx="82">
                  <c:v>76.997</c:v>
                </c:pt>
                <c:pt idx="83">
                  <c:v>81.201999999999998</c:v>
                </c:pt>
                <c:pt idx="84">
                  <c:v>87.224000000000004</c:v>
                </c:pt>
                <c:pt idx="85">
                  <c:v>70.569000000000003</c:v>
                </c:pt>
                <c:pt idx="86">
                  <c:v>79.933999999999997</c:v>
                </c:pt>
                <c:pt idx="87">
                  <c:v>71.424999999999997</c:v>
                </c:pt>
                <c:pt idx="88">
                  <c:v>50.06</c:v>
                </c:pt>
                <c:pt idx="89">
                  <c:v>52.87</c:v>
                </c:pt>
                <c:pt idx="90">
                  <c:v>55.335999999999999</c:v>
                </c:pt>
                <c:pt idx="91">
                  <c:v>52.552999999999997</c:v>
                </c:pt>
                <c:pt idx="92">
                  <c:v>45.667000000000002</c:v>
                </c:pt>
                <c:pt idx="93">
                  <c:v>51.335999999999999</c:v>
                </c:pt>
                <c:pt idx="94">
                  <c:v>52.127000000000002</c:v>
                </c:pt>
                <c:pt idx="95">
                  <c:v>62.442</c:v>
                </c:pt>
                <c:pt idx="96">
                  <c:v>43.860999999999997</c:v>
                </c:pt>
                <c:pt idx="97">
                  <c:v>44.039000000000001</c:v>
                </c:pt>
                <c:pt idx="98">
                  <c:v>56.146999999999998</c:v>
                </c:pt>
                <c:pt idx="99">
                  <c:v>54.069000000000003</c:v>
                </c:pt>
                <c:pt idx="100">
                  <c:v>38.341000000000001</c:v>
                </c:pt>
                <c:pt idx="101">
                  <c:v>53.344999999999999</c:v>
                </c:pt>
                <c:pt idx="102">
                  <c:v>59.628</c:v>
                </c:pt>
                <c:pt idx="103">
                  <c:v>88.212999999999994</c:v>
                </c:pt>
                <c:pt idx="104">
                  <c:v>59.753</c:v>
                </c:pt>
                <c:pt idx="105">
                  <c:v>36.488999999999997</c:v>
                </c:pt>
                <c:pt idx="106">
                  <c:v>44.01</c:v>
                </c:pt>
                <c:pt idx="107">
                  <c:v>56.064</c:v>
                </c:pt>
                <c:pt idx="108">
                  <c:v>47.220999999999997</c:v>
                </c:pt>
                <c:pt idx="109">
                  <c:v>29.890999999999998</c:v>
                </c:pt>
                <c:pt idx="110">
                  <c:v>32.014000000000003</c:v>
                </c:pt>
                <c:pt idx="111">
                  <c:v>29.370999999999999</c:v>
                </c:pt>
                <c:pt idx="112">
                  <c:v>30.939</c:v>
                </c:pt>
                <c:pt idx="113">
                  <c:v>23.495000000000001</c:v>
                </c:pt>
                <c:pt idx="114">
                  <c:v>34.536000000000001</c:v>
                </c:pt>
                <c:pt idx="115">
                  <c:v>28.256</c:v>
                </c:pt>
                <c:pt idx="116">
                  <c:v>25.722999999999999</c:v>
                </c:pt>
                <c:pt idx="117">
                  <c:v>21.154</c:v>
                </c:pt>
                <c:pt idx="118">
                  <c:v>30.056999999999999</c:v>
                </c:pt>
                <c:pt idx="119">
                  <c:v>23.974</c:v>
                </c:pt>
                <c:pt idx="120">
                  <c:v>39.078000000000003</c:v>
                </c:pt>
                <c:pt idx="121">
                  <c:v>33.844000000000001</c:v>
                </c:pt>
                <c:pt idx="122">
                  <c:v>17.481999999999999</c:v>
                </c:pt>
                <c:pt idx="123">
                  <c:v>23.774000000000001</c:v>
                </c:pt>
                <c:pt idx="124">
                  <c:v>39.909999999999997</c:v>
                </c:pt>
                <c:pt idx="125">
                  <c:v>37.311999999999998</c:v>
                </c:pt>
                <c:pt idx="126">
                  <c:v>17.175000000000001</c:v>
                </c:pt>
                <c:pt idx="127">
                  <c:v>26.544</c:v>
                </c:pt>
                <c:pt idx="128">
                  <c:v>25.422999999999998</c:v>
                </c:pt>
                <c:pt idx="129">
                  <c:v>27.274999999999999</c:v>
                </c:pt>
                <c:pt idx="130">
                  <c:v>20.184000000000001</c:v>
                </c:pt>
                <c:pt idx="131">
                  <c:v>22.718</c:v>
                </c:pt>
                <c:pt idx="132">
                  <c:v>21.334</c:v>
                </c:pt>
                <c:pt idx="133">
                  <c:v>44.118000000000002</c:v>
                </c:pt>
                <c:pt idx="134">
                  <c:v>21.146000000000001</c:v>
                </c:pt>
                <c:pt idx="135">
                  <c:v>19.849</c:v>
                </c:pt>
                <c:pt idx="136">
                  <c:v>25.626000000000001</c:v>
                </c:pt>
                <c:pt idx="137">
                  <c:v>30.864000000000001</c:v>
                </c:pt>
                <c:pt idx="138">
                  <c:v>26.65</c:v>
                </c:pt>
                <c:pt idx="139">
                  <c:v>21.088999999999999</c:v>
                </c:pt>
                <c:pt idx="140">
                  <c:v>21.088999999999999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Hoja5!$E$25</c:f>
              <c:strCache>
                <c:ptCount val="1"/>
                <c:pt idx="0">
                  <c:v>Cuenta Corriente (Incluye reservas)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Hoja5!$F$29:$F$499</c:f>
              <c:numCache>
                <c:formatCode>General</c:formatCode>
                <c:ptCount val="471"/>
                <c:pt idx="0">
                  <c:v>130.62</c:v>
                </c:pt>
                <c:pt idx="1">
                  <c:v>110.92</c:v>
                </c:pt>
                <c:pt idx="2">
                  <c:v>126.88</c:v>
                </c:pt>
                <c:pt idx="3">
                  <c:v>130.32</c:v>
                </c:pt>
                <c:pt idx="4">
                  <c:v>115.58</c:v>
                </c:pt>
                <c:pt idx="5">
                  <c:v>109.46</c:v>
                </c:pt>
                <c:pt idx="6">
                  <c:v>142.75</c:v>
                </c:pt>
                <c:pt idx="7">
                  <c:v>166.49</c:v>
                </c:pt>
                <c:pt idx="8">
                  <c:v>29.47</c:v>
                </c:pt>
                <c:pt idx="9">
                  <c:v>17.54</c:v>
                </c:pt>
                <c:pt idx="10">
                  <c:v>42.18</c:v>
                </c:pt>
                <c:pt idx="11">
                  <c:v>59.54</c:v>
                </c:pt>
                <c:pt idx="12">
                  <c:v>61.08</c:v>
                </c:pt>
                <c:pt idx="13">
                  <c:v>62.63</c:v>
                </c:pt>
                <c:pt idx="14">
                  <c:v>55.36</c:v>
                </c:pt>
                <c:pt idx="15">
                  <c:v>51.78</c:v>
                </c:pt>
                <c:pt idx="16">
                  <c:v>46.37</c:v>
                </c:pt>
                <c:pt idx="17">
                  <c:v>34.42</c:v>
                </c:pt>
                <c:pt idx="18">
                  <c:v>39.29</c:v>
                </c:pt>
                <c:pt idx="19">
                  <c:v>42.99</c:v>
                </c:pt>
                <c:pt idx="20">
                  <c:v>37.85</c:v>
                </c:pt>
                <c:pt idx="21">
                  <c:v>51.18</c:v>
                </c:pt>
                <c:pt idx="22">
                  <c:v>119.37</c:v>
                </c:pt>
                <c:pt idx="23">
                  <c:v>131.75</c:v>
                </c:pt>
                <c:pt idx="24">
                  <c:v>167.25</c:v>
                </c:pt>
                <c:pt idx="25">
                  <c:v>180.38</c:v>
                </c:pt>
                <c:pt idx="26">
                  <c:v>163.63</c:v>
                </c:pt>
                <c:pt idx="27">
                  <c:v>163.71</c:v>
                </c:pt>
                <c:pt idx="28">
                  <c:v>156.75</c:v>
                </c:pt>
                <c:pt idx="29">
                  <c:v>130.66999999999999</c:v>
                </c:pt>
                <c:pt idx="30">
                  <c:v>132.77000000000001</c:v>
                </c:pt>
                <c:pt idx="31">
                  <c:v>133.43</c:v>
                </c:pt>
                <c:pt idx="32">
                  <c:v>130.58000000000001</c:v>
                </c:pt>
                <c:pt idx="33">
                  <c:v>131.25</c:v>
                </c:pt>
                <c:pt idx="34">
                  <c:v>131.47999999999999</c:v>
                </c:pt>
                <c:pt idx="35">
                  <c:v>126.33</c:v>
                </c:pt>
                <c:pt idx="36">
                  <c:v>130.34</c:v>
                </c:pt>
                <c:pt idx="37">
                  <c:v>119.84</c:v>
                </c:pt>
                <c:pt idx="38">
                  <c:v>117.38</c:v>
                </c:pt>
                <c:pt idx="39">
                  <c:v>102.89</c:v>
                </c:pt>
                <c:pt idx="40">
                  <c:v>89.78</c:v>
                </c:pt>
                <c:pt idx="41">
                  <c:v>91.81</c:v>
                </c:pt>
                <c:pt idx="42">
                  <c:v>77.290000000000006</c:v>
                </c:pt>
                <c:pt idx="43">
                  <c:v>83.73</c:v>
                </c:pt>
                <c:pt idx="44">
                  <c:v>79.47</c:v>
                </c:pt>
                <c:pt idx="45">
                  <c:v>75.209999999999994</c:v>
                </c:pt>
                <c:pt idx="46">
                  <c:v>75.430000000000007</c:v>
                </c:pt>
                <c:pt idx="47">
                  <c:v>74.59</c:v>
                </c:pt>
                <c:pt idx="48">
                  <c:v>70.760000000000005</c:v>
                </c:pt>
                <c:pt idx="49">
                  <c:v>73.22</c:v>
                </c:pt>
                <c:pt idx="50">
                  <c:v>72.680000000000007</c:v>
                </c:pt>
                <c:pt idx="51">
                  <c:v>89.66</c:v>
                </c:pt>
                <c:pt idx="52">
                  <c:v>81.099999999999994</c:v>
                </c:pt>
                <c:pt idx="53">
                  <c:v>77.72</c:v>
                </c:pt>
                <c:pt idx="54">
                  <c:v>131.24</c:v>
                </c:pt>
                <c:pt idx="55">
                  <c:v>125.3</c:v>
                </c:pt>
                <c:pt idx="56">
                  <c:v>124.15</c:v>
                </c:pt>
                <c:pt idx="57">
                  <c:v>129.31</c:v>
                </c:pt>
                <c:pt idx="58">
                  <c:v>128.68</c:v>
                </c:pt>
                <c:pt idx="59">
                  <c:v>132.16999999999999</c:v>
                </c:pt>
                <c:pt idx="60">
                  <c:v>131.12</c:v>
                </c:pt>
                <c:pt idx="61">
                  <c:v>129.80000000000001</c:v>
                </c:pt>
                <c:pt idx="62">
                  <c:v>127.3</c:v>
                </c:pt>
                <c:pt idx="63">
                  <c:v>119.37</c:v>
                </c:pt>
                <c:pt idx="64">
                  <c:v>123.24</c:v>
                </c:pt>
                <c:pt idx="65">
                  <c:v>124.88</c:v>
                </c:pt>
                <c:pt idx="66">
                  <c:v>119.35</c:v>
                </c:pt>
                <c:pt idx="67">
                  <c:v>116.37</c:v>
                </c:pt>
                <c:pt idx="68">
                  <c:v>110.41</c:v>
                </c:pt>
                <c:pt idx="69">
                  <c:v>105.01</c:v>
                </c:pt>
                <c:pt idx="70">
                  <c:v>110.29</c:v>
                </c:pt>
                <c:pt idx="71">
                  <c:v>103.84</c:v>
                </c:pt>
                <c:pt idx="72">
                  <c:v>103.4</c:v>
                </c:pt>
                <c:pt idx="73">
                  <c:v>103.19</c:v>
                </c:pt>
                <c:pt idx="74">
                  <c:v>103.02</c:v>
                </c:pt>
                <c:pt idx="75">
                  <c:v>108.33</c:v>
                </c:pt>
                <c:pt idx="76">
                  <c:v>102.04</c:v>
                </c:pt>
                <c:pt idx="77">
                  <c:v>117.31</c:v>
                </c:pt>
                <c:pt idx="78">
                  <c:v>107.7</c:v>
                </c:pt>
                <c:pt idx="79">
                  <c:v>102.06</c:v>
                </c:pt>
                <c:pt idx="80">
                  <c:v>104.43</c:v>
                </c:pt>
                <c:pt idx="81">
                  <c:v>102.3</c:v>
                </c:pt>
                <c:pt idx="82">
                  <c:v>109.16</c:v>
                </c:pt>
                <c:pt idx="83">
                  <c:v>99.41</c:v>
                </c:pt>
                <c:pt idx="84">
                  <c:v>97.56</c:v>
                </c:pt>
                <c:pt idx="85">
                  <c:v>97.73</c:v>
                </c:pt>
                <c:pt idx="86">
                  <c:v>97.13</c:v>
                </c:pt>
                <c:pt idx="87">
                  <c:v>95.62</c:v>
                </c:pt>
                <c:pt idx="88">
                  <c:v>97.17</c:v>
                </c:pt>
                <c:pt idx="89">
                  <c:v>96.25</c:v>
                </c:pt>
                <c:pt idx="90">
                  <c:v>97.03</c:v>
                </c:pt>
                <c:pt idx="91">
                  <c:v>94.47</c:v>
                </c:pt>
                <c:pt idx="92">
                  <c:v>93.37</c:v>
                </c:pt>
                <c:pt idx="93">
                  <c:v>91.23</c:v>
                </c:pt>
                <c:pt idx="94">
                  <c:v>90.61</c:v>
                </c:pt>
                <c:pt idx="95">
                  <c:v>89.32</c:v>
                </c:pt>
                <c:pt idx="96">
                  <c:v>89.52</c:v>
                </c:pt>
                <c:pt idx="97">
                  <c:v>87.74</c:v>
                </c:pt>
                <c:pt idx="98">
                  <c:v>86.88</c:v>
                </c:pt>
                <c:pt idx="99">
                  <c:v>97.21</c:v>
                </c:pt>
                <c:pt idx="100">
                  <c:v>94.63</c:v>
                </c:pt>
                <c:pt idx="101">
                  <c:v>98.49</c:v>
                </c:pt>
                <c:pt idx="102">
                  <c:v>118.91</c:v>
                </c:pt>
                <c:pt idx="103">
                  <c:v>133.58000000000001</c:v>
                </c:pt>
                <c:pt idx="104">
                  <c:v>168.66</c:v>
                </c:pt>
                <c:pt idx="105">
                  <c:v>112.46</c:v>
                </c:pt>
                <c:pt idx="106">
                  <c:v>94.74</c:v>
                </c:pt>
                <c:pt idx="107">
                  <c:v>116.28</c:v>
                </c:pt>
                <c:pt idx="108">
                  <c:v>115.63</c:v>
                </c:pt>
                <c:pt idx="109">
                  <c:v>95.15</c:v>
                </c:pt>
                <c:pt idx="110">
                  <c:v>93.28</c:v>
                </c:pt>
                <c:pt idx="111">
                  <c:v>92.87</c:v>
                </c:pt>
                <c:pt idx="112">
                  <c:v>94.04</c:v>
                </c:pt>
                <c:pt idx="113">
                  <c:v>87.05</c:v>
                </c:pt>
                <c:pt idx="114">
                  <c:v>92.57</c:v>
                </c:pt>
                <c:pt idx="115">
                  <c:v>96.91</c:v>
                </c:pt>
                <c:pt idx="116">
                  <c:v>121.31</c:v>
                </c:pt>
                <c:pt idx="117">
                  <c:v>110.64</c:v>
                </c:pt>
                <c:pt idx="118">
                  <c:v>104.62</c:v>
                </c:pt>
                <c:pt idx="119">
                  <c:v>112.17</c:v>
                </c:pt>
                <c:pt idx="120">
                  <c:v>121.82</c:v>
                </c:pt>
                <c:pt idx="121">
                  <c:v>172.62</c:v>
                </c:pt>
                <c:pt idx="122">
                  <c:v>129.13999999999999</c:v>
                </c:pt>
                <c:pt idx="123">
                  <c:v>137.30000000000001</c:v>
                </c:pt>
                <c:pt idx="124">
                  <c:v>131.96</c:v>
                </c:pt>
                <c:pt idx="125">
                  <c:v>174</c:v>
                </c:pt>
                <c:pt idx="126">
                  <c:v>149.35</c:v>
                </c:pt>
                <c:pt idx="127">
                  <c:v>136.77000000000001</c:v>
                </c:pt>
                <c:pt idx="128">
                  <c:v>97.89</c:v>
                </c:pt>
                <c:pt idx="129">
                  <c:v>115.04</c:v>
                </c:pt>
                <c:pt idx="130">
                  <c:v>97.1</c:v>
                </c:pt>
                <c:pt idx="131">
                  <c:v>94.15</c:v>
                </c:pt>
                <c:pt idx="132">
                  <c:v>99.91</c:v>
                </c:pt>
                <c:pt idx="133">
                  <c:v>97.89</c:v>
                </c:pt>
                <c:pt idx="134">
                  <c:v>133.30000000000001</c:v>
                </c:pt>
                <c:pt idx="135">
                  <c:v>107.92</c:v>
                </c:pt>
                <c:pt idx="136">
                  <c:v>108.2</c:v>
                </c:pt>
                <c:pt idx="137">
                  <c:v>107.61</c:v>
                </c:pt>
                <c:pt idx="138">
                  <c:v>131.76</c:v>
                </c:pt>
                <c:pt idx="139">
                  <c:v>111.2</c:v>
                </c:pt>
                <c:pt idx="140">
                  <c:v>110.7</c:v>
                </c:pt>
                <c:pt idx="141">
                  <c:v>105.69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21216"/>
        <c:axId val="218927104"/>
      </c:lineChart>
      <c:lineChart>
        <c:grouping val="standard"/>
        <c:varyColors val="0"/>
        <c:ser>
          <c:idx val="2"/>
          <c:order val="2"/>
          <c:tx>
            <c:strRef>
              <c:f>Hoja5!$W$26</c:f>
              <c:strCache>
                <c:ptCount val="1"/>
                <c:pt idx="0">
                  <c:v>Tasa Intervención (Der)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Hoja5!$X$30:$X$500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0.05</c:v>
                </c:pt>
                <c:pt idx="140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Hoja5!$Z$26</c:f>
              <c:strCache>
                <c:ptCount val="1"/>
                <c:pt idx="0">
                  <c:v>Tasa Depósito (Der)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Hoja5!$B$30:$B$500</c:f>
              <c:numCache>
                <c:formatCode>m/d/yyyy</c:formatCode>
                <c:ptCount val="471"/>
                <c:pt idx="0">
                  <c:v>40921</c:v>
                </c:pt>
                <c:pt idx="1">
                  <c:v>40928</c:v>
                </c:pt>
                <c:pt idx="2">
                  <c:v>40935</c:v>
                </c:pt>
                <c:pt idx="3">
                  <c:v>40942</c:v>
                </c:pt>
                <c:pt idx="4">
                  <c:v>40949</c:v>
                </c:pt>
                <c:pt idx="5">
                  <c:v>40956</c:v>
                </c:pt>
                <c:pt idx="6">
                  <c:v>40963</c:v>
                </c:pt>
                <c:pt idx="7">
                  <c:v>40970</c:v>
                </c:pt>
                <c:pt idx="8">
                  <c:v>40977</c:v>
                </c:pt>
                <c:pt idx="9">
                  <c:v>40984</c:v>
                </c:pt>
                <c:pt idx="10">
                  <c:v>40991</c:v>
                </c:pt>
                <c:pt idx="11">
                  <c:v>40998</c:v>
                </c:pt>
                <c:pt idx="12">
                  <c:v>41005</c:v>
                </c:pt>
                <c:pt idx="13">
                  <c:v>41012</c:v>
                </c:pt>
                <c:pt idx="14">
                  <c:v>41019</c:v>
                </c:pt>
                <c:pt idx="15">
                  <c:v>41026</c:v>
                </c:pt>
                <c:pt idx="16">
                  <c:v>41033</c:v>
                </c:pt>
                <c:pt idx="17">
                  <c:v>41040</c:v>
                </c:pt>
                <c:pt idx="18">
                  <c:v>41047</c:v>
                </c:pt>
                <c:pt idx="19">
                  <c:v>41054</c:v>
                </c:pt>
                <c:pt idx="20">
                  <c:v>41061</c:v>
                </c:pt>
                <c:pt idx="21">
                  <c:v>41068</c:v>
                </c:pt>
                <c:pt idx="22">
                  <c:v>41075</c:v>
                </c:pt>
                <c:pt idx="23">
                  <c:v>41082</c:v>
                </c:pt>
                <c:pt idx="24">
                  <c:v>41089</c:v>
                </c:pt>
                <c:pt idx="25">
                  <c:v>41096</c:v>
                </c:pt>
                <c:pt idx="26">
                  <c:v>41103</c:v>
                </c:pt>
                <c:pt idx="27">
                  <c:v>41110</c:v>
                </c:pt>
                <c:pt idx="28">
                  <c:v>41117</c:v>
                </c:pt>
                <c:pt idx="29">
                  <c:v>41124</c:v>
                </c:pt>
                <c:pt idx="30">
                  <c:v>41131</c:v>
                </c:pt>
                <c:pt idx="31">
                  <c:v>41138</c:v>
                </c:pt>
                <c:pt idx="32">
                  <c:v>41145</c:v>
                </c:pt>
                <c:pt idx="33">
                  <c:v>41152</c:v>
                </c:pt>
                <c:pt idx="34">
                  <c:v>41159</c:v>
                </c:pt>
                <c:pt idx="35">
                  <c:v>41166</c:v>
                </c:pt>
                <c:pt idx="36">
                  <c:v>41173</c:v>
                </c:pt>
                <c:pt idx="37">
                  <c:v>41180</c:v>
                </c:pt>
                <c:pt idx="38">
                  <c:v>41187</c:v>
                </c:pt>
                <c:pt idx="39">
                  <c:v>41194</c:v>
                </c:pt>
                <c:pt idx="40">
                  <c:v>41201</c:v>
                </c:pt>
                <c:pt idx="41">
                  <c:v>41208</c:v>
                </c:pt>
                <c:pt idx="42">
                  <c:v>41215</c:v>
                </c:pt>
                <c:pt idx="43">
                  <c:v>41222</c:v>
                </c:pt>
                <c:pt idx="44">
                  <c:v>41229</c:v>
                </c:pt>
                <c:pt idx="45">
                  <c:v>41236</c:v>
                </c:pt>
                <c:pt idx="46">
                  <c:v>41243</c:v>
                </c:pt>
                <c:pt idx="47">
                  <c:v>41250</c:v>
                </c:pt>
                <c:pt idx="48">
                  <c:v>41257</c:v>
                </c:pt>
                <c:pt idx="49">
                  <c:v>41264</c:v>
                </c:pt>
                <c:pt idx="50">
                  <c:v>41271</c:v>
                </c:pt>
                <c:pt idx="51">
                  <c:v>41278</c:v>
                </c:pt>
                <c:pt idx="52">
                  <c:v>41285</c:v>
                </c:pt>
                <c:pt idx="53">
                  <c:v>41292</c:v>
                </c:pt>
                <c:pt idx="54">
                  <c:v>41299</c:v>
                </c:pt>
                <c:pt idx="55">
                  <c:v>41306</c:v>
                </c:pt>
                <c:pt idx="56">
                  <c:v>41313</c:v>
                </c:pt>
                <c:pt idx="57">
                  <c:v>41320</c:v>
                </c:pt>
                <c:pt idx="58">
                  <c:v>41327</c:v>
                </c:pt>
                <c:pt idx="59">
                  <c:v>41334</c:v>
                </c:pt>
                <c:pt idx="60">
                  <c:v>41341</c:v>
                </c:pt>
                <c:pt idx="61">
                  <c:v>41348</c:v>
                </c:pt>
                <c:pt idx="62">
                  <c:v>41355</c:v>
                </c:pt>
                <c:pt idx="63">
                  <c:v>41362</c:v>
                </c:pt>
                <c:pt idx="64">
                  <c:v>41369</c:v>
                </c:pt>
                <c:pt idx="65">
                  <c:v>41376</c:v>
                </c:pt>
                <c:pt idx="66">
                  <c:v>41383</c:v>
                </c:pt>
                <c:pt idx="67">
                  <c:v>41390</c:v>
                </c:pt>
                <c:pt idx="68">
                  <c:v>41397</c:v>
                </c:pt>
                <c:pt idx="69">
                  <c:v>41404</c:v>
                </c:pt>
                <c:pt idx="70">
                  <c:v>41411</c:v>
                </c:pt>
                <c:pt idx="71">
                  <c:v>41418</c:v>
                </c:pt>
                <c:pt idx="72">
                  <c:v>41425</c:v>
                </c:pt>
                <c:pt idx="73">
                  <c:v>41432</c:v>
                </c:pt>
                <c:pt idx="74">
                  <c:v>41439</c:v>
                </c:pt>
                <c:pt idx="75">
                  <c:v>41446</c:v>
                </c:pt>
                <c:pt idx="76">
                  <c:v>41453</c:v>
                </c:pt>
                <c:pt idx="77">
                  <c:v>41460</c:v>
                </c:pt>
                <c:pt idx="78">
                  <c:v>41467</c:v>
                </c:pt>
                <c:pt idx="79">
                  <c:v>41474</c:v>
                </c:pt>
                <c:pt idx="80">
                  <c:v>41481</c:v>
                </c:pt>
                <c:pt idx="81">
                  <c:v>41488</c:v>
                </c:pt>
                <c:pt idx="82">
                  <c:v>41495</c:v>
                </c:pt>
                <c:pt idx="83">
                  <c:v>41502</c:v>
                </c:pt>
                <c:pt idx="84">
                  <c:v>41509</c:v>
                </c:pt>
                <c:pt idx="85">
                  <c:v>41516</c:v>
                </c:pt>
                <c:pt idx="86">
                  <c:v>41523</c:v>
                </c:pt>
                <c:pt idx="87">
                  <c:v>41530</c:v>
                </c:pt>
                <c:pt idx="88">
                  <c:v>41537</c:v>
                </c:pt>
                <c:pt idx="89">
                  <c:v>41544</c:v>
                </c:pt>
                <c:pt idx="90">
                  <c:v>41551</c:v>
                </c:pt>
                <c:pt idx="91">
                  <c:v>41558</c:v>
                </c:pt>
                <c:pt idx="92">
                  <c:v>41565</c:v>
                </c:pt>
                <c:pt idx="93">
                  <c:v>41572</c:v>
                </c:pt>
                <c:pt idx="94">
                  <c:v>41579</c:v>
                </c:pt>
                <c:pt idx="95">
                  <c:v>41586</c:v>
                </c:pt>
                <c:pt idx="96">
                  <c:v>41593</c:v>
                </c:pt>
                <c:pt idx="97">
                  <c:v>41600</c:v>
                </c:pt>
                <c:pt idx="98">
                  <c:v>41607</c:v>
                </c:pt>
                <c:pt idx="99">
                  <c:v>41614</c:v>
                </c:pt>
                <c:pt idx="100">
                  <c:v>41621</c:v>
                </c:pt>
                <c:pt idx="101">
                  <c:v>41628</c:v>
                </c:pt>
                <c:pt idx="102">
                  <c:v>41635</c:v>
                </c:pt>
                <c:pt idx="103">
                  <c:v>41642</c:v>
                </c:pt>
                <c:pt idx="104">
                  <c:v>41649</c:v>
                </c:pt>
                <c:pt idx="105">
                  <c:v>41656</c:v>
                </c:pt>
                <c:pt idx="106">
                  <c:v>41663</c:v>
                </c:pt>
                <c:pt idx="107">
                  <c:v>41670</c:v>
                </c:pt>
                <c:pt idx="108">
                  <c:v>41677</c:v>
                </c:pt>
                <c:pt idx="109">
                  <c:v>41684</c:v>
                </c:pt>
                <c:pt idx="110">
                  <c:v>41691</c:v>
                </c:pt>
                <c:pt idx="111">
                  <c:v>41698</c:v>
                </c:pt>
                <c:pt idx="112">
                  <c:v>41705</c:v>
                </c:pt>
                <c:pt idx="113">
                  <c:v>41712</c:v>
                </c:pt>
                <c:pt idx="114">
                  <c:v>41719</c:v>
                </c:pt>
                <c:pt idx="115">
                  <c:v>41726</c:v>
                </c:pt>
                <c:pt idx="116">
                  <c:v>41733</c:v>
                </c:pt>
                <c:pt idx="117">
                  <c:v>41740</c:v>
                </c:pt>
                <c:pt idx="118">
                  <c:v>41747</c:v>
                </c:pt>
                <c:pt idx="119">
                  <c:v>41754</c:v>
                </c:pt>
                <c:pt idx="120">
                  <c:v>41761</c:v>
                </c:pt>
                <c:pt idx="121">
                  <c:v>41768</c:v>
                </c:pt>
                <c:pt idx="122">
                  <c:v>41775</c:v>
                </c:pt>
                <c:pt idx="123">
                  <c:v>41782</c:v>
                </c:pt>
                <c:pt idx="124">
                  <c:v>41789</c:v>
                </c:pt>
                <c:pt idx="125">
                  <c:v>41796</c:v>
                </c:pt>
                <c:pt idx="126">
                  <c:v>41803</c:v>
                </c:pt>
                <c:pt idx="127">
                  <c:v>41810</c:v>
                </c:pt>
                <c:pt idx="128">
                  <c:v>41817</c:v>
                </c:pt>
                <c:pt idx="129">
                  <c:v>41824</c:v>
                </c:pt>
                <c:pt idx="130">
                  <c:v>41831</c:v>
                </c:pt>
                <c:pt idx="131">
                  <c:v>41838</c:v>
                </c:pt>
                <c:pt idx="132">
                  <c:v>41845</c:v>
                </c:pt>
                <c:pt idx="133">
                  <c:v>41852</c:v>
                </c:pt>
                <c:pt idx="134">
                  <c:v>41859</c:v>
                </c:pt>
                <c:pt idx="135">
                  <c:v>41866</c:v>
                </c:pt>
                <c:pt idx="136">
                  <c:v>41873</c:v>
                </c:pt>
                <c:pt idx="137">
                  <c:v>41880</c:v>
                </c:pt>
                <c:pt idx="138">
                  <c:v>41887</c:v>
                </c:pt>
                <c:pt idx="139">
                  <c:v>41894</c:v>
                </c:pt>
                <c:pt idx="140">
                  <c:v>41901</c:v>
                </c:pt>
              </c:numCache>
            </c:numRef>
          </c:cat>
          <c:val>
            <c:numRef>
              <c:f>Hoja5!$AA$30:$AA$500</c:f>
              <c:numCache>
                <c:formatCode>General</c:formatCode>
                <c:ptCount val="4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31200"/>
        <c:axId val="218929024"/>
      </c:lineChart>
      <c:dateAx>
        <c:axId val="218921216"/>
        <c:scaling>
          <c:orientation val="minMax"/>
          <c:min val="40921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es-CO"/>
          </a:p>
        </c:txPr>
        <c:crossAx val="218927104"/>
        <c:crosses val="autoZero"/>
        <c:auto val="1"/>
        <c:lblOffset val="100"/>
        <c:baseTimeUnit val="days"/>
      </c:dateAx>
      <c:valAx>
        <c:axId val="218927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Miles</a:t>
                </a:r>
                <a:r>
                  <a:rPr lang="es-CO" baseline="0"/>
                  <a:t> de Millones </a:t>
                </a:r>
                <a:r>
                  <a:rPr lang="es-CO" baseline="0">
                    <a:latin typeface="Times New Roman"/>
                    <a:cs typeface="Times New Roman"/>
                  </a:rPr>
                  <a:t>€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21216"/>
        <c:crosses val="autoZero"/>
        <c:crossBetween val="between"/>
      </c:valAx>
      <c:valAx>
        <c:axId val="218929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s-CO" b="1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31200"/>
        <c:crosses val="max"/>
        <c:crossBetween val="between"/>
      </c:valAx>
      <c:dateAx>
        <c:axId val="2189312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218929024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57149</xdr:rowOff>
    </xdr:from>
    <xdr:to>
      <xdr:col>5</xdr:col>
      <xdr:colOff>933450</xdr:colOff>
      <xdr:row>20</xdr:row>
      <xdr:rowOff>114300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16</xdr:col>
      <xdr:colOff>361950</xdr:colOff>
      <xdr:row>19</xdr:row>
      <xdr:rowOff>85725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390525</xdr:colOff>
      <xdr:row>20</xdr:row>
      <xdr:rowOff>57151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7"/>
  <sheetViews>
    <sheetView workbookViewId="0">
      <selection activeCell="A35" sqref="A35:XFD35"/>
    </sheetView>
  </sheetViews>
  <sheetFormatPr baseColWidth="10" defaultRowHeight="15" x14ac:dyDescent="0.25"/>
  <cols>
    <col min="1" max="1" width="56.42578125" bestFit="1" customWidth="1"/>
    <col min="2" max="2" width="15.85546875" bestFit="1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25">
      <c r="A2" t="str">
        <f>ReferenceData!$A$2</f>
        <v>LTRO REPAYMENT (EUR B)</v>
      </c>
      <c r="B2" t="str">
        <f>ReferenceData!$B$2</f>
        <v/>
      </c>
      <c r="C2" t="str">
        <f>ReferenceData!$C$2</f>
        <v/>
      </c>
      <c r="D2" t="str">
        <f>ReferenceData!$D$2</f>
        <v/>
      </c>
      <c r="E2" t="str">
        <f>ReferenceData!$E$2</f>
        <v>Static</v>
      </c>
      <c r="F2" t="str">
        <f>ReferenceData!$F$2</f>
        <v/>
      </c>
      <c r="G2" t="str">
        <f>ReferenceData!$G$2</f>
        <v/>
      </c>
      <c r="H2" t="str">
        <f>ReferenceData!$H$2</f>
        <v/>
      </c>
      <c r="I2" t="str">
        <f>ReferenceData!$I$2</f>
        <v/>
      </c>
      <c r="J2" t="str">
        <f>ReferenceData!$J$2</f>
        <v/>
      </c>
      <c r="K2" t="str">
        <f>ReferenceData!$K$2</f>
        <v/>
      </c>
      <c r="L2" t="str">
        <f>ReferenceData!$L$2</f>
        <v/>
      </c>
      <c r="M2" t="str">
        <f>ReferenceData!$M$2</f>
        <v/>
      </c>
      <c r="N2" t="str">
        <f>ReferenceData!$N$2</f>
        <v/>
      </c>
      <c r="O2" t="str">
        <f>ReferenceData!$O$2</f>
        <v/>
      </c>
      <c r="P2" t="str">
        <f>ReferenceData!$P$2</f>
        <v/>
      </c>
      <c r="Q2" t="str">
        <f>ReferenceData!$Q$2</f>
        <v/>
      </c>
      <c r="R2" t="str">
        <f>ReferenceData!$R$2</f>
        <v/>
      </c>
      <c r="S2" t="str">
        <f>ReferenceData!$S$2</f>
        <v/>
      </c>
      <c r="T2" t="str">
        <f>ReferenceData!$T$2</f>
        <v/>
      </c>
      <c r="U2" t="str">
        <f>ReferenceData!$U$2</f>
        <v/>
      </c>
      <c r="V2" t="str">
        <f>ReferenceData!$V$2</f>
        <v/>
      </c>
      <c r="W2" t="str">
        <f>ReferenceData!$W$2</f>
        <v/>
      </c>
      <c r="X2" t="str">
        <f>ReferenceData!$X$2</f>
        <v/>
      </c>
      <c r="Y2" t="str">
        <f>ReferenceData!$Y$2</f>
        <v/>
      </c>
      <c r="Z2" t="str">
        <f>ReferenceData!$Z$2</f>
        <v/>
      </c>
      <c r="AA2" t="str">
        <f>ReferenceData!$AA$2</f>
        <v/>
      </c>
      <c r="AB2" t="str">
        <f>ReferenceData!$AB$2</f>
        <v/>
      </c>
      <c r="AC2" t="str">
        <f>ReferenceData!$AC$2</f>
        <v/>
      </c>
      <c r="AD2" t="str">
        <f>ReferenceData!$AD$2</f>
        <v/>
      </c>
      <c r="AE2" t="str">
        <f>ReferenceData!$AE$2</f>
        <v/>
      </c>
      <c r="AF2" t="str">
        <f>ReferenceData!$AF$2</f>
        <v/>
      </c>
      <c r="AG2" t="str">
        <f>ReferenceData!$AG$2</f>
        <v/>
      </c>
      <c r="AH2" t="str">
        <f>ReferenceData!$AH$2</f>
        <v/>
      </c>
      <c r="AI2" t="str">
        <f>ReferenceData!$AI$2</f>
        <v/>
      </c>
      <c r="AJ2" t="str">
        <f>ReferenceData!$AJ$2</f>
        <v/>
      </c>
      <c r="AK2" t="str">
        <f>ReferenceData!$AK$2</f>
        <v/>
      </c>
      <c r="AL2" t="str">
        <f>ReferenceData!$AL$2</f>
        <v/>
      </c>
      <c r="AM2" t="str">
        <f>ReferenceData!$AM$2</f>
        <v/>
      </c>
      <c r="AN2" t="str">
        <f>ReferenceData!$AN$2</f>
        <v/>
      </c>
      <c r="AO2" t="str">
        <f>ReferenceData!$AO$2</f>
        <v/>
      </c>
      <c r="AP2" t="str">
        <f>ReferenceData!$AP$2</f>
        <v/>
      </c>
      <c r="AQ2" t="str">
        <f>ReferenceData!$AQ$2</f>
        <v/>
      </c>
      <c r="AR2" t="str">
        <f>ReferenceData!$AR$2</f>
        <v/>
      </c>
      <c r="AS2" t="str">
        <f>ReferenceData!$AS$2</f>
        <v/>
      </c>
      <c r="AT2" t="str">
        <f>ReferenceData!$AT$2</f>
        <v/>
      </c>
      <c r="AU2" t="str">
        <f>ReferenceData!$AU$2</f>
        <v/>
      </c>
      <c r="AV2" t="str">
        <f>ReferenceData!$AV$2</f>
        <v/>
      </c>
      <c r="AW2" t="str">
        <f>ReferenceData!$AW$2</f>
        <v/>
      </c>
      <c r="AX2" t="str">
        <f>ReferenceData!$AX$2</f>
        <v/>
      </c>
      <c r="AY2" t="str">
        <f>ReferenceData!$AY$2</f>
        <v/>
      </c>
      <c r="AZ2" t="str">
        <f>ReferenceData!$AZ$2</f>
        <v/>
      </c>
      <c r="BA2" t="str">
        <f>ReferenceData!$BA$2</f>
        <v/>
      </c>
      <c r="BB2" t="str">
        <f>ReferenceData!$BB$2</f>
        <v/>
      </c>
      <c r="BC2" t="str">
        <f>ReferenceData!$BC$2</f>
        <v/>
      </c>
      <c r="BD2" t="str">
        <f>ReferenceData!$BD$2</f>
        <v/>
      </c>
      <c r="BE2" t="str">
        <f>ReferenceData!$BE$2</f>
        <v/>
      </c>
      <c r="BF2" t="str">
        <f>ReferenceData!$BF$2</f>
        <v/>
      </c>
      <c r="BG2" t="str">
        <f>ReferenceData!$BG$2</f>
        <v/>
      </c>
      <c r="BH2" t="str">
        <f>ReferenceData!$BH$2</f>
        <v/>
      </c>
      <c r="BI2" t="str">
        <f>ReferenceData!$BI$2</f>
        <v/>
      </c>
      <c r="BJ2" t="str">
        <f>ReferenceData!$BJ$2</f>
        <v/>
      </c>
      <c r="BK2" t="str">
        <f>ReferenceData!$BK$2</f>
        <v/>
      </c>
      <c r="BL2" t="str">
        <f>ReferenceData!$BL$2</f>
        <v/>
      </c>
      <c r="BM2" t="str">
        <f>ReferenceData!$BM$2</f>
        <v/>
      </c>
      <c r="BN2" t="str">
        <f>ReferenceData!$BN$2</f>
        <v/>
      </c>
      <c r="BO2" t="str">
        <f>ReferenceData!$BO$2</f>
        <v/>
      </c>
      <c r="BP2" t="str">
        <f>ReferenceData!$BP$2</f>
        <v/>
      </c>
      <c r="BQ2" t="str">
        <f>ReferenceData!$BQ$2</f>
        <v/>
      </c>
      <c r="BR2" t="str">
        <f>ReferenceData!$BR$2</f>
        <v/>
      </c>
      <c r="BS2" t="str">
        <f>ReferenceData!$BS$2</f>
        <v/>
      </c>
      <c r="BT2" t="str">
        <f>ReferenceData!$BT$2</f>
        <v/>
      </c>
      <c r="BU2" t="str">
        <f>ReferenceData!$BU$2</f>
        <v/>
      </c>
      <c r="BV2" t="str">
        <f>ReferenceData!$BV$2</f>
        <v/>
      </c>
      <c r="BW2" t="str">
        <f>ReferenceData!$BW$2</f>
        <v/>
      </c>
      <c r="BX2" t="str">
        <f>ReferenceData!$BX$2</f>
        <v/>
      </c>
      <c r="BY2" t="str">
        <f>ReferenceData!$BY$2</f>
        <v/>
      </c>
      <c r="BZ2" t="str">
        <f>ReferenceData!$BZ$2</f>
        <v/>
      </c>
      <c r="CA2" t="str">
        <f>ReferenceData!$CA$2</f>
        <v/>
      </c>
      <c r="CB2" t="str">
        <f>ReferenceData!$CB$2</f>
        <v/>
      </c>
      <c r="CC2" t="str">
        <f>ReferenceData!$CC$2</f>
        <v/>
      </c>
      <c r="CD2" t="str">
        <f>ReferenceData!$CD$2</f>
        <v/>
      </c>
      <c r="CE2" t="str">
        <f>ReferenceData!$CE$2</f>
        <v/>
      </c>
      <c r="CF2" t="str">
        <f>ReferenceData!$CF$2</f>
        <v/>
      </c>
      <c r="CG2" t="str">
        <f>ReferenceData!$CG$2</f>
        <v/>
      </c>
    </row>
    <row r="3" spans="1:85" x14ac:dyDescent="0.25">
      <c r="A3" t="str">
        <f>ReferenceData!$A$3</f>
        <v xml:space="preserve">    (Switch to WEEKLY view to see latest data)</v>
      </c>
      <c r="B3" t="str">
        <f>ReferenceData!$B$3</f>
        <v/>
      </c>
      <c r="C3" t="str">
        <f>ReferenceData!$C$3</f>
        <v/>
      </c>
      <c r="D3" t="str">
        <f>ReferenceData!$D$3</f>
        <v/>
      </c>
      <c r="E3" t="str">
        <f>ReferenceData!$E$3</f>
        <v>Heading</v>
      </c>
      <c r="F3" t="str">
        <f>ReferenceData!$F$3</f>
        <v/>
      </c>
      <c r="G3" t="str">
        <f>ReferenceData!$G$3</f>
        <v/>
      </c>
      <c r="H3" t="str">
        <f>ReferenceData!$H$3</f>
        <v/>
      </c>
      <c r="I3" t="str">
        <f>ReferenceData!$I$3</f>
        <v/>
      </c>
      <c r="J3" t="str">
        <f>ReferenceData!$J$3</f>
        <v/>
      </c>
      <c r="K3" t="str">
        <f>ReferenceData!$K$3</f>
        <v/>
      </c>
      <c r="L3" t="str">
        <f>ReferenceData!$L$3</f>
        <v/>
      </c>
      <c r="M3" t="str">
        <f>ReferenceData!$M$3</f>
        <v/>
      </c>
      <c r="N3" t="str">
        <f>ReferenceData!$N$3</f>
        <v/>
      </c>
      <c r="O3" t="str">
        <f>ReferenceData!$O$3</f>
        <v/>
      </c>
      <c r="P3" t="str">
        <f>ReferenceData!$P$3</f>
        <v/>
      </c>
      <c r="Q3" t="str">
        <f>ReferenceData!$Q$3</f>
        <v/>
      </c>
      <c r="R3" t="str">
        <f>ReferenceData!$R$3</f>
        <v/>
      </c>
      <c r="S3" t="str">
        <f>ReferenceData!$S$3</f>
        <v/>
      </c>
      <c r="T3" t="str">
        <f>ReferenceData!$T$3</f>
        <v/>
      </c>
      <c r="U3" t="str">
        <f>ReferenceData!$U$3</f>
        <v/>
      </c>
      <c r="V3" t="str">
        <f>ReferenceData!$V$3</f>
        <v/>
      </c>
      <c r="W3" t="str">
        <f>ReferenceData!$W$3</f>
        <v/>
      </c>
      <c r="X3" t="str">
        <f>ReferenceData!$X$3</f>
        <v/>
      </c>
      <c r="Y3" t="str">
        <f>ReferenceData!$Y$3</f>
        <v/>
      </c>
      <c r="Z3" t="str">
        <f>ReferenceData!$Z$3</f>
        <v/>
      </c>
      <c r="AA3" t="str">
        <f>ReferenceData!$AA$3</f>
        <v/>
      </c>
      <c r="AB3" t="str">
        <f>ReferenceData!$AB$3</f>
        <v/>
      </c>
      <c r="AC3" t="str">
        <f>ReferenceData!$AC$3</f>
        <v/>
      </c>
      <c r="AD3" t="str">
        <f>ReferenceData!$AD$3</f>
        <v/>
      </c>
      <c r="AE3" t="str">
        <f>ReferenceData!$AE$3</f>
        <v/>
      </c>
      <c r="AF3" t="str">
        <f>ReferenceData!$AF$3</f>
        <v/>
      </c>
      <c r="AG3" t="str">
        <f>ReferenceData!$AG$3</f>
        <v/>
      </c>
      <c r="AH3" t="str">
        <f>ReferenceData!$AH$3</f>
        <v/>
      </c>
      <c r="AI3" t="str">
        <f>ReferenceData!$AI$3</f>
        <v/>
      </c>
      <c r="AJ3" t="str">
        <f>ReferenceData!$AJ$3</f>
        <v/>
      </c>
      <c r="AK3" t="str">
        <f>ReferenceData!$AK$3</f>
        <v/>
      </c>
      <c r="AL3" t="str">
        <f>ReferenceData!$AL$3</f>
        <v/>
      </c>
      <c r="AM3" t="str">
        <f>ReferenceData!$AM$3</f>
        <v/>
      </c>
      <c r="AN3" t="str">
        <f>ReferenceData!$AN$3</f>
        <v/>
      </c>
      <c r="AO3" t="str">
        <f>ReferenceData!$AO$3</f>
        <v/>
      </c>
      <c r="AP3" t="str">
        <f>ReferenceData!$AP$3</f>
        <v/>
      </c>
      <c r="AQ3" t="str">
        <f>ReferenceData!$AQ$3</f>
        <v/>
      </c>
      <c r="AR3" t="str">
        <f>ReferenceData!$AR$3</f>
        <v/>
      </c>
      <c r="AS3" t="str">
        <f>ReferenceData!$AS$3</f>
        <v/>
      </c>
      <c r="AT3" t="str">
        <f>ReferenceData!$AT$3</f>
        <v/>
      </c>
      <c r="AU3" t="str">
        <f>ReferenceData!$AU$3</f>
        <v/>
      </c>
      <c r="AV3" t="str">
        <f>ReferenceData!$AV$3</f>
        <v/>
      </c>
      <c r="AW3" t="str">
        <f>ReferenceData!$AW$3</f>
        <v/>
      </c>
      <c r="AX3" t="str">
        <f>ReferenceData!$AX$3</f>
        <v/>
      </c>
      <c r="AY3" t="str">
        <f>ReferenceData!$AY$3</f>
        <v/>
      </c>
      <c r="AZ3" t="str">
        <f>ReferenceData!$AZ$3</f>
        <v/>
      </c>
      <c r="BA3" t="str">
        <f>ReferenceData!$BA$3</f>
        <v/>
      </c>
      <c r="BB3" t="str">
        <f>ReferenceData!$BB$3</f>
        <v/>
      </c>
      <c r="BC3" t="str">
        <f>ReferenceData!$BC$3</f>
        <v/>
      </c>
      <c r="BD3" t="str">
        <f>ReferenceData!$BD$3</f>
        <v/>
      </c>
      <c r="BE3" t="str">
        <f>ReferenceData!$BE$3</f>
        <v/>
      </c>
      <c r="BF3" t="str">
        <f>ReferenceData!$BF$3</f>
        <v/>
      </c>
      <c r="BG3" t="str">
        <f>ReferenceData!$BG$3</f>
        <v/>
      </c>
      <c r="BH3" t="str">
        <f>ReferenceData!$BH$3</f>
        <v/>
      </c>
      <c r="BI3" t="str">
        <f>ReferenceData!$BI$3</f>
        <v/>
      </c>
      <c r="BJ3" t="str">
        <f>ReferenceData!$BJ$3</f>
        <v/>
      </c>
      <c r="BK3" t="str">
        <f>ReferenceData!$BK$3</f>
        <v/>
      </c>
      <c r="BL3" t="str">
        <f>ReferenceData!$BL$3</f>
        <v/>
      </c>
      <c r="BM3" t="str">
        <f>ReferenceData!$BM$3</f>
        <v/>
      </c>
      <c r="BN3" t="str">
        <f>ReferenceData!$BN$3</f>
        <v/>
      </c>
      <c r="BO3" t="str">
        <f>ReferenceData!$BO$3</f>
        <v/>
      </c>
      <c r="BP3" t="str">
        <f>ReferenceData!$BP$3</f>
        <v/>
      </c>
      <c r="BQ3" t="str">
        <f>ReferenceData!$BQ$3</f>
        <v/>
      </c>
      <c r="BR3" t="str">
        <f>ReferenceData!$BR$3</f>
        <v/>
      </c>
      <c r="BS3" t="str">
        <f>ReferenceData!$BS$3</f>
        <v/>
      </c>
      <c r="BT3" t="str">
        <f>ReferenceData!$BT$3</f>
        <v/>
      </c>
      <c r="BU3" t="str">
        <f>ReferenceData!$BU$3</f>
        <v/>
      </c>
      <c r="BV3" t="str">
        <f>ReferenceData!$BV$3</f>
        <v/>
      </c>
      <c r="BW3" t="str">
        <f>ReferenceData!$BW$3</f>
        <v/>
      </c>
      <c r="BX3" t="str">
        <f>ReferenceData!$BX$3</f>
        <v/>
      </c>
      <c r="BY3" t="str">
        <f>ReferenceData!$BY$3</f>
        <v/>
      </c>
      <c r="BZ3" t="str">
        <f>ReferenceData!$BZ$3</f>
        <v/>
      </c>
      <c r="CA3" t="str">
        <f>ReferenceData!$CA$3</f>
        <v/>
      </c>
      <c r="CB3" t="str">
        <f>ReferenceData!$CB$3</f>
        <v/>
      </c>
      <c r="CC3" t="str">
        <f>ReferenceData!$CC$3</f>
        <v/>
      </c>
      <c r="CD3" t="str">
        <f>ReferenceData!$CD$3</f>
        <v/>
      </c>
      <c r="CE3" t="str">
        <f>ReferenceData!$CE$3</f>
        <v/>
      </c>
      <c r="CF3" t="str">
        <f>ReferenceData!$CF$3</f>
        <v/>
      </c>
      <c r="CG3" t="str">
        <f>ReferenceData!$CG$3</f>
        <v/>
      </c>
    </row>
    <row r="4" spans="1:85" x14ac:dyDescent="0.25">
      <c r="A4" t="str">
        <f>ReferenceData!$A$4</f>
        <v xml:space="preserve">    LTRO I Weekly Repayment</v>
      </c>
      <c r="B4" t="str">
        <f>ReferenceData!$B$4</f>
        <v>ECBA3YP1 Index</v>
      </c>
      <c r="C4" t="str">
        <f>ReferenceData!$C$4</f>
        <v>PR005</v>
      </c>
      <c r="D4" t="str">
        <f>ReferenceData!$D$4</f>
        <v>PX_LAST</v>
      </c>
      <c r="E4" t="str">
        <f>ReferenceData!$E$4</f>
        <v>Dynamic</v>
      </c>
      <c r="F4" t="e">
        <f ca="1">ReferenceData!$F$4</f>
        <v>#N/A</v>
      </c>
      <c r="G4">
        <f>ReferenceData!$G$4</f>
        <v>1.8380000000000001</v>
      </c>
      <c r="H4">
        <f>ReferenceData!$H$4</f>
        <v>0.374</v>
      </c>
      <c r="I4">
        <f>ReferenceData!$I$4</f>
        <v>0.3</v>
      </c>
      <c r="J4">
        <f>ReferenceData!$J$4</f>
        <v>2.3199999999999998</v>
      </c>
      <c r="K4">
        <f>ReferenceData!$K$4</f>
        <v>0.2</v>
      </c>
      <c r="L4">
        <f>ReferenceData!$L$4</f>
        <v>0.71</v>
      </c>
      <c r="M4">
        <f>ReferenceData!$M$4</f>
        <v>3.2330000000000001</v>
      </c>
      <c r="N4">
        <f>ReferenceData!$N$4</f>
        <v>1.5169999999999999</v>
      </c>
      <c r="O4">
        <f>ReferenceData!$O$4</f>
        <v>0.64500000000000002</v>
      </c>
      <c r="P4">
        <f>ReferenceData!$P$4</f>
        <v>0.03</v>
      </c>
      <c r="Q4">
        <f>ReferenceData!$Q$4</f>
        <v>10.3</v>
      </c>
      <c r="R4">
        <f>ReferenceData!$R$4</f>
        <v>1.6919999999999999</v>
      </c>
      <c r="S4">
        <f>ReferenceData!$S$4</f>
        <v>9.6639999999999997</v>
      </c>
      <c r="T4">
        <f>ReferenceData!$T$4</f>
        <v>1.55</v>
      </c>
      <c r="U4">
        <f>ReferenceData!$U$4</f>
        <v>6.1230000000000002</v>
      </c>
      <c r="V4">
        <f>ReferenceData!$V$4</f>
        <v>5.0049999999999999</v>
      </c>
      <c r="W4">
        <f>ReferenceData!$W$4</f>
        <v>2.609</v>
      </c>
      <c r="X4">
        <f>ReferenceData!$X$4</f>
        <v>1.3</v>
      </c>
      <c r="Y4">
        <f>ReferenceData!$Y$4</f>
        <v>9.4</v>
      </c>
      <c r="Z4">
        <f>ReferenceData!$Z$4</f>
        <v>5.782</v>
      </c>
      <c r="AA4">
        <f>ReferenceData!$AA$4</f>
        <v>3.3849999999999998</v>
      </c>
      <c r="AB4">
        <f>ReferenceData!$AB$4</f>
        <v>2.5270000000000001</v>
      </c>
      <c r="AC4">
        <f>ReferenceData!$AC$4</f>
        <v>0.17499999999999999</v>
      </c>
      <c r="AD4">
        <f>ReferenceData!$AD$4</f>
        <v>6.4109999999999996</v>
      </c>
      <c r="AE4">
        <f>ReferenceData!$AE$4</f>
        <v>4.9950000000000001</v>
      </c>
      <c r="AF4">
        <f>ReferenceData!$AF$4</f>
        <v>3.133</v>
      </c>
      <c r="AG4">
        <f>ReferenceData!$AG$4</f>
        <v>0.51</v>
      </c>
      <c r="AH4">
        <f>ReferenceData!$AH$4</f>
        <v>2.5</v>
      </c>
      <c r="AI4">
        <f>ReferenceData!$AI$4</f>
        <v>0.79</v>
      </c>
      <c r="AJ4">
        <f>ReferenceData!$AJ$4</f>
        <v>0.52500000000000002</v>
      </c>
      <c r="AK4">
        <f>ReferenceData!$AK$4</f>
        <v>0.25</v>
      </c>
      <c r="AL4">
        <f>ReferenceData!$AL$4</f>
        <v>3.4969999999999999</v>
      </c>
      <c r="AM4">
        <f>ReferenceData!$AM$4</f>
        <v>0.63200000000000001</v>
      </c>
      <c r="AN4">
        <f>ReferenceData!$AN$4</f>
        <v>0.98</v>
      </c>
      <c r="AO4">
        <f>ReferenceData!$AO$4</f>
        <v>0.104999997</v>
      </c>
      <c r="AP4">
        <f>ReferenceData!$AP$4</f>
        <v>0.597000003</v>
      </c>
      <c r="AQ4">
        <f>ReferenceData!$AQ$4</f>
        <v>4.05</v>
      </c>
      <c r="AR4">
        <f>ReferenceData!$AR$4</f>
        <v>3.32</v>
      </c>
      <c r="AS4">
        <f>ReferenceData!$AS$4</f>
        <v>3.1379999999999999</v>
      </c>
      <c r="AT4">
        <f>ReferenceData!$AT$4</f>
        <v>5.1050000000000004</v>
      </c>
      <c r="AU4">
        <f>ReferenceData!$AU$4</f>
        <v>2.8410000000000002</v>
      </c>
      <c r="AV4">
        <f>ReferenceData!$AV$4</f>
        <v>3.1549999999999998</v>
      </c>
      <c r="AW4">
        <f>ReferenceData!$AW$4</f>
        <v>2.91</v>
      </c>
      <c r="AX4">
        <f>ReferenceData!$AX$4</f>
        <v>5.2880000000000003</v>
      </c>
      <c r="AY4">
        <f>ReferenceData!$AY$4</f>
        <v>1.4450000000000001</v>
      </c>
      <c r="AZ4">
        <f>ReferenceData!$AZ$4</f>
        <v>0.105</v>
      </c>
      <c r="BA4">
        <f>ReferenceData!$BA$4</f>
        <v>0.59699999999999998</v>
      </c>
      <c r="BB4">
        <f>ReferenceData!$BB$4</f>
        <v>4.6100000000000003</v>
      </c>
      <c r="BC4">
        <f>ReferenceData!$BC$4</f>
        <v>1.5350000000000001</v>
      </c>
      <c r="BD4">
        <f>ReferenceData!$BD$4</f>
        <v>2.65</v>
      </c>
      <c r="BE4">
        <f>ReferenceData!$BE$4</f>
        <v>0.74099999999999999</v>
      </c>
      <c r="BF4">
        <f>ReferenceData!$BF$4</f>
        <v>3.7050000000000001</v>
      </c>
      <c r="BG4">
        <f>ReferenceData!$BG$4</f>
        <v>0.1</v>
      </c>
      <c r="BH4">
        <f>ReferenceData!$BH$4</f>
        <v>0.1</v>
      </c>
      <c r="BI4">
        <f>ReferenceData!$BI$4</f>
        <v>0.20399999999999999</v>
      </c>
      <c r="BJ4">
        <f>ReferenceData!$BJ$4</f>
        <v>0.51600000000000001</v>
      </c>
      <c r="BK4">
        <f>ReferenceData!$BK$4</f>
        <v>1.8</v>
      </c>
      <c r="BL4">
        <f>ReferenceData!$BL$4</f>
        <v>1.0640000000000001</v>
      </c>
      <c r="BM4">
        <f>ReferenceData!$BM$4</f>
        <v>2.1819999999999999</v>
      </c>
      <c r="BN4">
        <f>ReferenceData!$BN$4</f>
        <v>0.51300000000000001</v>
      </c>
      <c r="BO4">
        <f>ReferenceData!$BO$4</f>
        <v>0</v>
      </c>
      <c r="BP4">
        <f>ReferenceData!$BP$4</f>
        <v>2.0249999999999999</v>
      </c>
      <c r="BQ4">
        <f>ReferenceData!$BQ$4</f>
        <v>5.03</v>
      </c>
      <c r="BR4">
        <f>ReferenceData!$BR$4</f>
        <v>3.008</v>
      </c>
      <c r="BS4">
        <f>ReferenceData!$BS$4</f>
        <v>2.8</v>
      </c>
      <c r="BT4">
        <f>ReferenceData!$BT$4</f>
        <v>2.81</v>
      </c>
      <c r="BU4">
        <f>ReferenceData!$BU$4</f>
        <v>6.2080000000000002</v>
      </c>
      <c r="BV4">
        <f>ReferenceData!$BV$4</f>
        <v>1.02</v>
      </c>
      <c r="BW4">
        <f>ReferenceData!$BW$4</f>
        <v>1.2050000000000001</v>
      </c>
      <c r="BX4">
        <f>ReferenceData!$BX$4</f>
        <v>8.0000000000000002E-3</v>
      </c>
      <c r="BY4">
        <f>ReferenceData!$BY$4</f>
        <v>1.661</v>
      </c>
      <c r="BZ4">
        <f>ReferenceData!$BZ$4</f>
        <v>8.8740000000000006</v>
      </c>
      <c r="CA4">
        <f>ReferenceData!$CA$4</f>
        <v>6.5540000000000003</v>
      </c>
      <c r="CB4">
        <f>ReferenceData!$CB$4</f>
        <v>4.0919999999999996</v>
      </c>
      <c r="CC4">
        <f>ReferenceData!$CC$4</f>
        <v>3.8449999999999998</v>
      </c>
      <c r="CD4">
        <f>ReferenceData!$CD$4</f>
        <v>1.5649999999999999</v>
      </c>
      <c r="CE4">
        <f>ReferenceData!$CE$4</f>
        <v>0.38500000000000001</v>
      </c>
      <c r="CF4">
        <f>ReferenceData!$CF$4</f>
        <v>1.3360000000000001</v>
      </c>
      <c r="CG4">
        <f>ReferenceData!$CG$4</f>
        <v>4.1760000000000002</v>
      </c>
    </row>
    <row r="5" spans="1:85" x14ac:dyDescent="0.25">
      <c r="A5" t="str">
        <f>ReferenceData!$A$5</f>
        <v xml:space="preserve">    LTRO I Cumulative Repayment</v>
      </c>
      <c r="B5" t="str">
        <f>ReferenceData!$B$5</f>
        <v>ECBA3YC1 Index</v>
      </c>
      <c r="C5" t="str">
        <f>ReferenceData!$C$5</f>
        <v>PR005</v>
      </c>
      <c r="D5" t="str">
        <f>ReferenceData!$D$5</f>
        <v>PX_LAST</v>
      </c>
      <c r="E5" t="str">
        <f>ReferenceData!$E$5</f>
        <v>Dynamic</v>
      </c>
      <c r="F5" t="e">
        <f ca="1">ReferenceData!$F$5</f>
        <v>#N/A</v>
      </c>
      <c r="G5">
        <f>ReferenceData!$G$5</f>
        <v>354.34800000000001</v>
      </c>
      <c r="H5">
        <f>ReferenceData!$H$5</f>
        <v>352.51</v>
      </c>
      <c r="I5">
        <f>ReferenceData!$I$5</f>
        <v>352.13600000000002</v>
      </c>
      <c r="J5">
        <f>ReferenceData!$J$5</f>
        <v>351.83600000000001</v>
      </c>
      <c r="K5">
        <f>ReferenceData!$K$5</f>
        <v>349.51600000000002</v>
      </c>
      <c r="L5">
        <f>ReferenceData!$L$5</f>
        <v>349.31599999999997</v>
      </c>
      <c r="M5">
        <f>ReferenceData!$M$5</f>
        <v>348.60599999999999</v>
      </c>
      <c r="N5">
        <f>ReferenceData!$N$5</f>
        <v>345.37299999999999</v>
      </c>
      <c r="O5">
        <f>ReferenceData!$O$5</f>
        <v>343.85599999999999</v>
      </c>
      <c r="P5">
        <f>ReferenceData!$P$5</f>
        <v>343.21100000000001</v>
      </c>
      <c r="Q5">
        <f>ReferenceData!$Q$5</f>
        <v>343.18099999999998</v>
      </c>
      <c r="R5">
        <f>ReferenceData!$R$5</f>
        <v>332.88099999999997</v>
      </c>
      <c r="S5">
        <f>ReferenceData!$S$5</f>
        <v>331.18900000000002</v>
      </c>
      <c r="T5">
        <f>ReferenceData!$T$5</f>
        <v>321.52499999999998</v>
      </c>
      <c r="U5">
        <f>ReferenceData!$U$5</f>
        <v>319.97500000000002</v>
      </c>
      <c r="V5">
        <f>ReferenceData!$V$5</f>
        <v>313.85199999999998</v>
      </c>
      <c r="W5">
        <f>ReferenceData!$W$5</f>
        <v>308.84699999999998</v>
      </c>
      <c r="X5">
        <f>ReferenceData!$X$5</f>
        <v>306.238</v>
      </c>
      <c r="Y5">
        <f>ReferenceData!$Y$5</f>
        <v>304.93799999999999</v>
      </c>
      <c r="Z5">
        <f>ReferenceData!$Z$5</f>
        <v>295.53800000000001</v>
      </c>
      <c r="AA5">
        <f>ReferenceData!$AA$5</f>
        <v>289.75599999999997</v>
      </c>
      <c r="AB5">
        <f>ReferenceData!$AB$5</f>
        <v>286.37099999999998</v>
      </c>
      <c r="AC5">
        <f>ReferenceData!$AC$5</f>
        <v>283.84399999999999</v>
      </c>
      <c r="AD5">
        <f>ReferenceData!$AD$5</f>
        <v>283.66899999999998</v>
      </c>
      <c r="AE5">
        <f>ReferenceData!$AE$5</f>
        <v>277.25799999999998</v>
      </c>
      <c r="AF5">
        <f>ReferenceData!$AF$5</f>
        <v>272.26299999999998</v>
      </c>
      <c r="AG5">
        <f>ReferenceData!$AG$5</f>
        <v>269.13</v>
      </c>
      <c r="AH5">
        <f>ReferenceData!$AH$5</f>
        <v>268.62</v>
      </c>
      <c r="AI5">
        <f>ReferenceData!$AI$5</f>
        <v>266.12</v>
      </c>
      <c r="AJ5">
        <f>ReferenceData!$AJ$5</f>
        <v>265.33</v>
      </c>
      <c r="AK5">
        <f>ReferenceData!$AK$5</f>
        <v>264.80500000000001</v>
      </c>
      <c r="AL5">
        <f>ReferenceData!$AL$5</f>
        <v>264.55500000000001</v>
      </c>
      <c r="AM5">
        <f>ReferenceData!$AM$5</f>
        <v>261.05799999999999</v>
      </c>
      <c r="AN5">
        <f>ReferenceData!$AN$5</f>
        <v>260.42599999999999</v>
      </c>
      <c r="AO5">
        <f>ReferenceData!$AO$5</f>
        <v>228.1940002</v>
      </c>
      <c r="AP5">
        <f>ReferenceData!$AP$5</f>
        <v>228.08901979999999</v>
      </c>
      <c r="AQ5">
        <f>ReferenceData!$AQ$5</f>
        <v>259.44600000000003</v>
      </c>
      <c r="AR5">
        <f>ReferenceData!$AR$5</f>
        <v>255.39599999999999</v>
      </c>
      <c r="AS5">
        <f>ReferenceData!$AS$5</f>
        <v>252.07599999999999</v>
      </c>
      <c r="AT5">
        <f>ReferenceData!$AT$5</f>
        <v>248.93799999999999</v>
      </c>
      <c r="AU5">
        <f>ReferenceData!$AU$5</f>
        <v>243.833</v>
      </c>
      <c r="AV5">
        <f>ReferenceData!$AV$5</f>
        <v>240.99199999999999</v>
      </c>
      <c r="AW5">
        <f>ReferenceData!$AW$5</f>
        <v>237.83699999999999</v>
      </c>
      <c r="AX5">
        <f>ReferenceData!$AX$5</f>
        <v>234.92699999999999</v>
      </c>
      <c r="AY5">
        <f>ReferenceData!$AY$5</f>
        <v>229.63900000000001</v>
      </c>
      <c r="AZ5">
        <f>ReferenceData!$AZ$5</f>
        <v>228.19399999999999</v>
      </c>
      <c r="BA5">
        <f>ReferenceData!$BA$5</f>
        <v>228.089</v>
      </c>
      <c r="BB5">
        <f>ReferenceData!$BB$5</f>
        <v>227.49199999999999</v>
      </c>
      <c r="BC5">
        <f>ReferenceData!$BC$5</f>
        <v>222.88200000000001</v>
      </c>
      <c r="BD5">
        <f>ReferenceData!$BD$5</f>
        <v>221.34700000000001</v>
      </c>
      <c r="BE5">
        <f>ReferenceData!$BE$5</f>
        <v>218.697</v>
      </c>
      <c r="BF5">
        <f>ReferenceData!$BF$5</f>
        <v>217.95599999999999</v>
      </c>
      <c r="BG5">
        <f>ReferenceData!$BG$5</f>
        <v>214.251</v>
      </c>
      <c r="BH5">
        <f>ReferenceData!$BH$5</f>
        <v>214.15100000000001</v>
      </c>
      <c r="BI5">
        <f>ReferenceData!$BI$5</f>
        <v>214.05099999999999</v>
      </c>
      <c r="BJ5">
        <f>ReferenceData!$BJ$5</f>
        <v>213.84700000000001</v>
      </c>
      <c r="BK5">
        <f>ReferenceData!$BK$5</f>
        <v>213.33099999999999</v>
      </c>
      <c r="BL5">
        <f>ReferenceData!$BL$5</f>
        <v>211.53100000000001</v>
      </c>
      <c r="BM5">
        <f>ReferenceData!$BM$5</f>
        <v>210.46700000000001</v>
      </c>
      <c r="BN5">
        <f>ReferenceData!$BN$5</f>
        <v>208.285</v>
      </c>
      <c r="BO5">
        <f>ReferenceData!$BO$5</f>
        <v>207.77199999999999</v>
      </c>
      <c r="BP5">
        <f>ReferenceData!$BP$5</f>
        <v>207.77199999999999</v>
      </c>
      <c r="BQ5">
        <f>ReferenceData!$BQ$5</f>
        <v>205.74700000000001</v>
      </c>
      <c r="BR5">
        <f>ReferenceData!$BR$5</f>
        <v>200.71700000000001</v>
      </c>
      <c r="BS5">
        <f>ReferenceData!$BS$5</f>
        <v>197.709</v>
      </c>
      <c r="BT5">
        <f>ReferenceData!$BT$5</f>
        <v>194.90899999999999</v>
      </c>
      <c r="BU5">
        <f>ReferenceData!$BU$5</f>
        <v>192.09899999999999</v>
      </c>
      <c r="BV5">
        <f>ReferenceData!$BV$5</f>
        <v>185.89099999999999</v>
      </c>
      <c r="BW5">
        <f>ReferenceData!$BW$5</f>
        <v>184.87100000000001</v>
      </c>
      <c r="BX5">
        <f>ReferenceData!$BX$5</f>
        <v>183.666</v>
      </c>
      <c r="BY5">
        <f>ReferenceData!$BY$5</f>
        <v>183.65799999999999</v>
      </c>
      <c r="BZ5">
        <f>ReferenceData!$BZ$5</f>
        <v>181.99700000000001</v>
      </c>
      <c r="CA5">
        <f>ReferenceData!$CA$5</f>
        <v>173.12299999999999</v>
      </c>
      <c r="CB5">
        <f>ReferenceData!$CB$5</f>
        <v>166.56899999999999</v>
      </c>
      <c r="CC5">
        <f>ReferenceData!$CC$5</f>
        <v>162.477</v>
      </c>
      <c r="CD5">
        <f>ReferenceData!$CD$5</f>
        <v>158.63200000000001</v>
      </c>
      <c r="CE5">
        <f>ReferenceData!$CE$5</f>
        <v>157.06700000000001</v>
      </c>
      <c r="CF5">
        <f>ReferenceData!$CF$5</f>
        <v>156.68199999999999</v>
      </c>
      <c r="CG5">
        <f>ReferenceData!$CG$5</f>
        <v>155.346</v>
      </c>
    </row>
    <row r="6" spans="1:85" x14ac:dyDescent="0.25">
      <c r="A6" t="str">
        <f>ReferenceData!$A$6</f>
        <v xml:space="preserve">    LTRO I Outstanding</v>
      </c>
      <c r="B6" t="str">
        <f>ReferenceData!$B$6</f>
        <v>ECBA3YO1 Index</v>
      </c>
      <c r="C6" t="str">
        <f>ReferenceData!$C$6</f>
        <v>PR005</v>
      </c>
      <c r="D6" t="str">
        <f>ReferenceData!$D$6</f>
        <v>PX_LAST</v>
      </c>
      <c r="E6" t="str">
        <f>ReferenceData!$E$6</f>
        <v>Dynamic</v>
      </c>
      <c r="F6" t="e">
        <f ca="1">ReferenceData!$F$6</f>
        <v>#N/A</v>
      </c>
      <c r="G6">
        <f>ReferenceData!$G$6</f>
        <v>112.98399999999999</v>
      </c>
      <c r="H6">
        <f>ReferenceData!$H$6</f>
        <v>114.822</v>
      </c>
      <c r="I6">
        <f>ReferenceData!$I$6</f>
        <v>115.196</v>
      </c>
      <c r="J6">
        <f>ReferenceData!$J$6</f>
        <v>115.496</v>
      </c>
      <c r="K6">
        <f>ReferenceData!$K$6</f>
        <v>117.816</v>
      </c>
      <c r="L6">
        <f>ReferenceData!$L$6</f>
        <v>118.01600000000001</v>
      </c>
      <c r="M6">
        <f>ReferenceData!$M$6</f>
        <v>118.726</v>
      </c>
      <c r="N6">
        <f>ReferenceData!$N$6</f>
        <v>121.959</v>
      </c>
      <c r="O6">
        <f>ReferenceData!$O$6</f>
        <v>123.476</v>
      </c>
      <c r="P6">
        <f>ReferenceData!$P$6</f>
        <v>124.121</v>
      </c>
      <c r="Q6">
        <f>ReferenceData!$Q$6</f>
        <v>124.151</v>
      </c>
      <c r="R6">
        <f>ReferenceData!$R$6</f>
        <v>134.45099999999999</v>
      </c>
      <c r="S6">
        <f>ReferenceData!$S$6</f>
        <v>136.143</v>
      </c>
      <c r="T6">
        <f>ReferenceData!$T$6</f>
        <v>145.83699999999999</v>
      </c>
      <c r="U6">
        <f>ReferenceData!$U$6</f>
        <v>147.387</v>
      </c>
      <c r="V6">
        <f>ReferenceData!$V$6</f>
        <v>153.51</v>
      </c>
      <c r="W6">
        <f>ReferenceData!$W$6</f>
        <v>161.124</v>
      </c>
      <c r="X6">
        <f>ReferenceData!$X$6</f>
        <v>162.42400000000001</v>
      </c>
      <c r="Y6">
        <f>ReferenceData!$Y$6</f>
        <v>171.82400000000001</v>
      </c>
      <c r="Z6">
        <f>ReferenceData!$Z$6</f>
        <v>177.60599999999999</v>
      </c>
      <c r="AA6">
        <f>ReferenceData!$AA$6</f>
        <v>180.99100000000001</v>
      </c>
      <c r="AB6">
        <f>ReferenceData!$AB$6</f>
        <v>183.5</v>
      </c>
      <c r="AC6">
        <f>ReferenceData!$AC$6</f>
        <v>183.7</v>
      </c>
      <c r="AD6">
        <f>ReferenceData!$AD$6</f>
        <v>190.1</v>
      </c>
      <c r="AE6">
        <f>ReferenceData!$AE$6</f>
        <v>195.1</v>
      </c>
      <c r="AF6">
        <f>ReferenceData!$AF$6</f>
        <v>198.2</v>
      </c>
      <c r="AG6">
        <f>ReferenceData!$AG$6</f>
        <v>198.7</v>
      </c>
      <c r="AH6">
        <f>ReferenceData!$AH$6</f>
        <v>201.2</v>
      </c>
      <c r="AI6">
        <f>ReferenceData!$AI$6</f>
        <v>202</v>
      </c>
      <c r="AJ6">
        <f>ReferenceData!$AJ$6</f>
        <v>202.6</v>
      </c>
      <c r="AK6">
        <f>ReferenceData!$AK$6</f>
        <v>202.8</v>
      </c>
      <c r="AL6">
        <f>ReferenceData!$AL$6</f>
        <v>206.3</v>
      </c>
      <c r="AM6">
        <f>ReferenceData!$AM$6</f>
        <v>206.9</v>
      </c>
      <c r="AN6">
        <f>ReferenceData!$AN$6</f>
        <v>207.9</v>
      </c>
      <c r="AO6">
        <f>ReferenceData!$AO$6</f>
        <v>239.3000031</v>
      </c>
      <c r="AP6">
        <f>ReferenceData!$AP$6</f>
        <v>239.8999939</v>
      </c>
      <c r="AQ6">
        <f>ReferenceData!$AQ$6</f>
        <v>212</v>
      </c>
      <c r="AR6">
        <f>ReferenceData!$AR$6</f>
        <v>215.3</v>
      </c>
      <c r="AS6">
        <f>ReferenceData!$AS$6</f>
        <v>218.4</v>
      </c>
      <c r="AT6">
        <f>ReferenceData!$AT$6</f>
        <v>223.5</v>
      </c>
      <c r="AU6">
        <f>ReferenceData!$AU$6</f>
        <v>226.4</v>
      </c>
      <c r="AV6">
        <f>ReferenceData!$AV$6</f>
        <v>229.5</v>
      </c>
      <c r="AW6">
        <f>ReferenceData!$AW$6</f>
        <v>232.4</v>
      </c>
      <c r="AX6">
        <f>ReferenceData!$AX$6</f>
        <v>237.7</v>
      </c>
      <c r="AY6">
        <f>ReferenceData!$AY$6</f>
        <v>239.2</v>
      </c>
      <c r="AZ6">
        <f>ReferenceData!$AZ$6</f>
        <v>239.3</v>
      </c>
      <c r="BA6">
        <f>ReferenceData!$BA$6</f>
        <v>239.9</v>
      </c>
      <c r="BB6">
        <f>ReferenceData!$BB$6</f>
        <v>244.5</v>
      </c>
      <c r="BC6">
        <f>ReferenceData!$BC$6</f>
        <v>246</v>
      </c>
      <c r="BD6">
        <f>ReferenceData!$BD$6</f>
        <v>248.7</v>
      </c>
      <c r="BE6">
        <f>ReferenceData!$BE$6</f>
        <v>249.4</v>
      </c>
      <c r="BF6">
        <f>ReferenceData!$BF$6</f>
        <v>253.2</v>
      </c>
      <c r="BG6">
        <f>ReferenceData!$BG$6</f>
        <v>253.3</v>
      </c>
      <c r="BH6">
        <f>ReferenceData!$BH$6</f>
        <v>253.4</v>
      </c>
      <c r="BI6">
        <f>ReferenceData!$BI$6</f>
        <v>253.6</v>
      </c>
      <c r="BJ6">
        <f>ReferenceData!$BJ$6</f>
        <v>254.1</v>
      </c>
      <c r="BK6">
        <f>ReferenceData!$BK$6</f>
        <v>255.9</v>
      </c>
      <c r="BL6">
        <f>ReferenceData!$BL$6</f>
        <v>257</v>
      </c>
      <c r="BM6">
        <f>ReferenceData!$BM$6</f>
        <v>259.2</v>
      </c>
      <c r="BN6">
        <f>ReferenceData!$BN$6</f>
        <v>259.7</v>
      </c>
      <c r="BO6">
        <f>ReferenceData!$BO$6</f>
        <v>259.7</v>
      </c>
      <c r="BP6">
        <f>ReferenceData!$BP$6</f>
        <v>261.7</v>
      </c>
      <c r="BQ6">
        <f>ReferenceData!$BQ$6</f>
        <v>266.7</v>
      </c>
      <c r="BR6">
        <f>ReferenceData!$BR$6</f>
        <v>269.7</v>
      </c>
      <c r="BS6">
        <f>ReferenceData!$BS$6</f>
        <v>272.5</v>
      </c>
      <c r="BT6">
        <f>ReferenceData!$BT$6</f>
        <v>275.3</v>
      </c>
      <c r="BU6">
        <f>ReferenceData!$BU$6</f>
        <v>281.60000000000002</v>
      </c>
      <c r="BV6">
        <f>ReferenceData!$BV$6</f>
        <v>282.60000000000002</v>
      </c>
      <c r="BW6">
        <f>ReferenceData!$BW$6</f>
        <v>283.8</v>
      </c>
      <c r="BX6">
        <f>ReferenceData!$BX$6</f>
        <v>283.8</v>
      </c>
      <c r="BY6">
        <f>ReferenceData!$BY$6</f>
        <v>285.39999999999998</v>
      </c>
      <c r="BZ6">
        <f>ReferenceData!$BZ$6</f>
        <v>294.3</v>
      </c>
      <c r="CA6">
        <f>ReferenceData!$CA$6</f>
        <v>300.89999999999998</v>
      </c>
      <c r="CB6">
        <f>ReferenceData!$CB$6</f>
        <v>305.10000000000002</v>
      </c>
      <c r="CC6">
        <f>ReferenceData!$CC$6</f>
        <v>308.89999999999998</v>
      </c>
      <c r="CD6">
        <f>ReferenceData!$CD$6</f>
        <v>310.5</v>
      </c>
      <c r="CE6">
        <f>ReferenceData!$CE$6</f>
        <v>310.89999999999998</v>
      </c>
      <c r="CF6">
        <f>ReferenceData!$CF$6</f>
        <v>312.60000000000002</v>
      </c>
      <c r="CG6">
        <f>ReferenceData!$CG$6</f>
        <v>316.8</v>
      </c>
    </row>
    <row r="7" spans="1:85" x14ac:dyDescent="0.25">
      <c r="A7" t="str">
        <f>ReferenceData!$A$7</f>
        <v xml:space="preserve">    LTRO I Outstanding % Initial Allotment</v>
      </c>
      <c r="B7" t="str">
        <f>ReferenceData!$B$7</f>
        <v>ECBA3YO1 Index</v>
      </c>
      <c r="C7" t="str">
        <f>ReferenceData!$C$7</f>
        <v/>
      </c>
      <c r="D7" t="str">
        <f>ReferenceData!$D$7</f>
        <v/>
      </c>
      <c r="E7" t="str">
        <f>ReferenceData!$E$7</f>
        <v>Expression</v>
      </c>
      <c r="F7">
        <f ca="1">ReferenceData!$F$7</f>
        <v>27.483851999999999</v>
      </c>
      <c r="G7">
        <f>ReferenceData!$G$7</f>
        <v>23.095666394112836</v>
      </c>
      <c r="H7">
        <f>ReferenceData!$H$7</f>
        <v>23.471381847914966</v>
      </c>
      <c r="I7">
        <f>ReferenceData!$I$7</f>
        <v>23.54783319705642</v>
      </c>
      <c r="J7">
        <f>ReferenceData!$J$7</f>
        <v>23.609157808667213</v>
      </c>
      <c r="K7">
        <f>ReferenceData!$K$7</f>
        <v>24.08340147179068</v>
      </c>
      <c r="L7">
        <f>ReferenceData!$L$7</f>
        <v>24.124284546197874</v>
      </c>
      <c r="M7">
        <f>ReferenceData!$M$7</f>
        <v>24.269419460343418</v>
      </c>
      <c r="N7">
        <f>ReferenceData!$N$7</f>
        <v>24.930294358135733</v>
      </c>
      <c r="O7">
        <f>ReferenceData!$O$7</f>
        <v>25.240392477514309</v>
      </c>
      <c r="P7">
        <f>ReferenceData!$P$7</f>
        <v>25.372240392477515</v>
      </c>
      <c r="Q7">
        <f>ReferenceData!$Q$7</f>
        <v>25.378372853638595</v>
      </c>
      <c r="R7">
        <f>ReferenceData!$R$7</f>
        <v>27.483851185609154</v>
      </c>
      <c r="S7">
        <f>ReferenceData!$S$7</f>
        <v>27.82972199509403</v>
      </c>
      <c r="T7">
        <f>ReferenceData!$T$7</f>
        <v>29.811324611610793</v>
      </c>
      <c r="U7">
        <f>ReferenceData!$U$7</f>
        <v>30.12816843826656</v>
      </c>
      <c r="V7">
        <f>ReferenceData!$V$7</f>
        <v>31.379803761242847</v>
      </c>
      <c r="W7">
        <f>ReferenceData!$W$7</f>
        <v>32.936222403924774</v>
      </c>
      <c r="X7">
        <f>ReferenceData!$X$7</f>
        <v>33.201962387571548</v>
      </c>
      <c r="Y7">
        <f>ReferenceData!$Y$7</f>
        <v>35.123466884709735</v>
      </c>
      <c r="Z7">
        <f>ReferenceData!$Z$7</f>
        <v>36.305396565821745</v>
      </c>
      <c r="AA7">
        <f>ReferenceData!$AA$7</f>
        <v>36.997342600163535</v>
      </c>
      <c r="AB7">
        <f>ReferenceData!$AB$7</f>
        <v>37.510220768601798</v>
      </c>
      <c r="AC7">
        <f>ReferenceData!$AC$7</f>
        <v>37.551103843008995</v>
      </c>
      <c r="AD7">
        <f>ReferenceData!$AD$7</f>
        <v>38.859362224039252</v>
      </c>
      <c r="AE7">
        <f>ReferenceData!$AE$7</f>
        <v>39.881439084219132</v>
      </c>
      <c r="AF7">
        <f>ReferenceData!$AF$7</f>
        <v>40.515126737530665</v>
      </c>
      <c r="AG7">
        <f>ReferenceData!$AG$7</f>
        <v>40.617334423548655</v>
      </c>
      <c r="AH7">
        <f>ReferenceData!$AH$7</f>
        <v>41.128372853638595</v>
      </c>
      <c r="AI7">
        <f>ReferenceData!$AI$7</f>
        <v>41.291905151267379</v>
      </c>
      <c r="AJ7">
        <f>ReferenceData!$AJ$7</f>
        <v>41.414554374488965</v>
      </c>
      <c r="AK7">
        <f>ReferenceData!$AK$7</f>
        <v>41.455437448896156</v>
      </c>
      <c r="AL7">
        <f>ReferenceData!$AL$7</f>
        <v>42.170891251022077</v>
      </c>
      <c r="AM7">
        <f>ReferenceData!$AM$7</f>
        <v>42.293540474243663</v>
      </c>
      <c r="AN7">
        <f>ReferenceData!$AN$7</f>
        <v>42.497955846279645</v>
      </c>
      <c r="AO7">
        <f>ReferenceData!$AO$7</f>
        <v>48.916599140000002</v>
      </c>
      <c r="AP7">
        <f>ReferenceData!$AP$7</f>
        <v>49.039246519999999</v>
      </c>
      <c r="AQ7">
        <f>ReferenceData!$AQ$7</f>
        <v>43.336058871627145</v>
      </c>
      <c r="AR7">
        <f>ReferenceData!$AR$7</f>
        <v>44.010629599345869</v>
      </c>
      <c r="AS7">
        <f>ReferenceData!$AS$7</f>
        <v>44.644317252657402</v>
      </c>
      <c r="AT7">
        <f>ReferenceData!$AT$7</f>
        <v>45.686835650040884</v>
      </c>
      <c r="AU7">
        <f>ReferenceData!$AU$7</f>
        <v>46.279640228945219</v>
      </c>
      <c r="AV7">
        <f>ReferenceData!$AV$7</f>
        <v>46.913327882256745</v>
      </c>
      <c r="AW7">
        <f>ReferenceData!$AW$7</f>
        <v>47.50613246116108</v>
      </c>
      <c r="AX7">
        <f>ReferenceData!$AX$7</f>
        <v>48.58953393295176</v>
      </c>
      <c r="AY7">
        <f>ReferenceData!$AY$7</f>
        <v>48.896156991005725</v>
      </c>
      <c r="AZ7">
        <f>ReferenceData!$AZ$7</f>
        <v>48.91659852820932</v>
      </c>
      <c r="BA7">
        <f>ReferenceData!$BA$7</f>
        <v>49.039247751430906</v>
      </c>
      <c r="BB7">
        <f>ReferenceData!$BB$7</f>
        <v>49.979558462796405</v>
      </c>
      <c r="BC7">
        <f>ReferenceData!$BC$7</f>
        <v>50.28618152085037</v>
      </c>
      <c r="BD7">
        <f>ReferenceData!$BD$7</f>
        <v>50.838103025347507</v>
      </c>
      <c r="BE7">
        <f>ReferenceData!$BE$7</f>
        <v>50.981193785772689</v>
      </c>
      <c r="BF7">
        <f>ReferenceData!$BF$7</f>
        <v>51.757972199509403</v>
      </c>
      <c r="BG7">
        <f>ReferenceData!$BG$7</f>
        <v>51.778413736712999</v>
      </c>
      <c r="BH7">
        <f>ReferenceData!$BH$7</f>
        <v>51.798855273916601</v>
      </c>
      <c r="BI7">
        <f>ReferenceData!$BI$7</f>
        <v>51.839738348323792</v>
      </c>
      <c r="BJ7">
        <f>ReferenceData!$BJ$7</f>
        <v>51.941946034341782</v>
      </c>
      <c r="BK7">
        <f>ReferenceData!$BK$7</f>
        <v>52.309893704006541</v>
      </c>
      <c r="BL7">
        <f>ReferenceData!$BL$7</f>
        <v>52.534750613246118</v>
      </c>
      <c r="BM7">
        <f>ReferenceData!$BM$7</f>
        <v>52.984464431725264</v>
      </c>
      <c r="BN7">
        <f>ReferenceData!$BN$7</f>
        <v>53.086672117743255</v>
      </c>
      <c r="BO7">
        <f>ReferenceData!$BO$7</f>
        <v>53.086672117743255</v>
      </c>
      <c r="BP7">
        <f>ReferenceData!$BP$7</f>
        <v>53.495502861815211</v>
      </c>
      <c r="BQ7">
        <f>ReferenceData!$BQ$7</f>
        <v>54.517579721995098</v>
      </c>
      <c r="BR7">
        <f>ReferenceData!$BR$7</f>
        <v>55.130825838103029</v>
      </c>
      <c r="BS7">
        <f>ReferenceData!$BS$7</f>
        <v>55.703188879803761</v>
      </c>
      <c r="BT7">
        <f>ReferenceData!$BT$7</f>
        <v>56.275551921504501</v>
      </c>
      <c r="BU7">
        <f>ReferenceData!$BU$7</f>
        <v>57.563368765331163</v>
      </c>
      <c r="BV7">
        <f>ReferenceData!$BV$7</f>
        <v>57.767784137367137</v>
      </c>
      <c r="BW7">
        <f>ReferenceData!$BW$7</f>
        <v>58.013082583810302</v>
      </c>
      <c r="BX7">
        <f>ReferenceData!$BX$7</f>
        <v>58.013082583810302</v>
      </c>
      <c r="BY7">
        <f>ReferenceData!$BY$7</f>
        <v>58.340147179067863</v>
      </c>
      <c r="BZ7">
        <f>ReferenceData!$BZ$7</f>
        <v>60.159443990188066</v>
      </c>
      <c r="CA7">
        <f>ReferenceData!$CA$7</f>
        <v>61.508585445625506</v>
      </c>
      <c r="CB7">
        <f>ReferenceData!$CB$7</f>
        <v>62.367130008176623</v>
      </c>
      <c r="CC7">
        <f>ReferenceData!$CC$7</f>
        <v>63.143908421913324</v>
      </c>
      <c r="CD7">
        <f>ReferenceData!$CD$7</f>
        <v>63.470973017170891</v>
      </c>
      <c r="CE7">
        <f>ReferenceData!$CE$7</f>
        <v>63.55273916598528</v>
      </c>
      <c r="CF7">
        <f>ReferenceData!$CF$7</f>
        <v>63.90024529844645</v>
      </c>
      <c r="CG7">
        <f>ReferenceData!$CG$7</f>
        <v>64.758789860997553</v>
      </c>
    </row>
    <row r="8" spans="1:85" x14ac:dyDescent="0.25">
      <c r="A8" t="str">
        <f>ReferenceData!$A$8</f>
        <v xml:space="preserve">    </v>
      </c>
      <c r="B8" t="str">
        <f>ReferenceData!$B$8</f>
        <v/>
      </c>
      <c r="C8" t="str">
        <f>ReferenceData!$C$8</f>
        <v/>
      </c>
      <c r="D8" t="str">
        <f>ReferenceData!$D$8</f>
        <v/>
      </c>
      <c r="E8" t="str">
        <f>ReferenceData!$E$8</f>
        <v>Static</v>
      </c>
      <c r="F8" t="str">
        <f>ReferenceData!$F$8</f>
        <v/>
      </c>
      <c r="G8" t="str">
        <f>ReferenceData!$G$8</f>
        <v/>
      </c>
      <c r="H8" t="str">
        <f>ReferenceData!$H$8</f>
        <v/>
      </c>
      <c r="I8" t="str">
        <f>ReferenceData!$I$8</f>
        <v/>
      </c>
      <c r="J8" t="str">
        <f>ReferenceData!$J$8</f>
        <v/>
      </c>
      <c r="K8" t="str">
        <f>ReferenceData!$K$8</f>
        <v/>
      </c>
      <c r="L8" t="str">
        <f>ReferenceData!$L$8</f>
        <v/>
      </c>
      <c r="M8" t="str">
        <f>ReferenceData!$M$8</f>
        <v/>
      </c>
      <c r="N8" t="str">
        <f>ReferenceData!$N$8</f>
        <v/>
      </c>
      <c r="O8" t="str">
        <f>ReferenceData!$O$8</f>
        <v/>
      </c>
      <c r="P8" t="str">
        <f>ReferenceData!$P$8</f>
        <v/>
      </c>
      <c r="Q8" t="str">
        <f>ReferenceData!$Q$8</f>
        <v/>
      </c>
      <c r="R8" t="str">
        <f>ReferenceData!$R$8</f>
        <v/>
      </c>
      <c r="S8" t="str">
        <f>ReferenceData!$S$8</f>
        <v/>
      </c>
      <c r="T8" t="str">
        <f>ReferenceData!$T$8</f>
        <v/>
      </c>
      <c r="U8" t="str">
        <f>ReferenceData!$U$8</f>
        <v/>
      </c>
      <c r="V8" t="str">
        <f>ReferenceData!$V$8</f>
        <v/>
      </c>
      <c r="W8" t="str">
        <f>ReferenceData!$W$8</f>
        <v/>
      </c>
      <c r="X8" t="str">
        <f>ReferenceData!$X$8</f>
        <v/>
      </c>
      <c r="Y8" t="str">
        <f>ReferenceData!$Y$8</f>
        <v/>
      </c>
      <c r="Z8" t="str">
        <f>ReferenceData!$Z$8</f>
        <v/>
      </c>
      <c r="AA8" t="str">
        <f>ReferenceData!$AA$8</f>
        <v/>
      </c>
      <c r="AB8" t="str">
        <f>ReferenceData!$AB$8</f>
        <v/>
      </c>
      <c r="AC8" t="str">
        <f>ReferenceData!$AC$8</f>
        <v/>
      </c>
      <c r="AD8" t="str">
        <f>ReferenceData!$AD$8</f>
        <v/>
      </c>
      <c r="AE8" t="str">
        <f>ReferenceData!$AE$8</f>
        <v/>
      </c>
      <c r="AF8" t="str">
        <f>ReferenceData!$AF$8</f>
        <v/>
      </c>
      <c r="AG8" t="str">
        <f>ReferenceData!$AG$8</f>
        <v/>
      </c>
      <c r="AH8" t="str">
        <f>ReferenceData!$AH$8</f>
        <v/>
      </c>
      <c r="AI8" t="str">
        <f>ReferenceData!$AI$8</f>
        <v/>
      </c>
      <c r="AJ8" t="str">
        <f>ReferenceData!$AJ$8</f>
        <v/>
      </c>
      <c r="AK8" t="str">
        <f>ReferenceData!$AK$8</f>
        <v/>
      </c>
      <c r="AL8" t="str">
        <f>ReferenceData!$AL$8</f>
        <v/>
      </c>
      <c r="AM8" t="str">
        <f>ReferenceData!$AM$8</f>
        <v/>
      </c>
      <c r="AN8" t="str">
        <f>ReferenceData!$AN$8</f>
        <v/>
      </c>
      <c r="AO8" t="str">
        <f>ReferenceData!$AO$8</f>
        <v/>
      </c>
      <c r="AP8" t="str">
        <f>ReferenceData!$AP$8</f>
        <v/>
      </c>
      <c r="AQ8" t="str">
        <f>ReferenceData!$AQ$8</f>
        <v/>
      </c>
      <c r="AR8" t="str">
        <f>ReferenceData!$AR$8</f>
        <v/>
      </c>
      <c r="AS8" t="str">
        <f>ReferenceData!$AS$8</f>
        <v/>
      </c>
      <c r="AT8" t="str">
        <f>ReferenceData!$AT$8</f>
        <v/>
      </c>
      <c r="AU8" t="str">
        <f>ReferenceData!$AU$8</f>
        <v/>
      </c>
      <c r="AV8" t="str">
        <f>ReferenceData!$AV$8</f>
        <v/>
      </c>
      <c r="AW8" t="str">
        <f>ReferenceData!$AW$8</f>
        <v/>
      </c>
      <c r="AX8" t="str">
        <f>ReferenceData!$AX$8</f>
        <v/>
      </c>
      <c r="AY8" t="str">
        <f>ReferenceData!$AY$8</f>
        <v/>
      </c>
      <c r="AZ8" t="str">
        <f>ReferenceData!$AZ$8</f>
        <v/>
      </c>
      <c r="BA8" t="str">
        <f>ReferenceData!$BA$8</f>
        <v/>
      </c>
      <c r="BB8" t="str">
        <f>ReferenceData!$BB$8</f>
        <v/>
      </c>
      <c r="BC8" t="str">
        <f>ReferenceData!$BC$8</f>
        <v/>
      </c>
      <c r="BD8" t="str">
        <f>ReferenceData!$BD$8</f>
        <v/>
      </c>
      <c r="BE8" t="str">
        <f>ReferenceData!$BE$8</f>
        <v/>
      </c>
      <c r="BF8" t="str">
        <f>ReferenceData!$BF$8</f>
        <v/>
      </c>
      <c r="BG8" t="str">
        <f>ReferenceData!$BG$8</f>
        <v/>
      </c>
      <c r="BH8" t="str">
        <f>ReferenceData!$BH$8</f>
        <v/>
      </c>
      <c r="BI8" t="str">
        <f>ReferenceData!$BI$8</f>
        <v/>
      </c>
      <c r="BJ8" t="str">
        <f>ReferenceData!$BJ$8</f>
        <v/>
      </c>
      <c r="BK8" t="str">
        <f>ReferenceData!$BK$8</f>
        <v/>
      </c>
      <c r="BL8" t="str">
        <f>ReferenceData!$BL$8</f>
        <v/>
      </c>
      <c r="BM8" t="str">
        <f>ReferenceData!$BM$8</f>
        <v/>
      </c>
      <c r="BN8" t="str">
        <f>ReferenceData!$BN$8</f>
        <v/>
      </c>
      <c r="BO8" t="str">
        <f>ReferenceData!$BO$8</f>
        <v/>
      </c>
      <c r="BP8" t="str">
        <f>ReferenceData!$BP$8</f>
        <v/>
      </c>
      <c r="BQ8" t="str">
        <f>ReferenceData!$BQ$8</f>
        <v/>
      </c>
      <c r="BR8" t="str">
        <f>ReferenceData!$BR$8</f>
        <v/>
      </c>
      <c r="BS8" t="str">
        <f>ReferenceData!$BS$8</f>
        <v/>
      </c>
      <c r="BT8" t="str">
        <f>ReferenceData!$BT$8</f>
        <v/>
      </c>
      <c r="BU8" t="str">
        <f>ReferenceData!$BU$8</f>
        <v/>
      </c>
      <c r="BV8" t="str">
        <f>ReferenceData!$BV$8</f>
        <v/>
      </c>
      <c r="BW8" t="str">
        <f>ReferenceData!$BW$8</f>
        <v/>
      </c>
      <c r="BX8" t="str">
        <f>ReferenceData!$BX$8</f>
        <v/>
      </c>
      <c r="BY8" t="str">
        <f>ReferenceData!$BY$8</f>
        <v/>
      </c>
      <c r="BZ8" t="str">
        <f>ReferenceData!$BZ$8</f>
        <v/>
      </c>
      <c r="CA8" t="str">
        <f>ReferenceData!$CA$8</f>
        <v/>
      </c>
      <c r="CB8" t="str">
        <f>ReferenceData!$CB$8</f>
        <v/>
      </c>
      <c r="CC8" t="str">
        <f>ReferenceData!$CC$8</f>
        <v/>
      </c>
      <c r="CD8" t="str">
        <f>ReferenceData!$CD$8</f>
        <v/>
      </c>
      <c r="CE8" t="str">
        <f>ReferenceData!$CE$8</f>
        <v/>
      </c>
      <c r="CF8" t="str">
        <f>ReferenceData!$CF$8</f>
        <v/>
      </c>
      <c r="CG8" t="str">
        <f>ReferenceData!$CG$8</f>
        <v/>
      </c>
    </row>
    <row r="9" spans="1:85" x14ac:dyDescent="0.25">
      <c r="A9" t="str">
        <f>ReferenceData!$A$9</f>
        <v xml:space="preserve">    LTRO II Weekly Repayment</v>
      </c>
      <c r="B9" t="str">
        <f>ReferenceData!$B$9</f>
        <v>ECBA3YP2 Index</v>
      </c>
      <c r="C9" t="str">
        <f>ReferenceData!$C$9</f>
        <v>PR005</v>
      </c>
      <c r="D9" t="str">
        <f>ReferenceData!$D$9</f>
        <v>PX_LAST</v>
      </c>
      <c r="E9" t="str">
        <f>ReferenceData!$E$9</f>
        <v>Dynamic</v>
      </c>
      <c r="F9" t="e">
        <f ca="1">ReferenceData!$F$9</f>
        <v>#N/A</v>
      </c>
      <c r="G9">
        <f>ReferenceData!$G$9</f>
        <v>1.671</v>
      </c>
      <c r="H9">
        <f>ReferenceData!$H$9</f>
        <v>0.98499999999999999</v>
      </c>
      <c r="I9">
        <f>ReferenceData!$I$9</f>
        <v>2.5609999999999999</v>
      </c>
      <c r="J9">
        <f>ReferenceData!$J$9</f>
        <v>1.83</v>
      </c>
      <c r="K9">
        <f>ReferenceData!$K$9</f>
        <v>3.01</v>
      </c>
      <c r="L9">
        <f>ReferenceData!$L$9</f>
        <v>2.2679999999999998</v>
      </c>
      <c r="M9">
        <f>ReferenceData!$M$9</f>
        <v>18.274999999999999</v>
      </c>
      <c r="N9">
        <f>ReferenceData!$N$9</f>
        <v>2.2200000000000002</v>
      </c>
      <c r="O9">
        <f>ReferenceData!$O$9</f>
        <v>3.37</v>
      </c>
      <c r="P9">
        <f>ReferenceData!$P$9</f>
        <v>4.45</v>
      </c>
      <c r="Q9">
        <f>ReferenceData!$Q$9</f>
        <v>2.3180000000000001</v>
      </c>
      <c r="R9">
        <f>ReferenceData!$R$9</f>
        <v>2.02</v>
      </c>
      <c r="S9">
        <f>ReferenceData!$S$9</f>
        <v>0.92400000000000004</v>
      </c>
      <c r="T9">
        <f>ReferenceData!$T$9</f>
        <v>0.24</v>
      </c>
      <c r="U9">
        <f>ReferenceData!$U$9</f>
        <v>0.85399999999999998</v>
      </c>
      <c r="V9">
        <f>ReferenceData!$V$9</f>
        <v>1.1499999999999999</v>
      </c>
      <c r="W9">
        <f>ReferenceData!$W$9</f>
        <v>0.75600000000000001</v>
      </c>
      <c r="X9">
        <f>ReferenceData!$X$9</f>
        <v>0.45</v>
      </c>
      <c r="Y9">
        <f>ReferenceData!$Y$9</f>
        <v>0.17899999999999999</v>
      </c>
      <c r="Z9">
        <f>ReferenceData!$Z$9</f>
        <v>1.754</v>
      </c>
      <c r="AA9">
        <f>ReferenceData!$AA$9</f>
        <v>4.88</v>
      </c>
      <c r="AB9">
        <f>ReferenceData!$AB$9</f>
        <v>2.3519999999999999</v>
      </c>
      <c r="AC9">
        <f>ReferenceData!$AC$9</f>
        <v>1.383</v>
      </c>
      <c r="AD9">
        <f>ReferenceData!$AD$9</f>
        <v>12.497999999999999</v>
      </c>
      <c r="AE9">
        <f>ReferenceData!$AE$9</f>
        <v>5.08</v>
      </c>
      <c r="AF9">
        <f>ReferenceData!$AF$9</f>
        <v>8.2680000000000007</v>
      </c>
      <c r="AG9">
        <f>ReferenceData!$AG$9</f>
        <v>2.5019999999999998</v>
      </c>
      <c r="AH9">
        <f>ReferenceData!$AH$9</f>
        <v>0.34499999999999997</v>
      </c>
      <c r="AI9">
        <f>ReferenceData!$AI$9</f>
        <v>0.23</v>
      </c>
      <c r="AJ9">
        <f>ReferenceData!$AJ$9</f>
        <v>1.25</v>
      </c>
      <c r="AK9">
        <f>ReferenceData!$AK$9</f>
        <v>0.218</v>
      </c>
      <c r="AL9">
        <f>ReferenceData!$AL$9</f>
        <v>0.20200000000000001</v>
      </c>
      <c r="AM9">
        <f>ReferenceData!$AM$9</f>
        <v>0.35899999999999999</v>
      </c>
      <c r="AN9">
        <f>ReferenceData!$AN$9</f>
        <v>1.5859999999999999</v>
      </c>
      <c r="AO9">
        <f>ReferenceData!$AO$9</f>
        <v>5.0939998629999996</v>
      </c>
      <c r="AP9">
        <f>ReferenceData!$AP$9</f>
        <v>0.25</v>
      </c>
      <c r="AQ9">
        <f>ReferenceData!$AQ$9</f>
        <v>16.675000000000001</v>
      </c>
      <c r="AR9">
        <f>ReferenceData!$AR$9</f>
        <v>19.329999999999998</v>
      </c>
      <c r="AS9">
        <f>ReferenceData!$AS$9</f>
        <v>3.9319999999999999</v>
      </c>
      <c r="AT9">
        <f>ReferenceData!$AT$9</f>
        <v>2.13</v>
      </c>
      <c r="AU9">
        <f>ReferenceData!$AU$9</f>
        <v>5.0819999999999999</v>
      </c>
      <c r="AV9">
        <f>ReferenceData!$AV$9</f>
        <v>0.43099999999999999</v>
      </c>
      <c r="AW9">
        <f>ReferenceData!$AW$9</f>
        <v>2.8570000000000002</v>
      </c>
      <c r="AX9">
        <f>ReferenceData!$AX$9</f>
        <v>5.3629999999999995</v>
      </c>
      <c r="AY9">
        <f>ReferenceData!$AY$9</f>
        <v>0.311</v>
      </c>
      <c r="AZ9">
        <f>ReferenceData!$AZ$9</f>
        <v>5.0940000000000003</v>
      </c>
      <c r="BA9">
        <f>ReferenceData!$BA$9</f>
        <v>0.25</v>
      </c>
      <c r="BB9">
        <f>ReferenceData!$BB$9</f>
        <v>3.0649999999999999</v>
      </c>
      <c r="BC9">
        <f>ReferenceData!$BC$9</f>
        <v>1.6219999999999999</v>
      </c>
      <c r="BD9">
        <f>ReferenceData!$BD$9</f>
        <v>5.26</v>
      </c>
      <c r="BE9">
        <f>ReferenceData!$BE$9</f>
        <v>2.375</v>
      </c>
      <c r="BF9">
        <f>ReferenceData!$BF$9</f>
        <v>2.2000000000000002</v>
      </c>
      <c r="BG9">
        <f>ReferenceData!$BG$9</f>
        <v>4.5449999999999999</v>
      </c>
      <c r="BH9">
        <f>ReferenceData!$BH$9</f>
        <v>0.20499999999999999</v>
      </c>
      <c r="BI9">
        <f>ReferenceData!$BI$9</f>
        <v>0.45</v>
      </c>
      <c r="BJ9">
        <f>ReferenceData!$BJ$9</f>
        <v>0.2</v>
      </c>
      <c r="BK9">
        <f>ReferenceData!$BK$9</f>
        <v>0.33300000000000002</v>
      </c>
      <c r="BL9">
        <f>ReferenceData!$BL$9</f>
        <v>0.45100000000000001</v>
      </c>
      <c r="BM9">
        <f>ReferenceData!$BM$9</f>
        <v>0.2</v>
      </c>
      <c r="BN9">
        <f>ReferenceData!$BN$9</f>
        <v>0.70199999999999996</v>
      </c>
      <c r="BO9">
        <f>ReferenceData!$BO$9</f>
        <v>2.0950000000000002</v>
      </c>
      <c r="BP9">
        <f>ReferenceData!$BP$9</f>
        <v>3.5000000000000003E-2</v>
      </c>
      <c r="BQ9">
        <f>ReferenceData!$BQ$9</f>
        <v>0.20799999999999999</v>
      </c>
      <c r="BR9">
        <f>ReferenceData!$BR$9</f>
        <v>0.18</v>
      </c>
      <c r="BS9">
        <f>ReferenceData!$BS$9</f>
        <v>0.13</v>
      </c>
      <c r="BT9">
        <f>ReferenceData!$BT$9</f>
        <v>0.27100000000000002</v>
      </c>
      <c r="BU9">
        <f>ReferenceData!$BU$9</f>
        <v>1.915</v>
      </c>
      <c r="BV9">
        <f>ReferenceData!$BV$9</f>
        <v>0.104</v>
      </c>
      <c r="BW9">
        <f>ReferenceData!$BW$9</f>
        <v>5.1520000000000001</v>
      </c>
      <c r="BX9">
        <f>ReferenceData!$BX$9</f>
        <v>0.60799999999999998</v>
      </c>
      <c r="BY9">
        <f>ReferenceData!$BY$9</f>
        <v>0.61499999999999999</v>
      </c>
      <c r="BZ9">
        <f>ReferenceData!$BZ$9</f>
        <v>2.0670000000000002</v>
      </c>
      <c r="CA9">
        <f>ReferenceData!$CA$9</f>
        <v>4.2379999999999995</v>
      </c>
      <c r="CB9">
        <f>ReferenceData!$CB$9</f>
        <v>3.972</v>
      </c>
      <c r="CC9">
        <f>ReferenceData!$CC$9</f>
        <v>3.16</v>
      </c>
      <c r="CD9">
        <f>ReferenceData!$CD$9</f>
        <v>0.371</v>
      </c>
      <c r="CE9">
        <f>ReferenceData!$CE$9</f>
        <v>6.4320000000000004</v>
      </c>
      <c r="CF9">
        <f>ReferenceData!$CF$9</f>
        <v>2.8940000000000001</v>
      </c>
      <c r="CG9">
        <f>ReferenceData!$CG$9</f>
        <v>8.3190000000000008</v>
      </c>
    </row>
    <row r="10" spans="1:85" x14ac:dyDescent="0.25">
      <c r="A10" t="str">
        <f>ReferenceData!$A$10</f>
        <v xml:space="preserve">    LTRO II Cumulative Repayment</v>
      </c>
      <c r="B10" t="str">
        <f>ReferenceData!$B$10</f>
        <v>ECBA3YC2 Index</v>
      </c>
      <c r="C10" t="str">
        <f>ReferenceData!$C$10</f>
        <v>PR005</v>
      </c>
      <c r="D10" t="str">
        <f>ReferenceData!$D$10</f>
        <v>PX_LAST</v>
      </c>
      <c r="E10" t="str">
        <f>ReferenceData!$E$10</f>
        <v>Dynamic</v>
      </c>
      <c r="F10" t="e">
        <f ca="1">ReferenceData!$F$10</f>
        <v>#N/A</v>
      </c>
      <c r="G10">
        <f>ReferenceData!$G$10</f>
        <v>279.35899999999998</v>
      </c>
      <c r="H10">
        <f>ReferenceData!$H$10</f>
        <v>277.68799999999999</v>
      </c>
      <c r="I10">
        <f>ReferenceData!$I$10</f>
        <v>276.70299999999997</v>
      </c>
      <c r="J10">
        <f>ReferenceData!$J$10</f>
        <v>274.142</v>
      </c>
      <c r="K10">
        <f>ReferenceData!$K$10</f>
        <v>272.31200000000001</v>
      </c>
      <c r="L10">
        <f>ReferenceData!$L$10</f>
        <v>269.30200000000002</v>
      </c>
      <c r="M10">
        <f>ReferenceData!$M$10</f>
        <v>267.03399999999999</v>
      </c>
      <c r="N10">
        <f>ReferenceData!$N$10</f>
        <v>248.75899999999999</v>
      </c>
      <c r="O10">
        <f>ReferenceData!$O$10</f>
        <v>246.53899999999999</v>
      </c>
      <c r="P10">
        <f>ReferenceData!$P$10</f>
        <v>243.16900000000001</v>
      </c>
      <c r="Q10">
        <f>ReferenceData!$Q$10</f>
        <v>238.71899999999999</v>
      </c>
      <c r="R10">
        <f>ReferenceData!$R$10</f>
        <v>236.40100000000001</v>
      </c>
      <c r="S10">
        <f>ReferenceData!$S$10</f>
        <v>234.381</v>
      </c>
      <c r="T10">
        <f>ReferenceData!$T$10</f>
        <v>233.45699999999999</v>
      </c>
      <c r="U10">
        <f>ReferenceData!$U$10</f>
        <v>233.21700000000001</v>
      </c>
      <c r="V10">
        <f>ReferenceData!$V$10</f>
        <v>232.363</v>
      </c>
      <c r="W10">
        <f>ReferenceData!$W$10</f>
        <v>231.21299999999999</v>
      </c>
      <c r="X10">
        <f>ReferenceData!$X$10</f>
        <v>230.45699999999999</v>
      </c>
      <c r="Y10">
        <f>ReferenceData!$Y$10</f>
        <v>230.00700000000001</v>
      </c>
      <c r="Z10">
        <f>ReferenceData!$Z$10</f>
        <v>229.828</v>
      </c>
      <c r="AA10">
        <f>ReferenceData!$AA$10</f>
        <v>228.07400000000001</v>
      </c>
      <c r="AB10">
        <f>ReferenceData!$AB$10</f>
        <v>223.19399999999999</v>
      </c>
      <c r="AC10">
        <f>ReferenceData!$AC$10</f>
        <v>220.84200000000001</v>
      </c>
      <c r="AD10">
        <f>ReferenceData!$AD$10</f>
        <v>219.459</v>
      </c>
      <c r="AE10">
        <f>ReferenceData!$AE$10</f>
        <v>206.96100000000001</v>
      </c>
      <c r="AF10">
        <f>ReferenceData!$AF$10</f>
        <v>201.881</v>
      </c>
      <c r="AG10">
        <f>ReferenceData!$AG$10</f>
        <v>193.613</v>
      </c>
      <c r="AH10">
        <f>ReferenceData!$AH$10</f>
        <v>191.11099999999999</v>
      </c>
      <c r="AI10">
        <f>ReferenceData!$AI$10</f>
        <v>190.76599999999999</v>
      </c>
      <c r="AJ10">
        <f>ReferenceData!$AJ$10</f>
        <v>190.536</v>
      </c>
      <c r="AK10">
        <f>ReferenceData!$AK$10</f>
        <v>189.286</v>
      </c>
      <c r="AL10">
        <f>ReferenceData!$AL$10</f>
        <v>189.06800000000001</v>
      </c>
      <c r="AM10">
        <f>ReferenceData!$AM$10</f>
        <v>188.86600000000001</v>
      </c>
      <c r="AN10">
        <f>ReferenceData!$AN$10</f>
        <v>188.50700000000001</v>
      </c>
      <c r="AO10">
        <f>ReferenceData!$AO$10</f>
        <v>130.8099976</v>
      </c>
      <c r="AP10">
        <f>ReferenceData!$AP$10</f>
        <v>125.71600340000001</v>
      </c>
      <c r="AQ10">
        <f>ReferenceData!$AQ$10</f>
        <v>186.92099999999999</v>
      </c>
      <c r="AR10">
        <f>ReferenceData!$AR$10</f>
        <v>170.24600000000001</v>
      </c>
      <c r="AS10">
        <f>ReferenceData!$AS$10</f>
        <v>150.916</v>
      </c>
      <c r="AT10">
        <f>ReferenceData!$AT$10</f>
        <v>146.98400000000001</v>
      </c>
      <c r="AU10">
        <f>ReferenceData!$AU$10</f>
        <v>144.85400000000001</v>
      </c>
      <c r="AV10">
        <f>ReferenceData!$AV$10</f>
        <v>139.77199999999999</v>
      </c>
      <c r="AW10">
        <f>ReferenceData!$AW$10</f>
        <v>139.34100000000001</v>
      </c>
      <c r="AX10">
        <f>ReferenceData!$AX$10</f>
        <v>136.48400000000001</v>
      </c>
      <c r="AY10">
        <f>ReferenceData!$AY$10</f>
        <v>131.12100000000001</v>
      </c>
      <c r="AZ10">
        <f>ReferenceData!$AZ$10</f>
        <v>130.81</v>
      </c>
      <c r="BA10">
        <f>ReferenceData!$BA$10</f>
        <v>125.71599999999999</v>
      </c>
      <c r="BB10">
        <f>ReferenceData!$BB$10</f>
        <v>125.46599999999999</v>
      </c>
      <c r="BC10">
        <f>ReferenceData!$BC$10</f>
        <v>122.401</v>
      </c>
      <c r="BD10">
        <f>ReferenceData!$BD$10</f>
        <v>120.779</v>
      </c>
      <c r="BE10">
        <f>ReferenceData!$BE$10</f>
        <v>115.51900000000001</v>
      </c>
      <c r="BF10">
        <f>ReferenceData!$BF$10</f>
        <v>113.14400000000001</v>
      </c>
      <c r="BG10">
        <f>ReferenceData!$BG$10</f>
        <v>110.944</v>
      </c>
      <c r="BH10">
        <f>ReferenceData!$BH$10</f>
        <v>106.399</v>
      </c>
      <c r="BI10">
        <f>ReferenceData!$BI$10</f>
        <v>106.194</v>
      </c>
      <c r="BJ10">
        <f>ReferenceData!$BJ$10</f>
        <v>105.744</v>
      </c>
      <c r="BK10">
        <f>ReferenceData!$BK$10</f>
        <v>105.544</v>
      </c>
      <c r="BL10">
        <f>ReferenceData!$BL$10</f>
        <v>105.211</v>
      </c>
      <c r="BM10">
        <f>ReferenceData!$BM$10</f>
        <v>104.76</v>
      </c>
      <c r="BN10">
        <f>ReferenceData!$BN$10</f>
        <v>104.56</v>
      </c>
      <c r="BO10">
        <f>ReferenceData!$BO$10</f>
        <v>103.858</v>
      </c>
      <c r="BP10">
        <f>ReferenceData!$BP$10</f>
        <v>101.76300000000001</v>
      </c>
      <c r="BQ10">
        <f>ReferenceData!$BQ$10</f>
        <v>101.72799999999999</v>
      </c>
      <c r="BR10">
        <f>ReferenceData!$BR$10</f>
        <v>101.52</v>
      </c>
      <c r="BS10">
        <f>ReferenceData!$BS$10</f>
        <v>101.34</v>
      </c>
      <c r="BT10">
        <f>ReferenceData!$BT$10</f>
        <v>101.21</v>
      </c>
      <c r="BU10">
        <f>ReferenceData!$BU$10</f>
        <v>100.93899999999999</v>
      </c>
      <c r="BV10">
        <f>ReferenceData!$BV$10</f>
        <v>99.024000000000001</v>
      </c>
      <c r="BW10">
        <f>ReferenceData!$BW$10</f>
        <v>98.92</v>
      </c>
      <c r="BX10">
        <f>ReferenceData!$BX$10</f>
        <v>93.768000000000001</v>
      </c>
      <c r="BY10">
        <f>ReferenceData!$BY$10</f>
        <v>93.16</v>
      </c>
      <c r="BZ10">
        <f>ReferenceData!$BZ$10</f>
        <v>92.545000000000002</v>
      </c>
      <c r="CA10">
        <f>ReferenceData!$CA$10</f>
        <v>90.477999999999994</v>
      </c>
      <c r="CB10">
        <f>ReferenceData!$CB$10</f>
        <v>86.24</v>
      </c>
      <c r="CC10">
        <f>ReferenceData!$CC$10</f>
        <v>82.268000000000001</v>
      </c>
      <c r="CD10">
        <f>ReferenceData!$CD$10</f>
        <v>79.108000000000004</v>
      </c>
      <c r="CE10">
        <f>ReferenceData!$CE$10</f>
        <v>78.736999999999995</v>
      </c>
      <c r="CF10">
        <f>ReferenceData!$CF$10</f>
        <v>72.305000000000007</v>
      </c>
      <c r="CG10">
        <f>ReferenceData!$CG$10</f>
        <v>69.411000000000001</v>
      </c>
    </row>
    <row r="11" spans="1:85" x14ac:dyDescent="0.25">
      <c r="A11" t="str">
        <f>ReferenceData!$A$11</f>
        <v xml:space="preserve">    LTRO II Outstanding</v>
      </c>
      <c r="B11" t="str">
        <f>ReferenceData!$B$11</f>
        <v>ECBA3YO2 Index</v>
      </c>
      <c r="C11" t="str">
        <f>ReferenceData!$C$11</f>
        <v>PR005</v>
      </c>
      <c r="D11" t="str">
        <f>ReferenceData!$D$11</f>
        <v>PX_LAST</v>
      </c>
      <c r="E11" t="str">
        <f>ReferenceData!$E$11</f>
        <v>Dynamic</v>
      </c>
      <c r="F11" t="e">
        <f ca="1">ReferenceData!$F$11</f>
        <v>#N/A</v>
      </c>
      <c r="G11">
        <f>ReferenceData!$G$11</f>
        <v>243.99</v>
      </c>
      <c r="H11">
        <f>ReferenceData!$H$11</f>
        <v>245.661</v>
      </c>
      <c r="I11">
        <f>ReferenceData!$I$11</f>
        <v>246.64599999999999</v>
      </c>
      <c r="J11">
        <f>ReferenceData!$J$11</f>
        <v>249.20699999999999</v>
      </c>
      <c r="K11">
        <f>ReferenceData!$K$11</f>
        <v>251.03700000000001</v>
      </c>
      <c r="L11">
        <f>ReferenceData!$L$11</f>
        <v>254.047</v>
      </c>
      <c r="M11">
        <f>ReferenceData!$M$11</f>
        <v>256.315</v>
      </c>
      <c r="N11">
        <f>ReferenceData!$N$11</f>
        <v>274.589</v>
      </c>
      <c r="O11">
        <f>ReferenceData!$O$11</f>
        <v>276.80900000000003</v>
      </c>
      <c r="P11">
        <f>ReferenceData!$P$11</f>
        <v>280.17899999999997</v>
      </c>
      <c r="Q11">
        <f>ReferenceData!$Q$11</f>
        <v>284.62900000000002</v>
      </c>
      <c r="R11">
        <f>ReferenceData!$R$11</f>
        <v>286.947</v>
      </c>
      <c r="S11">
        <f>ReferenceData!$S$11</f>
        <v>288.96699999999998</v>
      </c>
      <c r="T11">
        <f>ReferenceData!$T$11</f>
        <v>289.96100000000001</v>
      </c>
      <c r="U11">
        <f>ReferenceData!$U$11</f>
        <v>290.20100000000002</v>
      </c>
      <c r="V11">
        <f>ReferenceData!$V$11</f>
        <v>291.05500000000001</v>
      </c>
      <c r="W11">
        <f>ReferenceData!$W$11</f>
        <v>292.96100000000001</v>
      </c>
      <c r="X11">
        <f>ReferenceData!$X$11</f>
        <v>293.411</v>
      </c>
      <c r="Y11">
        <f>ReferenceData!$Y$11</f>
        <v>293.58999999999997</v>
      </c>
      <c r="Z11">
        <f>ReferenceData!$Z$11</f>
        <v>295.34399999999999</v>
      </c>
      <c r="AA11">
        <f>ReferenceData!$AA$11</f>
        <v>300.22399999999999</v>
      </c>
      <c r="AB11">
        <f>ReferenceData!$AB$11</f>
        <v>302.60000000000002</v>
      </c>
      <c r="AC11">
        <f>ReferenceData!$AC$11</f>
        <v>304</v>
      </c>
      <c r="AD11">
        <f>ReferenceData!$AD$11</f>
        <v>316.5</v>
      </c>
      <c r="AE11">
        <f>ReferenceData!$AE$11</f>
        <v>321.5</v>
      </c>
      <c r="AF11">
        <f>ReferenceData!$AF$11</f>
        <v>329.8</v>
      </c>
      <c r="AG11">
        <f>ReferenceData!$AG$11</f>
        <v>332.3</v>
      </c>
      <c r="AH11">
        <f>ReferenceData!$AH$11</f>
        <v>332.7</v>
      </c>
      <c r="AI11">
        <f>ReferenceData!$AI$11</f>
        <v>332.9</v>
      </c>
      <c r="AJ11">
        <f>ReferenceData!$AJ$11</f>
        <v>334.1</v>
      </c>
      <c r="AK11">
        <f>ReferenceData!$AK$11</f>
        <v>334.4</v>
      </c>
      <c r="AL11">
        <f>ReferenceData!$AL$11</f>
        <v>334.6</v>
      </c>
      <c r="AM11">
        <f>ReferenceData!$AM$11</f>
        <v>334.9</v>
      </c>
      <c r="AN11">
        <f>ReferenceData!$AN$11</f>
        <v>336.5</v>
      </c>
      <c r="AO11">
        <f>ReferenceData!$AO$11</f>
        <v>397.7000122</v>
      </c>
      <c r="AP11">
        <f>ReferenceData!$AP$11</f>
        <v>398</v>
      </c>
      <c r="AQ11">
        <f>ReferenceData!$AQ$11</f>
        <v>353.2</v>
      </c>
      <c r="AR11">
        <f>ReferenceData!$AR$11</f>
        <v>372.5</v>
      </c>
      <c r="AS11">
        <f>ReferenceData!$AS$11</f>
        <v>376.4</v>
      </c>
      <c r="AT11">
        <f>ReferenceData!$AT$11</f>
        <v>378.6</v>
      </c>
      <c r="AU11">
        <f>ReferenceData!$AU$11</f>
        <v>383.6</v>
      </c>
      <c r="AV11">
        <f>ReferenceData!$AV$11</f>
        <v>384.1</v>
      </c>
      <c r="AW11">
        <f>ReferenceData!$AW$11</f>
        <v>386.9</v>
      </c>
      <c r="AX11">
        <f>ReferenceData!$AX$11</f>
        <v>392.3</v>
      </c>
      <c r="AY11">
        <f>ReferenceData!$AY$11</f>
        <v>392.6</v>
      </c>
      <c r="AZ11">
        <f>ReferenceData!$AZ$11</f>
        <v>397.7</v>
      </c>
      <c r="BA11">
        <f>ReferenceData!$BA$11</f>
        <v>398</v>
      </c>
      <c r="BB11">
        <f>ReferenceData!$BB$11</f>
        <v>401</v>
      </c>
      <c r="BC11">
        <f>ReferenceData!$BC$11</f>
        <v>402.6</v>
      </c>
      <c r="BD11">
        <f>ReferenceData!$BD$11</f>
        <v>407.9</v>
      </c>
      <c r="BE11">
        <f>ReferenceData!$BE$11</f>
        <v>410.3</v>
      </c>
      <c r="BF11">
        <f>ReferenceData!$BF$11</f>
        <v>412.6</v>
      </c>
      <c r="BG11">
        <f>ReferenceData!$BG$11</f>
        <v>417.1</v>
      </c>
      <c r="BH11">
        <f>ReferenceData!$BH$11</f>
        <v>417.3</v>
      </c>
      <c r="BI11">
        <f>ReferenceData!$BI$11</f>
        <v>417.8</v>
      </c>
      <c r="BJ11">
        <f>ReferenceData!$BJ$11</f>
        <v>418</v>
      </c>
      <c r="BK11">
        <f>ReferenceData!$BK$11</f>
        <v>418.3</v>
      </c>
      <c r="BL11">
        <f>ReferenceData!$BL$11</f>
        <v>418.7</v>
      </c>
      <c r="BM11">
        <f>ReferenceData!$BM$11</f>
        <v>418.9</v>
      </c>
      <c r="BN11">
        <f>ReferenceData!$BN$11</f>
        <v>419.6</v>
      </c>
      <c r="BO11">
        <f>ReferenceData!$BO$11</f>
        <v>421.7</v>
      </c>
      <c r="BP11">
        <f>ReferenceData!$BP$11</f>
        <v>421.8</v>
      </c>
      <c r="BQ11">
        <f>ReferenceData!$BQ$11</f>
        <v>422</v>
      </c>
      <c r="BR11">
        <f>ReferenceData!$BR$11</f>
        <v>422.2</v>
      </c>
      <c r="BS11">
        <f>ReferenceData!$BS$11</f>
        <v>422.3</v>
      </c>
      <c r="BT11">
        <f>ReferenceData!$BT$11</f>
        <v>422.6</v>
      </c>
      <c r="BU11">
        <f>ReferenceData!$BU$11</f>
        <v>424.5</v>
      </c>
      <c r="BV11">
        <f>ReferenceData!$BV$11</f>
        <v>424.6</v>
      </c>
      <c r="BW11">
        <f>ReferenceData!$BW$11</f>
        <v>429.7</v>
      </c>
      <c r="BX11">
        <f>ReferenceData!$BX$11</f>
        <v>430.3</v>
      </c>
      <c r="BY11">
        <f>ReferenceData!$BY$11</f>
        <v>431</v>
      </c>
      <c r="BZ11">
        <f>ReferenceData!$BZ$11</f>
        <v>433</v>
      </c>
      <c r="CA11">
        <f>ReferenceData!$CA$11</f>
        <v>437.3</v>
      </c>
      <c r="CB11">
        <f>ReferenceData!$CB$11</f>
        <v>441.4</v>
      </c>
      <c r="CC11">
        <f>ReferenceData!$CC$11</f>
        <v>444.6</v>
      </c>
      <c r="CD11">
        <f>ReferenceData!$CD$11</f>
        <v>445</v>
      </c>
      <c r="CE11">
        <f>ReferenceData!$CE$11</f>
        <v>451.4</v>
      </c>
      <c r="CF11">
        <f>ReferenceData!$CF$11</f>
        <v>454.6</v>
      </c>
      <c r="CG11">
        <f>ReferenceData!$CG$11</f>
        <v>462.9</v>
      </c>
    </row>
    <row r="12" spans="1:85" x14ac:dyDescent="0.25">
      <c r="A12" t="str">
        <f>ReferenceData!$A$12</f>
        <v xml:space="preserve">    LTRO II Outstanding % Initial Allotment</v>
      </c>
      <c r="B12" t="str">
        <f>ReferenceData!$B$12</f>
        <v>ECBA3YO2 Index</v>
      </c>
      <c r="C12" t="str">
        <f>ReferenceData!$C$12</f>
        <v/>
      </c>
      <c r="D12" t="str">
        <f>ReferenceData!$D$12</f>
        <v/>
      </c>
      <c r="E12" t="str">
        <f>ReferenceData!$E$12</f>
        <v>Expression</v>
      </c>
      <c r="F12">
        <f ca="1">ReferenceData!$F$12</f>
        <v>54.19206629</v>
      </c>
      <c r="G12">
        <f>ReferenceData!$G$12</f>
        <v>46.079320113314445</v>
      </c>
      <c r="H12">
        <f>ReferenceData!$H$12</f>
        <v>46.394900849858352</v>
      </c>
      <c r="I12">
        <f>ReferenceData!$I$12</f>
        <v>46.580925401321998</v>
      </c>
      <c r="J12">
        <f>ReferenceData!$J$12</f>
        <v>47.064589235127478</v>
      </c>
      <c r="K12">
        <f>ReferenceData!$K$12</f>
        <v>47.410198300283291</v>
      </c>
      <c r="L12">
        <f>ReferenceData!$L$12</f>
        <v>47.97865911237016</v>
      </c>
      <c r="M12">
        <f>ReferenceData!$M$12</f>
        <v>48.406987724268177</v>
      </c>
      <c r="N12">
        <f>ReferenceData!$N$12</f>
        <v>51.858168083097262</v>
      </c>
      <c r="O12">
        <f>ReferenceData!$O$12</f>
        <v>52.277431539187916</v>
      </c>
      <c r="P12">
        <f>ReferenceData!$P$12</f>
        <v>52.913881019830022</v>
      </c>
      <c r="Q12">
        <f>ReferenceData!$Q$12</f>
        <v>53.754296506137869</v>
      </c>
      <c r="R12">
        <f>ReferenceData!$R$12</f>
        <v>54.192067988668555</v>
      </c>
      <c r="S12">
        <f>ReferenceData!$S$12</f>
        <v>54.573559962228515</v>
      </c>
      <c r="T12">
        <f>ReferenceData!$T$12</f>
        <v>54.761284230406048</v>
      </c>
      <c r="U12">
        <f>ReferenceData!$U$12</f>
        <v>54.806610009442878</v>
      </c>
      <c r="V12">
        <f>ReferenceData!$V$12</f>
        <v>54.967894239848917</v>
      </c>
      <c r="W12">
        <f>ReferenceData!$W$12</f>
        <v>55.327856468366384</v>
      </c>
      <c r="X12">
        <f>ReferenceData!$X$12</f>
        <v>55.412842304060433</v>
      </c>
      <c r="Y12">
        <f>ReferenceData!$Y$12</f>
        <v>55.446647780925396</v>
      </c>
      <c r="Z12">
        <f>ReferenceData!$Z$12</f>
        <v>55.77790368271954</v>
      </c>
      <c r="AA12">
        <f>ReferenceData!$AA$12</f>
        <v>56.699527856468364</v>
      </c>
      <c r="AB12">
        <f>ReferenceData!$AB$12</f>
        <v>57.148253068932959</v>
      </c>
      <c r="AC12">
        <f>ReferenceData!$AC$12</f>
        <v>57.412653446647781</v>
      </c>
      <c r="AD12">
        <f>ReferenceData!$AD$12</f>
        <v>59.773371104815865</v>
      </c>
      <c r="AE12">
        <f>ReferenceData!$AE$12</f>
        <v>60.717658168083098</v>
      </c>
      <c r="AF12">
        <f>ReferenceData!$AF$12</f>
        <v>62.285174693106704</v>
      </c>
      <c r="AG12">
        <f>ReferenceData!$AG$12</f>
        <v>62.757318224740324</v>
      </c>
      <c r="AH12">
        <f>ReferenceData!$AH$12</f>
        <v>62.832861189801697</v>
      </c>
      <c r="AI12">
        <f>ReferenceData!$AI$12</f>
        <v>62.870632672332391</v>
      </c>
      <c r="AJ12">
        <f>ReferenceData!$AJ$12</f>
        <v>63.097261567516526</v>
      </c>
      <c r="AK12">
        <f>ReferenceData!$AK$12</f>
        <v>63.153918791312556</v>
      </c>
      <c r="AL12">
        <f>ReferenceData!$AL$12</f>
        <v>63.19169027384325</v>
      </c>
      <c r="AM12">
        <f>ReferenceData!$AM$12</f>
        <v>63.24834749763928</v>
      </c>
      <c r="AN12">
        <f>ReferenceData!$AN$12</f>
        <v>63.550519357884795</v>
      </c>
      <c r="AO12">
        <f>ReferenceData!$AO$12</f>
        <v>75.108595280000003</v>
      </c>
      <c r="AP12">
        <f>ReferenceData!$AP$12</f>
        <v>75.165250240000006</v>
      </c>
      <c r="AQ12">
        <f>ReferenceData!$AQ$12</f>
        <v>66.704438149197358</v>
      </c>
      <c r="AR12">
        <f>ReferenceData!$AR$12</f>
        <v>70.349386213408877</v>
      </c>
      <c r="AS12">
        <f>ReferenceData!$AS$12</f>
        <v>71.085930122757318</v>
      </c>
      <c r="AT12">
        <f>ReferenceData!$AT$12</f>
        <v>71.501416430594901</v>
      </c>
      <c r="AU12">
        <f>ReferenceData!$AU$12</f>
        <v>72.44570349386214</v>
      </c>
      <c r="AV12">
        <f>ReferenceData!$AV$12</f>
        <v>72.540132200188864</v>
      </c>
      <c r="AW12">
        <f>ReferenceData!$AW$12</f>
        <v>73.068932955618507</v>
      </c>
      <c r="AX12">
        <f>ReferenceData!$AX$12</f>
        <v>74.08876298394712</v>
      </c>
      <c r="AY12">
        <f>ReferenceData!$AY$12</f>
        <v>74.145420207743157</v>
      </c>
      <c r="AZ12">
        <f>ReferenceData!$AZ$12</f>
        <v>75.108593012275733</v>
      </c>
      <c r="BA12">
        <f>ReferenceData!$BA$12</f>
        <v>75.16525023607177</v>
      </c>
      <c r="BB12">
        <f>ReferenceData!$BB$12</f>
        <v>75.7318224740321</v>
      </c>
      <c r="BC12">
        <f>ReferenceData!$BC$12</f>
        <v>76.033994334277622</v>
      </c>
      <c r="BD12">
        <f>ReferenceData!$BD$12</f>
        <v>77.034938621340885</v>
      </c>
      <c r="BE12">
        <f>ReferenceData!$BE$12</f>
        <v>77.488196411709154</v>
      </c>
      <c r="BF12">
        <f>ReferenceData!$BF$12</f>
        <v>77.922568460812087</v>
      </c>
      <c r="BG12">
        <f>ReferenceData!$BG$12</f>
        <v>78.772426817752603</v>
      </c>
      <c r="BH12">
        <f>ReferenceData!$BH$12</f>
        <v>78.81019830028329</v>
      </c>
      <c r="BI12">
        <f>ReferenceData!$BI$12</f>
        <v>78.904627006610013</v>
      </c>
      <c r="BJ12">
        <f>ReferenceData!$BJ$12</f>
        <v>78.9423984891407</v>
      </c>
      <c r="BK12">
        <f>ReferenceData!$BK$12</f>
        <v>78.999055712936737</v>
      </c>
      <c r="BL12">
        <f>ReferenceData!$BL$12</f>
        <v>79.074598677998111</v>
      </c>
      <c r="BM12">
        <f>ReferenceData!$BM$12</f>
        <v>79.112370160528798</v>
      </c>
      <c r="BN12">
        <f>ReferenceData!$BN$12</f>
        <v>79.244570349386208</v>
      </c>
      <c r="BO12">
        <f>ReferenceData!$BO$12</f>
        <v>79.641170915958455</v>
      </c>
      <c r="BP12">
        <f>ReferenceData!$BP$12</f>
        <v>79.660056657223791</v>
      </c>
      <c r="BQ12">
        <f>ReferenceData!$BQ$12</f>
        <v>79.697828139754492</v>
      </c>
      <c r="BR12">
        <f>ReferenceData!$BR$12</f>
        <v>79.735599622285179</v>
      </c>
      <c r="BS12">
        <f>ReferenceData!$BS$12</f>
        <v>79.754485363550515</v>
      </c>
      <c r="BT12">
        <f>ReferenceData!$BT$12</f>
        <v>79.811142587346552</v>
      </c>
      <c r="BU12">
        <f>ReferenceData!$BU$12</f>
        <v>80.169971671388097</v>
      </c>
      <c r="BV12">
        <f>ReferenceData!$BV$12</f>
        <v>80.188857412653448</v>
      </c>
      <c r="BW12">
        <f>ReferenceData!$BW$12</f>
        <v>81.152030217186024</v>
      </c>
      <c r="BX12">
        <f>ReferenceData!$BX$12</f>
        <v>81.265344664778098</v>
      </c>
      <c r="BY12">
        <f>ReferenceData!$BY$12</f>
        <v>81.397544853635509</v>
      </c>
      <c r="BZ12">
        <f>ReferenceData!$BZ$12</f>
        <v>81.775259678942405</v>
      </c>
      <c r="CA12">
        <f>ReferenceData!$CA$12</f>
        <v>82.587346553352219</v>
      </c>
      <c r="CB12">
        <f>ReferenceData!$CB$12</f>
        <v>83.361661945231347</v>
      </c>
      <c r="CC12">
        <f>ReferenceData!$CC$12</f>
        <v>83.966005665722378</v>
      </c>
      <c r="CD12">
        <f>ReferenceData!$CD$12</f>
        <v>84.041548630783765</v>
      </c>
      <c r="CE12">
        <f>ReferenceData!$CE$12</f>
        <v>85.250236071765812</v>
      </c>
      <c r="CF12">
        <f>ReferenceData!$CF$12</f>
        <v>85.854579792256843</v>
      </c>
      <c r="CG12">
        <f>ReferenceData!$CG$12</f>
        <v>87.422096317280449</v>
      </c>
    </row>
    <row r="13" spans="1:85" x14ac:dyDescent="0.25">
      <c r="A13" t="str">
        <f>ReferenceData!$A$13</f>
        <v>ECB NET LENDING (EUR B)</v>
      </c>
      <c r="B13" t="str">
        <f>ReferenceData!$B$13</f>
        <v/>
      </c>
      <c r="C13" t="str">
        <f>ReferenceData!$C$13</f>
        <v/>
      </c>
      <c r="D13" t="str">
        <f>ReferenceData!$D$13</f>
        <v/>
      </c>
      <c r="E13" t="str">
        <f>ReferenceData!$E$13</f>
        <v>Expression</v>
      </c>
      <c r="F13" t="str">
        <f ca="1">ReferenceData!$F$13</f>
        <v/>
      </c>
      <c r="G13">
        <f>ReferenceData!$G$13</f>
        <v>466.05900000000003</v>
      </c>
      <c r="H13">
        <f>ReferenceData!$H$13</f>
        <v>486.68099999999998</v>
      </c>
      <c r="I13">
        <f>ReferenceData!$I$13</f>
        <v>471.97700000000003</v>
      </c>
      <c r="J13">
        <f>ReferenceData!$J$13</f>
        <v>481.149</v>
      </c>
      <c r="K13">
        <f>ReferenceData!$K$13</f>
        <v>483.51499999999999</v>
      </c>
      <c r="L13">
        <f>ReferenceData!$L$13</f>
        <v>489.39199999999994</v>
      </c>
      <c r="M13">
        <f>ReferenceData!$M$13</f>
        <v>486.45800000000003</v>
      </c>
      <c r="N13">
        <f>ReferenceData!$N$13</f>
        <v>508.90800000000002</v>
      </c>
      <c r="O13">
        <f>ReferenceData!$O$13</f>
        <v>508.97200000000004</v>
      </c>
      <c r="P13">
        <f>ReferenceData!$P$13</f>
        <v>518.60799999999995</v>
      </c>
      <c r="Q13">
        <f>ReferenceData!$Q$13</f>
        <v>542.9430000000001</v>
      </c>
      <c r="R13">
        <f>ReferenceData!$R$13</f>
        <v>538.46799999999996</v>
      </c>
      <c r="S13">
        <f>ReferenceData!$S$13</f>
        <v>481.63399999999996</v>
      </c>
      <c r="T13">
        <f>ReferenceData!$T$13</f>
        <v>496.71</v>
      </c>
      <c r="U13">
        <f>ReferenceData!$U$13</f>
        <v>536.95399999999995</v>
      </c>
      <c r="V13">
        <f>ReferenceData!$V$13</f>
        <v>478.79300000000001</v>
      </c>
      <c r="W13">
        <f>ReferenceData!$W$13</f>
        <v>489.70699999999999</v>
      </c>
      <c r="X13">
        <f>ReferenceData!$X$13</f>
        <v>442.846</v>
      </c>
      <c r="Y13">
        <f>ReferenceData!$Y$13</f>
        <v>545.26499999999999</v>
      </c>
      <c r="Z13">
        <f>ReferenceData!$Z$13</f>
        <v>447.38599999999997</v>
      </c>
      <c r="AA13">
        <f>ReferenceData!$AA$13</f>
        <v>452.85500000000002</v>
      </c>
      <c r="AB13">
        <f>ReferenceData!$AB$13</f>
        <v>442.923</v>
      </c>
      <c r="AC13">
        <f>ReferenceData!$AC$13</f>
        <v>426.12699999999995</v>
      </c>
      <c r="AD13">
        <f>ReferenceData!$AD$13</f>
        <v>437.01</v>
      </c>
      <c r="AE13">
        <f>ReferenceData!$AE$13</f>
        <v>434.03399999999999</v>
      </c>
      <c r="AF13">
        <f>ReferenceData!$AF$13</f>
        <v>449.85200000000009</v>
      </c>
      <c r="AG13">
        <f>ReferenceData!$AG$13</f>
        <v>447.57299999999998</v>
      </c>
      <c r="AH13">
        <f>ReferenceData!$AH$13</f>
        <v>459.41399999999999</v>
      </c>
      <c r="AI13">
        <f>ReferenceData!$AI$13</f>
        <v>457.709</v>
      </c>
      <c r="AJ13">
        <f>ReferenceData!$AJ$13</f>
        <v>460.76399999999995</v>
      </c>
      <c r="AK13">
        <f>ReferenceData!$AK$13</f>
        <v>448.54699999999997</v>
      </c>
      <c r="AL13">
        <f>ReferenceData!$AL$13</f>
        <v>484.5</v>
      </c>
      <c r="AM13">
        <f>ReferenceData!$AM$13</f>
        <v>497.08199999999999</v>
      </c>
      <c r="AN13">
        <f>ReferenceData!$AN$13</f>
        <v>457.01099999999997</v>
      </c>
      <c r="AO13">
        <f>ReferenceData!$AO$13</f>
        <v>456.952</v>
      </c>
      <c r="AP13">
        <f>ReferenceData!$AP$13</f>
        <v>559.16499999999996</v>
      </c>
      <c r="AQ13">
        <f>ReferenceData!$AQ$13</f>
        <v>517.49200000000008</v>
      </c>
      <c r="AR13">
        <f>ReferenceData!$AR$13</f>
        <v>516.899</v>
      </c>
      <c r="AS13">
        <f>ReferenceData!$AS$13</f>
        <v>490.59899999999993</v>
      </c>
      <c r="AT13">
        <f>ReferenceData!$AT$13</f>
        <v>470.834</v>
      </c>
      <c r="AU13">
        <f>ReferenceData!$AU$13</f>
        <v>504.92600000000004</v>
      </c>
      <c r="AV13">
        <f>ReferenceData!$AV$13</f>
        <v>489.46800000000002</v>
      </c>
      <c r="AW13">
        <f>ReferenceData!$AW$13</f>
        <v>494.01200000000006</v>
      </c>
      <c r="AX13">
        <f>ReferenceData!$AX$13</f>
        <v>483.01</v>
      </c>
      <c r="AY13">
        <f>ReferenceData!$AY$13</f>
        <v>499.98700000000002</v>
      </c>
      <c r="AZ13">
        <f>ReferenceData!$AZ$13</f>
        <v>504.39600000000007</v>
      </c>
      <c r="BA13">
        <f>ReferenceData!$BA$13</f>
        <v>516.04500000000007</v>
      </c>
      <c r="BB13">
        <f>ReferenceData!$BB$13</f>
        <v>512.45000000000005</v>
      </c>
      <c r="BC13">
        <f>ReferenceData!$BC$13</f>
        <v>518.71100000000001</v>
      </c>
      <c r="BD13">
        <f>ReferenceData!$BD$13</f>
        <v>523.88900000000001</v>
      </c>
      <c r="BE13">
        <f>ReferenceData!$BE$13</f>
        <v>534.82300000000009</v>
      </c>
      <c r="BF13">
        <f>ReferenceData!$BF$13</f>
        <v>517.51700000000005</v>
      </c>
      <c r="BG13">
        <f>ReferenceData!$BG$13</f>
        <v>516.05399999999997</v>
      </c>
      <c r="BH13">
        <f>ReferenceData!$BH$13</f>
        <v>529.3309999999999</v>
      </c>
      <c r="BI13">
        <f>ReferenceData!$BI$13</f>
        <v>510.56900000000007</v>
      </c>
      <c r="BJ13">
        <f>ReferenceData!$BJ$13</f>
        <v>517.20900000000006</v>
      </c>
      <c r="BK13">
        <f>ReferenceData!$BK$13</f>
        <v>524.08600000000001</v>
      </c>
      <c r="BL13">
        <f>ReferenceData!$BL$13</f>
        <v>521.86399999999992</v>
      </c>
      <c r="BM13">
        <f>ReferenceData!$BM$13</f>
        <v>525.80499999999995</v>
      </c>
      <c r="BN13">
        <f>ReferenceData!$BN$13</f>
        <v>532.39200000000005</v>
      </c>
      <c r="BO13">
        <f>ReferenceData!$BO$13</f>
        <v>513.21500000000003</v>
      </c>
      <c r="BP13">
        <f>ReferenceData!$BP$13</f>
        <v>512.56100000000004</v>
      </c>
      <c r="BQ13">
        <f>ReferenceData!$BQ$13</f>
        <v>535.02399999999989</v>
      </c>
      <c r="BR13">
        <f>ReferenceData!$BR$13</f>
        <v>537.67599999999993</v>
      </c>
      <c r="BS13">
        <f>ReferenceData!$BS$13</f>
        <v>536.798</v>
      </c>
      <c r="BT13">
        <f>ReferenceData!$BT$13</f>
        <v>523.91100000000006</v>
      </c>
      <c r="BU13">
        <f>ReferenceData!$BU$13</f>
        <v>541.40100000000007</v>
      </c>
      <c r="BV13">
        <f>ReferenceData!$BV$13</f>
        <v>553.38599999999997</v>
      </c>
      <c r="BW13">
        <f>ReferenceData!$BW$13</f>
        <v>552.5630000000001</v>
      </c>
      <c r="BX13">
        <f>ReferenceData!$BX$13</f>
        <v>554.14699999999993</v>
      </c>
      <c r="BY13">
        <f>ReferenceData!$BY$13</f>
        <v>519.51099999999997</v>
      </c>
      <c r="BZ13">
        <f>ReferenceData!$BZ$13</f>
        <v>540.03599999999983</v>
      </c>
      <c r="CA13">
        <f>ReferenceData!$CA$13</f>
        <v>558.14700000000005</v>
      </c>
      <c r="CB13">
        <f>ReferenceData!$CB$13</f>
        <v>558.19599999999991</v>
      </c>
      <c r="CC13">
        <f>ReferenceData!$CC$13</f>
        <v>556.24099999999999</v>
      </c>
      <c r="CD13">
        <f>ReferenceData!$CD$13</f>
        <v>553.03399999999999</v>
      </c>
      <c r="CE13">
        <f>ReferenceData!$CE$13</f>
        <v>573.08900000000006</v>
      </c>
      <c r="CF13">
        <f>ReferenceData!$CF$13</f>
        <v>581.53600000000006</v>
      </c>
      <c r="CG13">
        <f>ReferenceData!$CG$13</f>
        <v>591.35200000000009</v>
      </c>
    </row>
    <row r="14" spans="1:85" x14ac:dyDescent="0.25">
      <c r="A14" t="str">
        <f>ReferenceData!$A$14</f>
        <v xml:space="preserve">    Gross Lending to Euro Area Credit Institutions</v>
      </c>
      <c r="B14" t="str">
        <f>ReferenceData!$B$14</f>
        <v>EBBSA050 Index</v>
      </c>
      <c r="C14" t="str">
        <f>ReferenceData!$C$14</f>
        <v>PR005</v>
      </c>
      <c r="D14" t="str">
        <f>ReferenceData!$D$14</f>
        <v>PX_LAST</v>
      </c>
      <c r="E14" t="str">
        <f>ReferenceData!$E$14</f>
        <v>Dynamic</v>
      </c>
      <c r="F14" t="e">
        <f ca="1">ReferenceData!$F$14</f>
        <v>#N/A</v>
      </c>
      <c r="G14">
        <f>ReferenceData!$G$14</f>
        <v>492.726</v>
      </c>
      <c r="H14">
        <f>ReferenceData!$H$14</f>
        <v>517.57799999999997</v>
      </c>
      <c r="I14">
        <f>ReferenceData!$I$14</f>
        <v>497.63600000000002</v>
      </c>
      <c r="J14">
        <f>ReferenceData!$J$14</f>
        <v>501.03100000000001</v>
      </c>
      <c r="K14">
        <f>ReferenceData!$K$14</f>
        <v>504.91199999999998</v>
      </c>
      <c r="L14">
        <f>ReferenceData!$L$14</f>
        <v>533.53499999999997</v>
      </c>
      <c r="M14">
        <f>ReferenceData!$M$14</f>
        <v>507.81900000000002</v>
      </c>
      <c r="N14">
        <f>ReferenceData!$N$14</f>
        <v>531.68299999999999</v>
      </c>
      <c r="O14">
        <f>ReferenceData!$O$14</f>
        <v>529.16200000000003</v>
      </c>
      <c r="P14">
        <f>ReferenceData!$P$14</f>
        <v>545.9</v>
      </c>
      <c r="Q14">
        <f>ReferenceData!$Q$14</f>
        <v>568.37300000000005</v>
      </c>
      <c r="R14">
        <f>ReferenceData!$R$14</f>
        <v>565.01900000000001</v>
      </c>
      <c r="S14">
        <f>ReferenceData!$S$14</f>
        <v>607.61699999999996</v>
      </c>
      <c r="T14">
        <f>ReferenceData!$T$14</f>
        <v>653.28</v>
      </c>
      <c r="U14">
        <f>ReferenceData!$U$14</f>
        <v>679.74900000000002</v>
      </c>
      <c r="V14">
        <f>ReferenceData!$V$14</f>
        <v>640.03899999999999</v>
      </c>
      <c r="W14">
        <f>ReferenceData!$W$14</f>
        <v>651.47699999999998</v>
      </c>
      <c r="X14">
        <f>ReferenceData!$X$14</f>
        <v>642.35599999999999</v>
      </c>
      <c r="Y14">
        <f>ReferenceData!$Y$14</f>
        <v>688.34199999999998</v>
      </c>
      <c r="Z14">
        <f>ReferenceData!$Z$14</f>
        <v>638.14099999999996</v>
      </c>
      <c r="AA14">
        <f>ReferenceData!$AA$14</f>
        <v>636.30799999999999</v>
      </c>
      <c r="AB14">
        <f>ReferenceData!$AB$14</f>
        <v>636.72699999999998</v>
      </c>
      <c r="AC14">
        <f>ReferenceData!$AC$14</f>
        <v>627.351</v>
      </c>
      <c r="AD14">
        <f>ReferenceData!$AD$14</f>
        <v>640.76599999999996</v>
      </c>
      <c r="AE14">
        <f>ReferenceData!$AE$14</f>
        <v>644.07399999999996</v>
      </c>
      <c r="AF14">
        <f>ReferenceData!$AF$14</f>
        <v>648.89200000000005</v>
      </c>
      <c r="AG14">
        <f>ReferenceData!$AG$14</f>
        <v>654.01499999999999</v>
      </c>
      <c r="AH14">
        <f>ReferenceData!$AH$14</f>
        <v>664.50800000000004</v>
      </c>
      <c r="AI14">
        <f>ReferenceData!$AI$14</f>
        <v>665.226</v>
      </c>
      <c r="AJ14">
        <f>ReferenceData!$AJ$14</f>
        <v>666.60799999999995</v>
      </c>
      <c r="AK14">
        <f>ReferenceData!$AK$14</f>
        <v>671.27099999999996</v>
      </c>
      <c r="AL14">
        <f>ReferenceData!$AL$14</f>
        <v>691.93399999999997</v>
      </c>
      <c r="AM14">
        <f>ReferenceData!$AM$14</f>
        <v>693.17700000000002</v>
      </c>
      <c r="AN14">
        <f>ReferenceData!$AN$14</f>
        <v>672.56</v>
      </c>
      <c r="AO14">
        <f>ReferenceData!$AO$14</f>
        <v>695.88400000000001</v>
      </c>
      <c r="AP14">
        <f>ReferenceData!$AP$14</f>
        <v>752.25900000000001</v>
      </c>
      <c r="AQ14">
        <f>ReferenceData!$AQ$14</f>
        <v>717.14200000000005</v>
      </c>
      <c r="AR14">
        <f>ReferenceData!$AR$14</f>
        <v>723.303</v>
      </c>
      <c r="AS14">
        <f>ReferenceData!$AS$14</f>
        <v>713.01599999999996</v>
      </c>
      <c r="AT14">
        <f>ReferenceData!$AT$14</f>
        <v>709.29700000000003</v>
      </c>
      <c r="AU14">
        <f>ReferenceData!$AU$14</f>
        <v>719.03300000000002</v>
      </c>
      <c r="AV14">
        <f>ReferenceData!$AV$14</f>
        <v>717.61500000000001</v>
      </c>
      <c r="AW14">
        <f>ReferenceData!$AW$14</f>
        <v>721.88400000000001</v>
      </c>
      <c r="AX14">
        <f>ReferenceData!$AX$14</f>
        <v>729.68600000000004</v>
      </c>
      <c r="AY14">
        <f>ReferenceData!$AY$14</f>
        <v>740.15300000000002</v>
      </c>
      <c r="AZ14">
        <f>ReferenceData!$AZ$14</f>
        <v>743.90200000000004</v>
      </c>
      <c r="BA14">
        <f>ReferenceData!$BA$14</f>
        <v>749.73</v>
      </c>
      <c r="BB14">
        <f>ReferenceData!$BB$14</f>
        <v>753.02300000000002</v>
      </c>
      <c r="BC14">
        <f>ReferenceData!$BC$14</f>
        <v>761.56700000000001</v>
      </c>
      <c r="BD14">
        <f>ReferenceData!$BD$14</f>
        <v>767.30399999999997</v>
      </c>
      <c r="BE14">
        <f>ReferenceData!$BE$14</f>
        <v>775.41700000000003</v>
      </c>
      <c r="BF14">
        <f>ReferenceData!$BF$14</f>
        <v>779.495</v>
      </c>
      <c r="BG14">
        <f>ReferenceData!$BG$14</f>
        <v>786.51199999999994</v>
      </c>
      <c r="BH14">
        <f>ReferenceData!$BH$14</f>
        <v>790.54899999999998</v>
      </c>
      <c r="BI14">
        <f>ReferenceData!$BI$14</f>
        <v>790.34900000000005</v>
      </c>
      <c r="BJ14">
        <f>ReferenceData!$BJ$14</f>
        <v>790.93100000000004</v>
      </c>
      <c r="BK14">
        <f>ReferenceData!$BK$14</f>
        <v>793.6</v>
      </c>
      <c r="BL14">
        <f>ReferenceData!$BL$14</f>
        <v>804.92</v>
      </c>
      <c r="BM14">
        <f>ReferenceData!$BM$14</f>
        <v>800.57399999999996</v>
      </c>
      <c r="BN14">
        <f>ReferenceData!$BN$14</f>
        <v>804.37099999999998</v>
      </c>
      <c r="BO14">
        <f>ReferenceData!$BO$14</f>
        <v>803.34</v>
      </c>
      <c r="BP14">
        <f>ReferenceData!$BP$14</f>
        <v>811.42399999999998</v>
      </c>
      <c r="BQ14">
        <f>ReferenceData!$BQ$14</f>
        <v>822.68899999999996</v>
      </c>
      <c r="BR14">
        <f>ReferenceData!$BR$14</f>
        <v>815.64499999999998</v>
      </c>
      <c r="BS14">
        <f>ReferenceData!$BS$14</f>
        <v>821.78499999999997</v>
      </c>
      <c r="BT14">
        <f>ReferenceData!$BT$14</f>
        <v>821.899</v>
      </c>
      <c r="BU14">
        <f>ReferenceData!$BU$14</f>
        <v>824.11300000000006</v>
      </c>
      <c r="BV14">
        <f>ReferenceData!$BV$14</f>
        <v>835.423</v>
      </c>
      <c r="BW14">
        <f>ReferenceData!$BW$14</f>
        <v>836.60900000000004</v>
      </c>
      <c r="BX14">
        <f>ReferenceData!$BX$14</f>
        <v>850.48599999999999</v>
      </c>
      <c r="BY14">
        <f>ReferenceData!$BY$14</f>
        <v>846.43700000000001</v>
      </c>
      <c r="BZ14">
        <f>ReferenceData!$BZ$14</f>
        <v>852.23299999999995</v>
      </c>
      <c r="CA14">
        <f>ReferenceData!$CA$14</f>
        <v>869.91600000000005</v>
      </c>
      <c r="CB14">
        <f>ReferenceData!$CB$14</f>
        <v>884.21199999999999</v>
      </c>
      <c r="CC14">
        <f>ReferenceData!$CC$14</f>
        <v>896.76300000000003</v>
      </c>
      <c r="CD14">
        <f>ReferenceData!$CD$14</f>
        <v>903.61900000000003</v>
      </c>
      <c r="CE14">
        <f>ReferenceData!$CE$14</f>
        <v>906.24400000000003</v>
      </c>
      <c r="CF14">
        <f>ReferenceData!$CF$14</f>
        <v>920.79100000000005</v>
      </c>
      <c r="CG14">
        <f>ReferenceData!$CG$14</f>
        <v>931.80799999999999</v>
      </c>
    </row>
    <row r="15" spans="1:85" x14ac:dyDescent="0.25">
      <c r="A15" t="str">
        <f>ReferenceData!$A$15</f>
        <v xml:space="preserve">    Liabilities to Credit Institutions</v>
      </c>
      <c r="B15" t="str">
        <f>ReferenceData!$B$15</f>
        <v/>
      </c>
      <c r="C15" t="str">
        <f>ReferenceData!$C$15</f>
        <v/>
      </c>
      <c r="D15" t="str">
        <f>ReferenceData!$D$15</f>
        <v/>
      </c>
      <c r="E15" t="str">
        <f>ReferenceData!$E$15</f>
        <v>Sum</v>
      </c>
      <c r="F15" t="str">
        <f ca="1">ReferenceData!$F$15</f>
        <v/>
      </c>
      <c r="G15">
        <f>ReferenceData!$G$15</f>
        <v>26.666999999999998</v>
      </c>
      <c r="H15">
        <f>ReferenceData!$H$15</f>
        <v>30.897000000000002</v>
      </c>
      <c r="I15">
        <f>ReferenceData!$I$15</f>
        <v>25.659000000000002</v>
      </c>
      <c r="J15">
        <f>ReferenceData!$J$15</f>
        <v>19.882000000000001</v>
      </c>
      <c r="K15">
        <f>ReferenceData!$K$15</f>
        <v>21.397000000000002</v>
      </c>
      <c r="L15">
        <f>ReferenceData!$L$15</f>
        <v>44.143000000000001</v>
      </c>
      <c r="M15">
        <f>ReferenceData!$M$15</f>
        <v>21.361000000000001</v>
      </c>
      <c r="N15">
        <f>ReferenceData!$N$15</f>
        <v>22.774999999999999</v>
      </c>
      <c r="O15">
        <f>ReferenceData!$O$15</f>
        <v>20.190000000000001</v>
      </c>
      <c r="P15">
        <f>ReferenceData!$P$15</f>
        <v>27.291999999999998</v>
      </c>
      <c r="Q15">
        <f>ReferenceData!$Q$15</f>
        <v>25.43</v>
      </c>
      <c r="R15">
        <f>ReferenceData!$R$15</f>
        <v>26.551000000000002</v>
      </c>
      <c r="S15">
        <f>ReferenceData!$S$15</f>
        <v>125.983</v>
      </c>
      <c r="T15">
        <f>ReferenceData!$T$15</f>
        <v>156.57</v>
      </c>
      <c r="U15">
        <f>ReferenceData!$U$15</f>
        <v>142.79500000000002</v>
      </c>
      <c r="V15">
        <f>ReferenceData!$V$15</f>
        <v>161.24600000000001</v>
      </c>
      <c r="W15">
        <f>ReferenceData!$W$15</f>
        <v>161.77000000000001</v>
      </c>
      <c r="X15">
        <f>ReferenceData!$X$15</f>
        <v>199.51</v>
      </c>
      <c r="Y15">
        <f>ReferenceData!$Y$15</f>
        <v>143.077</v>
      </c>
      <c r="Z15">
        <f>ReferenceData!$Z$15</f>
        <v>190.755</v>
      </c>
      <c r="AA15">
        <f>ReferenceData!$AA$15</f>
        <v>183.453</v>
      </c>
      <c r="AB15">
        <f>ReferenceData!$AB$15</f>
        <v>193.804</v>
      </c>
      <c r="AC15">
        <f>ReferenceData!$AC$15</f>
        <v>201.22400000000002</v>
      </c>
      <c r="AD15">
        <f>ReferenceData!$AD$15</f>
        <v>203.756</v>
      </c>
      <c r="AE15">
        <f>ReferenceData!$AE$15</f>
        <v>210.04</v>
      </c>
      <c r="AF15">
        <f>ReferenceData!$AF$15</f>
        <v>199.04</v>
      </c>
      <c r="AG15">
        <f>ReferenceData!$AG$15</f>
        <v>206.44199999999998</v>
      </c>
      <c r="AH15">
        <f>ReferenceData!$AH$15</f>
        <v>205.09400000000002</v>
      </c>
      <c r="AI15">
        <f>ReferenceData!$AI$15</f>
        <v>207.517</v>
      </c>
      <c r="AJ15">
        <f>ReferenceData!$AJ$15</f>
        <v>205.84399999999999</v>
      </c>
      <c r="AK15">
        <f>ReferenceData!$AK$15</f>
        <v>222.72399999999999</v>
      </c>
      <c r="AL15">
        <f>ReferenceData!$AL$15</f>
        <v>207.43399999999997</v>
      </c>
      <c r="AM15">
        <f>ReferenceData!$AM$15</f>
        <v>196.095</v>
      </c>
      <c r="AN15">
        <f>ReferenceData!$AN$15</f>
        <v>215.54900000000001</v>
      </c>
      <c r="AO15">
        <f>ReferenceData!$AO$15</f>
        <v>238.93199999999999</v>
      </c>
      <c r="AP15">
        <f>ReferenceData!$AP$15</f>
        <v>193.09399999999999</v>
      </c>
      <c r="AQ15">
        <f>ReferenceData!$AQ$15</f>
        <v>199.65</v>
      </c>
      <c r="AR15">
        <f>ReferenceData!$AR$15</f>
        <v>206.404</v>
      </c>
      <c r="AS15">
        <f>ReferenceData!$AS$15</f>
        <v>222.417</v>
      </c>
      <c r="AT15">
        <f>ReferenceData!$AT$15</f>
        <v>238.46300000000002</v>
      </c>
      <c r="AU15">
        <f>ReferenceData!$AU$15</f>
        <v>214.107</v>
      </c>
      <c r="AV15">
        <f>ReferenceData!$AV$15</f>
        <v>228.14699999999999</v>
      </c>
      <c r="AW15">
        <f>ReferenceData!$AW$15</f>
        <v>227.87199999999999</v>
      </c>
      <c r="AX15">
        <f>ReferenceData!$AX$15</f>
        <v>246.67600000000002</v>
      </c>
      <c r="AY15">
        <f>ReferenceData!$AY$15</f>
        <v>240.166</v>
      </c>
      <c r="AZ15">
        <f>ReferenceData!$AZ$15</f>
        <v>239.506</v>
      </c>
      <c r="BA15">
        <f>ReferenceData!$BA$15</f>
        <v>233.685</v>
      </c>
      <c r="BB15">
        <f>ReferenceData!$BB$15</f>
        <v>240.57300000000001</v>
      </c>
      <c r="BC15">
        <f>ReferenceData!$BC$15</f>
        <v>242.85600000000002</v>
      </c>
      <c r="BD15">
        <f>ReferenceData!$BD$15</f>
        <v>243.41499999999999</v>
      </c>
      <c r="BE15">
        <f>ReferenceData!$BE$15</f>
        <v>240.59399999999999</v>
      </c>
      <c r="BF15">
        <f>ReferenceData!$BF$15</f>
        <v>261.97800000000001</v>
      </c>
      <c r="BG15">
        <f>ReferenceData!$BG$15</f>
        <v>270.45799999999997</v>
      </c>
      <c r="BH15">
        <f>ReferenceData!$BH$15</f>
        <v>261.21800000000002</v>
      </c>
      <c r="BI15">
        <f>ReferenceData!$BI$15</f>
        <v>279.77999999999997</v>
      </c>
      <c r="BJ15">
        <f>ReferenceData!$BJ$15</f>
        <v>273.72199999999998</v>
      </c>
      <c r="BK15">
        <f>ReferenceData!$BK$15</f>
        <v>269.51400000000001</v>
      </c>
      <c r="BL15">
        <f>ReferenceData!$BL$15</f>
        <v>283.05600000000004</v>
      </c>
      <c r="BM15">
        <f>ReferenceData!$BM$15</f>
        <v>274.76900000000001</v>
      </c>
      <c r="BN15">
        <f>ReferenceData!$BN$15</f>
        <v>271.97899999999998</v>
      </c>
      <c r="BO15">
        <f>ReferenceData!$BO$15</f>
        <v>290.125</v>
      </c>
      <c r="BP15">
        <f>ReferenceData!$BP$15</f>
        <v>298.86299999999994</v>
      </c>
      <c r="BQ15">
        <f>ReferenceData!$BQ$15</f>
        <v>287.66500000000002</v>
      </c>
      <c r="BR15">
        <f>ReferenceData!$BR$15</f>
        <v>277.96899999999999</v>
      </c>
      <c r="BS15">
        <f>ReferenceData!$BS$15</f>
        <v>284.98699999999997</v>
      </c>
      <c r="BT15">
        <f>ReferenceData!$BT$15</f>
        <v>297.988</v>
      </c>
      <c r="BU15">
        <f>ReferenceData!$BU$15</f>
        <v>282.71199999999999</v>
      </c>
      <c r="BV15">
        <f>ReferenceData!$BV$15</f>
        <v>282.03700000000003</v>
      </c>
      <c r="BW15">
        <f>ReferenceData!$BW$15</f>
        <v>284.04599999999999</v>
      </c>
      <c r="BX15">
        <f>ReferenceData!$BX$15</f>
        <v>296.339</v>
      </c>
      <c r="BY15">
        <f>ReferenceData!$BY$15</f>
        <v>326.92599999999999</v>
      </c>
      <c r="BZ15">
        <f>ReferenceData!$BZ$15</f>
        <v>312.19700000000006</v>
      </c>
      <c r="CA15">
        <f>ReferenceData!$CA$15</f>
        <v>311.76900000000001</v>
      </c>
      <c r="CB15">
        <f>ReferenceData!$CB$15</f>
        <v>326.01600000000002</v>
      </c>
      <c r="CC15">
        <f>ReferenceData!$CC$15</f>
        <v>340.52199999999999</v>
      </c>
      <c r="CD15">
        <f>ReferenceData!$CD$15</f>
        <v>350.58500000000004</v>
      </c>
      <c r="CE15">
        <f>ReferenceData!$CE$15</f>
        <v>333.15499999999997</v>
      </c>
      <c r="CF15">
        <f>ReferenceData!$CF$15</f>
        <v>339.255</v>
      </c>
      <c r="CG15">
        <f>ReferenceData!$CG$15</f>
        <v>340.45599999999996</v>
      </c>
    </row>
    <row r="16" spans="1:85" x14ac:dyDescent="0.25">
      <c r="A16" t="str">
        <f>ReferenceData!$A$16</f>
        <v xml:space="preserve">        Deposit Facility</v>
      </c>
      <c r="B16" t="str">
        <f>ReferenceData!$B$16</f>
        <v>EBBSDEPF Index</v>
      </c>
      <c r="C16" t="str">
        <f>ReferenceData!$C$16</f>
        <v>PR005</v>
      </c>
      <c r="D16" t="str">
        <f>ReferenceData!$D$16</f>
        <v>PX_LAST</v>
      </c>
      <c r="E16" t="str">
        <f>ReferenceData!$E$16</f>
        <v>Dynamic</v>
      </c>
      <c r="F16" t="e">
        <f ca="1">ReferenceData!$F$16</f>
        <v>#N/A</v>
      </c>
      <c r="G16">
        <f>ReferenceData!$G$16</f>
        <v>26.65</v>
      </c>
      <c r="H16">
        <f>ReferenceData!$H$16</f>
        <v>30.864000000000001</v>
      </c>
      <c r="I16">
        <f>ReferenceData!$I$16</f>
        <v>25.626000000000001</v>
      </c>
      <c r="J16">
        <f>ReferenceData!$J$16</f>
        <v>19.849</v>
      </c>
      <c r="K16">
        <f>ReferenceData!$K$16</f>
        <v>21.146000000000001</v>
      </c>
      <c r="L16">
        <f>ReferenceData!$L$16</f>
        <v>44.118000000000002</v>
      </c>
      <c r="M16">
        <f>ReferenceData!$M$16</f>
        <v>21.334</v>
      </c>
      <c r="N16">
        <f>ReferenceData!$N$16</f>
        <v>22.718</v>
      </c>
      <c r="O16">
        <f>ReferenceData!$O$16</f>
        <v>20.184000000000001</v>
      </c>
      <c r="P16">
        <f>ReferenceData!$P$16</f>
        <v>27.274999999999999</v>
      </c>
      <c r="Q16">
        <f>ReferenceData!$Q$16</f>
        <v>25.422999999999998</v>
      </c>
      <c r="R16">
        <f>ReferenceData!$R$16</f>
        <v>26.544</v>
      </c>
      <c r="S16">
        <f>ReferenceData!$S$16</f>
        <v>17.175000000000001</v>
      </c>
      <c r="T16">
        <f>ReferenceData!$T$16</f>
        <v>37.311999999999998</v>
      </c>
      <c r="U16">
        <f>ReferenceData!$U$16</f>
        <v>39.909999999999997</v>
      </c>
      <c r="V16">
        <f>ReferenceData!$V$16</f>
        <v>23.774000000000001</v>
      </c>
      <c r="W16">
        <f>ReferenceData!$W$16</f>
        <v>17.481999999999999</v>
      </c>
      <c r="X16">
        <f>ReferenceData!$X$16</f>
        <v>33.844000000000001</v>
      </c>
      <c r="Y16">
        <f>ReferenceData!$Y$16</f>
        <v>39.078000000000003</v>
      </c>
      <c r="Z16">
        <f>ReferenceData!$Z$16</f>
        <v>23.974</v>
      </c>
      <c r="AA16">
        <f>ReferenceData!$AA$16</f>
        <v>30.056999999999999</v>
      </c>
      <c r="AB16">
        <f>ReferenceData!$AB$16</f>
        <v>21.154</v>
      </c>
      <c r="AC16">
        <f>ReferenceData!$AC$16</f>
        <v>25.722999999999999</v>
      </c>
      <c r="AD16">
        <f>ReferenceData!$AD$16</f>
        <v>28.256</v>
      </c>
      <c r="AE16">
        <f>ReferenceData!$AE$16</f>
        <v>34.536000000000001</v>
      </c>
      <c r="AF16">
        <f>ReferenceData!$AF$16</f>
        <v>23.495000000000001</v>
      </c>
      <c r="AG16">
        <f>ReferenceData!$AG$16</f>
        <v>30.939</v>
      </c>
      <c r="AH16">
        <f>ReferenceData!$AH$16</f>
        <v>29.370999999999999</v>
      </c>
      <c r="AI16">
        <f>ReferenceData!$AI$16</f>
        <v>32.014000000000003</v>
      </c>
      <c r="AJ16">
        <f>ReferenceData!$AJ$16</f>
        <v>29.890999999999998</v>
      </c>
      <c r="AK16">
        <f>ReferenceData!$AK$16</f>
        <v>47.220999999999997</v>
      </c>
      <c r="AL16">
        <f>ReferenceData!$AL$16</f>
        <v>56.064</v>
      </c>
      <c r="AM16">
        <f>ReferenceData!$AM$16</f>
        <v>44.01</v>
      </c>
      <c r="AN16">
        <f>ReferenceData!$AN$16</f>
        <v>36.488999999999997</v>
      </c>
      <c r="AO16">
        <f>ReferenceData!$AO$16</f>
        <v>59.753</v>
      </c>
      <c r="AP16">
        <f>ReferenceData!$AP$16</f>
        <v>88.212999999999994</v>
      </c>
      <c r="AQ16">
        <f>ReferenceData!$AQ$16</f>
        <v>59.628</v>
      </c>
      <c r="AR16">
        <f>ReferenceData!$AR$16</f>
        <v>53.344999999999999</v>
      </c>
      <c r="AS16">
        <f>ReferenceData!$AS$16</f>
        <v>38.341000000000001</v>
      </c>
      <c r="AT16">
        <f>ReferenceData!$AT$16</f>
        <v>54.069000000000003</v>
      </c>
      <c r="AU16">
        <f>ReferenceData!$AU$16</f>
        <v>56.146999999999998</v>
      </c>
      <c r="AV16">
        <f>ReferenceData!$AV$16</f>
        <v>44.039000000000001</v>
      </c>
      <c r="AW16">
        <f>ReferenceData!$AW$16</f>
        <v>43.860999999999997</v>
      </c>
      <c r="AX16">
        <f>ReferenceData!$AX$16</f>
        <v>62.442</v>
      </c>
      <c r="AY16">
        <f>ReferenceData!$AY$16</f>
        <v>52.127000000000002</v>
      </c>
      <c r="AZ16">
        <f>ReferenceData!$AZ$16</f>
        <v>51.335999999999999</v>
      </c>
      <c r="BA16">
        <f>ReferenceData!$BA$16</f>
        <v>45.667000000000002</v>
      </c>
      <c r="BB16">
        <f>ReferenceData!$BB$16</f>
        <v>52.552999999999997</v>
      </c>
      <c r="BC16">
        <f>ReferenceData!$BC$16</f>
        <v>55.335999999999999</v>
      </c>
      <c r="BD16">
        <f>ReferenceData!$BD$16</f>
        <v>52.87</v>
      </c>
      <c r="BE16">
        <f>ReferenceData!$BE$16</f>
        <v>50.06</v>
      </c>
      <c r="BF16">
        <f>ReferenceData!$BF$16</f>
        <v>71.424999999999997</v>
      </c>
      <c r="BG16">
        <f>ReferenceData!$BG$16</f>
        <v>79.933999999999997</v>
      </c>
      <c r="BH16">
        <f>ReferenceData!$BH$16</f>
        <v>70.569000000000003</v>
      </c>
      <c r="BI16">
        <f>ReferenceData!$BI$16</f>
        <v>87.224000000000004</v>
      </c>
      <c r="BJ16">
        <f>ReferenceData!$BJ$16</f>
        <v>81.201999999999998</v>
      </c>
      <c r="BK16">
        <f>ReferenceData!$BK$16</f>
        <v>76.997</v>
      </c>
      <c r="BL16">
        <f>ReferenceData!$BL$16</f>
        <v>87.347999999999999</v>
      </c>
      <c r="BM16">
        <f>ReferenceData!$BM$16</f>
        <v>79.242000000000004</v>
      </c>
      <c r="BN16">
        <f>ReferenceData!$BN$16</f>
        <v>76.430999999999997</v>
      </c>
      <c r="BO16">
        <f>ReferenceData!$BO$16</f>
        <v>94.619</v>
      </c>
      <c r="BP16">
        <f>ReferenceData!$BP$16</f>
        <v>103.86199999999999</v>
      </c>
      <c r="BQ16">
        <f>ReferenceData!$BQ$16</f>
        <v>92.18</v>
      </c>
      <c r="BR16">
        <f>ReferenceData!$BR$16</f>
        <v>82.963999999999999</v>
      </c>
      <c r="BS16">
        <f>ReferenceData!$BS$16</f>
        <v>89.956999999999994</v>
      </c>
      <c r="BT16">
        <f>ReferenceData!$BT$16</f>
        <v>100.881</v>
      </c>
      <c r="BU16">
        <f>ReferenceData!$BU$16</f>
        <v>85.64</v>
      </c>
      <c r="BV16">
        <f>ReferenceData!$BV$16</f>
        <v>81.037000000000006</v>
      </c>
      <c r="BW16">
        <f>ReferenceData!$BW$16</f>
        <v>83.039000000000001</v>
      </c>
      <c r="BX16">
        <f>ReferenceData!$BX$16</f>
        <v>95.338999999999999</v>
      </c>
      <c r="BY16">
        <f>ReferenceData!$BY$16</f>
        <v>124.102</v>
      </c>
      <c r="BZ16">
        <f>ReferenceData!$BZ$16</f>
        <v>109.66200000000001</v>
      </c>
      <c r="CA16">
        <f>ReferenceData!$CA$16</f>
        <v>105.59</v>
      </c>
      <c r="CB16">
        <f>ReferenceData!$CB$16</f>
        <v>119.90600000000001</v>
      </c>
      <c r="CC16">
        <f>ReferenceData!$CC$16</f>
        <v>134.90199999999999</v>
      </c>
      <c r="CD16">
        <f>ReferenceData!$CD$16</f>
        <v>144.648</v>
      </c>
      <c r="CE16">
        <f>ReferenceData!$CE$16</f>
        <v>126.755</v>
      </c>
      <c r="CF16">
        <f>ReferenceData!$CF$16</f>
        <v>132.63399999999999</v>
      </c>
      <c r="CG16">
        <f>ReferenceData!$CG$16</f>
        <v>134.083</v>
      </c>
    </row>
    <row r="17" spans="1:85" x14ac:dyDescent="0.25">
      <c r="A17" t="str">
        <f>ReferenceData!$A$17</f>
        <v xml:space="preserve">        Fixed-Term Deposits</v>
      </c>
      <c r="B17" t="str">
        <f>ReferenceData!$B$17</f>
        <v>EBBSFIXE Index</v>
      </c>
      <c r="C17" t="str">
        <f>ReferenceData!$C$17</f>
        <v>PR005</v>
      </c>
      <c r="D17" t="str">
        <f>ReferenceData!$D$17</f>
        <v>PX_LAST</v>
      </c>
      <c r="E17" t="str">
        <f>ReferenceData!$E$17</f>
        <v>Dynamic</v>
      </c>
      <c r="F17" t="e">
        <f ca="1">ReferenceData!$F$17</f>
        <v>#N/A</v>
      </c>
      <c r="G17">
        <f>ReferenceData!$G$17</f>
        <v>0</v>
      </c>
      <c r="H17">
        <f>ReferenceData!$H$17</f>
        <v>0</v>
      </c>
      <c r="I17">
        <f>ReferenceData!$I$17</f>
        <v>0</v>
      </c>
      <c r="J17">
        <f>ReferenceData!$J$17</f>
        <v>0</v>
      </c>
      <c r="K17">
        <f>ReferenceData!$K$17</f>
        <v>0</v>
      </c>
      <c r="L17">
        <f>ReferenceData!$L$17</f>
        <v>0</v>
      </c>
      <c r="M17">
        <f>ReferenceData!$M$17</f>
        <v>0</v>
      </c>
      <c r="N17">
        <f>ReferenceData!$N$17</f>
        <v>0</v>
      </c>
      <c r="O17">
        <f>ReferenceData!$O$17</f>
        <v>0</v>
      </c>
      <c r="P17">
        <f>ReferenceData!$P$17</f>
        <v>0</v>
      </c>
      <c r="Q17">
        <f>ReferenceData!$Q$17</f>
        <v>0</v>
      </c>
      <c r="R17">
        <f>ReferenceData!$R$17</f>
        <v>0</v>
      </c>
      <c r="S17">
        <f>ReferenceData!$S$17</f>
        <v>108.65</v>
      </c>
      <c r="T17">
        <f>ReferenceData!$T$17</f>
        <v>119.2</v>
      </c>
      <c r="U17">
        <f>ReferenceData!$U$17</f>
        <v>102.878</v>
      </c>
      <c r="V17">
        <f>ReferenceData!$V$17</f>
        <v>137.465</v>
      </c>
      <c r="W17">
        <f>ReferenceData!$W$17</f>
        <v>144.28100000000001</v>
      </c>
      <c r="X17">
        <f>ReferenceData!$X$17</f>
        <v>165.53299999999999</v>
      </c>
      <c r="Y17">
        <f>ReferenceData!$Y$17</f>
        <v>103.946</v>
      </c>
      <c r="Z17">
        <f>ReferenceData!$Z$17</f>
        <v>166.78</v>
      </c>
      <c r="AA17">
        <f>ReferenceData!$AA$17</f>
        <v>153.364</v>
      </c>
      <c r="AB17">
        <f>ReferenceData!$AB$17</f>
        <v>172.5</v>
      </c>
      <c r="AC17">
        <f>ReferenceData!$AC$17</f>
        <v>175.5</v>
      </c>
      <c r="AD17">
        <f>ReferenceData!$AD$17</f>
        <v>175.5</v>
      </c>
      <c r="AE17">
        <f>ReferenceData!$AE$17</f>
        <v>175.5</v>
      </c>
      <c r="AF17">
        <f>ReferenceData!$AF$17</f>
        <v>175.5</v>
      </c>
      <c r="AG17">
        <f>ReferenceData!$AG$17</f>
        <v>175.5</v>
      </c>
      <c r="AH17">
        <f>ReferenceData!$AH$17</f>
        <v>175.5</v>
      </c>
      <c r="AI17">
        <f>ReferenceData!$AI$17</f>
        <v>175.5</v>
      </c>
      <c r="AJ17">
        <f>ReferenceData!$AJ$17</f>
        <v>175.5</v>
      </c>
      <c r="AK17">
        <f>ReferenceData!$AK$17</f>
        <v>175.5</v>
      </c>
      <c r="AL17">
        <f>ReferenceData!$AL$17</f>
        <v>151.20599999999999</v>
      </c>
      <c r="AM17">
        <f>ReferenceData!$AM$17</f>
        <v>152.06700000000001</v>
      </c>
      <c r="AN17">
        <f>ReferenceData!$AN$17</f>
        <v>179</v>
      </c>
      <c r="AO17">
        <f>ReferenceData!$AO$17</f>
        <v>179</v>
      </c>
      <c r="AP17">
        <f>ReferenceData!$AP$17</f>
        <v>104.842</v>
      </c>
      <c r="AQ17">
        <f>ReferenceData!$AQ$17</f>
        <v>139.91999999999999</v>
      </c>
      <c r="AR17">
        <f>ReferenceData!$AR$17</f>
        <v>152.251</v>
      </c>
      <c r="AS17">
        <f>ReferenceData!$AS$17</f>
        <v>184</v>
      </c>
      <c r="AT17">
        <f>ReferenceData!$AT$17</f>
        <v>184</v>
      </c>
      <c r="AU17">
        <f>ReferenceData!$AU$17</f>
        <v>157.76400000000001</v>
      </c>
      <c r="AV17">
        <f>ReferenceData!$AV$17</f>
        <v>184</v>
      </c>
      <c r="AW17">
        <f>ReferenceData!$AW$17</f>
        <v>184</v>
      </c>
      <c r="AX17">
        <f>ReferenceData!$AX$17</f>
        <v>184</v>
      </c>
      <c r="AY17">
        <f>ReferenceData!$AY$17</f>
        <v>188</v>
      </c>
      <c r="AZ17">
        <f>ReferenceData!$AZ$17</f>
        <v>188</v>
      </c>
      <c r="BA17">
        <f>ReferenceData!$BA$17</f>
        <v>188</v>
      </c>
      <c r="BB17">
        <f>ReferenceData!$BB$17</f>
        <v>188</v>
      </c>
      <c r="BC17">
        <f>ReferenceData!$BC$17</f>
        <v>187.5</v>
      </c>
      <c r="BD17">
        <f>ReferenceData!$BD$17</f>
        <v>190.5</v>
      </c>
      <c r="BE17">
        <f>ReferenceData!$BE$17</f>
        <v>190.5</v>
      </c>
      <c r="BF17">
        <f>ReferenceData!$BF$17</f>
        <v>190.5</v>
      </c>
      <c r="BG17">
        <f>ReferenceData!$BG$17</f>
        <v>190.5</v>
      </c>
      <c r="BH17">
        <f>ReferenceData!$BH$17</f>
        <v>190.5</v>
      </c>
      <c r="BI17">
        <f>ReferenceData!$BI$17</f>
        <v>192.5</v>
      </c>
      <c r="BJ17">
        <f>ReferenceData!$BJ$17</f>
        <v>192.5</v>
      </c>
      <c r="BK17">
        <f>ReferenceData!$BK$17</f>
        <v>192.5</v>
      </c>
      <c r="BL17">
        <f>ReferenceData!$BL$17</f>
        <v>195.5</v>
      </c>
      <c r="BM17">
        <f>ReferenceData!$BM$17</f>
        <v>195.5</v>
      </c>
      <c r="BN17">
        <f>ReferenceData!$BN$17</f>
        <v>195.5</v>
      </c>
      <c r="BO17">
        <f>ReferenceData!$BO$17</f>
        <v>195.5</v>
      </c>
      <c r="BP17">
        <f>ReferenceData!$BP$17</f>
        <v>195</v>
      </c>
      <c r="BQ17">
        <f>ReferenceData!$BQ$17</f>
        <v>195</v>
      </c>
      <c r="BR17">
        <f>ReferenceData!$BR$17</f>
        <v>195</v>
      </c>
      <c r="BS17">
        <f>ReferenceData!$BS$17</f>
        <v>195.005</v>
      </c>
      <c r="BT17">
        <f>ReferenceData!$BT$17</f>
        <v>197</v>
      </c>
      <c r="BU17">
        <f>ReferenceData!$BU$17</f>
        <v>197</v>
      </c>
      <c r="BV17">
        <f>ReferenceData!$BV$17</f>
        <v>201</v>
      </c>
      <c r="BW17">
        <f>ReferenceData!$BW$17</f>
        <v>201</v>
      </c>
      <c r="BX17">
        <f>ReferenceData!$BX$17</f>
        <v>201</v>
      </c>
      <c r="BY17">
        <f>ReferenceData!$BY$17</f>
        <v>202.5</v>
      </c>
      <c r="BZ17">
        <f>ReferenceData!$BZ$17</f>
        <v>202.5</v>
      </c>
      <c r="CA17">
        <f>ReferenceData!$CA$17</f>
        <v>206</v>
      </c>
      <c r="CB17">
        <f>ReferenceData!$CB$17</f>
        <v>206</v>
      </c>
      <c r="CC17">
        <f>ReferenceData!$CC$17</f>
        <v>205.5</v>
      </c>
      <c r="CD17">
        <f>ReferenceData!$CD$17</f>
        <v>205.5</v>
      </c>
      <c r="CE17">
        <f>ReferenceData!$CE$17</f>
        <v>205.5</v>
      </c>
      <c r="CF17">
        <f>ReferenceData!$CF$17</f>
        <v>205.5</v>
      </c>
      <c r="CG17">
        <f>ReferenceData!$CG$17</f>
        <v>205.5</v>
      </c>
    </row>
    <row r="18" spans="1:85" x14ac:dyDescent="0.25">
      <c r="A18" t="str">
        <f>ReferenceData!$A$18</f>
        <v xml:space="preserve">        Fine-tuning Reverse Operations</v>
      </c>
      <c r="B18" t="str">
        <f>ReferenceData!$B$18</f>
        <v>EBBSDEPO Index</v>
      </c>
      <c r="C18" t="str">
        <f>ReferenceData!$C$18</f>
        <v>PR005</v>
      </c>
      <c r="D18" t="str">
        <f>ReferenceData!$D$18</f>
        <v>PX_LAST</v>
      </c>
      <c r="E18" t="str">
        <f>ReferenceData!$E$18</f>
        <v>Dynamic</v>
      </c>
      <c r="F18" t="e">
        <f ca="1">ReferenceData!$F$18</f>
        <v>#N/A</v>
      </c>
      <c r="G18">
        <f>ReferenceData!$G$18</f>
        <v>0</v>
      </c>
      <c r="H18">
        <f>ReferenceData!$H$18</f>
        <v>0</v>
      </c>
      <c r="I18">
        <f>ReferenceData!$I$18</f>
        <v>0</v>
      </c>
      <c r="J18">
        <f>ReferenceData!$J$18</f>
        <v>0</v>
      </c>
      <c r="K18">
        <f>ReferenceData!$K$18</f>
        <v>0</v>
      </c>
      <c r="L18">
        <f>ReferenceData!$L$18</f>
        <v>0</v>
      </c>
      <c r="M18">
        <f>ReferenceData!$M$18</f>
        <v>0</v>
      </c>
      <c r="N18">
        <f>ReferenceData!$N$18</f>
        <v>0</v>
      </c>
      <c r="O18">
        <f>ReferenceData!$O$18</f>
        <v>0</v>
      </c>
      <c r="P18">
        <f>ReferenceData!$P$18</f>
        <v>0</v>
      </c>
      <c r="Q18">
        <f>ReferenceData!$Q$18</f>
        <v>0</v>
      </c>
      <c r="R18">
        <f>ReferenceData!$R$18</f>
        <v>0</v>
      </c>
      <c r="S18">
        <f>ReferenceData!$S$18</f>
        <v>0</v>
      </c>
      <c r="T18">
        <f>ReferenceData!$T$18</f>
        <v>0</v>
      </c>
      <c r="U18">
        <f>ReferenceData!$U$18</f>
        <v>0</v>
      </c>
      <c r="V18">
        <f>ReferenceData!$V$18</f>
        <v>0</v>
      </c>
      <c r="W18">
        <f>ReferenceData!$W$18</f>
        <v>0</v>
      </c>
      <c r="X18">
        <f>ReferenceData!$X$18</f>
        <v>0</v>
      </c>
      <c r="Y18">
        <f>ReferenceData!$Y$18</f>
        <v>0</v>
      </c>
      <c r="Z18">
        <f>ReferenceData!$Z$18</f>
        <v>0</v>
      </c>
      <c r="AA18">
        <f>ReferenceData!$AA$18</f>
        <v>0</v>
      </c>
      <c r="AB18">
        <f>ReferenceData!$AB$18</f>
        <v>0</v>
      </c>
      <c r="AC18">
        <f>ReferenceData!$AC$18</f>
        <v>0</v>
      </c>
      <c r="AD18">
        <f>ReferenceData!$AD$18</f>
        <v>0</v>
      </c>
      <c r="AE18">
        <f>ReferenceData!$AE$18</f>
        <v>0</v>
      </c>
      <c r="AF18">
        <f>ReferenceData!$AF$18</f>
        <v>0</v>
      </c>
      <c r="AG18">
        <f>ReferenceData!$AG$18</f>
        <v>0</v>
      </c>
      <c r="AH18">
        <f>ReferenceData!$AH$18</f>
        <v>0</v>
      </c>
      <c r="AI18">
        <f>ReferenceData!$AI$18</f>
        <v>0</v>
      </c>
      <c r="AJ18">
        <f>ReferenceData!$AJ$18</f>
        <v>0</v>
      </c>
      <c r="AK18">
        <f>ReferenceData!$AK$18</f>
        <v>0</v>
      </c>
      <c r="AL18">
        <f>ReferenceData!$AL$18</f>
        <v>0</v>
      </c>
      <c r="AM18">
        <f>ReferenceData!$AM$18</f>
        <v>0</v>
      </c>
      <c r="AN18">
        <f>ReferenceData!$AN$18</f>
        <v>0</v>
      </c>
      <c r="AO18">
        <f>ReferenceData!$AO$18</f>
        <v>0</v>
      </c>
      <c r="AP18">
        <f>ReferenceData!$AP$18</f>
        <v>0</v>
      </c>
      <c r="AQ18">
        <f>ReferenceData!$AQ$18</f>
        <v>0</v>
      </c>
      <c r="AR18">
        <f>ReferenceData!$AR$18</f>
        <v>0</v>
      </c>
      <c r="AS18">
        <f>ReferenceData!$AS$18</f>
        <v>0</v>
      </c>
      <c r="AT18">
        <f>ReferenceData!$AT$18</f>
        <v>0</v>
      </c>
      <c r="AU18">
        <f>ReferenceData!$AU$18</f>
        <v>0</v>
      </c>
      <c r="AV18">
        <f>ReferenceData!$AV$18</f>
        <v>0</v>
      </c>
      <c r="AW18">
        <f>ReferenceData!$AW$18</f>
        <v>0</v>
      </c>
      <c r="AX18">
        <f>ReferenceData!$AX$18</f>
        <v>0</v>
      </c>
      <c r="AY18">
        <f>ReferenceData!$AY$18</f>
        <v>0</v>
      </c>
      <c r="AZ18">
        <f>ReferenceData!$AZ$18</f>
        <v>0</v>
      </c>
      <c r="BA18">
        <f>ReferenceData!$BA$18</f>
        <v>0</v>
      </c>
      <c r="BB18">
        <f>ReferenceData!$BB$18</f>
        <v>0</v>
      </c>
      <c r="BC18">
        <f>ReferenceData!$BC$18</f>
        <v>0</v>
      </c>
      <c r="BD18">
        <f>ReferenceData!$BD$18</f>
        <v>0</v>
      </c>
      <c r="BE18">
        <f>ReferenceData!$BE$18</f>
        <v>0</v>
      </c>
      <c r="BF18">
        <f>ReferenceData!$BF$18</f>
        <v>0</v>
      </c>
      <c r="BG18">
        <f>ReferenceData!$BG$18</f>
        <v>0</v>
      </c>
      <c r="BH18">
        <f>ReferenceData!$BH$18</f>
        <v>0</v>
      </c>
      <c r="BI18">
        <f>ReferenceData!$BI$18</f>
        <v>0</v>
      </c>
      <c r="BJ18">
        <f>ReferenceData!$BJ$18</f>
        <v>0</v>
      </c>
      <c r="BK18">
        <f>ReferenceData!$BK$18</f>
        <v>0</v>
      </c>
      <c r="BL18">
        <f>ReferenceData!$BL$18</f>
        <v>0</v>
      </c>
      <c r="BM18">
        <f>ReferenceData!$BM$18</f>
        <v>0</v>
      </c>
      <c r="BN18">
        <f>ReferenceData!$BN$18</f>
        <v>0</v>
      </c>
      <c r="BO18">
        <f>ReferenceData!$BO$18</f>
        <v>0</v>
      </c>
      <c r="BP18">
        <f>ReferenceData!$BP$18</f>
        <v>0</v>
      </c>
      <c r="BQ18">
        <f>ReferenceData!$BQ$18</f>
        <v>0</v>
      </c>
      <c r="BR18">
        <f>ReferenceData!$BR$18</f>
        <v>0</v>
      </c>
      <c r="BS18">
        <f>ReferenceData!$BS$18</f>
        <v>0</v>
      </c>
      <c r="BT18">
        <f>ReferenceData!$BT$18</f>
        <v>0</v>
      </c>
      <c r="BU18">
        <f>ReferenceData!$BU$18</f>
        <v>0</v>
      </c>
      <c r="BV18">
        <f>ReferenceData!$BV$18</f>
        <v>0</v>
      </c>
      <c r="BW18">
        <f>ReferenceData!$BW$18</f>
        <v>0</v>
      </c>
      <c r="BX18">
        <f>ReferenceData!$BX$18</f>
        <v>0</v>
      </c>
      <c r="BY18">
        <f>ReferenceData!$BY$18</f>
        <v>0</v>
      </c>
      <c r="BZ18">
        <f>ReferenceData!$BZ$18</f>
        <v>0</v>
      </c>
      <c r="CA18">
        <f>ReferenceData!$CA$18</f>
        <v>0</v>
      </c>
      <c r="CB18">
        <f>ReferenceData!$CB$18</f>
        <v>0</v>
      </c>
      <c r="CC18">
        <f>ReferenceData!$CC$18</f>
        <v>0</v>
      </c>
      <c r="CD18">
        <f>ReferenceData!$CD$18</f>
        <v>0</v>
      </c>
      <c r="CE18">
        <f>ReferenceData!$CE$18</f>
        <v>0</v>
      </c>
      <c r="CF18">
        <f>ReferenceData!$CF$18</f>
        <v>0</v>
      </c>
      <c r="CG18">
        <f>ReferenceData!$CG$18</f>
        <v>0</v>
      </c>
    </row>
    <row r="19" spans="1:85" x14ac:dyDescent="0.25">
      <c r="A19" t="str">
        <f>ReferenceData!$A$19</f>
        <v xml:space="preserve">        Deposits Related to Margin Calls</v>
      </c>
      <c r="B19" t="str">
        <f>ReferenceData!$B$19</f>
        <v>EBBSL025 Index</v>
      </c>
      <c r="C19" t="str">
        <f>ReferenceData!$C$19</f>
        <v>PR005</v>
      </c>
      <c r="D19" t="str">
        <f>ReferenceData!$D$19</f>
        <v>PX_LAST</v>
      </c>
      <c r="E19" t="str">
        <f>ReferenceData!$E$19</f>
        <v>Dynamic</v>
      </c>
      <c r="F19" t="e">
        <f ca="1">ReferenceData!$F$19</f>
        <v>#N/A</v>
      </c>
      <c r="G19">
        <f>ReferenceData!$G$19</f>
        <v>1.7000000000000001E-2</v>
      </c>
      <c r="H19">
        <f>ReferenceData!$H$19</f>
        <v>3.3000000000000002E-2</v>
      </c>
      <c r="I19">
        <f>ReferenceData!$I$19</f>
        <v>3.3000000000000002E-2</v>
      </c>
      <c r="J19">
        <f>ReferenceData!$J$19</f>
        <v>3.3000000000000002E-2</v>
      </c>
      <c r="K19">
        <f>ReferenceData!$K$19</f>
        <v>0.251</v>
      </c>
      <c r="L19">
        <f>ReferenceData!$L$19</f>
        <v>2.5000000000000001E-2</v>
      </c>
      <c r="M19">
        <f>ReferenceData!$M$19</f>
        <v>2.7E-2</v>
      </c>
      <c r="N19">
        <f>ReferenceData!$N$19</f>
        <v>5.7000000000000002E-2</v>
      </c>
      <c r="O19">
        <f>ReferenceData!$O$19</f>
        <v>6.0000000000000001E-3</v>
      </c>
      <c r="P19">
        <f>ReferenceData!$P$19</f>
        <v>1.7000000000000001E-2</v>
      </c>
      <c r="Q19">
        <f>ReferenceData!$Q$19</f>
        <v>7.0000000000000001E-3</v>
      </c>
      <c r="R19">
        <f>ReferenceData!$R$19</f>
        <v>7.0000000000000001E-3</v>
      </c>
      <c r="S19">
        <f>ReferenceData!$S$19</f>
        <v>0.158</v>
      </c>
      <c r="T19">
        <f>ReferenceData!$T$19</f>
        <v>5.8000000000000003E-2</v>
      </c>
      <c r="U19">
        <f>ReferenceData!$U$19</f>
        <v>7.0000000000000001E-3</v>
      </c>
      <c r="V19">
        <f>ReferenceData!$V$19</f>
        <v>7.0000000000000001E-3</v>
      </c>
      <c r="W19">
        <f>ReferenceData!$W$19</f>
        <v>7.0000000000000001E-3</v>
      </c>
      <c r="X19">
        <f>ReferenceData!$X$19</f>
        <v>0.13300000000000001</v>
      </c>
      <c r="Y19">
        <f>ReferenceData!$Y$19</f>
        <v>5.2999999999999999E-2</v>
      </c>
      <c r="Z19">
        <f>ReferenceData!$Z$19</f>
        <v>1E-3</v>
      </c>
      <c r="AA19">
        <f>ReferenceData!$AA$19</f>
        <v>3.2000000000000001E-2</v>
      </c>
      <c r="AB19">
        <f>ReferenceData!$AB$19</f>
        <v>0.15</v>
      </c>
      <c r="AC19">
        <f>ReferenceData!$AC$19</f>
        <v>1E-3</v>
      </c>
      <c r="AD19">
        <f>ReferenceData!$AD$19</f>
        <v>0</v>
      </c>
      <c r="AE19">
        <f>ReferenceData!$AE$19</f>
        <v>4.0000000000000001E-3</v>
      </c>
      <c r="AF19">
        <f>ReferenceData!$AF$19</f>
        <v>4.4999999999999998E-2</v>
      </c>
      <c r="AG19">
        <f>ReferenceData!$AG$19</f>
        <v>3.0000000000000001E-3</v>
      </c>
      <c r="AH19">
        <f>ReferenceData!$AH$19</f>
        <v>0.223</v>
      </c>
      <c r="AI19">
        <f>ReferenceData!$AI$19</f>
        <v>3.0000000000000001E-3</v>
      </c>
      <c r="AJ19">
        <f>ReferenceData!$AJ$19</f>
        <v>0.45300000000000001</v>
      </c>
      <c r="AK19">
        <f>ReferenceData!$AK$19</f>
        <v>3.0000000000000001E-3</v>
      </c>
      <c r="AL19">
        <f>ReferenceData!$AL$19</f>
        <v>0.16400000000000001</v>
      </c>
      <c r="AM19">
        <f>ReferenceData!$AM$19</f>
        <v>1.7999999999999999E-2</v>
      </c>
      <c r="AN19">
        <f>ReferenceData!$AN$19</f>
        <v>0.06</v>
      </c>
      <c r="AO19">
        <f>ReferenceData!$AO$19</f>
        <v>0.17899999999999999</v>
      </c>
      <c r="AP19">
        <f>ReferenceData!$AP$19</f>
        <v>3.9E-2</v>
      </c>
      <c r="AQ19">
        <f>ReferenceData!$AQ$19</f>
        <v>0.10199999999999999</v>
      </c>
      <c r="AR19">
        <f>ReferenceData!$AR$19</f>
        <v>0.80800000000000005</v>
      </c>
      <c r="AS19">
        <f>ReferenceData!$AS$19</f>
        <v>7.5999999999999998E-2</v>
      </c>
      <c r="AT19">
        <f>ReferenceData!$AT$19</f>
        <v>0.39400000000000002</v>
      </c>
      <c r="AU19">
        <f>ReferenceData!$AU$19</f>
        <v>0.19600000000000001</v>
      </c>
      <c r="AV19">
        <f>ReferenceData!$AV$19</f>
        <v>0.108</v>
      </c>
      <c r="AW19">
        <f>ReferenceData!$AW$19</f>
        <v>1.0999999999999999E-2</v>
      </c>
      <c r="AX19">
        <f>ReferenceData!$AX$19</f>
        <v>0.23400000000000001</v>
      </c>
      <c r="AY19">
        <f>ReferenceData!$AY$19</f>
        <v>3.9E-2</v>
      </c>
      <c r="AZ19">
        <f>ReferenceData!$AZ$19</f>
        <v>0.17</v>
      </c>
      <c r="BA19">
        <f>ReferenceData!$BA$19</f>
        <v>1.7999999999999999E-2</v>
      </c>
      <c r="BB19">
        <f>ReferenceData!$BB$19</f>
        <v>0.02</v>
      </c>
      <c r="BC19">
        <f>ReferenceData!$BC$19</f>
        <v>0.02</v>
      </c>
      <c r="BD19">
        <f>ReferenceData!$BD$19</f>
        <v>4.4999999999999998E-2</v>
      </c>
      <c r="BE19">
        <f>ReferenceData!$BE$19</f>
        <v>3.4000000000000002E-2</v>
      </c>
      <c r="BF19">
        <f>ReferenceData!$BF$19</f>
        <v>5.2999999999999999E-2</v>
      </c>
      <c r="BG19">
        <f>ReferenceData!$BG$19</f>
        <v>2.4E-2</v>
      </c>
      <c r="BH19">
        <f>ReferenceData!$BH$19</f>
        <v>0.14899999999999999</v>
      </c>
      <c r="BI19">
        <f>ReferenceData!$BI$19</f>
        <v>5.6000000000000001E-2</v>
      </c>
      <c r="BJ19">
        <f>ReferenceData!$BJ$19</f>
        <v>0.02</v>
      </c>
      <c r="BK19">
        <f>ReferenceData!$BK$19</f>
        <v>1.7000000000000001E-2</v>
      </c>
      <c r="BL19">
        <f>ReferenceData!$BL$19</f>
        <v>0.20799999999999999</v>
      </c>
      <c r="BM19">
        <f>ReferenceData!$BM$19</f>
        <v>2.7E-2</v>
      </c>
      <c r="BN19">
        <f>ReferenceData!$BN$19</f>
        <v>4.8000000000000001E-2</v>
      </c>
      <c r="BO19">
        <f>ReferenceData!$BO$19</f>
        <v>6.0000000000000001E-3</v>
      </c>
      <c r="BP19">
        <f>ReferenceData!$BP$19</f>
        <v>1E-3</v>
      </c>
      <c r="BQ19">
        <f>ReferenceData!$BQ$19</f>
        <v>0.48499999999999999</v>
      </c>
      <c r="BR19">
        <f>ReferenceData!$BR$19</f>
        <v>5.0000000000000001E-3</v>
      </c>
      <c r="BS19">
        <f>ReferenceData!$BS$19</f>
        <v>2.5000000000000001E-2</v>
      </c>
      <c r="BT19">
        <f>ReferenceData!$BT$19</f>
        <v>0.107</v>
      </c>
      <c r="BU19">
        <f>ReferenceData!$BU$19</f>
        <v>7.1999999999999995E-2</v>
      </c>
      <c r="BV19">
        <f>ReferenceData!$BV$19</f>
        <v>0</v>
      </c>
      <c r="BW19">
        <f>ReferenceData!$BW$19</f>
        <v>7.0000000000000001E-3</v>
      </c>
      <c r="BX19">
        <f>ReferenceData!$BX$19</f>
        <v>0</v>
      </c>
      <c r="BY19">
        <f>ReferenceData!$BY$19</f>
        <v>0.32400000000000001</v>
      </c>
      <c r="BZ19">
        <f>ReferenceData!$BZ$19</f>
        <v>3.5000000000000003E-2</v>
      </c>
      <c r="CA19">
        <f>ReferenceData!$CA$19</f>
        <v>0.17899999999999999</v>
      </c>
      <c r="CB19">
        <f>ReferenceData!$CB$19</f>
        <v>0.11</v>
      </c>
      <c r="CC19">
        <f>ReferenceData!$CC$19</f>
        <v>0.12</v>
      </c>
      <c r="CD19">
        <f>ReferenceData!$CD$19</f>
        <v>0.437</v>
      </c>
      <c r="CE19">
        <f>ReferenceData!$CE$19</f>
        <v>0.9</v>
      </c>
      <c r="CF19">
        <f>ReferenceData!$CF$19</f>
        <v>1.121</v>
      </c>
      <c r="CG19">
        <f>ReferenceData!$CG$19</f>
        <v>0.873</v>
      </c>
    </row>
    <row r="20" spans="1:85" x14ac:dyDescent="0.25">
      <c r="A20" t="str">
        <f>ReferenceData!$A$20</f>
        <v xml:space="preserve">        Debt Certificates Issued</v>
      </c>
      <c r="B20" t="str">
        <f>ReferenceData!$B$20</f>
        <v>EBBSCERT Index</v>
      </c>
      <c r="C20" t="str">
        <f>ReferenceData!$C$20</f>
        <v>PR005</v>
      </c>
      <c r="D20" t="str">
        <f>ReferenceData!$D$20</f>
        <v>PX_LAST</v>
      </c>
      <c r="E20" t="str">
        <f>ReferenceData!$E$20</f>
        <v>Dynamic</v>
      </c>
      <c r="F20" t="e">
        <f ca="1">ReferenceData!$F$20</f>
        <v>#N/A</v>
      </c>
      <c r="G20">
        <f>ReferenceData!$G$20</f>
        <v>0</v>
      </c>
      <c r="H20">
        <f>ReferenceData!$H$20</f>
        <v>0</v>
      </c>
      <c r="I20">
        <f>ReferenceData!$I$20</f>
        <v>0</v>
      </c>
      <c r="J20">
        <f>ReferenceData!$J$20</f>
        <v>0</v>
      </c>
      <c r="K20">
        <f>ReferenceData!$K$20</f>
        <v>0</v>
      </c>
      <c r="L20">
        <f>ReferenceData!$L$20</f>
        <v>0</v>
      </c>
      <c r="M20">
        <f>ReferenceData!$M$20</f>
        <v>0</v>
      </c>
      <c r="N20">
        <f>ReferenceData!$N$20</f>
        <v>0</v>
      </c>
      <c r="O20">
        <f>ReferenceData!$O$20</f>
        <v>0</v>
      </c>
      <c r="P20">
        <f>ReferenceData!$P$20</f>
        <v>0</v>
      </c>
      <c r="Q20">
        <f>ReferenceData!$Q$20</f>
        <v>0</v>
      </c>
      <c r="R20">
        <f>ReferenceData!$R$20</f>
        <v>0</v>
      </c>
      <c r="S20">
        <f>ReferenceData!$S$20</f>
        <v>0</v>
      </c>
      <c r="T20">
        <f>ReferenceData!$T$20</f>
        <v>0</v>
      </c>
      <c r="U20">
        <f>ReferenceData!$U$20</f>
        <v>0</v>
      </c>
      <c r="V20">
        <f>ReferenceData!$V$20</f>
        <v>0</v>
      </c>
      <c r="W20">
        <f>ReferenceData!$W$20</f>
        <v>0</v>
      </c>
      <c r="X20">
        <f>ReferenceData!$X$20</f>
        <v>0</v>
      </c>
      <c r="Y20">
        <f>ReferenceData!$Y$20</f>
        <v>0</v>
      </c>
      <c r="Z20">
        <f>ReferenceData!$Z$20</f>
        <v>0</v>
      </c>
      <c r="AA20">
        <f>ReferenceData!$AA$20</f>
        <v>0</v>
      </c>
      <c r="AB20">
        <f>ReferenceData!$AB$20</f>
        <v>0</v>
      </c>
      <c r="AC20">
        <f>ReferenceData!$AC$20</f>
        <v>0</v>
      </c>
      <c r="AD20">
        <f>ReferenceData!$AD$20</f>
        <v>0</v>
      </c>
      <c r="AE20">
        <f>ReferenceData!$AE$20</f>
        <v>0</v>
      </c>
      <c r="AF20">
        <f>ReferenceData!$AF$20</f>
        <v>0</v>
      </c>
      <c r="AG20">
        <f>ReferenceData!$AG$20</f>
        <v>0</v>
      </c>
      <c r="AH20">
        <f>ReferenceData!$AH$20</f>
        <v>0</v>
      </c>
      <c r="AI20">
        <f>ReferenceData!$AI$20</f>
        <v>0</v>
      </c>
      <c r="AJ20">
        <f>ReferenceData!$AJ$20</f>
        <v>0</v>
      </c>
      <c r="AK20">
        <f>ReferenceData!$AK$20</f>
        <v>0</v>
      </c>
      <c r="AL20">
        <f>ReferenceData!$AL$20</f>
        <v>0</v>
      </c>
      <c r="AM20">
        <f>ReferenceData!$AM$20</f>
        <v>0</v>
      </c>
      <c r="AN20">
        <f>ReferenceData!$AN$20</f>
        <v>0</v>
      </c>
      <c r="AO20">
        <f>ReferenceData!$AO$20</f>
        <v>0</v>
      </c>
      <c r="AP20">
        <f>ReferenceData!$AP$20</f>
        <v>0</v>
      </c>
      <c r="AQ20">
        <f>ReferenceData!$AQ$20</f>
        <v>0</v>
      </c>
      <c r="AR20">
        <f>ReferenceData!$AR$20</f>
        <v>0</v>
      </c>
      <c r="AS20">
        <f>ReferenceData!$AS$20</f>
        <v>0</v>
      </c>
      <c r="AT20">
        <f>ReferenceData!$AT$20</f>
        <v>0</v>
      </c>
      <c r="AU20">
        <f>ReferenceData!$AU$20</f>
        <v>0</v>
      </c>
      <c r="AV20">
        <f>ReferenceData!$AV$20</f>
        <v>0</v>
      </c>
      <c r="AW20">
        <f>ReferenceData!$AW$20</f>
        <v>0</v>
      </c>
      <c r="AX20">
        <f>ReferenceData!$AX$20</f>
        <v>0</v>
      </c>
      <c r="AY20">
        <f>ReferenceData!$AY$20</f>
        <v>0</v>
      </c>
      <c r="AZ20">
        <f>ReferenceData!$AZ$20</f>
        <v>0</v>
      </c>
      <c r="BA20">
        <f>ReferenceData!$BA$20</f>
        <v>0</v>
      </c>
      <c r="BB20">
        <f>ReferenceData!$BB$20</f>
        <v>0</v>
      </c>
      <c r="BC20">
        <f>ReferenceData!$BC$20</f>
        <v>0</v>
      </c>
      <c r="BD20">
        <f>ReferenceData!$BD$20</f>
        <v>0</v>
      </c>
      <c r="BE20">
        <f>ReferenceData!$BE$20</f>
        <v>0</v>
      </c>
      <c r="BF20">
        <f>ReferenceData!$BF$20</f>
        <v>0</v>
      </c>
      <c r="BG20">
        <f>ReferenceData!$BG$20</f>
        <v>0</v>
      </c>
      <c r="BH20">
        <f>ReferenceData!$BH$20</f>
        <v>0</v>
      </c>
      <c r="BI20">
        <f>ReferenceData!$BI$20</f>
        <v>0</v>
      </c>
      <c r="BJ20">
        <f>ReferenceData!$BJ$20</f>
        <v>0</v>
      </c>
      <c r="BK20">
        <f>ReferenceData!$BK$20</f>
        <v>0</v>
      </c>
      <c r="BL20">
        <f>ReferenceData!$BL$20</f>
        <v>0</v>
      </c>
      <c r="BM20">
        <f>ReferenceData!$BM$20</f>
        <v>0</v>
      </c>
      <c r="BN20">
        <f>ReferenceData!$BN$20</f>
        <v>0</v>
      </c>
      <c r="BO20">
        <f>ReferenceData!$BO$20</f>
        <v>0</v>
      </c>
      <c r="BP20">
        <f>ReferenceData!$BP$20</f>
        <v>0</v>
      </c>
      <c r="BQ20">
        <f>ReferenceData!$BQ$20</f>
        <v>0</v>
      </c>
      <c r="BR20">
        <f>ReferenceData!$BR$20</f>
        <v>0</v>
      </c>
      <c r="BS20">
        <f>ReferenceData!$BS$20</f>
        <v>0</v>
      </c>
      <c r="BT20">
        <f>ReferenceData!$BT$20</f>
        <v>0</v>
      </c>
      <c r="BU20">
        <f>ReferenceData!$BU$20</f>
        <v>0</v>
      </c>
      <c r="BV20">
        <f>ReferenceData!$BV$20</f>
        <v>0</v>
      </c>
      <c r="BW20">
        <f>ReferenceData!$BW$20</f>
        <v>0</v>
      </c>
      <c r="BX20">
        <f>ReferenceData!$BX$20</f>
        <v>0</v>
      </c>
      <c r="BY20">
        <f>ReferenceData!$BY$20</f>
        <v>0</v>
      </c>
      <c r="BZ20">
        <f>ReferenceData!$BZ$20</f>
        <v>0</v>
      </c>
      <c r="CA20">
        <f>ReferenceData!$CA$20</f>
        <v>0</v>
      </c>
      <c r="CB20">
        <f>ReferenceData!$CB$20</f>
        <v>0</v>
      </c>
      <c r="CC20">
        <f>ReferenceData!$CC$20</f>
        <v>0</v>
      </c>
      <c r="CD20">
        <f>ReferenceData!$CD$20</f>
        <v>0</v>
      </c>
      <c r="CE20">
        <f>ReferenceData!$CE$20</f>
        <v>0</v>
      </c>
      <c r="CF20">
        <f>ReferenceData!$CF$20</f>
        <v>0</v>
      </c>
      <c r="CG20">
        <f>ReferenceData!$CG$20</f>
        <v>0</v>
      </c>
    </row>
    <row r="21" spans="1:85" x14ac:dyDescent="0.25">
      <c r="A21" t="str">
        <f>ReferenceData!$A$21</f>
        <v xml:space="preserve">    ECB Current Accounts (incl. Minimum Reserve System)</v>
      </c>
      <c r="B21" t="str">
        <f>ReferenceData!$B$21</f>
        <v>EBBSCA Index</v>
      </c>
      <c r="C21" t="str">
        <f>ReferenceData!$C$21</f>
        <v>PR005</v>
      </c>
      <c r="D21" t="str">
        <f>ReferenceData!$D$21</f>
        <v>PX_LAST</v>
      </c>
      <c r="E21" t="str">
        <f>ReferenceData!$E$21</f>
        <v>Dynamic</v>
      </c>
      <c r="F21" t="e">
        <f ca="1">ReferenceData!$F$21</f>
        <v>#N/A</v>
      </c>
      <c r="G21">
        <f>ReferenceData!$G$21</f>
        <v>193.71899999999999</v>
      </c>
      <c r="H21">
        <f>ReferenceData!$H$21</f>
        <v>222.75700000000001</v>
      </c>
      <c r="I21">
        <f>ReferenceData!$I$21</f>
        <v>205.21600000000001</v>
      </c>
      <c r="J21">
        <f>ReferenceData!$J$21</f>
        <v>221.62</v>
      </c>
      <c r="K21">
        <f>ReferenceData!$K$21</f>
        <v>214.47499999999999</v>
      </c>
      <c r="L21">
        <f>ReferenceData!$L$21</f>
        <v>219.715</v>
      </c>
      <c r="M21">
        <f>ReferenceData!$M$21</f>
        <v>196.36699999999999</v>
      </c>
      <c r="N21">
        <f>ReferenceData!$N$21</f>
        <v>211.10300000000001</v>
      </c>
      <c r="O21">
        <f>ReferenceData!$O$21</f>
        <v>206.155</v>
      </c>
      <c r="P21">
        <f>ReferenceData!$P$21</f>
        <v>214.24600000000001</v>
      </c>
      <c r="Q21">
        <f>ReferenceData!$Q$21</f>
        <v>217.727</v>
      </c>
      <c r="R21">
        <f>ReferenceData!$R$21</f>
        <v>211.226</v>
      </c>
      <c r="S21">
        <f>ReferenceData!$S$21</f>
        <v>199.83099999999999</v>
      </c>
      <c r="T21">
        <f>ReferenceData!$T$21</f>
        <v>187.12299999999999</v>
      </c>
      <c r="U21">
        <f>ReferenceData!$U$21</f>
        <v>209.392</v>
      </c>
      <c r="V21">
        <f>ReferenceData!$V$21</f>
        <v>168.54499999999999</v>
      </c>
      <c r="W21">
        <f>ReferenceData!$W$21</f>
        <v>201.41499999999999</v>
      </c>
      <c r="X21">
        <f>ReferenceData!$X$21</f>
        <v>150.01900000000001</v>
      </c>
      <c r="Y21">
        <f>ReferenceData!$Y$21</f>
        <v>240.19200000000001</v>
      </c>
      <c r="Z21">
        <f>ReferenceData!$Z$21</f>
        <v>166.14500000000001</v>
      </c>
      <c r="AA21">
        <f>ReferenceData!$AA$21</f>
        <v>202.94499999999999</v>
      </c>
      <c r="AB21">
        <f>ReferenceData!$AB$21</f>
        <v>198.232</v>
      </c>
      <c r="AC21">
        <f>ReferenceData!$AC$21</f>
        <v>181.14500000000001</v>
      </c>
      <c r="AD21">
        <f>ReferenceData!$AD$21</f>
        <v>179.16200000000001</v>
      </c>
      <c r="AE21">
        <f>ReferenceData!$AE$21</f>
        <v>195.20099999999999</v>
      </c>
      <c r="AF21">
        <f>ReferenceData!$AF$21</f>
        <v>226.755</v>
      </c>
      <c r="AG21">
        <f>ReferenceData!$AG$21</f>
        <v>187.11199999999999</v>
      </c>
      <c r="AH21">
        <f>ReferenceData!$AH$21</f>
        <v>187.393</v>
      </c>
      <c r="AI21">
        <f>ReferenceData!$AI$21</f>
        <v>196.262</v>
      </c>
      <c r="AJ21">
        <f>ReferenceData!$AJ$21</f>
        <v>223.73500000000001</v>
      </c>
      <c r="AK21">
        <f>ReferenceData!$AK$21</f>
        <v>200.44399999999999</v>
      </c>
      <c r="AL21">
        <f>ReferenceData!$AL$21</f>
        <v>215.69</v>
      </c>
      <c r="AM21">
        <f>ReferenceData!$AM$21</f>
        <v>227.88399999999999</v>
      </c>
      <c r="AN21">
        <f>ReferenceData!$AN$21</f>
        <v>202.44900000000001</v>
      </c>
      <c r="AO21">
        <f>ReferenceData!$AO$21</f>
        <v>202.327</v>
      </c>
      <c r="AP21">
        <f>ReferenceData!$AP$21</f>
        <v>298.94299999999998</v>
      </c>
      <c r="AQ21">
        <f>ReferenceData!$AQ$21</f>
        <v>244.083</v>
      </c>
      <c r="AR21">
        <f>ReferenceData!$AR$21</f>
        <v>256.07799999999997</v>
      </c>
      <c r="AS21">
        <f>ReferenceData!$AS$21</f>
        <v>223.637</v>
      </c>
      <c r="AT21">
        <f>ReferenceData!$AT$21</f>
        <v>203.67400000000001</v>
      </c>
      <c r="AU21">
        <f>ReferenceData!$AU$21</f>
        <v>215.501</v>
      </c>
      <c r="AV21">
        <f>ReferenceData!$AV$21</f>
        <v>217.95699999999999</v>
      </c>
      <c r="AW21">
        <f>ReferenceData!$AW$21</f>
        <v>231.88800000000001</v>
      </c>
      <c r="AX21">
        <f>ReferenceData!$AX$21</f>
        <v>230.56899999999999</v>
      </c>
      <c r="AY21">
        <f>ReferenceData!$AY$21</f>
        <v>226.935</v>
      </c>
      <c r="AZ21">
        <f>ReferenceData!$AZ$21</f>
        <v>230.15600000000001</v>
      </c>
      <c r="BA21">
        <f>ReferenceData!$BA$21</f>
        <v>269.10500000000002</v>
      </c>
      <c r="BB21">
        <f>ReferenceData!$BB$21</f>
        <v>268.04700000000003</v>
      </c>
      <c r="BC21">
        <f>ReferenceData!$BC$21</f>
        <v>265.36599999999999</v>
      </c>
      <c r="BD21">
        <f>ReferenceData!$BD$21</f>
        <v>258.76</v>
      </c>
      <c r="BE21">
        <f>ReferenceData!$BE$21</f>
        <v>274.47800000000001</v>
      </c>
      <c r="BF21">
        <f>ReferenceData!$BF$21</f>
        <v>275.81900000000002</v>
      </c>
      <c r="BG21">
        <f>ReferenceData!$BG$21</f>
        <v>269.18099999999998</v>
      </c>
      <c r="BH21">
        <f>ReferenceData!$BH$21</f>
        <v>272.26</v>
      </c>
      <c r="BI21">
        <f>ReferenceData!$BI$21</f>
        <v>256.14800000000002</v>
      </c>
      <c r="BJ21">
        <f>ReferenceData!$BJ$21</f>
        <v>281.53899999999999</v>
      </c>
      <c r="BK21">
        <f>ReferenceData!$BK$21</f>
        <v>284.03500000000003</v>
      </c>
      <c r="BL21">
        <f>ReferenceData!$BL$21</f>
        <v>272.32900000000001</v>
      </c>
      <c r="BM21">
        <f>ReferenceData!$BM$21</f>
        <v>255.821</v>
      </c>
      <c r="BN21">
        <f>ReferenceData!$BN$21</f>
        <v>264.66199999999998</v>
      </c>
      <c r="BO21">
        <f>ReferenceData!$BO$21</f>
        <v>275.34699999999998</v>
      </c>
      <c r="BP21">
        <f>ReferenceData!$BP$21</f>
        <v>271.26400000000001</v>
      </c>
      <c r="BQ21">
        <f>ReferenceData!$BQ$21</f>
        <v>276.32900000000001</v>
      </c>
      <c r="BR21">
        <f>ReferenceData!$BR$21</f>
        <v>279.536</v>
      </c>
      <c r="BS21">
        <f>ReferenceData!$BS$21</f>
        <v>309.815</v>
      </c>
      <c r="BT21">
        <f>ReferenceData!$BT$21</f>
        <v>280.024</v>
      </c>
      <c r="BU21">
        <f>ReferenceData!$BU$21</f>
        <v>273.35399999999998</v>
      </c>
      <c r="BV21">
        <f>ReferenceData!$BV$21</f>
        <v>294.64600000000002</v>
      </c>
      <c r="BW21">
        <f>ReferenceData!$BW$21</f>
        <v>319.50400000000002</v>
      </c>
      <c r="BX21">
        <f>ReferenceData!$BX$21</f>
        <v>333.697</v>
      </c>
      <c r="BY21">
        <f>ReferenceData!$BY$21</f>
        <v>296.19799999999998</v>
      </c>
      <c r="BZ21">
        <f>ReferenceData!$BZ$21</f>
        <v>315.952</v>
      </c>
      <c r="CA21">
        <f>ReferenceData!$CA$21</f>
        <v>329.80099999999999</v>
      </c>
      <c r="CB21">
        <f>ReferenceData!$CB$21</f>
        <v>343.05099999999999</v>
      </c>
      <c r="CC21">
        <f>ReferenceData!$CC$21</f>
        <v>336.91199999999998</v>
      </c>
      <c r="CD21">
        <f>ReferenceData!$CD$21</f>
        <v>319.27499999999998</v>
      </c>
      <c r="CE21">
        <f>ReferenceData!$CE$21</f>
        <v>351.673</v>
      </c>
      <c r="CF21">
        <f>ReferenceData!$CF$21</f>
        <v>366.51</v>
      </c>
      <c r="CG21">
        <f>ReferenceData!$CG$21</f>
        <v>354.80200000000002</v>
      </c>
    </row>
    <row r="22" spans="1:85" x14ac:dyDescent="0.25">
      <c r="A22" t="str">
        <f>ReferenceData!$A$22</f>
        <v/>
      </c>
      <c r="B22" t="str">
        <f>ReferenceData!$B$22</f>
        <v/>
      </c>
      <c r="C22" t="str">
        <f>ReferenceData!$C$22</f>
        <v/>
      </c>
      <c r="D22" t="str">
        <f>ReferenceData!$D$22</f>
        <v/>
      </c>
      <c r="E22" t="str">
        <f>ReferenceData!$E$22</f>
        <v>Static</v>
      </c>
      <c r="F22" t="str">
        <f>ReferenceData!$F$22</f>
        <v/>
      </c>
      <c r="G22" t="str">
        <f>ReferenceData!$G$22</f>
        <v/>
      </c>
      <c r="H22" t="str">
        <f>ReferenceData!$H$22</f>
        <v/>
      </c>
      <c r="I22" t="str">
        <f>ReferenceData!$I$22</f>
        <v/>
      </c>
      <c r="J22" t="str">
        <f>ReferenceData!$J$22</f>
        <v/>
      </c>
      <c r="K22" t="str">
        <f>ReferenceData!$K$22</f>
        <v/>
      </c>
      <c r="L22" t="str">
        <f>ReferenceData!$L$22</f>
        <v/>
      </c>
      <c r="M22" t="str">
        <f>ReferenceData!$M$22</f>
        <v/>
      </c>
      <c r="N22" t="str">
        <f>ReferenceData!$N$22</f>
        <v/>
      </c>
      <c r="O22" t="str">
        <f>ReferenceData!$O$22</f>
        <v/>
      </c>
      <c r="P22" t="str">
        <f>ReferenceData!$P$22</f>
        <v/>
      </c>
      <c r="Q22" t="str">
        <f>ReferenceData!$Q$22</f>
        <v/>
      </c>
      <c r="R22" t="str">
        <f>ReferenceData!$R$22</f>
        <v/>
      </c>
      <c r="S22" t="str">
        <f>ReferenceData!$S$22</f>
        <v/>
      </c>
      <c r="T22" t="str">
        <f>ReferenceData!$T$22</f>
        <v/>
      </c>
      <c r="U22" t="str">
        <f>ReferenceData!$U$22</f>
        <v/>
      </c>
      <c r="V22" t="str">
        <f>ReferenceData!$V$22</f>
        <v/>
      </c>
      <c r="W22" t="str">
        <f>ReferenceData!$W$22</f>
        <v/>
      </c>
      <c r="X22" t="str">
        <f>ReferenceData!$X$22</f>
        <v/>
      </c>
      <c r="Y22" t="str">
        <f>ReferenceData!$Y$22</f>
        <v/>
      </c>
      <c r="Z22" t="str">
        <f>ReferenceData!$Z$22</f>
        <v/>
      </c>
      <c r="AA22" t="str">
        <f>ReferenceData!$AA$22</f>
        <v/>
      </c>
      <c r="AB22" t="str">
        <f>ReferenceData!$AB$22</f>
        <v/>
      </c>
      <c r="AC22" t="str">
        <f>ReferenceData!$AC$22</f>
        <v/>
      </c>
      <c r="AD22" t="str">
        <f>ReferenceData!$AD$22</f>
        <v/>
      </c>
      <c r="AE22" t="str">
        <f>ReferenceData!$AE$22</f>
        <v/>
      </c>
      <c r="AF22" t="str">
        <f>ReferenceData!$AF$22</f>
        <v/>
      </c>
      <c r="AG22" t="str">
        <f>ReferenceData!$AG$22</f>
        <v/>
      </c>
      <c r="AH22" t="str">
        <f>ReferenceData!$AH$22</f>
        <v/>
      </c>
      <c r="AI22" t="str">
        <f>ReferenceData!$AI$22</f>
        <v/>
      </c>
      <c r="AJ22" t="str">
        <f>ReferenceData!$AJ$22</f>
        <v/>
      </c>
      <c r="AK22" t="str">
        <f>ReferenceData!$AK$22</f>
        <v/>
      </c>
      <c r="AL22" t="str">
        <f>ReferenceData!$AL$22</f>
        <v/>
      </c>
      <c r="AM22" t="str">
        <f>ReferenceData!$AM$22</f>
        <v/>
      </c>
      <c r="AN22" t="str">
        <f>ReferenceData!$AN$22</f>
        <v/>
      </c>
      <c r="AO22" t="str">
        <f>ReferenceData!$AO$22</f>
        <v/>
      </c>
      <c r="AP22" t="str">
        <f>ReferenceData!$AP$22</f>
        <v/>
      </c>
      <c r="AQ22" t="str">
        <f>ReferenceData!$AQ$22</f>
        <v/>
      </c>
      <c r="AR22" t="str">
        <f>ReferenceData!$AR$22</f>
        <v/>
      </c>
      <c r="AS22" t="str">
        <f>ReferenceData!$AS$22</f>
        <v/>
      </c>
      <c r="AT22" t="str">
        <f>ReferenceData!$AT$22</f>
        <v/>
      </c>
      <c r="AU22" t="str">
        <f>ReferenceData!$AU$22</f>
        <v/>
      </c>
      <c r="AV22" t="str">
        <f>ReferenceData!$AV$22</f>
        <v/>
      </c>
      <c r="AW22" t="str">
        <f>ReferenceData!$AW$22</f>
        <v/>
      </c>
      <c r="AX22" t="str">
        <f>ReferenceData!$AX$22</f>
        <v/>
      </c>
      <c r="AY22" t="str">
        <f>ReferenceData!$AY$22</f>
        <v/>
      </c>
      <c r="AZ22" t="str">
        <f>ReferenceData!$AZ$22</f>
        <v/>
      </c>
      <c r="BA22" t="str">
        <f>ReferenceData!$BA$22</f>
        <v/>
      </c>
      <c r="BB22" t="str">
        <f>ReferenceData!$BB$22</f>
        <v/>
      </c>
      <c r="BC22" t="str">
        <f>ReferenceData!$BC$22</f>
        <v/>
      </c>
      <c r="BD22" t="str">
        <f>ReferenceData!$BD$22</f>
        <v/>
      </c>
      <c r="BE22" t="str">
        <f>ReferenceData!$BE$22</f>
        <v/>
      </c>
      <c r="BF22" t="str">
        <f>ReferenceData!$BF$22</f>
        <v/>
      </c>
      <c r="BG22" t="str">
        <f>ReferenceData!$BG$22</f>
        <v/>
      </c>
      <c r="BH22" t="str">
        <f>ReferenceData!$BH$22</f>
        <v/>
      </c>
      <c r="BI22" t="str">
        <f>ReferenceData!$BI$22</f>
        <v/>
      </c>
      <c r="BJ22" t="str">
        <f>ReferenceData!$BJ$22</f>
        <v/>
      </c>
      <c r="BK22" t="str">
        <f>ReferenceData!$BK$22</f>
        <v/>
      </c>
      <c r="BL22" t="str">
        <f>ReferenceData!$BL$22</f>
        <v/>
      </c>
      <c r="BM22" t="str">
        <f>ReferenceData!$BM$22</f>
        <v/>
      </c>
      <c r="BN22" t="str">
        <f>ReferenceData!$BN$22</f>
        <v/>
      </c>
      <c r="BO22" t="str">
        <f>ReferenceData!$BO$22</f>
        <v/>
      </c>
      <c r="BP22" t="str">
        <f>ReferenceData!$BP$22</f>
        <v/>
      </c>
      <c r="BQ22" t="str">
        <f>ReferenceData!$BQ$22</f>
        <v/>
      </c>
      <c r="BR22" t="str">
        <f>ReferenceData!$BR$22</f>
        <v/>
      </c>
      <c r="BS22" t="str">
        <f>ReferenceData!$BS$22</f>
        <v/>
      </c>
      <c r="BT22" t="str">
        <f>ReferenceData!$BT$22</f>
        <v/>
      </c>
      <c r="BU22" t="str">
        <f>ReferenceData!$BU$22</f>
        <v/>
      </c>
      <c r="BV22" t="str">
        <f>ReferenceData!$BV$22</f>
        <v/>
      </c>
      <c r="BW22" t="str">
        <f>ReferenceData!$BW$22</f>
        <v/>
      </c>
      <c r="BX22" t="str">
        <f>ReferenceData!$BX$22</f>
        <v/>
      </c>
      <c r="BY22" t="str">
        <f>ReferenceData!$BY$22</f>
        <v/>
      </c>
      <c r="BZ22" t="str">
        <f>ReferenceData!$BZ$22</f>
        <v/>
      </c>
      <c r="CA22" t="str">
        <f>ReferenceData!$CA$22</f>
        <v/>
      </c>
      <c r="CB22" t="str">
        <f>ReferenceData!$CB$22</f>
        <v/>
      </c>
      <c r="CC22" t="str">
        <f>ReferenceData!$CC$22</f>
        <v/>
      </c>
      <c r="CD22" t="str">
        <f>ReferenceData!$CD$22</f>
        <v/>
      </c>
      <c r="CE22" t="str">
        <f>ReferenceData!$CE$22</f>
        <v/>
      </c>
      <c r="CF22" t="str">
        <f>ReferenceData!$CF$22</f>
        <v/>
      </c>
      <c r="CG22" t="str">
        <f>ReferenceData!$CG$22</f>
        <v/>
      </c>
    </row>
    <row r="23" spans="1:85" x14ac:dyDescent="0.25">
      <c r="A23" t="str">
        <f>ReferenceData!$A$23</f>
        <v>EXCESS LIQUIDITY (EUR B)</v>
      </c>
      <c r="B23" t="str">
        <f>ReferenceData!$B$23</f>
        <v>ECBLXLIQ Index</v>
      </c>
      <c r="C23" t="str">
        <f>ReferenceData!$C$23</f>
        <v/>
      </c>
      <c r="D23" t="str">
        <f>ReferenceData!$D$23</f>
        <v/>
      </c>
      <c r="E23" t="str">
        <f>ReferenceData!$E$23</f>
        <v>Expression</v>
      </c>
      <c r="F23" t="str">
        <f ca="1">ReferenceData!$F$23</f>
        <v/>
      </c>
      <c r="G23">
        <f>ReferenceData!$G$23</f>
        <v>115.02800000000001</v>
      </c>
      <c r="H23">
        <f>ReferenceData!$H$23</f>
        <v>147.47900000000001</v>
      </c>
      <c r="I23">
        <f>ReferenceData!$I$23</f>
        <v>125.613</v>
      </c>
      <c r="J23">
        <f>ReferenceData!$J$23</f>
        <v>136.24</v>
      </c>
      <c r="K23">
        <f>ReferenceData!$K$23</f>
        <v>130.60400000000001</v>
      </c>
      <c r="L23">
        <f>ReferenceData!$L$23</f>
        <v>158.78800000000001</v>
      </c>
      <c r="M23">
        <f>ReferenceData!$M$23</f>
        <v>112.336</v>
      </c>
      <c r="N23">
        <f>ReferenceData!$N$23</f>
        <v>128.101</v>
      </c>
      <c r="O23">
        <f>ReferenceData!$O$23</f>
        <v>121.139</v>
      </c>
      <c r="P23">
        <f>ReferenceData!$P$23</f>
        <v>137.095</v>
      </c>
      <c r="Q23">
        <f>ReferenceData!$Q$23</f>
        <v>138.666</v>
      </c>
      <c r="R23">
        <f>ReferenceData!$R$23</f>
        <v>133.33699999999999</v>
      </c>
      <c r="S23">
        <f>ReferenceData!$S$23</f>
        <v>112.56699999999999</v>
      </c>
      <c r="T23">
        <f>ReferenceData!$T$23</f>
        <v>120.473</v>
      </c>
      <c r="U23">
        <f>ReferenceData!$U$23</f>
        <v>145.31299999999999</v>
      </c>
      <c r="V23">
        <f>ReferenceData!$V$23</f>
        <v>88.269000000000005</v>
      </c>
      <c r="W23">
        <f>ReferenceData!$W$23</f>
        <v>114.961</v>
      </c>
      <c r="X23">
        <f>ReferenceData!$X$23</f>
        <v>80.358000000000004</v>
      </c>
      <c r="Y23">
        <f>ReferenceData!$Y$23</f>
        <v>175.01400000000001</v>
      </c>
      <c r="Z23">
        <f>ReferenceData!$Z$23</f>
        <v>86.596000000000004</v>
      </c>
      <c r="AA23">
        <f>ReferenceData!$AA$23</f>
        <v>131.88499999999999</v>
      </c>
      <c r="AB23">
        <f>ReferenceData!$AB$23</f>
        <v>115.879</v>
      </c>
      <c r="AC23">
        <f>ReferenceData!$AC$23</f>
        <v>103.069</v>
      </c>
      <c r="AD23">
        <f>ReferenceData!$AD$23</f>
        <v>102.431</v>
      </c>
      <c r="AE23">
        <f>ReferenceData!$AE$23</f>
        <v>125.242</v>
      </c>
      <c r="AF23">
        <f>ReferenceData!$AF$23</f>
        <v>146.66999999999999</v>
      </c>
      <c r="AG23">
        <f>ReferenceData!$AG$23</f>
        <v>114.934</v>
      </c>
      <c r="AH23">
        <f>ReferenceData!$AH$23</f>
        <v>113.155</v>
      </c>
      <c r="AI23">
        <f>ReferenceData!$AI$23</f>
        <v>125.256</v>
      </c>
      <c r="AJ23">
        <f>ReferenceData!$AJ$23</f>
        <v>150.65799999999999</v>
      </c>
      <c r="AK23">
        <f>ReferenceData!$AK$23</f>
        <v>143.50700000000001</v>
      </c>
      <c r="AL23">
        <f>ReferenceData!$AL$23</f>
        <v>167.88900000000001</v>
      </c>
      <c r="AM23">
        <f>ReferenceData!$AM$23</f>
        <v>168.10499999999999</v>
      </c>
      <c r="AN23">
        <f>ReferenceData!$AN$23</f>
        <v>135.214</v>
      </c>
      <c r="AO23">
        <f>ReferenceData!$AO$23</f>
        <v>158.77699999999999</v>
      </c>
      <c r="AP23">
        <f>ReferenceData!$AP$23</f>
        <v>283.61399999999998</v>
      </c>
      <c r="AQ23">
        <f>ReferenceData!$AQ$23</f>
        <v>200.16499999999999</v>
      </c>
      <c r="AR23">
        <f>ReferenceData!$AR$23</f>
        <v>205.88499999999999</v>
      </c>
      <c r="AS23">
        <f>ReferenceData!$AS$23</f>
        <v>158.65299999999999</v>
      </c>
      <c r="AT23">
        <f>ReferenceData!$AT$23</f>
        <v>154.26400000000001</v>
      </c>
      <c r="AU23">
        <f>ReferenceData!$AU$23</f>
        <v>168.20400000000001</v>
      </c>
      <c r="AV23">
        <f>ReferenceData!$AV$23</f>
        <v>158.494</v>
      </c>
      <c r="AW23">
        <f>ReferenceData!$AW$23</f>
        <v>172.428</v>
      </c>
      <c r="AX23">
        <f>ReferenceData!$AX$23</f>
        <v>189.249</v>
      </c>
      <c r="AY23">
        <f>ReferenceData!$AY$23</f>
        <v>175.27799999999999</v>
      </c>
      <c r="AZ23">
        <f>ReferenceData!$AZ$23</f>
        <v>177.732</v>
      </c>
      <c r="BA23">
        <f>ReferenceData!$BA$23</f>
        <v>211.012</v>
      </c>
      <c r="BB23">
        <f>ReferenceData!$BB$23</f>
        <v>216.52600000000001</v>
      </c>
      <c r="BC23">
        <f>ReferenceData!$BC$23</f>
        <v>216.84800000000001</v>
      </c>
      <c r="BD23">
        <f>ReferenceData!$BD$23</f>
        <v>207.75700000000001</v>
      </c>
      <c r="BE23">
        <f>ReferenceData!$BE$23</f>
        <v>220.53899999999999</v>
      </c>
      <c r="BF23">
        <f>ReferenceData!$BF$23</f>
        <v>243.423</v>
      </c>
      <c r="BG23">
        <f>ReferenceData!$BG$23</f>
        <v>241.92699999999999</v>
      </c>
      <c r="BH23">
        <f>ReferenceData!$BH$23</f>
        <v>237.75899999999999</v>
      </c>
      <c r="BI23">
        <f>ReferenceData!$BI$23</f>
        <v>238.41800000000001</v>
      </c>
      <c r="BJ23">
        <f>ReferenceData!$BJ$23</f>
        <v>257.69099999999997</v>
      </c>
      <c r="BK23">
        <f>ReferenceData!$BK$23</f>
        <v>255.881</v>
      </c>
      <c r="BL23">
        <f>ReferenceData!$BL$23</f>
        <v>255.185</v>
      </c>
      <c r="BM23">
        <f>ReferenceData!$BM$23</f>
        <v>229.86099999999999</v>
      </c>
      <c r="BN23">
        <f>ReferenceData!$BN$23</f>
        <v>236.602</v>
      </c>
      <c r="BO23">
        <f>ReferenceData!$BO$23</f>
        <v>265.358</v>
      </c>
      <c r="BP23">
        <f>ReferenceData!$BP$23</f>
        <v>269.62200000000001</v>
      </c>
      <c r="BQ23">
        <f>ReferenceData!$BQ$23</f>
        <v>263.41399999999999</v>
      </c>
      <c r="BR23">
        <f>ReferenceData!$BR$23</f>
        <v>253.88900000000001</v>
      </c>
      <c r="BS23">
        <f>ReferenceData!$BS$23</f>
        <v>294.5</v>
      </c>
      <c r="BT23">
        <f>ReferenceData!$BT$23</f>
        <v>274.54000000000002</v>
      </c>
      <c r="BU23">
        <f>ReferenceData!$BU$23</f>
        <v>253.66800000000001</v>
      </c>
      <c r="BV23">
        <f>ReferenceData!$BV$23</f>
        <v>277.815</v>
      </c>
      <c r="BW23">
        <f>ReferenceData!$BW$23</f>
        <v>297.11799999999999</v>
      </c>
      <c r="BX23">
        <f>ReferenceData!$BX$23</f>
        <v>322.536</v>
      </c>
      <c r="BY23">
        <f>ReferenceData!$BY$23</f>
        <v>313.548</v>
      </c>
      <c r="BZ23">
        <f>ReferenceData!$BZ$23</f>
        <v>320.738</v>
      </c>
      <c r="CA23">
        <f>ReferenceData!$CA$23</f>
        <v>330.46899999999999</v>
      </c>
      <c r="CB23">
        <f>ReferenceData!$CB$23</f>
        <v>357.51100000000002</v>
      </c>
      <c r="CC23">
        <f>ReferenceData!$CC$23</f>
        <v>366.90199999999999</v>
      </c>
      <c r="CD23">
        <f>ReferenceData!$CD$23</f>
        <v>357.52300000000002</v>
      </c>
      <c r="CE23">
        <f>ReferenceData!$CE$23</f>
        <v>373.322</v>
      </c>
      <c r="CF23">
        <f>ReferenceData!$CF$23</f>
        <v>394.238</v>
      </c>
      <c r="CG23">
        <f>ReferenceData!$CG$23</f>
        <v>383.25200000000001</v>
      </c>
    </row>
    <row r="24" spans="1:85" x14ac:dyDescent="0.25">
      <c r="A24" t="str">
        <f>ReferenceData!$A$24</f>
        <v>(Deposit Facility-Marginal Lending</v>
      </c>
      <c r="B24" t="str">
        <f>ReferenceData!$B$24</f>
        <v/>
      </c>
      <c r="C24" t="str">
        <f>ReferenceData!$C$24</f>
        <v/>
      </c>
      <c r="D24" t="str">
        <f>ReferenceData!$D$24</f>
        <v/>
      </c>
      <c r="E24" t="str">
        <f>ReferenceData!$E$24</f>
        <v>Static</v>
      </c>
      <c r="F24" t="str">
        <f>ReferenceData!$F$24</f>
        <v/>
      </c>
      <c r="G24" t="str">
        <f>ReferenceData!$G$24</f>
        <v/>
      </c>
      <c r="H24" t="str">
        <f>ReferenceData!$H$24</f>
        <v/>
      </c>
      <c r="I24" t="str">
        <f>ReferenceData!$I$24</f>
        <v/>
      </c>
      <c r="J24" t="str">
        <f>ReferenceData!$J$24</f>
        <v/>
      </c>
      <c r="K24" t="str">
        <f>ReferenceData!$K$24</f>
        <v/>
      </c>
      <c r="L24" t="str">
        <f>ReferenceData!$L$24</f>
        <v/>
      </c>
      <c r="M24" t="str">
        <f>ReferenceData!$M$24</f>
        <v/>
      </c>
      <c r="N24" t="str">
        <f>ReferenceData!$N$24</f>
        <v/>
      </c>
      <c r="O24" t="str">
        <f>ReferenceData!$O$24</f>
        <v/>
      </c>
      <c r="P24" t="str">
        <f>ReferenceData!$P$24</f>
        <v/>
      </c>
      <c r="Q24" t="str">
        <f>ReferenceData!$Q$24</f>
        <v/>
      </c>
      <c r="R24" t="str">
        <f>ReferenceData!$R$24</f>
        <v/>
      </c>
      <c r="S24" t="str">
        <f>ReferenceData!$S$24</f>
        <v/>
      </c>
      <c r="T24" t="str">
        <f>ReferenceData!$T$24</f>
        <v/>
      </c>
      <c r="U24" t="str">
        <f>ReferenceData!$U$24</f>
        <v/>
      </c>
      <c r="V24" t="str">
        <f>ReferenceData!$V$24</f>
        <v/>
      </c>
      <c r="W24" t="str">
        <f>ReferenceData!$W$24</f>
        <v/>
      </c>
      <c r="X24" t="str">
        <f>ReferenceData!$X$24</f>
        <v/>
      </c>
      <c r="Y24" t="str">
        <f>ReferenceData!$Y$24</f>
        <v/>
      </c>
      <c r="Z24" t="str">
        <f>ReferenceData!$Z$24</f>
        <v/>
      </c>
      <c r="AA24" t="str">
        <f>ReferenceData!$AA$24</f>
        <v/>
      </c>
      <c r="AB24" t="str">
        <f>ReferenceData!$AB$24</f>
        <v/>
      </c>
      <c r="AC24" t="str">
        <f>ReferenceData!$AC$24</f>
        <v/>
      </c>
      <c r="AD24" t="str">
        <f>ReferenceData!$AD$24</f>
        <v/>
      </c>
      <c r="AE24" t="str">
        <f>ReferenceData!$AE$24</f>
        <v/>
      </c>
      <c r="AF24" t="str">
        <f>ReferenceData!$AF$24</f>
        <v/>
      </c>
      <c r="AG24" t="str">
        <f>ReferenceData!$AG$24</f>
        <v/>
      </c>
      <c r="AH24" t="str">
        <f>ReferenceData!$AH$24</f>
        <v/>
      </c>
      <c r="AI24" t="str">
        <f>ReferenceData!$AI$24</f>
        <v/>
      </c>
      <c r="AJ24" t="str">
        <f>ReferenceData!$AJ$24</f>
        <v/>
      </c>
      <c r="AK24" t="str">
        <f>ReferenceData!$AK$24</f>
        <v/>
      </c>
      <c r="AL24" t="str">
        <f>ReferenceData!$AL$24</f>
        <v/>
      </c>
      <c r="AM24" t="str">
        <f>ReferenceData!$AM$24</f>
        <v/>
      </c>
      <c r="AN24" t="str">
        <f>ReferenceData!$AN$24</f>
        <v/>
      </c>
      <c r="AO24" t="str">
        <f>ReferenceData!$AO$24</f>
        <v/>
      </c>
      <c r="AP24" t="str">
        <f>ReferenceData!$AP$24</f>
        <v/>
      </c>
      <c r="AQ24" t="str">
        <f>ReferenceData!$AQ$24</f>
        <v/>
      </c>
      <c r="AR24" t="str">
        <f>ReferenceData!$AR$24</f>
        <v/>
      </c>
      <c r="AS24" t="str">
        <f>ReferenceData!$AS$24</f>
        <v/>
      </c>
      <c r="AT24" t="str">
        <f>ReferenceData!$AT$24</f>
        <v/>
      </c>
      <c r="AU24" t="str">
        <f>ReferenceData!$AU$24</f>
        <v/>
      </c>
      <c r="AV24" t="str">
        <f>ReferenceData!$AV$24</f>
        <v/>
      </c>
      <c r="AW24" t="str">
        <f>ReferenceData!$AW$24</f>
        <v/>
      </c>
      <c r="AX24" t="str">
        <f>ReferenceData!$AX$24</f>
        <v/>
      </c>
      <c r="AY24" t="str">
        <f>ReferenceData!$AY$24</f>
        <v/>
      </c>
      <c r="AZ24" t="str">
        <f>ReferenceData!$AZ$24</f>
        <v/>
      </c>
      <c r="BA24" t="str">
        <f>ReferenceData!$BA$24</f>
        <v/>
      </c>
      <c r="BB24" t="str">
        <f>ReferenceData!$BB$24</f>
        <v/>
      </c>
      <c r="BC24" t="str">
        <f>ReferenceData!$BC$24</f>
        <v/>
      </c>
      <c r="BD24" t="str">
        <f>ReferenceData!$BD$24</f>
        <v/>
      </c>
      <c r="BE24" t="str">
        <f>ReferenceData!$BE$24</f>
        <v/>
      </c>
      <c r="BF24" t="str">
        <f>ReferenceData!$BF$24</f>
        <v/>
      </c>
      <c r="BG24" t="str">
        <f>ReferenceData!$BG$24</f>
        <v/>
      </c>
      <c r="BH24" t="str">
        <f>ReferenceData!$BH$24</f>
        <v/>
      </c>
      <c r="BI24" t="str">
        <f>ReferenceData!$BI$24</f>
        <v/>
      </c>
      <c r="BJ24" t="str">
        <f>ReferenceData!$BJ$24</f>
        <v/>
      </c>
      <c r="BK24" t="str">
        <f>ReferenceData!$BK$24</f>
        <v/>
      </c>
      <c r="BL24" t="str">
        <f>ReferenceData!$BL$24</f>
        <v/>
      </c>
      <c r="BM24" t="str">
        <f>ReferenceData!$BM$24</f>
        <v/>
      </c>
      <c r="BN24" t="str">
        <f>ReferenceData!$BN$24</f>
        <v/>
      </c>
      <c r="BO24" t="str">
        <f>ReferenceData!$BO$24</f>
        <v/>
      </c>
      <c r="BP24" t="str">
        <f>ReferenceData!$BP$24</f>
        <v/>
      </c>
      <c r="BQ24" t="str">
        <f>ReferenceData!$BQ$24</f>
        <v/>
      </c>
      <c r="BR24" t="str">
        <f>ReferenceData!$BR$24</f>
        <v/>
      </c>
      <c r="BS24" t="str">
        <f>ReferenceData!$BS$24</f>
        <v/>
      </c>
      <c r="BT24" t="str">
        <f>ReferenceData!$BT$24</f>
        <v/>
      </c>
      <c r="BU24" t="str">
        <f>ReferenceData!$BU$24</f>
        <v/>
      </c>
      <c r="BV24" t="str">
        <f>ReferenceData!$BV$24</f>
        <v/>
      </c>
      <c r="BW24" t="str">
        <f>ReferenceData!$BW$24</f>
        <v/>
      </c>
      <c r="BX24" t="str">
        <f>ReferenceData!$BX$24</f>
        <v/>
      </c>
      <c r="BY24" t="str">
        <f>ReferenceData!$BY$24</f>
        <v/>
      </c>
      <c r="BZ24" t="str">
        <f>ReferenceData!$BZ$24</f>
        <v/>
      </c>
      <c r="CA24" t="str">
        <f>ReferenceData!$CA$24</f>
        <v/>
      </c>
      <c r="CB24" t="str">
        <f>ReferenceData!$CB$24</f>
        <v/>
      </c>
      <c r="CC24" t="str">
        <f>ReferenceData!$CC$24</f>
        <v/>
      </c>
      <c r="CD24" t="str">
        <f>ReferenceData!$CD$24</f>
        <v/>
      </c>
      <c r="CE24" t="str">
        <f>ReferenceData!$CE$24</f>
        <v/>
      </c>
      <c r="CF24" t="str">
        <f>ReferenceData!$CF$24</f>
        <v/>
      </c>
      <c r="CG24" t="str">
        <f>ReferenceData!$CG$24</f>
        <v/>
      </c>
    </row>
    <row r="25" spans="1:85" x14ac:dyDescent="0.25">
      <c r="A25" t="str">
        <f>ReferenceData!$A$25</f>
        <v>+ (Current Account Holdings - Reserve Requirements)</v>
      </c>
      <c r="B25" t="str">
        <f>ReferenceData!$B$25</f>
        <v/>
      </c>
      <c r="C25" t="str">
        <f>ReferenceData!$C$25</f>
        <v/>
      </c>
      <c r="D25" t="str">
        <f>ReferenceData!$D$25</f>
        <v/>
      </c>
      <c r="E25" t="str">
        <f>ReferenceData!$E$25</f>
        <v>Static</v>
      </c>
      <c r="F25" t="str">
        <f>ReferenceData!$F$25</f>
        <v/>
      </c>
      <c r="G25" t="str">
        <f>ReferenceData!$G$25</f>
        <v/>
      </c>
      <c r="H25" t="str">
        <f>ReferenceData!$H$25</f>
        <v/>
      </c>
      <c r="I25" t="str">
        <f>ReferenceData!$I$25</f>
        <v/>
      </c>
      <c r="J25" t="str">
        <f>ReferenceData!$J$25</f>
        <v/>
      </c>
      <c r="K25" t="str">
        <f>ReferenceData!$K$25</f>
        <v/>
      </c>
      <c r="L25" t="str">
        <f>ReferenceData!$L$25</f>
        <v/>
      </c>
      <c r="M25" t="str">
        <f>ReferenceData!$M$25</f>
        <v/>
      </c>
      <c r="N25" t="str">
        <f>ReferenceData!$N$25</f>
        <v/>
      </c>
      <c r="O25" t="str">
        <f>ReferenceData!$O$25</f>
        <v/>
      </c>
      <c r="P25" t="str">
        <f>ReferenceData!$P$25</f>
        <v/>
      </c>
      <c r="Q25" t="str">
        <f>ReferenceData!$Q$25</f>
        <v/>
      </c>
      <c r="R25" t="str">
        <f>ReferenceData!$R$25</f>
        <v/>
      </c>
      <c r="S25" t="str">
        <f>ReferenceData!$S$25</f>
        <v/>
      </c>
      <c r="T25" t="str">
        <f>ReferenceData!$T$25</f>
        <v/>
      </c>
      <c r="U25" t="str">
        <f>ReferenceData!$U$25</f>
        <v/>
      </c>
      <c r="V25" t="str">
        <f>ReferenceData!$V$25</f>
        <v/>
      </c>
      <c r="W25" t="str">
        <f>ReferenceData!$W$25</f>
        <v/>
      </c>
      <c r="X25" t="str">
        <f>ReferenceData!$X$25</f>
        <v/>
      </c>
      <c r="Y25" t="str">
        <f>ReferenceData!$Y$25</f>
        <v/>
      </c>
      <c r="Z25" t="str">
        <f>ReferenceData!$Z$25</f>
        <v/>
      </c>
      <c r="AA25" t="str">
        <f>ReferenceData!$AA$25</f>
        <v/>
      </c>
      <c r="AB25" t="str">
        <f>ReferenceData!$AB$25</f>
        <v/>
      </c>
      <c r="AC25" t="str">
        <f>ReferenceData!$AC$25</f>
        <v/>
      </c>
      <c r="AD25" t="str">
        <f>ReferenceData!$AD$25</f>
        <v/>
      </c>
      <c r="AE25" t="str">
        <f>ReferenceData!$AE$25</f>
        <v/>
      </c>
      <c r="AF25" t="str">
        <f>ReferenceData!$AF$25</f>
        <v/>
      </c>
      <c r="AG25" t="str">
        <f>ReferenceData!$AG$25</f>
        <v/>
      </c>
      <c r="AH25" t="str">
        <f>ReferenceData!$AH$25</f>
        <v/>
      </c>
      <c r="AI25" t="str">
        <f>ReferenceData!$AI$25</f>
        <v/>
      </c>
      <c r="AJ25" t="str">
        <f>ReferenceData!$AJ$25</f>
        <v/>
      </c>
      <c r="AK25" t="str">
        <f>ReferenceData!$AK$25</f>
        <v/>
      </c>
      <c r="AL25" t="str">
        <f>ReferenceData!$AL$25</f>
        <v/>
      </c>
      <c r="AM25" t="str">
        <f>ReferenceData!$AM$25</f>
        <v/>
      </c>
      <c r="AN25" t="str">
        <f>ReferenceData!$AN$25</f>
        <v/>
      </c>
      <c r="AO25" t="str">
        <f>ReferenceData!$AO$25</f>
        <v/>
      </c>
      <c r="AP25" t="str">
        <f>ReferenceData!$AP$25</f>
        <v/>
      </c>
      <c r="AQ25" t="str">
        <f>ReferenceData!$AQ$25</f>
        <v/>
      </c>
      <c r="AR25" t="str">
        <f>ReferenceData!$AR$25</f>
        <v/>
      </c>
      <c r="AS25" t="str">
        <f>ReferenceData!$AS$25</f>
        <v/>
      </c>
      <c r="AT25" t="str">
        <f>ReferenceData!$AT$25</f>
        <v/>
      </c>
      <c r="AU25" t="str">
        <f>ReferenceData!$AU$25</f>
        <v/>
      </c>
      <c r="AV25" t="str">
        <f>ReferenceData!$AV$25</f>
        <v/>
      </c>
      <c r="AW25" t="str">
        <f>ReferenceData!$AW$25</f>
        <v/>
      </c>
      <c r="AX25" t="str">
        <f>ReferenceData!$AX$25</f>
        <v/>
      </c>
      <c r="AY25" t="str">
        <f>ReferenceData!$AY$25</f>
        <v/>
      </c>
      <c r="AZ25" t="str">
        <f>ReferenceData!$AZ$25</f>
        <v/>
      </c>
      <c r="BA25" t="str">
        <f>ReferenceData!$BA$25</f>
        <v/>
      </c>
      <c r="BB25" t="str">
        <f>ReferenceData!$BB$25</f>
        <v/>
      </c>
      <c r="BC25" t="str">
        <f>ReferenceData!$BC$25</f>
        <v/>
      </c>
      <c r="BD25" t="str">
        <f>ReferenceData!$BD$25</f>
        <v/>
      </c>
      <c r="BE25" t="str">
        <f>ReferenceData!$BE$25</f>
        <v/>
      </c>
      <c r="BF25" t="str">
        <f>ReferenceData!$BF$25</f>
        <v/>
      </c>
      <c r="BG25" t="str">
        <f>ReferenceData!$BG$25</f>
        <v/>
      </c>
      <c r="BH25" t="str">
        <f>ReferenceData!$BH$25</f>
        <v/>
      </c>
      <c r="BI25" t="str">
        <f>ReferenceData!$BI$25</f>
        <v/>
      </c>
      <c r="BJ25" t="str">
        <f>ReferenceData!$BJ$25</f>
        <v/>
      </c>
      <c r="BK25" t="str">
        <f>ReferenceData!$BK$25</f>
        <v/>
      </c>
      <c r="BL25" t="str">
        <f>ReferenceData!$BL$25</f>
        <v/>
      </c>
      <c r="BM25" t="str">
        <f>ReferenceData!$BM$25</f>
        <v/>
      </c>
      <c r="BN25" t="str">
        <f>ReferenceData!$BN$25</f>
        <v/>
      </c>
      <c r="BO25" t="str">
        <f>ReferenceData!$BO$25</f>
        <v/>
      </c>
      <c r="BP25" t="str">
        <f>ReferenceData!$BP$25</f>
        <v/>
      </c>
      <c r="BQ25" t="str">
        <f>ReferenceData!$BQ$25</f>
        <v/>
      </c>
      <c r="BR25" t="str">
        <f>ReferenceData!$BR$25</f>
        <v/>
      </c>
      <c r="BS25" t="str">
        <f>ReferenceData!$BS$25</f>
        <v/>
      </c>
      <c r="BT25" t="str">
        <f>ReferenceData!$BT$25</f>
        <v/>
      </c>
      <c r="BU25" t="str">
        <f>ReferenceData!$BU$25</f>
        <v/>
      </c>
      <c r="BV25" t="str">
        <f>ReferenceData!$BV$25</f>
        <v/>
      </c>
      <c r="BW25" t="str">
        <f>ReferenceData!$BW$25</f>
        <v/>
      </c>
      <c r="BX25" t="str">
        <f>ReferenceData!$BX$25</f>
        <v/>
      </c>
      <c r="BY25" t="str">
        <f>ReferenceData!$BY$25</f>
        <v/>
      </c>
      <c r="BZ25" t="str">
        <f>ReferenceData!$BZ$25</f>
        <v/>
      </c>
      <c r="CA25" t="str">
        <f>ReferenceData!$CA$25</f>
        <v/>
      </c>
      <c r="CB25" t="str">
        <f>ReferenceData!$CB$25</f>
        <v/>
      </c>
      <c r="CC25" t="str">
        <f>ReferenceData!$CC$25</f>
        <v/>
      </c>
      <c r="CD25" t="str">
        <f>ReferenceData!$CD$25</f>
        <v/>
      </c>
      <c r="CE25" t="str">
        <f>ReferenceData!$CE$25</f>
        <v/>
      </c>
      <c r="CF25" t="str">
        <f>ReferenceData!$CF$25</f>
        <v/>
      </c>
      <c r="CG25" t="str">
        <f>ReferenceData!$CG$25</f>
        <v/>
      </c>
    </row>
    <row r="26" spans="1:85" x14ac:dyDescent="0.25">
      <c r="A26" t="str">
        <f>ReferenceData!$A$26</f>
        <v/>
      </c>
      <c r="B26" t="str">
        <f>ReferenceData!$B$26</f>
        <v/>
      </c>
      <c r="C26" t="str">
        <f>ReferenceData!$C$26</f>
        <v/>
      </c>
      <c r="D26" t="str">
        <f>ReferenceData!$D$26</f>
        <v/>
      </c>
      <c r="E26" t="str">
        <f>ReferenceData!$E$26</f>
        <v>Static</v>
      </c>
      <c r="F26" t="str">
        <f>ReferenceData!$F$26</f>
        <v/>
      </c>
      <c r="G26" t="str">
        <f>ReferenceData!$G$26</f>
        <v/>
      </c>
      <c r="H26" t="str">
        <f>ReferenceData!$H$26</f>
        <v/>
      </c>
      <c r="I26" t="str">
        <f>ReferenceData!$I$26</f>
        <v/>
      </c>
      <c r="J26" t="str">
        <f>ReferenceData!$J$26</f>
        <v/>
      </c>
      <c r="K26" t="str">
        <f>ReferenceData!$K$26</f>
        <v/>
      </c>
      <c r="L26" t="str">
        <f>ReferenceData!$L$26</f>
        <v/>
      </c>
      <c r="M26" t="str">
        <f>ReferenceData!$M$26</f>
        <v/>
      </c>
      <c r="N26" t="str">
        <f>ReferenceData!$N$26</f>
        <v/>
      </c>
      <c r="O26" t="str">
        <f>ReferenceData!$O$26</f>
        <v/>
      </c>
      <c r="P26" t="str">
        <f>ReferenceData!$P$26</f>
        <v/>
      </c>
      <c r="Q26" t="str">
        <f>ReferenceData!$Q$26</f>
        <v/>
      </c>
      <c r="R26" t="str">
        <f>ReferenceData!$R$26</f>
        <v/>
      </c>
      <c r="S26" t="str">
        <f>ReferenceData!$S$26</f>
        <v/>
      </c>
      <c r="T26" t="str">
        <f>ReferenceData!$T$26</f>
        <v/>
      </c>
      <c r="U26" t="str">
        <f>ReferenceData!$U$26</f>
        <v/>
      </c>
      <c r="V26" t="str">
        <f>ReferenceData!$V$26</f>
        <v/>
      </c>
      <c r="W26" t="str">
        <f>ReferenceData!$W$26</f>
        <v/>
      </c>
      <c r="X26" t="str">
        <f>ReferenceData!$X$26</f>
        <v/>
      </c>
      <c r="Y26" t="str">
        <f>ReferenceData!$Y$26</f>
        <v/>
      </c>
      <c r="Z26" t="str">
        <f>ReferenceData!$Z$26</f>
        <v/>
      </c>
      <c r="AA26" t="str">
        <f>ReferenceData!$AA$26</f>
        <v/>
      </c>
      <c r="AB26" t="str">
        <f>ReferenceData!$AB$26</f>
        <v/>
      </c>
      <c r="AC26" t="str">
        <f>ReferenceData!$AC$26</f>
        <v/>
      </c>
      <c r="AD26" t="str">
        <f>ReferenceData!$AD$26</f>
        <v/>
      </c>
      <c r="AE26" t="str">
        <f>ReferenceData!$AE$26</f>
        <v/>
      </c>
      <c r="AF26" t="str">
        <f>ReferenceData!$AF$26</f>
        <v/>
      </c>
      <c r="AG26" t="str">
        <f>ReferenceData!$AG$26</f>
        <v/>
      </c>
      <c r="AH26" t="str">
        <f>ReferenceData!$AH$26</f>
        <v/>
      </c>
      <c r="AI26" t="str">
        <f>ReferenceData!$AI$26</f>
        <v/>
      </c>
      <c r="AJ26" t="str">
        <f>ReferenceData!$AJ$26</f>
        <v/>
      </c>
      <c r="AK26" t="str">
        <f>ReferenceData!$AK$26</f>
        <v/>
      </c>
      <c r="AL26" t="str">
        <f>ReferenceData!$AL$26</f>
        <v/>
      </c>
      <c r="AM26" t="str">
        <f>ReferenceData!$AM$26</f>
        <v/>
      </c>
      <c r="AN26" t="str">
        <f>ReferenceData!$AN$26</f>
        <v/>
      </c>
      <c r="AO26" t="str">
        <f>ReferenceData!$AO$26</f>
        <v/>
      </c>
      <c r="AP26" t="str">
        <f>ReferenceData!$AP$26</f>
        <v/>
      </c>
      <c r="AQ26" t="str">
        <f>ReferenceData!$AQ$26</f>
        <v/>
      </c>
      <c r="AR26" t="str">
        <f>ReferenceData!$AR$26</f>
        <v/>
      </c>
      <c r="AS26" t="str">
        <f>ReferenceData!$AS$26</f>
        <v/>
      </c>
      <c r="AT26" t="str">
        <f>ReferenceData!$AT$26</f>
        <v/>
      </c>
      <c r="AU26" t="str">
        <f>ReferenceData!$AU$26</f>
        <v/>
      </c>
      <c r="AV26" t="str">
        <f>ReferenceData!$AV$26</f>
        <v/>
      </c>
      <c r="AW26" t="str">
        <f>ReferenceData!$AW$26</f>
        <v/>
      </c>
      <c r="AX26" t="str">
        <f>ReferenceData!$AX$26</f>
        <v/>
      </c>
      <c r="AY26" t="str">
        <f>ReferenceData!$AY$26</f>
        <v/>
      </c>
      <c r="AZ26" t="str">
        <f>ReferenceData!$AZ$26</f>
        <v/>
      </c>
      <c r="BA26" t="str">
        <f>ReferenceData!$BA$26</f>
        <v/>
      </c>
      <c r="BB26" t="str">
        <f>ReferenceData!$BB$26</f>
        <v/>
      </c>
      <c r="BC26" t="str">
        <f>ReferenceData!$BC$26</f>
        <v/>
      </c>
      <c r="BD26" t="str">
        <f>ReferenceData!$BD$26</f>
        <v/>
      </c>
      <c r="BE26" t="str">
        <f>ReferenceData!$BE$26</f>
        <v/>
      </c>
      <c r="BF26" t="str">
        <f>ReferenceData!$BF$26</f>
        <v/>
      </c>
      <c r="BG26" t="str">
        <f>ReferenceData!$BG$26</f>
        <v/>
      </c>
      <c r="BH26" t="str">
        <f>ReferenceData!$BH$26</f>
        <v/>
      </c>
      <c r="BI26" t="str">
        <f>ReferenceData!$BI$26</f>
        <v/>
      </c>
      <c r="BJ26" t="str">
        <f>ReferenceData!$BJ$26</f>
        <v/>
      </c>
      <c r="BK26" t="str">
        <f>ReferenceData!$BK$26</f>
        <v/>
      </c>
      <c r="BL26" t="str">
        <f>ReferenceData!$BL$26</f>
        <v/>
      </c>
      <c r="BM26" t="str">
        <f>ReferenceData!$BM$26</f>
        <v/>
      </c>
      <c r="BN26" t="str">
        <f>ReferenceData!$BN$26</f>
        <v/>
      </c>
      <c r="BO26" t="str">
        <f>ReferenceData!$BO$26</f>
        <v/>
      </c>
      <c r="BP26" t="str">
        <f>ReferenceData!$BP$26</f>
        <v/>
      </c>
      <c r="BQ26" t="str">
        <f>ReferenceData!$BQ$26</f>
        <v/>
      </c>
      <c r="BR26" t="str">
        <f>ReferenceData!$BR$26</f>
        <v/>
      </c>
      <c r="BS26" t="str">
        <f>ReferenceData!$BS$26</f>
        <v/>
      </c>
      <c r="BT26" t="str">
        <f>ReferenceData!$BT$26</f>
        <v/>
      </c>
      <c r="BU26" t="str">
        <f>ReferenceData!$BU$26</f>
        <v/>
      </c>
      <c r="BV26" t="str">
        <f>ReferenceData!$BV$26</f>
        <v/>
      </c>
      <c r="BW26" t="str">
        <f>ReferenceData!$BW$26</f>
        <v/>
      </c>
      <c r="BX26" t="str">
        <f>ReferenceData!$BX$26</f>
        <v/>
      </c>
      <c r="BY26" t="str">
        <f>ReferenceData!$BY$26</f>
        <v/>
      </c>
      <c r="BZ26" t="str">
        <f>ReferenceData!$BZ$26</f>
        <v/>
      </c>
      <c r="CA26" t="str">
        <f>ReferenceData!$CA$26</f>
        <v/>
      </c>
      <c r="CB26" t="str">
        <f>ReferenceData!$CB$26</f>
        <v/>
      </c>
      <c r="CC26" t="str">
        <f>ReferenceData!$CC$26</f>
        <v/>
      </c>
      <c r="CD26" t="str">
        <f>ReferenceData!$CD$26</f>
        <v/>
      </c>
      <c r="CE26" t="str">
        <f>ReferenceData!$CE$26</f>
        <v/>
      </c>
      <c r="CF26" t="str">
        <f>ReferenceData!$CF$26</f>
        <v/>
      </c>
      <c r="CG26" t="str">
        <f>ReferenceData!$CG$26</f>
        <v/>
      </c>
    </row>
    <row r="27" spans="1:85" x14ac:dyDescent="0.25">
      <c r="A27" t="str">
        <f>ReferenceData!$A$27</f>
        <v>ECB USD Total Swap Line Currently Drawndown (USD B)</v>
      </c>
      <c r="B27" t="str">
        <f>ReferenceData!$B$27</f>
        <v>FESLECB Index</v>
      </c>
      <c r="C27" t="str">
        <f>ReferenceData!$C$27</f>
        <v>PR005</v>
      </c>
      <c r="D27" t="str">
        <f>ReferenceData!$D$27</f>
        <v>PX_LAST</v>
      </c>
      <c r="E27" t="str">
        <f>ReferenceData!$E$27</f>
        <v>Dynamic</v>
      </c>
      <c r="F27" t="e">
        <f ca="1">ReferenceData!$F$27</f>
        <v>#N/A</v>
      </c>
      <c r="G27" t="str">
        <f>ReferenceData!$G$27</f>
        <v/>
      </c>
      <c r="H27" t="str">
        <f>ReferenceData!$H$27</f>
        <v/>
      </c>
      <c r="I27" t="str">
        <f>ReferenceData!$I$27</f>
        <v/>
      </c>
      <c r="J27" t="str">
        <f>ReferenceData!$J$27</f>
        <v/>
      </c>
      <c r="K27" t="str">
        <f>ReferenceData!$K$27</f>
        <v/>
      </c>
      <c r="L27" t="str">
        <f>ReferenceData!$L$27</f>
        <v/>
      </c>
      <c r="M27" t="str">
        <f>ReferenceData!$M$27</f>
        <v/>
      </c>
      <c r="N27" t="str">
        <f>ReferenceData!$N$27</f>
        <v/>
      </c>
      <c r="O27" t="str">
        <f>ReferenceData!$O$27</f>
        <v/>
      </c>
      <c r="P27" t="str">
        <f>ReferenceData!$P$27</f>
        <v/>
      </c>
      <c r="Q27" t="str">
        <f>ReferenceData!$Q$27</f>
        <v/>
      </c>
      <c r="R27" t="str">
        <f>ReferenceData!$R$27</f>
        <v/>
      </c>
      <c r="S27" t="str">
        <f>ReferenceData!$S$27</f>
        <v/>
      </c>
      <c r="T27" t="str">
        <f>ReferenceData!$T$27</f>
        <v/>
      </c>
      <c r="U27" t="str">
        <f>ReferenceData!$U$27</f>
        <v/>
      </c>
      <c r="V27" t="str">
        <f>ReferenceData!$V$27</f>
        <v/>
      </c>
      <c r="W27" t="str">
        <f>ReferenceData!$W$27</f>
        <v/>
      </c>
      <c r="X27" t="str">
        <f>ReferenceData!$X$27</f>
        <v/>
      </c>
      <c r="Y27" t="str">
        <f>ReferenceData!$Y$27</f>
        <v/>
      </c>
      <c r="Z27" t="str">
        <f>ReferenceData!$Z$27</f>
        <v/>
      </c>
      <c r="AA27" t="str">
        <f>ReferenceData!$AA$27</f>
        <v/>
      </c>
      <c r="AB27" t="str">
        <f>ReferenceData!$AB$27</f>
        <v/>
      </c>
      <c r="AC27" t="str">
        <f>ReferenceData!$AC$27</f>
        <v/>
      </c>
      <c r="AD27" t="str">
        <f>ReferenceData!$AD$27</f>
        <v/>
      </c>
      <c r="AE27" t="str">
        <f>ReferenceData!$AE$27</f>
        <v/>
      </c>
      <c r="AF27" t="str">
        <f>ReferenceData!$AF$27</f>
        <v/>
      </c>
      <c r="AG27" t="str">
        <f>ReferenceData!$AG$27</f>
        <v/>
      </c>
      <c r="AH27" t="str">
        <f>ReferenceData!$AH$27</f>
        <v/>
      </c>
      <c r="AI27" t="str">
        <f>ReferenceData!$AI$27</f>
        <v/>
      </c>
      <c r="AJ27" t="str">
        <f>ReferenceData!$AJ$27</f>
        <v/>
      </c>
      <c r="AK27" t="str">
        <f>ReferenceData!$AK$27</f>
        <v/>
      </c>
      <c r="AL27" t="str">
        <f>ReferenceData!$AL$27</f>
        <v/>
      </c>
      <c r="AM27" t="str">
        <f>ReferenceData!$AM$27</f>
        <v/>
      </c>
      <c r="AN27">
        <f>ReferenceData!$AN$27</f>
        <v>0.769999981</v>
      </c>
      <c r="AO27">
        <f>ReferenceData!$AO$27</f>
        <v>0.769999981</v>
      </c>
      <c r="AP27">
        <f>ReferenceData!$AP$27</f>
        <v>0.769999981</v>
      </c>
      <c r="AQ27">
        <f>ReferenceData!$AQ$27</f>
        <v>0.769999981</v>
      </c>
      <c r="AR27">
        <f>ReferenceData!$AR$27</f>
        <v>0.689999998</v>
      </c>
      <c r="AS27">
        <f>ReferenceData!$AS$27</f>
        <v>1.0099999900000001</v>
      </c>
      <c r="AT27">
        <f>ReferenceData!$AT$27</f>
        <v>0.769999981</v>
      </c>
      <c r="AU27">
        <f>ReferenceData!$AU$27</f>
        <v>0.769999981</v>
      </c>
      <c r="AV27">
        <f>ReferenceData!$AV$27</f>
        <v>0.81999999300000004</v>
      </c>
      <c r="AW27">
        <f>ReferenceData!$AW$27</f>
        <v>0.81999999300000004</v>
      </c>
      <c r="AX27">
        <f>ReferenceData!$AX$27</f>
        <v>0.81999999300000004</v>
      </c>
      <c r="AY27">
        <f>ReferenceData!$AY$27</f>
        <v>0.77</v>
      </c>
      <c r="AZ27">
        <f>ReferenceData!$AZ$27</f>
        <v>0.77</v>
      </c>
      <c r="BA27">
        <f>ReferenceData!$BA$27</f>
        <v>0.77</v>
      </c>
      <c r="BB27">
        <f>ReferenceData!$BB$27</f>
        <v>0.77</v>
      </c>
      <c r="BC27">
        <f>ReferenceData!$BC$27</f>
        <v>0.69</v>
      </c>
      <c r="BD27">
        <f>ReferenceData!$BD$27</f>
        <v>1.01</v>
      </c>
      <c r="BE27">
        <f>ReferenceData!$BE$27</f>
        <v>0.77</v>
      </c>
      <c r="BF27">
        <f>ReferenceData!$BF$27</f>
        <v>0.77</v>
      </c>
      <c r="BG27">
        <f>ReferenceData!$BG$27</f>
        <v>0.82</v>
      </c>
      <c r="BH27">
        <f>ReferenceData!$BH$27</f>
        <v>0.82</v>
      </c>
      <c r="BI27">
        <f>ReferenceData!$BI$27</f>
        <v>0.82</v>
      </c>
      <c r="BJ27">
        <f>ReferenceData!$BJ$27</f>
        <v>0.82</v>
      </c>
      <c r="BK27">
        <f>ReferenceData!$BK$27</f>
        <v>0.69</v>
      </c>
      <c r="BL27">
        <f>ReferenceData!$BL$27</f>
        <v>0.69</v>
      </c>
      <c r="BM27">
        <f>ReferenceData!$BM$27</f>
        <v>0.69</v>
      </c>
      <c r="BN27">
        <f>ReferenceData!$BN$27</f>
        <v>0.69</v>
      </c>
      <c r="BO27">
        <f>ReferenceData!$BO$27</f>
        <v>0.66</v>
      </c>
      <c r="BP27">
        <f>ReferenceData!$BP$27</f>
        <v>0.66</v>
      </c>
      <c r="BQ27">
        <f>ReferenceData!$BQ$27</f>
        <v>0.86</v>
      </c>
      <c r="BR27">
        <f>ReferenceData!$BR$27</f>
        <v>0.66</v>
      </c>
      <c r="BS27">
        <f>ReferenceData!$BS$27</f>
        <v>0.5</v>
      </c>
      <c r="BT27">
        <f>ReferenceData!$BT$27</f>
        <v>0.5</v>
      </c>
      <c r="BU27">
        <f>ReferenceData!$BU$27</f>
        <v>0.5</v>
      </c>
      <c r="BV27">
        <f>ReferenceData!$BV$27</f>
        <v>0.5</v>
      </c>
      <c r="BW27">
        <f>ReferenceData!$BW$27</f>
        <v>0.5</v>
      </c>
      <c r="BX27">
        <f>ReferenceData!$BX$27</f>
        <v>0.5</v>
      </c>
      <c r="BY27">
        <f>ReferenceData!$BY$27</f>
        <v>0.5</v>
      </c>
      <c r="BZ27">
        <f>ReferenceData!$BZ$27</f>
        <v>0.5</v>
      </c>
      <c r="CA27">
        <f>ReferenceData!$CA$27</f>
        <v>0.5</v>
      </c>
      <c r="CB27">
        <f>ReferenceData!$CB$27</f>
        <v>0.5</v>
      </c>
      <c r="CC27">
        <f>ReferenceData!$CC$27</f>
        <v>0.5</v>
      </c>
      <c r="CD27">
        <f>ReferenceData!$CD$27</f>
        <v>0.5</v>
      </c>
      <c r="CE27">
        <f>ReferenceData!$CE$27</f>
        <v>0.5</v>
      </c>
      <c r="CF27">
        <f>ReferenceData!$CF$27</f>
        <v>0.5</v>
      </c>
      <c r="CG27">
        <f>ReferenceData!$CG$27</f>
        <v>0.5</v>
      </c>
    </row>
    <row r="28" spans="1:85" x14ac:dyDescent="0.25">
      <c r="A28" t="str">
        <f>ReferenceData!$A$28</f>
        <v/>
      </c>
      <c r="B28" t="str">
        <f>ReferenceData!$B$28</f>
        <v/>
      </c>
      <c r="C28" t="str">
        <f>ReferenceData!$C$28</f>
        <v/>
      </c>
      <c r="D28" t="str">
        <f>ReferenceData!$D$28</f>
        <v/>
      </c>
      <c r="E28" t="str">
        <f>ReferenceData!$E$28</f>
        <v>Static</v>
      </c>
      <c r="F28" t="str">
        <f>ReferenceData!$F$28</f>
        <v/>
      </c>
      <c r="G28" t="str">
        <f>ReferenceData!$G$28</f>
        <v/>
      </c>
      <c r="H28" t="str">
        <f>ReferenceData!$H$28</f>
        <v/>
      </c>
      <c r="I28" t="str">
        <f>ReferenceData!$I$28</f>
        <v/>
      </c>
      <c r="J28" t="str">
        <f>ReferenceData!$J$28</f>
        <v/>
      </c>
      <c r="K28" t="str">
        <f>ReferenceData!$K$28</f>
        <v/>
      </c>
      <c r="L28" t="str">
        <f>ReferenceData!$L$28</f>
        <v/>
      </c>
      <c r="M28" t="str">
        <f>ReferenceData!$M$28</f>
        <v/>
      </c>
      <c r="N28" t="str">
        <f>ReferenceData!$N$28</f>
        <v/>
      </c>
      <c r="O28" t="str">
        <f>ReferenceData!$O$28</f>
        <v/>
      </c>
      <c r="P28" t="str">
        <f>ReferenceData!$P$28</f>
        <v/>
      </c>
      <c r="Q28" t="str">
        <f>ReferenceData!$Q$28</f>
        <v/>
      </c>
      <c r="R28" t="str">
        <f>ReferenceData!$R$28</f>
        <v/>
      </c>
      <c r="S28" t="str">
        <f>ReferenceData!$S$28</f>
        <v/>
      </c>
      <c r="T28" t="str">
        <f>ReferenceData!$T$28</f>
        <v/>
      </c>
      <c r="U28" t="str">
        <f>ReferenceData!$U$28</f>
        <v/>
      </c>
      <c r="V28" t="str">
        <f>ReferenceData!$V$28</f>
        <v/>
      </c>
      <c r="W28" t="str">
        <f>ReferenceData!$W$28</f>
        <v/>
      </c>
      <c r="X28" t="str">
        <f>ReferenceData!$X$28</f>
        <v/>
      </c>
      <c r="Y28" t="str">
        <f>ReferenceData!$Y$28</f>
        <v/>
      </c>
      <c r="Z28" t="str">
        <f>ReferenceData!$Z$28</f>
        <v/>
      </c>
      <c r="AA28" t="str">
        <f>ReferenceData!$AA$28</f>
        <v/>
      </c>
      <c r="AB28" t="str">
        <f>ReferenceData!$AB$28</f>
        <v/>
      </c>
      <c r="AC28" t="str">
        <f>ReferenceData!$AC$28</f>
        <v/>
      </c>
      <c r="AD28" t="str">
        <f>ReferenceData!$AD$28</f>
        <v/>
      </c>
      <c r="AE28" t="str">
        <f>ReferenceData!$AE$28</f>
        <v/>
      </c>
      <c r="AF28" t="str">
        <f>ReferenceData!$AF$28</f>
        <v/>
      </c>
      <c r="AG28" t="str">
        <f>ReferenceData!$AG$28</f>
        <v/>
      </c>
      <c r="AH28" t="str">
        <f>ReferenceData!$AH$28</f>
        <v/>
      </c>
      <c r="AI28" t="str">
        <f>ReferenceData!$AI$28</f>
        <v/>
      </c>
      <c r="AJ28" t="str">
        <f>ReferenceData!$AJ$28</f>
        <v/>
      </c>
      <c r="AK28" t="str">
        <f>ReferenceData!$AK$28</f>
        <v/>
      </c>
      <c r="AL28" t="str">
        <f>ReferenceData!$AL$28</f>
        <v/>
      </c>
      <c r="AM28" t="str">
        <f>ReferenceData!$AM$28</f>
        <v/>
      </c>
      <c r="AN28" t="str">
        <f>ReferenceData!$AN$28</f>
        <v/>
      </c>
      <c r="AO28" t="str">
        <f>ReferenceData!$AO$28</f>
        <v/>
      </c>
      <c r="AP28" t="str">
        <f>ReferenceData!$AP$28</f>
        <v/>
      </c>
      <c r="AQ28" t="str">
        <f>ReferenceData!$AQ$28</f>
        <v/>
      </c>
      <c r="AR28" t="str">
        <f>ReferenceData!$AR$28</f>
        <v/>
      </c>
      <c r="AS28" t="str">
        <f>ReferenceData!$AS$28</f>
        <v/>
      </c>
      <c r="AT28" t="str">
        <f>ReferenceData!$AT$28</f>
        <v/>
      </c>
      <c r="AU28" t="str">
        <f>ReferenceData!$AU$28</f>
        <v/>
      </c>
      <c r="AV28" t="str">
        <f>ReferenceData!$AV$28</f>
        <v/>
      </c>
      <c r="AW28" t="str">
        <f>ReferenceData!$AW$28</f>
        <v/>
      </c>
      <c r="AX28" t="str">
        <f>ReferenceData!$AX$28</f>
        <v/>
      </c>
      <c r="AY28" t="str">
        <f>ReferenceData!$AY$28</f>
        <v/>
      </c>
      <c r="AZ28" t="str">
        <f>ReferenceData!$AZ$28</f>
        <v/>
      </c>
      <c r="BA28" t="str">
        <f>ReferenceData!$BA$28</f>
        <v/>
      </c>
      <c r="BB28" t="str">
        <f>ReferenceData!$BB$28</f>
        <v/>
      </c>
      <c r="BC28" t="str">
        <f>ReferenceData!$BC$28</f>
        <v/>
      </c>
      <c r="BD28" t="str">
        <f>ReferenceData!$BD$28</f>
        <v/>
      </c>
      <c r="BE28" t="str">
        <f>ReferenceData!$BE$28</f>
        <v/>
      </c>
      <c r="BF28" t="str">
        <f>ReferenceData!$BF$28</f>
        <v/>
      </c>
      <c r="BG28" t="str">
        <f>ReferenceData!$BG$28</f>
        <v/>
      </c>
      <c r="BH28" t="str">
        <f>ReferenceData!$BH$28</f>
        <v/>
      </c>
      <c r="BI28" t="str">
        <f>ReferenceData!$BI$28</f>
        <v/>
      </c>
      <c r="BJ28" t="str">
        <f>ReferenceData!$BJ$28</f>
        <v/>
      </c>
      <c r="BK28" t="str">
        <f>ReferenceData!$BK$28</f>
        <v/>
      </c>
      <c r="BL28" t="str">
        <f>ReferenceData!$BL$28</f>
        <v/>
      </c>
      <c r="BM28" t="str">
        <f>ReferenceData!$BM$28</f>
        <v/>
      </c>
      <c r="BN28" t="str">
        <f>ReferenceData!$BN$28</f>
        <v/>
      </c>
      <c r="BO28" t="str">
        <f>ReferenceData!$BO$28</f>
        <v/>
      </c>
      <c r="BP28" t="str">
        <f>ReferenceData!$BP$28</f>
        <v/>
      </c>
      <c r="BQ28" t="str">
        <f>ReferenceData!$BQ$28</f>
        <v/>
      </c>
      <c r="BR28" t="str">
        <f>ReferenceData!$BR$28</f>
        <v/>
      </c>
      <c r="BS28" t="str">
        <f>ReferenceData!$BS$28</f>
        <v/>
      </c>
      <c r="BT28" t="str">
        <f>ReferenceData!$BT$28</f>
        <v/>
      </c>
      <c r="BU28" t="str">
        <f>ReferenceData!$BU$28</f>
        <v/>
      </c>
      <c r="BV28" t="str">
        <f>ReferenceData!$BV$28</f>
        <v/>
      </c>
      <c r="BW28" t="str">
        <f>ReferenceData!$BW$28</f>
        <v/>
      </c>
      <c r="BX28" t="str">
        <f>ReferenceData!$BX$28</f>
        <v/>
      </c>
      <c r="BY28" t="str">
        <f>ReferenceData!$BY$28</f>
        <v/>
      </c>
      <c r="BZ28" t="str">
        <f>ReferenceData!$BZ$28</f>
        <v/>
      </c>
      <c r="CA28" t="str">
        <f>ReferenceData!$CA$28</f>
        <v/>
      </c>
      <c r="CB28" t="str">
        <f>ReferenceData!$CB$28</f>
        <v/>
      </c>
      <c r="CC28" t="str">
        <f>ReferenceData!$CC$28</f>
        <v/>
      </c>
      <c r="CD28" t="str">
        <f>ReferenceData!$CD$28</f>
        <v/>
      </c>
      <c r="CE28" t="str">
        <f>ReferenceData!$CE$28</f>
        <v/>
      </c>
      <c r="CF28" t="str">
        <f>ReferenceData!$CF$28</f>
        <v/>
      </c>
      <c r="CG28" t="str">
        <f>ReferenceData!$CG$28</f>
        <v/>
      </c>
    </row>
    <row r="29" spans="1:85" x14ac:dyDescent="0.25">
      <c r="A29" t="str">
        <f>ReferenceData!$A$29</f>
        <v>ECB MARKET OPERATIONS (EUR B)</v>
      </c>
      <c r="B29" t="str">
        <f>ReferenceData!$B$29</f>
        <v/>
      </c>
      <c r="C29" t="str">
        <f>ReferenceData!$C$29</f>
        <v/>
      </c>
      <c r="D29" t="str">
        <f>ReferenceData!$D$29</f>
        <v/>
      </c>
      <c r="E29" t="str">
        <f>ReferenceData!$E$29</f>
        <v>Static</v>
      </c>
      <c r="F29" t="str">
        <f>ReferenceData!$F$29</f>
        <v/>
      </c>
      <c r="G29" t="str">
        <f>ReferenceData!$G$29</f>
        <v/>
      </c>
      <c r="H29" t="str">
        <f>ReferenceData!$H$29</f>
        <v/>
      </c>
      <c r="I29" t="str">
        <f>ReferenceData!$I$29</f>
        <v/>
      </c>
      <c r="J29" t="str">
        <f>ReferenceData!$J$29</f>
        <v/>
      </c>
      <c r="K29" t="str">
        <f>ReferenceData!$K$29</f>
        <v/>
      </c>
      <c r="L29" t="str">
        <f>ReferenceData!$L$29</f>
        <v/>
      </c>
      <c r="M29" t="str">
        <f>ReferenceData!$M$29</f>
        <v/>
      </c>
      <c r="N29" t="str">
        <f>ReferenceData!$N$29</f>
        <v/>
      </c>
      <c r="O29" t="str">
        <f>ReferenceData!$O$29</f>
        <v/>
      </c>
      <c r="P29" t="str">
        <f>ReferenceData!$P$29</f>
        <v/>
      </c>
      <c r="Q29" t="str">
        <f>ReferenceData!$Q$29</f>
        <v/>
      </c>
      <c r="R29" t="str">
        <f>ReferenceData!$R$29</f>
        <v/>
      </c>
      <c r="S29" t="str">
        <f>ReferenceData!$S$29</f>
        <v/>
      </c>
      <c r="T29" t="str">
        <f>ReferenceData!$T$29</f>
        <v/>
      </c>
      <c r="U29" t="str">
        <f>ReferenceData!$U$29</f>
        <v/>
      </c>
      <c r="V29" t="str">
        <f>ReferenceData!$V$29</f>
        <v/>
      </c>
      <c r="W29" t="str">
        <f>ReferenceData!$W$29</f>
        <v/>
      </c>
      <c r="X29" t="str">
        <f>ReferenceData!$X$29</f>
        <v/>
      </c>
      <c r="Y29" t="str">
        <f>ReferenceData!$Y$29</f>
        <v/>
      </c>
      <c r="Z29" t="str">
        <f>ReferenceData!$Z$29</f>
        <v/>
      </c>
      <c r="AA29" t="str">
        <f>ReferenceData!$AA$29</f>
        <v/>
      </c>
      <c r="AB29" t="str">
        <f>ReferenceData!$AB$29</f>
        <v/>
      </c>
      <c r="AC29" t="str">
        <f>ReferenceData!$AC$29</f>
        <v/>
      </c>
      <c r="AD29" t="str">
        <f>ReferenceData!$AD$29</f>
        <v/>
      </c>
      <c r="AE29" t="str">
        <f>ReferenceData!$AE$29</f>
        <v/>
      </c>
      <c r="AF29" t="str">
        <f>ReferenceData!$AF$29</f>
        <v/>
      </c>
      <c r="AG29" t="str">
        <f>ReferenceData!$AG$29</f>
        <v/>
      </c>
      <c r="AH29" t="str">
        <f>ReferenceData!$AH$29</f>
        <v/>
      </c>
      <c r="AI29" t="str">
        <f>ReferenceData!$AI$29</f>
        <v/>
      </c>
      <c r="AJ29" t="str">
        <f>ReferenceData!$AJ$29</f>
        <v/>
      </c>
      <c r="AK29" t="str">
        <f>ReferenceData!$AK$29</f>
        <v/>
      </c>
      <c r="AL29" t="str">
        <f>ReferenceData!$AL$29</f>
        <v/>
      </c>
      <c r="AM29" t="str">
        <f>ReferenceData!$AM$29</f>
        <v/>
      </c>
      <c r="AN29" t="str">
        <f>ReferenceData!$AN$29</f>
        <v/>
      </c>
      <c r="AO29" t="str">
        <f>ReferenceData!$AO$29</f>
        <v/>
      </c>
      <c r="AP29" t="str">
        <f>ReferenceData!$AP$29</f>
        <v/>
      </c>
      <c r="AQ29" t="str">
        <f>ReferenceData!$AQ$29</f>
        <v/>
      </c>
      <c r="AR29" t="str">
        <f>ReferenceData!$AR$29</f>
        <v/>
      </c>
      <c r="AS29" t="str">
        <f>ReferenceData!$AS$29</f>
        <v/>
      </c>
      <c r="AT29" t="str">
        <f>ReferenceData!$AT$29</f>
        <v/>
      </c>
      <c r="AU29" t="str">
        <f>ReferenceData!$AU$29</f>
        <v/>
      </c>
      <c r="AV29" t="str">
        <f>ReferenceData!$AV$29</f>
        <v/>
      </c>
      <c r="AW29" t="str">
        <f>ReferenceData!$AW$29</f>
        <v/>
      </c>
      <c r="AX29" t="str">
        <f>ReferenceData!$AX$29</f>
        <v/>
      </c>
      <c r="AY29" t="str">
        <f>ReferenceData!$AY$29</f>
        <v/>
      </c>
      <c r="AZ29" t="str">
        <f>ReferenceData!$AZ$29</f>
        <v/>
      </c>
      <c r="BA29" t="str">
        <f>ReferenceData!$BA$29</f>
        <v/>
      </c>
      <c r="BB29" t="str">
        <f>ReferenceData!$BB$29</f>
        <v/>
      </c>
      <c r="BC29" t="str">
        <f>ReferenceData!$BC$29</f>
        <v/>
      </c>
      <c r="BD29" t="str">
        <f>ReferenceData!$BD$29</f>
        <v/>
      </c>
      <c r="BE29" t="str">
        <f>ReferenceData!$BE$29</f>
        <v/>
      </c>
      <c r="BF29" t="str">
        <f>ReferenceData!$BF$29</f>
        <v/>
      </c>
      <c r="BG29" t="str">
        <f>ReferenceData!$BG$29</f>
        <v/>
      </c>
      <c r="BH29" t="str">
        <f>ReferenceData!$BH$29</f>
        <v/>
      </c>
      <c r="BI29" t="str">
        <f>ReferenceData!$BI$29</f>
        <v/>
      </c>
      <c r="BJ29" t="str">
        <f>ReferenceData!$BJ$29</f>
        <v/>
      </c>
      <c r="BK29" t="str">
        <f>ReferenceData!$BK$29</f>
        <v/>
      </c>
      <c r="BL29" t="str">
        <f>ReferenceData!$BL$29</f>
        <v/>
      </c>
      <c r="BM29" t="str">
        <f>ReferenceData!$BM$29</f>
        <v/>
      </c>
      <c r="BN29" t="str">
        <f>ReferenceData!$BN$29</f>
        <v/>
      </c>
      <c r="BO29" t="str">
        <f>ReferenceData!$BO$29</f>
        <v/>
      </c>
      <c r="BP29" t="str">
        <f>ReferenceData!$BP$29</f>
        <v/>
      </c>
      <c r="BQ29" t="str">
        <f>ReferenceData!$BQ$29</f>
        <v/>
      </c>
      <c r="BR29" t="str">
        <f>ReferenceData!$BR$29</f>
        <v/>
      </c>
      <c r="BS29" t="str">
        <f>ReferenceData!$BS$29</f>
        <v/>
      </c>
      <c r="BT29" t="str">
        <f>ReferenceData!$BT$29</f>
        <v/>
      </c>
      <c r="BU29" t="str">
        <f>ReferenceData!$BU$29</f>
        <v/>
      </c>
      <c r="BV29" t="str">
        <f>ReferenceData!$BV$29</f>
        <v/>
      </c>
      <c r="BW29" t="str">
        <f>ReferenceData!$BW$29</f>
        <v/>
      </c>
      <c r="BX29" t="str">
        <f>ReferenceData!$BX$29</f>
        <v/>
      </c>
      <c r="BY29" t="str">
        <f>ReferenceData!$BY$29</f>
        <v/>
      </c>
      <c r="BZ29" t="str">
        <f>ReferenceData!$BZ$29</f>
        <v/>
      </c>
      <c r="CA29" t="str">
        <f>ReferenceData!$CA$29</f>
        <v/>
      </c>
      <c r="CB29" t="str">
        <f>ReferenceData!$CB$29</f>
        <v/>
      </c>
      <c r="CC29" t="str">
        <f>ReferenceData!$CC$29</f>
        <v/>
      </c>
      <c r="CD29" t="str">
        <f>ReferenceData!$CD$29</f>
        <v/>
      </c>
      <c r="CE29" t="str">
        <f>ReferenceData!$CE$29</f>
        <v/>
      </c>
      <c r="CF29" t="str">
        <f>ReferenceData!$CF$29</f>
        <v/>
      </c>
      <c r="CG29" t="str">
        <f>ReferenceData!$CG$29</f>
        <v/>
      </c>
    </row>
    <row r="30" spans="1:85" x14ac:dyDescent="0.25">
      <c r="A30" t="str">
        <f>ReferenceData!$A$30</f>
        <v xml:space="preserve">    Main Refinancing Operations</v>
      </c>
      <c r="B30" t="str">
        <f>ReferenceData!$B$30</f>
        <v/>
      </c>
      <c r="C30" t="str">
        <f>ReferenceData!$C$30</f>
        <v/>
      </c>
      <c r="D30" t="str">
        <f>ReferenceData!$D$30</f>
        <v/>
      </c>
      <c r="E30" t="str">
        <f>ReferenceData!$E$30</f>
        <v>Static</v>
      </c>
      <c r="F30" t="str">
        <f>ReferenceData!$F$30</f>
        <v/>
      </c>
      <c r="G30" t="str">
        <f>ReferenceData!$G$30</f>
        <v/>
      </c>
      <c r="H30" t="str">
        <f>ReferenceData!$H$30</f>
        <v/>
      </c>
      <c r="I30" t="str">
        <f>ReferenceData!$I$30</f>
        <v/>
      </c>
      <c r="J30" t="str">
        <f>ReferenceData!$J$30</f>
        <v/>
      </c>
      <c r="K30" t="str">
        <f>ReferenceData!$K$30</f>
        <v/>
      </c>
      <c r="L30" t="str">
        <f>ReferenceData!$L$30</f>
        <v/>
      </c>
      <c r="M30" t="str">
        <f>ReferenceData!$M$30</f>
        <v/>
      </c>
      <c r="N30" t="str">
        <f>ReferenceData!$N$30</f>
        <v/>
      </c>
      <c r="O30" t="str">
        <f>ReferenceData!$O$30</f>
        <v/>
      </c>
      <c r="P30" t="str">
        <f>ReferenceData!$P$30</f>
        <v/>
      </c>
      <c r="Q30" t="str">
        <f>ReferenceData!$Q$30</f>
        <v/>
      </c>
      <c r="R30" t="str">
        <f>ReferenceData!$R$30</f>
        <v/>
      </c>
      <c r="S30" t="str">
        <f>ReferenceData!$S$30</f>
        <v/>
      </c>
      <c r="T30" t="str">
        <f>ReferenceData!$T$30</f>
        <v/>
      </c>
      <c r="U30" t="str">
        <f>ReferenceData!$U$30</f>
        <v/>
      </c>
      <c r="V30" t="str">
        <f>ReferenceData!$V$30</f>
        <v/>
      </c>
      <c r="W30" t="str">
        <f>ReferenceData!$W$30</f>
        <v/>
      </c>
      <c r="X30" t="str">
        <f>ReferenceData!$X$30</f>
        <v/>
      </c>
      <c r="Y30" t="str">
        <f>ReferenceData!$Y$30</f>
        <v/>
      </c>
      <c r="Z30" t="str">
        <f>ReferenceData!$Z$30</f>
        <v/>
      </c>
      <c r="AA30" t="str">
        <f>ReferenceData!$AA$30</f>
        <v/>
      </c>
      <c r="AB30" t="str">
        <f>ReferenceData!$AB$30</f>
        <v/>
      </c>
      <c r="AC30" t="str">
        <f>ReferenceData!$AC$30</f>
        <v/>
      </c>
      <c r="AD30" t="str">
        <f>ReferenceData!$AD$30</f>
        <v/>
      </c>
      <c r="AE30" t="str">
        <f>ReferenceData!$AE$30</f>
        <v/>
      </c>
      <c r="AF30" t="str">
        <f>ReferenceData!$AF$30</f>
        <v/>
      </c>
      <c r="AG30" t="str">
        <f>ReferenceData!$AG$30</f>
        <v/>
      </c>
      <c r="AH30" t="str">
        <f>ReferenceData!$AH$30</f>
        <v/>
      </c>
      <c r="AI30" t="str">
        <f>ReferenceData!$AI$30</f>
        <v/>
      </c>
      <c r="AJ30" t="str">
        <f>ReferenceData!$AJ$30</f>
        <v/>
      </c>
      <c r="AK30" t="str">
        <f>ReferenceData!$AK$30</f>
        <v/>
      </c>
      <c r="AL30" t="str">
        <f>ReferenceData!$AL$30</f>
        <v/>
      </c>
      <c r="AM30" t="str">
        <f>ReferenceData!$AM$30</f>
        <v/>
      </c>
      <c r="AN30" t="str">
        <f>ReferenceData!$AN$30</f>
        <v/>
      </c>
      <c r="AO30" t="str">
        <f>ReferenceData!$AO$30</f>
        <v/>
      </c>
      <c r="AP30" t="str">
        <f>ReferenceData!$AP$30</f>
        <v/>
      </c>
      <c r="AQ30" t="str">
        <f>ReferenceData!$AQ$30</f>
        <v/>
      </c>
      <c r="AR30" t="str">
        <f>ReferenceData!$AR$30</f>
        <v/>
      </c>
      <c r="AS30" t="str">
        <f>ReferenceData!$AS$30</f>
        <v/>
      </c>
      <c r="AT30" t="str">
        <f>ReferenceData!$AT$30</f>
        <v/>
      </c>
      <c r="AU30" t="str">
        <f>ReferenceData!$AU$30</f>
        <v/>
      </c>
      <c r="AV30" t="str">
        <f>ReferenceData!$AV$30</f>
        <v/>
      </c>
      <c r="AW30" t="str">
        <f>ReferenceData!$AW$30</f>
        <v/>
      </c>
      <c r="AX30" t="str">
        <f>ReferenceData!$AX$30</f>
        <v/>
      </c>
      <c r="AY30" t="str">
        <f>ReferenceData!$AY$30</f>
        <v/>
      </c>
      <c r="AZ30" t="str">
        <f>ReferenceData!$AZ$30</f>
        <v/>
      </c>
      <c r="BA30" t="str">
        <f>ReferenceData!$BA$30</f>
        <v/>
      </c>
      <c r="BB30" t="str">
        <f>ReferenceData!$BB$30</f>
        <v/>
      </c>
      <c r="BC30" t="str">
        <f>ReferenceData!$BC$30</f>
        <v/>
      </c>
      <c r="BD30" t="str">
        <f>ReferenceData!$BD$30</f>
        <v/>
      </c>
      <c r="BE30" t="str">
        <f>ReferenceData!$BE$30</f>
        <v/>
      </c>
      <c r="BF30" t="str">
        <f>ReferenceData!$BF$30</f>
        <v/>
      </c>
      <c r="BG30" t="str">
        <f>ReferenceData!$BG$30</f>
        <v/>
      </c>
      <c r="BH30" t="str">
        <f>ReferenceData!$BH$30</f>
        <v/>
      </c>
      <c r="BI30" t="str">
        <f>ReferenceData!$BI$30</f>
        <v/>
      </c>
      <c r="BJ30" t="str">
        <f>ReferenceData!$BJ$30</f>
        <v/>
      </c>
      <c r="BK30" t="str">
        <f>ReferenceData!$BK$30</f>
        <v/>
      </c>
      <c r="BL30" t="str">
        <f>ReferenceData!$BL$30</f>
        <v/>
      </c>
      <c r="BM30" t="str">
        <f>ReferenceData!$BM$30</f>
        <v/>
      </c>
      <c r="BN30" t="str">
        <f>ReferenceData!$BN$30</f>
        <v/>
      </c>
      <c r="BO30" t="str">
        <f>ReferenceData!$BO$30</f>
        <v/>
      </c>
      <c r="BP30" t="str">
        <f>ReferenceData!$BP$30</f>
        <v/>
      </c>
      <c r="BQ30" t="str">
        <f>ReferenceData!$BQ$30</f>
        <v/>
      </c>
      <c r="BR30" t="str">
        <f>ReferenceData!$BR$30</f>
        <v/>
      </c>
      <c r="BS30" t="str">
        <f>ReferenceData!$BS$30</f>
        <v/>
      </c>
      <c r="BT30" t="str">
        <f>ReferenceData!$BT$30</f>
        <v/>
      </c>
      <c r="BU30" t="str">
        <f>ReferenceData!$BU$30</f>
        <v/>
      </c>
      <c r="BV30" t="str">
        <f>ReferenceData!$BV$30</f>
        <v/>
      </c>
      <c r="BW30" t="str">
        <f>ReferenceData!$BW$30</f>
        <v/>
      </c>
      <c r="BX30" t="str">
        <f>ReferenceData!$BX$30</f>
        <v/>
      </c>
      <c r="BY30" t="str">
        <f>ReferenceData!$BY$30</f>
        <v/>
      </c>
      <c r="BZ30" t="str">
        <f>ReferenceData!$BZ$30</f>
        <v/>
      </c>
      <c r="CA30" t="str">
        <f>ReferenceData!$CA$30</f>
        <v/>
      </c>
      <c r="CB30" t="str">
        <f>ReferenceData!$CB$30</f>
        <v/>
      </c>
      <c r="CC30" t="str">
        <f>ReferenceData!$CC$30</f>
        <v/>
      </c>
      <c r="CD30" t="str">
        <f>ReferenceData!$CD$30</f>
        <v/>
      </c>
      <c r="CE30" t="str">
        <f>ReferenceData!$CE$30</f>
        <v/>
      </c>
      <c r="CF30" t="str">
        <f>ReferenceData!$CF$30</f>
        <v/>
      </c>
      <c r="CG30" t="str">
        <f>ReferenceData!$CG$30</f>
        <v/>
      </c>
    </row>
    <row r="31" spans="1:85" x14ac:dyDescent="0.25">
      <c r="A31" t="str">
        <f>ReferenceData!$A$31</f>
        <v xml:space="preserve">        Net Added/Drained</v>
      </c>
      <c r="B31" t="str">
        <f>ReferenceData!$B$31</f>
        <v>ECBANET Index</v>
      </c>
      <c r="C31" t="str">
        <f>ReferenceData!$C$31</f>
        <v>PR005</v>
      </c>
      <c r="D31" t="str">
        <f>ReferenceData!$D$31</f>
        <v>PX_LAST</v>
      </c>
      <c r="E31" t="str">
        <f>ReferenceData!$E$31</f>
        <v>Dynamic</v>
      </c>
      <c r="F31" t="e">
        <f ca="1">ReferenceData!$F$31</f>
        <v>#N/A</v>
      </c>
      <c r="G31">
        <f>ReferenceData!$G$31</f>
        <v>-20.6</v>
      </c>
      <c r="H31">
        <f>ReferenceData!$H$31</f>
        <v>24.1</v>
      </c>
      <c r="I31">
        <f>ReferenceData!$I$31</f>
        <v>-0.6</v>
      </c>
      <c r="J31">
        <f>ReferenceData!$J$31</f>
        <v>0.3</v>
      </c>
      <c r="K31">
        <f>ReferenceData!$K$31</f>
        <v>-25.4</v>
      </c>
      <c r="L31">
        <f>ReferenceData!$L$31</f>
        <v>35.4</v>
      </c>
      <c r="M31">
        <f>ReferenceData!$M$31</f>
        <v>-2</v>
      </c>
      <c r="N31">
        <f>ReferenceData!$N$31</f>
        <v>5.8</v>
      </c>
      <c r="O31">
        <f>ReferenceData!$O$31</f>
        <v>-3</v>
      </c>
      <c r="P31">
        <f>ReferenceData!$P$31</f>
        <v>-17.899999999999999</v>
      </c>
      <c r="Q31">
        <f>ReferenceData!$Q$31</f>
        <v>17.2</v>
      </c>
      <c r="R31">
        <f>ReferenceData!$R$31</f>
        <v>-38.9</v>
      </c>
      <c r="S31">
        <f>ReferenceData!$S$31</f>
        <v>-12.6</v>
      </c>
      <c r="T31">
        <f>ReferenceData!$T$31</f>
        <v>-24.7</v>
      </c>
      <c r="U31">
        <f>ReferenceData!$U$31</f>
        <v>42</v>
      </c>
      <c r="V31">
        <f>ReferenceData!$V$31</f>
        <v>-5.3</v>
      </c>
      <c r="W31">
        <f>ReferenceData!$W$31</f>
        <v>8.1999999999999993</v>
      </c>
      <c r="X31">
        <f>ReferenceData!$X$31</f>
        <v>-43.5</v>
      </c>
      <c r="Y31">
        <f>ReferenceData!$Y$31</f>
        <v>50.8</v>
      </c>
      <c r="Z31">
        <f>ReferenceData!$Z$31</f>
        <v>9.6999999999999993</v>
      </c>
      <c r="AA31">
        <f>ReferenceData!$AA$31</f>
        <v>7.5</v>
      </c>
      <c r="AB31">
        <f>ReferenceData!$AB$31</f>
        <v>-6</v>
      </c>
      <c r="AC31">
        <f>ReferenceData!$AC$31</f>
        <v>-10.7</v>
      </c>
      <c r="AD31">
        <f>ReferenceData!$AD$31</f>
        <v>24.4</v>
      </c>
      <c r="AE31">
        <f>ReferenceData!$AE$31</f>
        <v>4.3</v>
      </c>
      <c r="AF31">
        <f>ReferenceData!$AF$31</f>
        <v>5.5</v>
      </c>
      <c r="AG31">
        <f>ReferenceData!$AG$31</f>
        <v>-7</v>
      </c>
      <c r="AH31">
        <f>ReferenceData!$AH$31</f>
        <v>1.2</v>
      </c>
      <c r="AI31">
        <f>ReferenceData!$AI$31</f>
        <v>-0.4</v>
      </c>
      <c r="AJ31">
        <f>ReferenceData!$AJ$31</f>
        <v>-1.9</v>
      </c>
      <c r="AK31">
        <f>ReferenceData!$AK$31</f>
        <v>-20.5</v>
      </c>
      <c r="AL31">
        <f>ReferenceData!$AL$31</f>
        <v>-0.6</v>
      </c>
      <c r="AM31">
        <f>ReferenceData!$AM$31</f>
        <v>21.5</v>
      </c>
      <c r="AN31">
        <f>ReferenceData!$AN$31</f>
        <v>-17.7</v>
      </c>
      <c r="AO31">
        <f>ReferenceData!$AO$31</f>
        <v>-56.2</v>
      </c>
      <c r="AP31">
        <f>ReferenceData!$AP$31</f>
        <v>35.1</v>
      </c>
      <c r="AQ31">
        <f>ReferenceData!$AQ$31</f>
        <v>14.7</v>
      </c>
      <c r="AR31">
        <f>ReferenceData!$AR$31</f>
        <v>20.399999999999999</v>
      </c>
      <c r="AS31">
        <f>ReferenceData!$AS$31</f>
        <v>3.9</v>
      </c>
      <c r="AT31">
        <f>ReferenceData!$AT$31</f>
        <v>-2.6</v>
      </c>
      <c r="AU31">
        <f>ReferenceData!$AU$31</f>
        <v>10.3</v>
      </c>
      <c r="AV31">
        <f>ReferenceData!$AV$31</f>
        <v>-0.9</v>
      </c>
      <c r="AW31">
        <f>ReferenceData!$AW$31</f>
        <v>-1.8</v>
      </c>
      <c r="AX31">
        <f>ReferenceData!$AX$31</f>
        <v>0.2</v>
      </c>
      <c r="AY31">
        <f>ReferenceData!$AY$31</f>
        <v>-1.3</v>
      </c>
      <c r="AZ31">
        <f>ReferenceData!$AZ$31</f>
        <v>-0.6</v>
      </c>
      <c r="BA31">
        <f>ReferenceData!$BA$31</f>
        <v>-2.1</v>
      </c>
      <c r="BB31">
        <f>ReferenceData!$BB$31</f>
        <v>-1.1000000000000001</v>
      </c>
      <c r="BC31">
        <f>ReferenceData!$BC$31</f>
        <v>-2.6</v>
      </c>
      <c r="BD31">
        <f>ReferenceData!$BD$31</f>
        <v>0.8</v>
      </c>
      <c r="BE31">
        <f>ReferenceData!$BE$31</f>
        <v>-0.9</v>
      </c>
      <c r="BF31">
        <f>ReferenceData!$BF$31</f>
        <v>1.5</v>
      </c>
      <c r="BG31">
        <f>ReferenceData!$BG$31</f>
        <v>-1.5</v>
      </c>
      <c r="BH31">
        <f>ReferenceData!$BH$31</f>
        <v>-0.6</v>
      </c>
      <c r="BI31">
        <f>ReferenceData!$BI$31</f>
        <v>0.2</v>
      </c>
      <c r="BJ31">
        <f>ReferenceData!$BJ$31</f>
        <v>-1.9</v>
      </c>
      <c r="BK31">
        <f>ReferenceData!$BK$31</f>
        <v>-9.8000000000000007</v>
      </c>
      <c r="BL31">
        <f>ReferenceData!$BL$31</f>
        <v>6.9</v>
      </c>
      <c r="BM31">
        <f>ReferenceData!$BM$31</f>
        <v>-2.1</v>
      </c>
      <c r="BN31">
        <f>ReferenceData!$BN$31</f>
        <v>2.4</v>
      </c>
      <c r="BO31">
        <f>ReferenceData!$BO$31</f>
        <v>-5.6</v>
      </c>
      <c r="BP31">
        <f>ReferenceData!$BP$31</f>
        <v>-9.6</v>
      </c>
      <c r="BQ31">
        <f>ReferenceData!$BQ$31</f>
        <v>15.3</v>
      </c>
      <c r="BR31">
        <f>ReferenceData!$BR$31</f>
        <v>-6.3</v>
      </c>
      <c r="BS31">
        <f>ReferenceData!$BS$31</f>
        <v>5.3</v>
      </c>
      <c r="BT31">
        <f>ReferenceData!$BT$31</f>
        <v>-0.2</v>
      </c>
      <c r="BU31">
        <f>ReferenceData!$BU$31</f>
        <v>-0.2</v>
      </c>
      <c r="BV31">
        <f>ReferenceData!$BV$31</f>
        <v>-0.4</v>
      </c>
      <c r="BW31">
        <f>ReferenceData!$BW$31</f>
        <v>-6.4</v>
      </c>
      <c r="BX31">
        <f>ReferenceData!$BX$31</f>
        <v>5.3</v>
      </c>
      <c r="BY31">
        <f>ReferenceData!$BY$31</f>
        <v>-5.4</v>
      </c>
      <c r="BZ31">
        <f>ReferenceData!$BZ$31</f>
        <v>-6</v>
      </c>
      <c r="CA31">
        <f>ReferenceData!$CA$31</f>
        <v>-3</v>
      </c>
      <c r="CB31">
        <f>ReferenceData!$CB$31</f>
        <v>-5.5</v>
      </c>
      <c r="CC31">
        <f>ReferenceData!$CC$31</f>
        <v>1.6</v>
      </c>
      <c r="CD31">
        <f>ReferenceData!$CD$31</f>
        <v>3.9</v>
      </c>
      <c r="CE31">
        <f>ReferenceData!$CE$31</f>
        <v>-7.9</v>
      </c>
      <c r="CF31">
        <f>ReferenceData!$CF$31</f>
        <v>-2.5</v>
      </c>
      <c r="CG31">
        <f>ReferenceData!$CG$31</f>
        <v>-1.3</v>
      </c>
    </row>
    <row r="32" spans="1:85" x14ac:dyDescent="0.25">
      <c r="A32" t="str">
        <f>ReferenceData!$A$32</f>
        <v xml:space="preserve">        Bid Cover Ratio</v>
      </c>
      <c r="B32" t="str">
        <f>ReferenceData!$B$32</f>
        <v/>
      </c>
      <c r="C32" t="str">
        <f>ReferenceData!$C$32</f>
        <v/>
      </c>
      <c r="D32" t="str">
        <f>ReferenceData!$D$32</f>
        <v/>
      </c>
      <c r="E32" t="str">
        <f>ReferenceData!$E$32</f>
        <v>Expression</v>
      </c>
      <c r="F32" t="str">
        <f ca="1">ReferenceData!$F$32</f>
        <v/>
      </c>
      <c r="G32">
        <f>ReferenceData!$G$32</f>
        <v>1</v>
      </c>
      <c r="H32">
        <f>ReferenceData!$H$32</f>
        <v>1</v>
      </c>
      <c r="I32">
        <f>ReferenceData!$I$32</f>
        <v>1</v>
      </c>
      <c r="J32">
        <f>ReferenceData!$J$32</f>
        <v>1</v>
      </c>
      <c r="K32">
        <f>ReferenceData!$K$32</f>
        <v>1</v>
      </c>
      <c r="L32">
        <f>ReferenceData!$L$32</f>
        <v>1</v>
      </c>
      <c r="M32">
        <f>ReferenceData!$M$32</f>
        <v>1</v>
      </c>
      <c r="N32">
        <f>ReferenceData!$N$32</f>
        <v>1</v>
      </c>
      <c r="O32">
        <f>ReferenceData!$O$32</f>
        <v>1</v>
      </c>
      <c r="P32">
        <f>ReferenceData!$P$32</f>
        <v>1</v>
      </c>
      <c r="Q32">
        <f>ReferenceData!$Q$32</f>
        <v>1</v>
      </c>
      <c r="R32">
        <f>ReferenceData!$R$32</f>
        <v>1</v>
      </c>
      <c r="S32">
        <f>ReferenceData!$S$32</f>
        <v>1</v>
      </c>
      <c r="T32">
        <f>ReferenceData!$T$32</f>
        <v>1</v>
      </c>
      <c r="U32">
        <f>ReferenceData!$U$32</f>
        <v>1</v>
      </c>
      <c r="V32">
        <f>ReferenceData!$V$32</f>
        <v>1</v>
      </c>
      <c r="W32">
        <f>ReferenceData!$W$32</f>
        <v>1</v>
      </c>
      <c r="X32">
        <f>ReferenceData!$X$32</f>
        <v>1</v>
      </c>
      <c r="Y32">
        <f>ReferenceData!$Y$32</f>
        <v>1</v>
      </c>
      <c r="Z32">
        <f>ReferenceData!$Z$32</f>
        <v>1</v>
      </c>
      <c r="AA32">
        <f>ReferenceData!$AA$32</f>
        <v>1</v>
      </c>
      <c r="AB32">
        <f>ReferenceData!$AB$32</f>
        <v>1</v>
      </c>
      <c r="AC32">
        <f>ReferenceData!$AC$32</f>
        <v>1</v>
      </c>
      <c r="AD32">
        <f>ReferenceData!$AD$32</f>
        <v>1</v>
      </c>
      <c r="AE32">
        <f>ReferenceData!$AE$32</f>
        <v>1</v>
      </c>
      <c r="AF32">
        <f>ReferenceData!$AF$32</f>
        <v>1</v>
      </c>
      <c r="AG32">
        <f>ReferenceData!$AG$32</f>
        <v>1</v>
      </c>
      <c r="AH32">
        <f>ReferenceData!$AH$32</f>
        <v>1</v>
      </c>
      <c r="AI32">
        <f>ReferenceData!$AI$32</f>
        <v>1</v>
      </c>
      <c r="AJ32">
        <f>ReferenceData!$AJ$32</f>
        <v>1</v>
      </c>
      <c r="AK32">
        <f>ReferenceData!$AK$32</f>
        <v>1</v>
      </c>
      <c r="AL32">
        <f>ReferenceData!$AL$32</f>
        <v>1</v>
      </c>
      <c r="AM32">
        <f>ReferenceData!$AM$32</f>
        <v>1</v>
      </c>
      <c r="AN32">
        <f>ReferenceData!$AN$32</f>
        <v>1</v>
      </c>
      <c r="AO32">
        <f>ReferenceData!$AO$32</f>
        <v>1</v>
      </c>
      <c r="AP32">
        <f>ReferenceData!$AP$32</f>
        <v>1</v>
      </c>
      <c r="AQ32">
        <f>ReferenceData!$AQ$32</f>
        <v>1</v>
      </c>
      <c r="AR32">
        <f>ReferenceData!$AR$32</f>
        <v>1</v>
      </c>
      <c r="AS32">
        <f>ReferenceData!$AS$32</f>
        <v>1</v>
      </c>
      <c r="AT32">
        <f>ReferenceData!$AT$32</f>
        <v>1</v>
      </c>
      <c r="AU32">
        <f>ReferenceData!$AU$32</f>
        <v>1</v>
      </c>
      <c r="AV32">
        <f>ReferenceData!$AV$32</f>
        <v>1</v>
      </c>
      <c r="AW32">
        <f>ReferenceData!$AW$32</f>
        <v>1</v>
      </c>
      <c r="AX32">
        <f>ReferenceData!$AX$32</f>
        <v>1</v>
      </c>
      <c r="AY32">
        <f>ReferenceData!$AY$32</f>
        <v>1</v>
      </c>
      <c r="AZ32">
        <f>ReferenceData!$AZ$32</f>
        <v>1</v>
      </c>
      <c r="BA32">
        <f>ReferenceData!$BA$32</f>
        <v>1</v>
      </c>
      <c r="BB32">
        <f>ReferenceData!$BB$32</f>
        <v>1</v>
      </c>
      <c r="BC32">
        <f>ReferenceData!$BC$32</f>
        <v>1</v>
      </c>
      <c r="BD32">
        <f>ReferenceData!$BD$32</f>
        <v>1</v>
      </c>
      <c r="BE32">
        <f>ReferenceData!$BE$32</f>
        <v>1</v>
      </c>
      <c r="BF32">
        <f>ReferenceData!$BF$32</f>
        <v>1</v>
      </c>
      <c r="BG32">
        <f>ReferenceData!$BG$32</f>
        <v>1</v>
      </c>
      <c r="BH32">
        <f>ReferenceData!$BH$32</f>
        <v>1</v>
      </c>
      <c r="BI32">
        <f>ReferenceData!$BI$32</f>
        <v>1</v>
      </c>
      <c r="BJ32">
        <f>ReferenceData!$BJ$32</f>
        <v>1</v>
      </c>
      <c r="BK32">
        <f>ReferenceData!$BK$32</f>
        <v>1</v>
      </c>
      <c r="BL32">
        <f>ReferenceData!$BL$32</f>
        <v>1</v>
      </c>
      <c r="BM32">
        <f>ReferenceData!$BM$32</f>
        <v>1</v>
      </c>
      <c r="BN32">
        <f>ReferenceData!$BN$32</f>
        <v>1</v>
      </c>
      <c r="BO32">
        <f>ReferenceData!$BO$32</f>
        <v>1</v>
      </c>
      <c r="BP32">
        <f>ReferenceData!$BP$32</f>
        <v>1</v>
      </c>
      <c r="BQ32">
        <f>ReferenceData!$BQ$32</f>
        <v>1</v>
      </c>
      <c r="BR32">
        <f>ReferenceData!$BR$32</f>
        <v>1</v>
      </c>
      <c r="BS32">
        <f>ReferenceData!$BS$32</f>
        <v>1</v>
      </c>
      <c r="BT32">
        <f>ReferenceData!$BT$32</f>
        <v>1</v>
      </c>
      <c r="BU32">
        <f>ReferenceData!$BU$32</f>
        <v>1</v>
      </c>
      <c r="BV32">
        <f>ReferenceData!$BV$32</f>
        <v>1</v>
      </c>
      <c r="BW32">
        <f>ReferenceData!$BW$32</f>
        <v>1</v>
      </c>
      <c r="BX32">
        <f>ReferenceData!$BX$32</f>
        <v>1</v>
      </c>
      <c r="BY32">
        <f>ReferenceData!$BY$32</f>
        <v>1</v>
      </c>
      <c r="BZ32">
        <f>ReferenceData!$BZ$32</f>
        <v>1</v>
      </c>
      <c r="CA32">
        <f>ReferenceData!$CA$32</f>
        <v>1</v>
      </c>
      <c r="CB32">
        <f>ReferenceData!$CB$32</f>
        <v>1</v>
      </c>
      <c r="CC32">
        <f>ReferenceData!$CC$32</f>
        <v>1</v>
      </c>
      <c r="CD32">
        <f>ReferenceData!$CD$32</f>
        <v>1</v>
      </c>
      <c r="CE32">
        <f>ReferenceData!$CE$32</f>
        <v>1</v>
      </c>
      <c r="CF32">
        <f>ReferenceData!$CF$32</f>
        <v>1</v>
      </c>
      <c r="CG32">
        <f>ReferenceData!$CG$32</f>
        <v>1</v>
      </c>
    </row>
    <row r="33" spans="1:85" x14ac:dyDescent="0.25">
      <c r="A33" t="str">
        <f>ReferenceData!$A$33</f>
        <v xml:space="preserve">            Bid Amount</v>
      </c>
      <c r="B33" t="str">
        <f>ReferenceData!$B$33</f>
        <v>ECBATBID Index</v>
      </c>
      <c r="C33" t="str">
        <f>ReferenceData!$C$33</f>
        <v>PR005</v>
      </c>
      <c r="D33" t="str">
        <f>ReferenceData!$D$33</f>
        <v>PX_LAST</v>
      </c>
      <c r="E33" t="str">
        <f>ReferenceData!$E$33</f>
        <v>Dynamic</v>
      </c>
      <c r="F33" t="e">
        <f ca="1">ReferenceData!$F$33</f>
        <v>#N/A</v>
      </c>
      <c r="G33">
        <f>ReferenceData!$G$33</f>
        <v>111.2</v>
      </c>
      <c r="H33">
        <f>ReferenceData!$H$33</f>
        <v>131.76</v>
      </c>
      <c r="I33">
        <f>ReferenceData!$I$33</f>
        <v>107.61</v>
      </c>
      <c r="J33">
        <f>ReferenceData!$J$33</f>
        <v>108.2</v>
      </c>
      <c r="K33">
        <f>ReferenceData!$K$33</f>
        <v>107.92</v>
      </c>
      <c r="L33">
        <f>ReferenceData!$L$33</f>
        <v>133.30000000000001</v>
      </c>
      <c r="M33">
        <f>ReferenceData!$M$33</f>
        <v>97.89</v>
      </c>
      <c r="N33">
        <f>ReferenceData!$N$33</f>
        <v>99.91</v>
      </c>
      <c r="O33">
        <f>ReferenceData!$O$33</f>
        <v>94.15</v>
      </c>
      <c r="P33">
        <f>ReferenceData!$P$33</f>
        <v>97.1</v>
      </c>
      <c r="Q33">
        <f>ReferenceData!$Q$33</f>
        <v>115.04</v>
      </c>
      <c r="R33">
        <f>ReferenceData!$R$33</f>
        <v>97.89</v>
      </c>
      <c r="S33">
        <f>ReferenceData!$S$33</f>
        <v>136.77000000000001</v>
      </c>
      <c r="T33">
        <f>ReferenceData!$T$33</f>
        <v>149.35</v>
      </c>
      <c r="U33">
        <f>ReferenceData!$U$33</f>
        <v>174</v>
      </c>
      <c r="V33">
        <f>ReferenceData!$V$33</f>
        <v>131.96</v>
      </c>
      <c r="W33">
        <f>ReferenceData!$W$33</f>
        <v>137.30000000000001</v>
      </c>
      <c r="X33">
        <f>ReferenceData!$X$33</f>
        <v>129.13999999999999</v>
      </c>
      <c r="Y33">
        <f>ReferenceData!$Y$33</f>
        <v>172.62</v>
      </c>
      <c r="Z33">
        <f>ReferenceData!$Z$33</f>
        <v>121.82</v>
      </c>
      <c r="AA33">
        <f>ReferenceData!$AA$33</f>
        <v>112.17</v>
      </c>
      <c r="AB33">
        <f>ReferenceData!$AB$33</f>
        <v>104.62</v>
      </c>
      <c r="AC33">
        <f>ReferenceData!$AC$33</f>
        <v>110.64</v>
      </c>
      <c r="AD33">
        <f>ReferenceData!$AD$33</f>
        <v>121.31</v>
      </c>
      <c r="AE33">
        <f>ReferenceData!$AE$33</f>
        <v>96.91</v>
      </c>
      <c r="AF33">
        <f>ReferenceData!$AF$33</f>
        <v>92.57</v>
      </c>
      <c r="AG33">
        <f>ReferenceData!$AG$33</f>
        <v>87.05</v>
      </c>
      <c r="AH33">
        <f>ReferenceData!$AH$33</f>
        <v>94.04</v>
      </c>
      <c r="AI33">
        <f>ReferenceData!$AI$33</f>
        <v>92.87</v>
      </c>
      <c r="AJ33">
        <f>ReferenceData!$AJ$33</f>
        <v>93.28</v>
      </c>
      <c r="AK33">
        <f>ReferenceData!$AK$33</f>
        <v>95.15</v>
      </c>
      <c r="AL33">
        <f>ReferenceData!$AL$33</f>
        <v>115.63</v>
      </c>
      <c r="AM33">
        <f>ReferenceData!$AM$33</f>
        <v>116.28</v>
      </c>
      <c r="AN33">
        <f>ReferenceData!$AN$33</f>
        <v>94.74</v>
      </c>
      <c r="AO33">
        <f>ReferenceData!$AO$33</f>
        <v>112.46</v>
      </c>
      <c r="AP33">
        <f>ReferenceData!$AP$33</f>
        <v>168.66</v>
      </c>
      <c r="AQ33">
        <f>ReferenceData!$AQ$33</f>
        <v>133.58000000000001</v>
      </c>
      <c r="AR33">
        <f>ReferenceData!$AR$33</f>
        <v>118.91</v>
      </c>
      <c r="AS33">
        <f>ReferenceData!$AS$33</f>
        <v>98.49</v>
      </c>
      <c r="AT33">
        <f>ReferenceData!$AT$33</f>
        <v>94.63</v>
      </c>
      <c r="AU33">
        <f>ReferenceData!$AU$33</f>
        <v>97.21</v>
      </c>
      <c r="AV33">
        <f>ReferenceData!$AV$33</f>
        <v>86.88</v>
      </c>
      <c r="AW33">
        <f>ReferenceData!$AW$33</f>
        <v>87.74</v>
      </c>
      <c r="AX33">
        <f>ReferenceData!$AX$33</f>
        <v>89.52</v>
      </c>
      <c r="AY33">
        <f>ReferenceData!$AY$33</f>
        <v>89.32</v>
      </c>
      <c r="AZ33">
        <f>ReferenceData!$AZ$33</f>
        <v>90.61</v>
      </c>
      <c r="BA33">
        <f>ReferenceData!$BA$33</f>
        <v>91.23</v>
      </c>
      <c r="BB33">
        <f>ReferenceData!$BB$33</f>
        <v>93.37</v>
      </c>
      <c r="BC33">
        <f>ReferenceData!$BC$33</f>
        <v>94.47</v>
      </c>
      <c r="BD33">
        <f>ReferenceData!$BD$33</f>
        <v>97.03</v>
      </c>
      <c r="BE33">
        <f>ReferenceData!$BE$33</f>
        <v>96.25</v>
      </c>
      <c r="BF33">
        <f>ReferenceData!$BF$33</f>
        <v>97.17</v>
      </c>
      <c r="BG33">
        <f>ReferenceData!$BG$33</f>
        <v>95.62</v>
      </c>
      <c r="BH33">
        <f>ReferenceData!$BH$33</f>
        <v>97.13</v>
      </c>
      <c r="BI33">
        <f>ReferenceData!$BI$33</f>
        <v>97.73</v>
      </c>
      <c r="BJ33">
        <f>ReferenceData!$BJ$33</f>
        <v>97.56</v>
      </c>
      <c r="BK33">
        <f>ReferenceData!$BK$33</f>
        <v>99.41</v>
      </c>
      <c r="BL33">
        <f>ReferenceData!$BL$33</f>
        <v>109.16</v>
      </c>
      <c r="BM33">
        <f>ReferenceData!$BM$33</f>
        <v>102.3</v>
      </c>
      <c r="BN33">
        <f>ReferenceData!$BN$33</f>
        <v>104.43</v>
      </c>
      <c r="BO33">
        <f>ReferenceData!$BO$33</f>
        <v>102.06</v>
      </c>
      <c r="BP33">
        <f>ReferenceData!$BP$33</f>
        <v>107.7</v>
      </c>
      <c r="BQ33">
        <f>ReferenceData!$BQ$33</f>
        <v>117.31</v>
      </c>
      <c r="BR33">
        <f>ReferenceData!$BR$33</f>
        <v>102.04</v>
      </c>
      <c r="BS33">
        <f>ReferenceData!$BS$33</f>
        <v>108.33</v>
      </c>
      <c r="BT33">
        <f>ReferenceData!$BT$33</f>
        <v>103.02</v>
      </c>
      <c r="BU33">
        <f>ReferenceData!$BU$33</f>
        <v>103.19</v>
      </c>
      <c r="BV33">
        <f>ReferenceData!$BV$33</f>
        <v>103.4</v>
      </c>
      <c r="BW33">
        <f>ReferenceData!$BW$33</f>
        <v>103.84</v>
      </c>
      <c r="BX33">
        <f>ReferenceData!$BX$33</f>
        <v>110.29</v>
      </c>
      <c r="BY33">
        <f>ReferenceData!$BY$33</f>
        <v>105.01</v>
      </c>
      <c r="BZ33">
        <f>ReferenceData!$BZ$33</f>
        <v>110.41</v>
      </c>
      <c r="CA33">
        <f>ReferenceData!$CA$33</f>
        <v>116.37</v>
      </c>
      <c r="CB33">
        <f>ReferenceData!$CB$33</f>
        <v>119.35</v>
      </c>
      <c r="CC33">
        <f>ReferenceData!$CC$33</f>
        <v>124.88</v>
      </c>
      <c r="CD33">
        <f>ReferenceData!$CD$33</f>
        <v>123.24</v>
      </c>
      <c r="CE33">
        <f>ReferenceData!$CE$33</f>
        <v>119.37</v>
      </c>
      <c r="CF33">
        <f>ReferenceData!$CF$33</f>
        <v>127.3</v>
      </c>
      <c r="CG33">
        <f>ReferenceData!$CG$33</f>
        <v>129.80000000000001</v>
      </c>
    </row>
    <row r="34" spans="1:85" x14ac:dyDescent="0.25">
      <c r="A34" t="str">
        <f>ReferenceData!$A$34</f>
        <v xml:space="preserve">            Alloted Amount</v>
      </c>
      <c r="B34" t="str">
        <f>ReferenceData!$B$34</f>
        <v>ECBATOT Index</v>
      </c>
      <c r="C34" t="str">
        <f>ReferenceData!$C$34</f>
        <v>PR005</v>
      </c>
      <c r="D34" t="str">
        <f>ReferenceData!$D$34</f>
        <v>PX_LAST</v>
      </c>
      <c r="E34" t="str">
        <f>ReferenceData!$E$34</f>
        <v>Dynamic</v>
      </c>
      <c r="F34" t="e">
        <f ca="1">ReferenceData!$F$34</f>
        <v>#N/A</v>
      </c>
      <c r="G34">
        <f>ReferenceData!$G$34</f>
        <v>111.2</v>
      </c>
      <c r="H34">
        <f>ReferenceData!$H$34</f>
        <v>131.76</v>
      </c>
      <c r="I34">
        <f>ReferenceData!$I$34</f>
        <v>107.61</v>
      </c>
      <c r="J34">
        <f>ReferenceData!$J$34</f>
        <v>108.2</v>
      </c>
      <c r="K34">
        <f>ReferenceData!$K$34</f>
        <v>107.92</v>
      </c>
      <c r="L34">
        <f>ReferenceData!$L$34</f>
        <v>133.30000000000001</v>
      </c>
      <c r="M34">
        <f>ReferenceData!$M$34</f>
        <v>97.89</v>
      </c>
      <c r="N34">
        <f>ReferenceData!$N$34</f>
        <v>99.91</v>
      </c>
      <c r="O34">
        <f>ReferenceData!$O$34</f>
        <v>94.15</v>
      </c>
      <c r="P34">
        <f>ReferenceData!$P$34</f>
        <v>97.1</v>
      </c>
      <c r="Q34">
        <f>ReferenceData!$Q$34</f>
        <v>115.04</v>
      </c>
      <c r="R34">
        <f>ReferenceData!$R$34</f>
        <v>97.89</v>
      </c>
      <c r="S34">
        <f>ReferenceData!$S$34</f>
        <v>136.77000000000001</v>
      </c>
      <c r="T34">
        <f>ReferenceData!$T$34</f>
        <v>149.35</v>
      </c>
      <c r="U34">
        <f>ReferenceData!$U$34</f>
        <v>174</v>
      </c>
      <c r="V34">
        <f>ReferenceData!$V$34</f>
        <v>131.96</v>
      </c>
      <c r="W34">
        <f>ReferenceData!$W$34</f>
        <v>137.30000000000001</v>
      </c>
      <c r="X34">
        <f>ReferenceData!$X$34</f>
        <v>129.13999999999999</v>
      </c>
      <c r="Y34">
        <f>ReferenceData!$Y$34</f>
        <v>172.62</v>
      </c>
      <c r="Z34">
        <f>ReferenceData!$Z$34</f>
        <v>121.82</v>
      </c>
      <c r="AA34">
        <f>ReferenceData!$AA$34</f>
        <v>112.17</v>
      </c>
      <c r="AB34">
        <f>ReferenceData!$AB$34</f>
        <v>104.62</v>
      </c>
      <c r="AC34">
        <f>ReferenceData!$AC$34</f>
        <v>110.64</v>
      </c>
      <c r="AD34">
        <f>ReferenceData!$AD$34</f>
        <v>121.31</v>
      </c>
      <c r="AE34">
        <f>ReferenceData!$AE$34</f>
        <v>96.91</v>
      </c>
      <c r="AF34">
        <f>ReferenceData!$AF$34</f>
        <v>92.57</v>
      </c>
      <c r="AG34">
        <f>ReferenceData!$AG$34</f>
        <v>87.05</v>
      </c>
      <c r="AH34">
        <f>ReferenceData!$AH$34</f>
        <v>94.04</v>
      </c>
      <c r="AI34">
        <f>ReferenceData!$AI$34</f>
        <v>92.87</v>
      </c>
      <c r="AJ34">
        <f>ReferenceData!$AJ$34</f>
        <v>93.28</v>
      </c>
      <c r="AK34">
        <f>ReferenceData!$AK$34</f>
        <v>95.15</v>
      </c>
      <c r="AL34">
        <f>ReferenceData!$AL$34</f>
        <v>115.63</v>
      </c>
      <c r="AM34">
        <f>ReferenceData!$AM$34</f>
        <v>116.28</v>
      </c>
      <c r="AN34">
        <f>ReferenceData!$AN$34</f>
        <v>94.74</v>
      </c>
      <c r="AO34">
        <f>ReferenceData!$AO$34</f>
        <v>112.46</v>
      </c>
      <c r="AP34">
        <f>ReferenceData!$AP$34</f>
        <v>168.66</v>
      </c>
      <c r="AQ34">
        <f>ReferenceData!$AQ$34</f>
        <v>133.58000000000001</v>
      </c>
      <c r="AR34">
        <f>ReferenceData!$AR$34</f>
        <v>118.91</v>
      </c>
      <c r="AS34">
        <f>ReferenceData!$AS$34</f>
        <v>98.49</v>
      </c>
      <c r="AT34">
        <f>ReferenceData!$AT$34</f>
        <v>94.63</v>
      </c>
      <c r="AU34">
        <f>ReferenceData!$AU$34</f>
        <v>97.21</v>
      </c>
      <c r="AV34">
        <f>ReferenceData!$AV$34</f>
        <v>86.88</v>
      </c>
      <c r="AW34">
        <f>ReferenceData!$AW$34</f>
        <v>87.74</v>
      </c>
      <c r="AX34">
        <f>ReferenceData!$AX$34</f>
        <v>89.52</v>
      </c>
      <c r="AY34">
        <f>ReferenceData!$AY$34</f>
        <v>89.32</v>
      </c>
      <c r="AZ34">
        <f>ReferenceData!$AZ$34</f>
        <v>90.61</v>
      </c>
      <c r="BA34">
        <f>ReferenceData!$BA$34</f>
        <v>91.23</v>
      </c>
      <c r="BB34">
        <f>ReferenceData!$BB$34</f>
        <v>93.37</v>
      </c>
      <c r="BC34">
        <f>ReferenceData!$BC$34</f>
        <v>94.47</v>
      </c>
      <c r="BD34">
        <f>ReferenceData!$BD$34</f>
        <v>97.03</v>
      </c>
      <c r="BE34">
        <f>ReferenceData!$BE$34</f>
        <v>96.25</v>
      </c>
      <c r="BF34">
        <f>ReferenceData!$BF$34</f>
        <v>97.17</v>
      </c>
      <c r="BG34">
        <f>ReferenceData!$BG$34</f>
        <v>95.62</v>
      </c>
      <c r="BH34">
        <f>ReferenceData!$BH$34</f>
        <v>97.13</v>
      </c>
      <c r="BI34">
        <f>ReferenceData!$BI$34</f>
        <v>97.73</v>
      </c>
      <c r="BJ34">
        <f>ReferenceData!$BJ$34</f>
        <v>97.56</v>
      </c>
      <c r="BK34">
        <f>ReferenceData!$BK$34</f>
        <v>99.41</v>
      </c>
      <c r="BL34">
        <f>ReferenceData!$BL$34</f>
        <v>109.16</v>
      </c>
      <c r="BM34">
        <f>ReferenceData!$BM$34</f>
        <v>102.3</v>
      </c>
      <c r="BN34">
        <f>ReferenceData!$BN$34</f>
        <v>104.43</v>
      </c>
      <c r="BO34">
        <f>ReferenceData!$BO$34</f>
        <v>102.06</v>
      </c>
      <c r="BP34">
        <f>ReferenceData!$BP$34</f>
        <v>107.7</v>
      </c>
      <c r="BQ34">
        <f>ReferenceData!$BQ$34</f>
        <v>117.31</v>
      </c>
      <c r="BR34">
        <f>ReferenceData!$BR$34</f>
        <v>102.04</v>
      </c>
      <c r="BS34">
        <f>ReferenceData!$BS$34</f>
        <v>108.33</v>
      </c>
      <c r="BT34">
        <f>ReferenceData!$BT$34</f>
        <v>103.02</v>
      </c>
      <c r="BU34">
        <f>ReferenceData!$BU$34</f>
        <v>103.19</v>
      </c>
      <c r="BV34">
        <f>ReferenceData!$BV$34</f>
        <v>103.4</v>
      </c>
      <c r="BW34">
        <f>ReferenceData!$BW$34</f>
        <v>103.84</v>
      </c>
      <c r="BX34">
        <f>ReferenceData!$BX$34</f>
        <v>110.29</v>
      </c>
      <c r="BY34">
        <f>ReferenceData!$BY$34</f>
        <v>105.01</v>
      </c>
      <c r="BZ34">
        <f>ReferenceData!$BZ$34</f>
        <v>110.41</v>
      </c>
      <c r="CA34">
        <f>ReferenceData!$CA$34</f>
        <v>116.37</v>
      </c>
      <c r="CB34">
        <f>ReferenceData!$CB$34</f>
        <v>119.35</v>
      </c>
      <c r="CC34">
        <f>ReferenceData!$CC$34</f>
        <v>124.88</v>
      </c>
      <c r="CD34">
        <f>ReferenceData!$CD$34</f>
        <v>123.24</v>
      </c>
      <c r="CE34">
        <f>ReferenceData!$CE$34</f>
        <v>119.37</v>
      </c>
      <c r="CF34">
        <f>ReferenceData!$CF$34</f>
        <v>127.3</v>
      </c>
      <c r="CG34">
        <f>ReferenceData!$CG$34</f>
        <v>129.80000000000001</v>
      </c>
    </row>
    <row r="35" spans="1:85" x14ac:dyDescent="0.25">
      <c r="A35" t="str">
        <f>ReferenceData!$A$35</f>
        <v xml:space="preserve">        Marginal Rate (%)</v>
      </c>
      <c r="B35" t="str">
        <f>ReferenceData!$B$35</f>
        <v>ECBAMARG Index</v>
      </c>
      <c r="C35" t="str">
        <f>ReferenceData!$C$35</f>
        <v>PR005</v>
      </c>
      <c r="D35" t="str">
        <f>ReferenceData!$D$35</f>
        <v>PX_LAST</v>
      </c>
      <c r="E35" t="str">
        <f>ReferenceData!$E$35</f>
        <v>Dynamic</v>
      </c>
      <c r="F35" t="e">
        <f ca="1">ReferenceData!$F$35</f>
        <v>#N/A</v>
      </c>
      <c r="G35">
        <f>ReferenceData!$G$35</f>
        <v>0.15</v>
      </c>
      <c r="H35">
        <f>ReferenceData!$H$35</f>
        <v>0.15</v>
      </c>
      <c r="I35">
        <f>ReferenceData!$I$35</f>
        <v>0.15</v>
      </c>
      <c r="J35">
        <f>ReferenceData!$J$35</f>
        <v>0.15</v>
      </c>
      <c r="K35">
        <f>ReferenceData!$K$35</f>
        <v>0.15</v>
      </c>
      <c r="L35">
        <f>ReferenceData!$L$35</f>
        <v>0.15</v>
      </c>
      <c r="M35">
        <f>ReferenceData!$M$35</f>
        <v>0.15</v>
      </c>
      <c r="N35">
        <f>ReferenceData!$N$35</f>
        <v>0.15</v>
      </c>
      <c r="O35">
        <f>ReferenceData!$O$35</f>
        <v>0.15</v>
      </c>
      <c r="P35">
        <f>ReferenceData!$P$35</f>
        <v>0.15</v>
      </c>
      <c r="Q35">
        <f>ReferenceData!$Q$35</f>
        <v>0.15</v>
      </c>
      <c r="R35">
        <f>ReferenceData!$R$35</f>
        <v>0.15</v>
      </c>
      <c r="S35">
        <f>ReferenceData!$S$35</f>
        <v>0.15</v>
      </c>
      <c r="T35">
        <f>ReferenceData!$T$35</f>
        <v>0.25</v>
      </c>
      <c r="U35">
        <f>ReferenceData!$U$35</f>
        <v>0.25</v>
      </c>
      <c r="V35">
        <f>ReferenceData!$V$35</f>
        <v>0.25</v>
      </c>
      <c r="W35">
        <f>ReferenceData!$W$35</f>
        <v>0.25</v>
      </c>
      <c r="X35">
        <f>ReferenceData!$X$35</f>
        <v>0.25</v>
      </c>
      <c r="Y35">
        <f>ReferenceData!$Y$35</f>
        <v>0.25</v>
      </c>
      <c r="Z35">
        <f>ReferenceData!$Z$35</f>
        <v>0.25</v>
      </c>
      <c r="AA35">
        <f>ReferenceData!$AA$35</f>
        <v>0.25</v>
      </c>
      <c r="AB35">
        <f>ReferenceData!$AB$35</f>
        <v>0.25</v>
      </c>
      <c r="AC35">
        <f>ReferenceData!$AC$35</f>
        <v>0.25</v>
      </c>
      <c r="AD35">
        <f>ReferenceData!$AD$35</f>
        <v>0.25</v>
      </c>
      <c r="AE35">
        <f>ReferenceData!$AE$35</f>
        <v>0.25</v>
      </c>
      <c r="AF35">
        <f>ReferenceData!$AF$35</f>
        <v>0.25</v>
      </c>
      <c r="AG35">
        <f>ReferenceData!$AG$35</f>
        <v>0.25</v>
      </c>
      <c r="AH35">
        <f>ReferenceData!$AH$35</f>
        <v>0.25</v>
      </c>
      <c r="AI35">
        <f>ReferenceData!$AI$35</f>
        <v>0.25</v>
      </c>
      <c r="AJ35">
        <f>ReferenceData!$AJ$35</f>
        <v>0.25</v>
      </c>
      <c r="AK35">
        <f>ReferenceData!$AK$35</f>
        <v>0.25</v>
      </c>
      <c r="AL35">
        <f>ReferenceData!$AL$35</f>
        <v>0.25</v>
      </c>
      <c r="AM35">
        <f>ReferenceData!$AM$35</f>
        <v>0.25</v>
      </c>
      <c r="AN35">
        <f>ReferenceData!$AN$35</f>
        <v>0.25</v>
      </c>
      <c r="AO35">
        <f>ReferenceData!$AO$35</f>
        <v>0.25</v>
      </c>
      <c r="AP35">
        <f>ReferenceData!$AP$35</f>
        <v>0.25</v>
      </c>
      <c r="AQ35">
        <f>ReferenceData!$AQ$35</f>
        <v>0.25</v>
      </c>
      <c r="AR35">
        <f>ReferenceData!$AR$35</f>
        <v>0.25</v>
      </c>
      <c r="AS35">
        <f>ReferenceData!$AS$35</f>
        <v>0.25</v>
      </c>
      <c r="AT35">
        <f>ReferenceData!$AT$35</f>
        <v>0.25</v>
      </c>
      <c r="AU35">
        <f>ReferenceData!$AU$35</f>
        <v>0.25</v>
      </c>
      <c r="AV35">
        <f>ReferenceData!$AV$35</f>
        <v>0.25</v>
      </c>
      <c r="AW35">
        <f>ReferenceData!$AW$35</f>
        <v>0.25</v>
      </c>
      <c r="AX35">
        <f>ReferenceData!$AX$35</f>
        <v>0.5</v>
      </c>
      <c r="AY35">
        <f>ReferenceData!$AY$35</f>
        <v>0.5</v>
      </c>
      <c r="AZ35">
        <f>ReferenceData!$AZ$35</f>
        <v>0.5</v>
      </c>
      <c r="BA35">
        <f>ReferenceData!$BA$35</f>
        <v>0.5</v>
      </c>
      <c r="BB35">
        <f>ReferenceData!$BB$35</f>
        <v>0.5</v>
      </c>
      <c r="BC35">
        <f>ReferenceData!$BC$35</f>
        <v>0.5</v>
      </c>
      <c r="BD35">
        <f>ReferenceData!$BD$35</f>
        <v>0.5</v>
      </c>
      <c r="BE35">
        <f>ReferenceData!$BE$35</f>
        <v>0.5</v>
      </c>
      <c r="BF35">
        <f>ReferenceData!$BF$35</f>
        <v>0.5</v>
      </c>
      <c r="BG35">
        <f>ReferenceData!$BG$35</f>
        <v>0.5</v>
      </c>
      <c r="BH35">
        <f>ReferenceData!$BH$35</f>
        <v>0.5</v>
      </c>
      <c r="BI35">
        <f>ReferenceData!$BI$35</f>
        <v>0.5</v>
      </c>
      <c r="BJ35">
        <f>ReferenceData!$BJ$35</f>
        <v>0.5</v>
      </c>
      <c r="BK35">
        <f>ReferenceData!$BK$35</f>
        <v>0.5</v>
      </c>
      <c r="BL35">
        <f>ReferenceData!$BL$35</f>
        <v>0.5</v>
      </c>
      <c r="BM35">
        <f>ReferenceData!$BM$35</f>
        <v>0.5</v>
      </c>
      <c r="BN35">
        <f>ReferenceData!$BN$35</f>
        <v>0.5</v>
      </c>
      <c r="BO35">
        <f>ReferenceData!$BO$35</f>
        <v>0.5</v>
      </c>
      <c r="BP35">
        <f>ReferenceData!$BP$35</f>
        <v>0.5</v>
      </c>
      <c r="BQ35">
        <f>ReferenceData!$BQ$35</f>
        <v>0.5</v>
      </c>
      <c r="BR35">
        <f>ReferenceData!$BR$35</f>
        <v>0.5</v>
      </c>
      <c r="BS35">
        <f>ReferenceData!$BS$35</f>
        <v>0.5</v>
      </c>
      <c r="BT35">
        <f>ReferenceData!$BT$35</f>
        <v>0.5</v>
      </c>
      <c r="BU35">
        <f>ReferenceData!$BU$35</f>
        <v>0.5</v>
      </c>
      <c r="BV35">
        <f>ReferenceData!$BV$35</f>
        <v>0.5</v>
      </c>
      <c r="BW35">
        <f>ReferenceData!$BW$35</f>
        <v>0.5</v>
      </c>
      <c r="BX35">
        <f>ReferenceData!$BX$35</f>
        <v>0.5</v>
      </c>
      <c r="BY35">
        <f>ReferenceData!$BY$35</f>
        <v>0.75</v>
      </c>
      <c r="BZ35">
        <f>ReferenceData!$BZ$35</f>
        <v>0.75</v>
      </c>
      <c r="CA35">
        <f>ReferenceData!$CA$35</f>
        <v>0.75</v>
      </c>
      <c r="CB35">
        <f>ReferenceData!$CB$35</f>
        <v>0.75</v>
      </c>
      <c r="CC35">
        <f>ReferenceData!$CC$35</f>
        <v>0.75</v>
      </c>
      <c r="CD35">
        <f>ReferenceData!$CD$35</f>
        <v>0.75</v>
      </c>
      <c r="CE35">
        <f>ReferenceData!$CE$35</f>
        <v>0.75</v>
      </c>
      <c r="CF35">
        <f>ReferenceData!$CF$35</f>
        <v>0.75</v>
      </c>
      <c r="CG35">
        <f>ReferenceData!$CG$35</f>
        <v>0.75</v>
      </c>
    </row>
    <row r="36" spans="1:85" x14ac:dyDescent="0.25">
      <c r="A36" t="str">
        <f>ReferenceData!$A$36</f>
        <v xml:space="preserve">        Duration (days)</v>
      </c>
      <c r="B36" t="str">
        <f>ReferenceData!$B$36</f>
        <v>ECBADUR Index</v>
      </c>
      <c r="C36" t="str">
        <f>ReferenceData!$C$36</f>
        <v>PR005</v>
      </c>
      <c r="D36" t="str">
        <f>ReferenceData!$D$36</f>
        <v>PX_LAST</v>
      </c>
      <c r="E36" t="str">
        <f>ReferenceData!$E$36</f>
        <v>Dynamic</v>
      </c>
      <c r="F36" t="e">
        <f ca="1">ReferenceData!$F$36</f>
        <v>#N/A</v>
      </c>
      <c r="G36">
        <f>ReferenceData!$G$36</f>
        <v>7</v>
      </c>
      <c r="H36">
        <f>ReferenceData!$H$36</f>
        <v>7</v>
      </c>
      <c r="I36">
        <f>ReferenceData!$I$36</f>
        <v>7</v>
      </c>
      <c r="J36">
        <f>ReferenceData!$J$36</f>
        <v>7</v>
      </c>
      <c r="K36">
        <f>ReferenceData!$K$36</f>
        <v>7</v>
      </c>
      <c r="L36">
        <f>ReferenceData!$L$36</f>
        <v>7</v>
      </c>
      <c r="M36">
        <f>ReferenceData!$M$36</f>
        <v>7</v>
      </c>
      <c r="N36">
        <f>ReferenceData!$N$36</f>
        <v>7</v>
      </c>
      <c r="O36">
        <f>ReferenceData!$O$36</f>
        <v>7</v>
      </c>
      <c r="P36">
        <f>ReferenceData!$P$36</f>
        <v>7</v>
      </c>
      <c r="Q36">
        <f>ReferenceData!$Q$36</f>
        <v>7</v>
      </c>
      <c r="R36">
        <f>ReferenceData!$R$36</f>
        <v>7</v>
      </c>
      <c r="S36">
        <f>ReferenceData!$S$36</f>
        <v>7</v>
      </c>
      <c r="T36">
        <f>ReferenceData!$T$36</f>
        <v>7</v>
      </c>
      <c r="U36">
        <f>ReferenceData!$U$36</f>
        <v>7</v>
      </c>
      <c r="V36">
        <f>ReferenceData!$V$36</f>
        <v>7</v>
      </c>
      <c r="W36">
        <f>ReferenceData!$W$36</f>
        <v>7</v>
      </c>
      <c r="X36">
        <f>ReferenceData!$X$36</f>
        <v>7</v>
      </c>
      <c r="Y36">
        <f>ReferenceData!$Y$36</f>
        <v>7</v>
      </c>
      <c r="Z36">
        <f>ReferenceData!$Z$36</f>
        <v>7</v>
      </c>
      <c r="AA36">
        <f>ReferenceData!$AA$36</f>
        <v>7</v>
      </c>
      <c r="AB36">
        <f>ReferenceData!$AB$36</f>
        <v>7</v>
      </c>
      <c r="AC36">
        <f>ReferenceData!$AC$36</f>
        <v>7</v>
      </c>
      <c r="AD36">
        <f>ReferenceData!$AD$36</f>
        <v>7</v>
      </c>
      <c r="AE36">
        <f>ReferenceData!$AE$36</f>
        <v>7</v>
      </c>
      <c r="AF36">
        <f>ReferenceData!$AF$36</f>
        <v>7</v>
      </c>
      <c r="AG36">
        <f>ReferenceData!$AG$36</f>
        <v>7</v>
      </c>
      <c r="AH36">
        <f>ReferenceData!$AH$36</f>
        <v>7</v>
      </c>
      <c r="AI36">
        <f>ReferenceData!$AI$36</f>
        <v>7</v>
      </c>
      <c r="AJ36">
        <f>ReferenceData!$AJ$36</f>
        <v>7</v>
      </c>
      <c r="AK36">
        <f>ReferenceData!$AK$36</f>
        <v>7</v>
      </c>
      <c r="AL36">
        <f>ReferenceData!$AL$36</f>
        <v>7</v>
      </c>
      <c r="AM36">
        <f>ReferenceData!$AM$36</f>
        <v>7</v>
      </c>
      <c r="AN36">
        <f>ReferenceData!$AN$36</f>
        <v>7</v>
      </c>
      <c r="AO36">
        <f>ReferenceData!$AO$36</f>
        <v>7</v>
      </c>
      <c r="AP36">
        <f>ReferenceData!$AP$36</f>
        <v>9</v>
      </c>
      <c r="AQ36">
        <f>ReferenceData!$AQ$36</f>
        <v>7</v>
      </c>
      <c r="AR36">
        <f>ReferenceData!$AR$36</f>
        <v>5</v>
      </c>
      <c r="AS36">
        <f>ReferenceData!$AS$36</f>
        <v>7</v>
      </c>
      <c r="AT36">
        <f>ReferenceData!$AT$36</f>
        <v>7</v>
      </c>
      <c r="AU36">
        <f>ReferenceData!$AU$36</f>
        <v>7</v>
      </c>
      <c r="AV36">
        <f>ReferenceData!$AV$36</f>
        <v>7</v>
      </c>
      <c r="AW36">
        <f>ReferenceData!$AW$36</f>
        <v>7</v>
      </c>
      <c r="AX36">
        <f>ReferenceData!$AX$36</f>
        <v>7</v>
      </c>
      <c r="AY36">
        <f>ReferenceData!$AY$36</f>
        <v>7</v>
      </c>
      <c r="AZ36">
        <f>ReferenceData!$AZ$36</f>
        <v>7</v>
      </c>
      <c r="BA36">
        <f>ReferenceData!$BA$36</f>
        <v>7</v>
      </c>
      <c r="BB36">
        <f>ReferenceData!$BB$36</f>
        <v>7</v>
      </c>
      <c r="BC36">
        <f>ReferenceData!$BC$36</f>
        <v>7</v>
      </c>
      <c r="BD36">
        <f>ReferenceData!$BD$36</f>
        <v>7</v>
      </c>
      <c r="BE36">
        <f>ReferenceData!$BE$36</f>
        <v>7</v>
      </c>
      <c r="BF36">
        <f>ReferenceData!$BF$36</f>
        <v>7</v>
      </c>
      <c r="BG36">
        <f>ReferenceData!$BG$36</f>
        <v>7</v>
      </c>
      <c r="BH36">
        <f>ReferenceData!$BH$36</f>
        <v>7</v>
      </c>
      <c r="BI36">
        <f>ReferenceData!$BI$36</f>
        <v>7</v>
      </c>
      <c r="BJ36">
        <f>ReferenceData!$BJ$36</f>
        <v>7</v>
      </c>
      <c r="BK36">
        <f>ReferenceData!$BK$36</f>
        <v>7</v>
      </c>
      <c r="BL36">
        <f>ReferenceData!$BL$36</f>
        <v>7</v>
      </c>
      <c r="BM36">
        <f>ReferenceData!$BM$36</f>
        <v>7</v>
      </c>
      <c r="BN36">
        <f>ReferenceData!$BN$36</f>
        <v>7</v>
      </c>
      <c r="BO36">
        <f>ReferenceData!$BO$36</f>
        <v>7</v>
      </c>
      <c r="BP36">
        <f>ReferenceData!$BP$36</f>
        <v>7</v>
      </c>
      <c r="BQ36">
        <f>ReferenceData!$BQ$36</f>
        <v>7</v>
      </c>
      <c r="BR36">
        <f>ReferenceData!$BR$36</f>
        <v>7</v>
      </c>
      <c r="BS36">
        <f>ReferenceData!$BS$36</f>
        <v>7</v>
      </c>
      <c r="BT36">
        <f>ReferenceData!$BT$36</f>
        <v>7</v>
      </c>
      <c r="BU36">
        <f>ReferenceData!$BU$36</f>
        <v>7</v>
      </c>
      <c r="BV36">
        <f>ReferenceData!$BV$36</f>
        <v>7</v>
      </c>
      <c r="BW36">
        <f>ReferenceData!$BW$36</f>
        <v>7</v>
      </c>
      <c r="BX36">
        <f>ReferenceData!$BX$36</f>
        <v>7</v>
      </c>
      <c r="BY36">
        <f>ReferenceData!$BY$36</f>
        <v>6</v>
      </c>
      <c r="BZ36">
        <f>ReferenceData!$BZ$36</f>
        <v>8</v>
      </c>
      <c r="CA36">
        <f>ReferenceData!$CA$36</f>
        <v>7</v>
      </c>
      <c r="CB36">
        <f>ReferenceData!$CB$36</f>
        <v>7</v>
      </c>
      <c r="CC36">
        <f>ReferenceData!$CC$36</f>
        <v>7</v>
      </c>
      <c r="CD36">
        <f>ReferenceData!$CD$36</f>
        <v>7</v>
      </c>
      <c r="CE36">
        <f>ReferenceData!$CE$36</f>
        <v>7</v>
      </c>
      <c r="CF36">
        <f>ReferenceData!$CF$36</f>
        <v>7</v>
      </c>
      <c r="CG36">
        <f>ReferenceData!$CG$36</f>
        <v>7</v>
      </c>
    </row>
    <row r="37" spans="1:85" x14ac:dyDescent="0.25">
      <c r="A37" t="str">
        <f>ReferenceData!$A$37</f>
        <v xml:space="preserve">    Long Term Refinancing Operations</v>
      </c>
      <c r="B37" t="str">
        <f>ReferenceData!$B$37</f>
        <v/>
      </c>
      <c r="C37" t="str">
        <f>ReferenceData!$C$37</f>
        <v/>
      </c>
      <c r="D37" t="str">
        <f>ReferenceData!$D$37</f>
        <v/>
      </c>
      <c r="E37" t="str">
        <f>ReferenceData!$E$37</f>
        <v>Static</v>
      </c>
      <c r="F37" t="str">
        <f>ReferenceData!$F$37</f>
        <v/>
      </c>
      <c r="G37" t="str">
        <f>ReferenceData!$G$37</f>
        <v/>
      </c>
      <c r="H37" t="str">
        <f>ReferenceData!$H$37</f>
        <v/>
      </c>
      <c r="I37" t="str">
        <f>ReferenceData!$I$37</f>
        <v/>
      </c>
      <c r="J37" t="str">
        <f>ReferenceData!$J$37</f>
        <v/>
      </c>
      <c r="K37" t="str">
        <f>ReferenceData!$K$37</f>
        <v/>
      </c>
      <c r="L37" t="str">
        <f>ReferenceData!$L$37</f>
        <v/>
      </c>
      <c r="M37" t="str">
        <f>ReferenceData!$M$37</f>
        <v/>
      </c>
      <c r="N37" t="str">
        <f>ReferenceData!$N$37</f>
        <v/>
      </c>
      <c r="O37" t="str">
        <f>ReferenceData!$O$37</f>
        <v/>
      </c>
      <c r="P37" t="str">
        <f>ReferenceData!$P$37</f>
        <v/>
      </c>
      <c r="Q37" t="str">
        <f>ReferenceData!$Q$37</f>
        <v/>
      </c>
      <c r="R37" t="str">
        <f>ReferenceData!$R$37</f>
        <v/>
      </c>
      <c r="S37" t="str">
        <f>ReferenceData!$S$37</f>
        <v/>
      </c>
      <c r="T37" t="str">
        <f>ReferenceData!$T$37</f>
        <v/>
      </c>
      <c r="U37" t="str">
        <f>ReferenceData!$U$37</f>
        <v/>
      </c>
      <c r="V37" t="str">
        <f>ReferenceData!$V$37</f>
        <v/>
      </c>
      <c r="W37" t="str">
        <f>ReferenceData!$W$37</f>
        <v/>
      </c>
      <c r="X37" t="str">
        <f>ReferenceData!$X$37</f>
        <v/>
      </c>
      <c r="Y37" t="str">
        <f>ReferenceData!$Y$37</f>
        <v/>
      </c>
      <c r="Z37" t="str">
        <f>ReferenceData!$Z$37</f>
        <v/>
      </c>
      <c r="AA37" t="str">
        <f>ReferenceData!$AA$37</f>
        <v/>
      </c>
      <c r="AB37" t="str">
        <f>ReferenceData!$AB$37</f>
        <v/>
      </c>
      <c r="AC37" t="str">
        <f>ReferenceData!$AC$37</f>
        <v/>
      </c>
      <c r="AD37" t="str">
        <f>ReferenceData!$AD$37</f>
        <v/>
      </c>
      <c r="AE37" t="str">
        <f>ReferenceData!$AE$37</f>
        <v/>
      </c>
      <c r="AF37" t="str">
        <f>ReferenceData!$AF$37</f>
        <v/>
      </c>
      <c r="AG37" t="str">
        <f>ReferenceData!$AG$37</f>
        <v/>
      </c>
      <c r="AH37" t="str">
        <f>ReferenceData!$AH$37</f>
        <v/>
      </c>
      <c r="AI37" t="str">
        <f>ReferenceData!$AI$37</f>
        <v/>
      </c>
      <c r="AJ37" t="str">
        <f>ReferenceData!$AJ$37</f>
        <v/>
      </c>
      <c r="AK37" t="str">
        <f>ReferenceData!$AK$37</f>
        <v/>
      </c>
      <c r="AL37" t="str">
        <f>ReferenceData!$AL$37</f>
        <v/>
      </c>
      <c r="AM37" t="str">
        <f>ReferenceData!$AM$37</f>
        <v/>
      </c>
      <c r="AN37" t="str">
        <f>ReferenceData!$AN$37</f>
        <v/>
      </c>
      <c r="AO37" t="str">
        <f>ReferenceData!$AO$37</f>
        <v/>
      </c>
      <c r="AP37" t="str">
        <f>ReferenceData!$AP$37</f>
        <v/>
      </c>
      <c r="AQ37" t="str">
        <f>ReferenceData!$AQ$37</f>
        <v/>
      </c>
      <c r="AR37" t="str">
        <f>ReferenceData!$AR$37</f>
        <v/>
      </c>
      <c r="AS37" t="str">
        <f>ReferenceData!$AS$37</f>
        <v/>
      </c>
      <c r="AT37" t="str">
        <f>ReferenceData!$AT$37</f>
        <v/>
      </c>
      <c r="AU37" t="str">
        <f>ReferenceData!$AU$37</f>
        <v/>
      </c>
      <c r="AV37" t="str">
        <f>ReferenceData!$AV$37</f>
        <v/>
      </c>
      <c r="AW37" t="str">
        <f>ReferenceData!$AW$37</f>
        <v/>
      </c>
      <c r="AX37" t="str">
        <f>ReferenceData!$AX$37</f>
        <v/>
      </c>
      <c r="AY37" t="str">
        <f>ReferenceData!$AY$37</f>
        <v/>
      </c>
      <c r="AZ37" t="str">
        <f>ReferenceData!$AZ$37</f>
        <v/>
      </c>
      <c r="BA37" t="str">
        <f>ReferenceData!$BA$37</f>
        <v/>
      </c>
      <c r="BB37" t="str">
        <f>ReferenceData!$BB$37</f>
        <v/>
      </c>
      <c r="BC37" t="str">
        <f>ReferenceData!$BC$37</f>
        <v/>
      </c>
      <c r="BD37" t="str">
        <f>ReferenceData!$BD$37</f>
        <v/>
      </c>
      <c r="BE37" t="str">
        <f>ReferenceData!$BE$37</f>
        <v/>
      </c>
      <c r="BF37" t="str">
        <f>ReferenceData!$BF$37</f>
        <v/>
      </c>
      <c r="BG37" t="str">
        <f>ReferenceData!$BG$37</f>
        <v/>
      </c>
      <c r="BH37" t="str">
        <f>ReferenceData!$BH$37</f>
        <v/>
      </c>
      <c r="BI37" t="str">
        <f>ReferenceData!$BI$37</f>
        <v/>
      </c>
      <c r="BJ37" t="str">
        <f>ReferenceData!$BJ$37</f>
        <v/>
      </c>
      <c r="BK37" t="str">
        <f>ReferenceData!$BK$37</f>
        <v/>
      </c>
      <c r="BL37" t="str">
        <f>ReferenceData!$BL$37</f>
        <v/>
      </c>
      <c r="BM37" t="str">
        <f>ReferenceData!$BM$37</f>
        <v/>
      </c>
      <c r="BN37" t="str">
        <f>ReferenceData!$BN$37</f>
        <v/>
      </c>
      <c r="BO37" t="str">
        <f>ReferenceData!$BO$37</f>
        <v/>
      </c>
      <c r="BP37" t="str">
        <f>ReferenceData!$BP$37</f>
        <v/>
      </c>
      <c r="BQ37" t="str">
        <f>ReferenceData!$BQ$37</f>
        <v/>
      </c>
      <c r="BR37" t="str">
        <f>ReferenceData!$BR$37</f>
        <v/>
      </c>
      <c r="BS37" t="str">
        <f>ReferenceData!$BS$37</f>
        <v/>
      </c>
      <c r="BT37" t="str">
        <f>ReferenceData!$BT$37</f>
        <v/>
      </c>
      <c r="BU37" t="str">
        <f>ReferenceData!$BU$37</f>
        <v/>
      </c>
      <c r="BV37" t="str">
        <f>ReferenceData!$BV$37</f>
        <v/>
      </c>
      <c r="BW37" t="str">
        <f>ReferenceData!$BW$37</f>
        <v/>
      </c>
      <c r="BX37" t="str">
        <f>ReferenceData!$BX$37</f>
        <v/>
      </c>
      <c r="BY37" t="str">
        <f>ReferenceData!$BY$37</f>
        <v/>
      </c>
      <c r="BZ37" t="str">
        <f>ReferenceData!$BZ$37</f>
        <v/>
      </c>
      <c r="CA37" t="str">
        <f>ReferenceData!$CA$37</f>
        <v/>
      </c>
      <c r="CB37" t="str">
        <f>ReferenceData!$CB$37</f>
        <v/>
      </c>
      <c r="CC37" t="str">
        <f>ReferenceData!$CC$37</f>
        <v/>
      </c>
      <c r="CD37" t="str">
        <f>ReferenceData!$CD$37</f>
        <v/>
      </c>
      <c r="CE37" t="str">
        <f>ReferenceData!$CE$37</f>
        <v/>
      </c>
      <c r="CF37" t="str">
        <f>ReferenceData!$CF$37</f>
        <v/>
      </c>
      <c r="CG37" t="str">
        <f>ReferenceData!$CG$37</f>
        <v/>
      </c>
    </row>
    <row r="38" spans="1:85" x14ac:dyDescent="0.25">
      <c r="A38" t="str">
        <f>ReferenceData!$A$38</f>
        <v xml:space="preserve">        Total Allotment</v>
      </c>
      <c r="B38" t="str">
        <f>ReferenceData!$B$38</f>
        <v>ECBALTAL Index</v>
      </c>
      <c r="C38" t="str">
        <f>ReferenceData!$C$38</f>
        <v>PR005</v>
      </c>
      <c r="D38" t="str">
        <f>ReferenceData!$D$38</f>
        <v>PX_LAST</v>
      </c>
      <c r="E38" t="str">
        <f>ReferenceData!$E$38</f>
        <v>Dynamic</v>
      </c>
      <c r="F38" t="e">
        <f ca="1">ReferenceData!$F$38</f>
        <v>#N/A</v>
      </c>
      <c r="G38" t="str">
        <f>ReferenceData!$G$38</f>
        <v/>
      </c>
      <c r="H38">
        <f>ReferenceData!$H$38</f>
        <v>7.2439999999999998</v>
      </c>
      <c r="I38" t="str">
        <f>ReferenceData!$I$38</f>
        <v/>
      </c>
      <c r="J38">
        <f>ReferenceData!$J$38</f>
        <v>10.949000359999999</v>
      </c>
      <c r="K38" t="str">
        <f>ReferenceData!$K$38</f>
        <v/>
      </c>
      <c r="L38">
        <f>ReferenceData!$L$38</f>
        <v>6.7859999999999996</v>
      </c>
      <c r="M38" t="str">
        <f>ReferenceData!$M$38</f>
        <v/>
      </c>
      <c r="N38">
        <f>ReferenceData!$N$38</f>
        <v>13.192999840000001</v>
      </c>
      <c r="O38" t="str">
        <f>ReferenceData!$O$38</f>
        <v/>
      </c>
      <c r="P38" t="str">
        <f>ReferenceData!$P$38</f>
        <v/>
      </c>
      <c r="Q38">
        <f>ReferenceData!$Q$38</f>
        <v>10.385999999999999</v>
      </c>
      <c r="R38" t="str">
        <f>ReferenceData!$R$38</f>
        <v/>
      </c>
      <c r="S38">
        <f>ReferenceData!$S$38</f>
        <v>9.9700000000000006</v>
      </c>
      <c r="T38" t="str">
        <f>ReferenceData!$T$38</f>
        <v/>
      </c>
      <c r="U38">
        <f>ReferenceData!$U$38</f>
        <v>10.949</v>
      </c>
      <c r="V38" t="str">
        <f>ReferenceData!$V$38</f>
        <v/>
      </c>
      <c r="W38">
        <f>ReferenceData!$W$38</f>
        <v>32.335000000000001</v>
      </c>
      <c r="X38" t="str">
        <f>ReferenceData!$X$38</f>
        <v/>
      </c>
      <c r="Y38">
        <f>ReferenceData!$Y$38</f>
        <v>13.193</v>
      </c>
      <c r="Z38" t="str">
        <f>ReferenceData!$Z$38</f>
        <v/>
      </c>
      <c r="AA38">
        <f>ReferenceData!$AA$38</f>
        <v>4.954999924</v>
      </c>
      <c r="AB38">
        <f>ReferenceData!$AB$38</f>
        <v>28.023</v>
      </c>
      <c r="AC38">
        <f>ReferenceData!$AC$38</f>
        <v>7.0920000080000003</v>
      </c>
      <c r="AD38">
        <f>ReferenceData!$AD$38</f>
        <v>11.617000000000001</v>
      </c>
      <c r="AE38" t="str">
        <f>ReferenceData!$AE$38</f>
        <v/>
      </c>
      <c r="AF38">
        <f>ReferenceData!$AF$38</f>
        <v>7.5220000000000002</v>
      </c>
      <c r="AG38">
        <f>ReferenceData!$AG$38</f>
        <v>20.913999560000001</v>
      </c>
      <c r="AH38">
        <f>ReferenceData!$AH$38</f>
        <v>6.2969999999999997</v>
      </c>
      <c r="AI38" t="str">
        <f>ReferenceData!$AI$38</f>
        <v/>
      </c>
      <c r="AJ38">
        <f>ReferenceData!$AJ$38</f>
        <v>6.48</v>
      </c>
      <c r="AK38" t="str">
        <f>ReferenceData!$AK$38</f>
        <v/>
      </c>
      <c r="AL38">
        <f>ReferenceData!$AL$38</f>
        <v>4.9550000000000001</v>
      </c>
      <c r="AM38" t="str">
        <f>ReferenceData!$AM$38</f>
        <v/>
      </c>
      <c r="AN38">
        <f>ReferenceData!$AN$38</f>
        <v>7.0919999999999996</v>
      </c>
      <c r="AO38" t="str">
        <f>ReferenceData!$AO$38</f>
        <v/>
      </c>
      <c r="AP38" t="str">
        <f>ReferenceData!$AP$38</f>
        <v/>
      </c>
      <c r="AQ38">
        <f>ReferenceData!$AQ$38</f>
        <v>3.4470000270000001</v>
      </c>
      <c r="AR38">
        <f>ReferenceData!$AR$38</f>
        <v>20.914000000000001</v>
      </c>
      <c r="AS38">
        <f>ReferenceData!$AS$38</f>
        <v>10.143000000000001</v>
      </c>
      <c r="AT38" t="str">
        <f>ReferenceData!$AT$38</f>
        <v/>
      </c>
      <c r="AU38">
        <f>ReferenceData!$AU$38</f>
        <v>5.9260000000000002</v>
      </c>
      <c r="AV38" t="str">
        <f>ReferenceData!$AV$38</f>
        <v/>
      </c>
      <c r="AW38">
        <f>ReferenceData!$AW$38</f>
        <v>3.194</v>
      </c>
      <c r="AX38" t="str">
        <f>ReferenceData!$AX$38</f>
        <v/>
      </c>
      <c r="AY38">
        <f>ReferenceData!$AY$38</f>
        <v>1.9300000000000002</v>
      </c>
      <c r="AZ38">
        <f>ReferenceData!$AZ$38</f>
        <v>3.9100000860000002</v>
      </c>
      <c r="BA38">
        <f>ReferenceData!$BA$38</f>
        <v>2.683000088</v>
      </c>
      <c r="BB38">
        <f>ReferenceData!$BB$38</f>
        <v>3.4470000000000001</v>
      </c>
      <c r="BC38" t="str">
        <f>ReferenceData!$BC$38</f>
        <v/>
      </c>
      <c r="BD38">
        <f>ReferenceData!$BD$38</f>
        <v>8.6069999999999993</v>
      </c>
      <c r="BE38" t="str">
        <f>ReferenceData!$BE$38</f>
        <v/>
      </c>
      <c r="BF38">
        <f>ReferenceData!$BF$38</f>
        <v>3.43</v>
      </c>
      <c r="BG38" t="str">
        <f>ReferenceData!$BG$38</f>
        <v/>
      </c>
      <c r="BH38">
        <f>ReferenceData!$BH$38</f>
        <v>6.8230000000000004</v>
      </c>
      <c r="BI38" t="str">
        <f>ReferenceData!$BI$38</f>
        <v/>
      </c>
      <c r="BJ38">
        <f>ReferenceData!$BJ$38</f>
        <v>5.829999924</v>
      </c>
      <c r="BK38">
        <f>ReferenceData!$BK$38</f>
        <v>3.91</v>
      </c>
      <c r="BL38">
        <f>ReferenceData!$BL$38</f>
        <v>2.6829999999999998</v>
      </c>
      <c r="BM38">
        <f>ReferenceData!$BM$38</f>
        <v>5.2300000190000002</v>
      </c>
      <c r="BN38" t="str">
        <f>ReferenceData!$BN$38</f>
        <v/>
      </c>
      <c r="BO38">
        <f>ReferenceData!$BO$38</f>
        <v>3.536</v>
      </c>
      <c r="BP38" t="str">
        <f>ReferenceData!$BP$38</f>
        <v/>
      </c>
      <c r="BQ38">
        <f>ReferenceData!$BQ$38</f>
        <v>9.4770000000000003</v>
      </c>
      <c r="BR38" t="str">
        <f>ReferenceData!$BR$38</f>
        <v/>
      </c>
      <c r="BS38">
        <f>ReferenceData!$BS$38</f>
        <v>3.5910000000000002</v>
      </c>
      <c r="BT38" t="str">
        <f>ReferenceData!$BT$38</f>
        <v/>
      </c>
      <c r="BU38">
        <f>ReferenceData!$BU$38</f>
        <v>5.83</v>
      </c>
      <c r="BV38" t="str">
        <f>ReferenceData!$BV$38</f>
        <v/>
      </c>
      <c r="BW38">
        <f>ReferenceData!$BW$38</f>
        <v>8.3280000689999998</v>
      </c>
      <c r="BX38">
        <f>ReferenceData!$BX$38</f>
        <v>5.23</v>
      </c>
      <c r="BY38">
        <f>ReferenceData!$BY$38</f>
        <v>7.7589998250000001</v>
      </c>
      <c r="BZ38">
        <f>ReferenceData!$BZ$38</f>
        <v>2.9769999999999999</v>
      </c>
      <c r="CA38">
        <f>ReferenceData!$CA$38</f>
        <v>3.7130000590000001</v>
      </c>
      <c r="CB38">
        <f>ReferenceData!$CB$38</f>
        <v>5.1589999999999998</v>
      </c>
      <c r="CC38">
        <f>ReferenceData!$CC$38</f>
        <v>10.454999920000001</v>
      </c>
      <c r="CD38">
        <f>ReferenceData!$CD$38</f>
        <v>9.1129999999999995</v>
      </c>
      <c r="CE38" t="str">
        <f>ReferenceData!$CE$38</f>
        <v/>
      </c>
      <c r="CF38">
        <f>ReferenceData!$CF$38</f>
        <v>4.2080000000000002</v>
      </c>
      <c r="CG38">
        <f>ReferenceData!$CG$38</f>
        <v>14.96199989</v>
      </c>
    </row>
    <row r="39" spans="1:85" x14ac:dyDescent="0.25">
      <c r="A39" t="str">
        <f>ReferenceData!$A$39</f>
        <v xml:space="preserve">        Bid Cover Ratio</v>
      </c>
      <c r="B39" t="str">
        <f>ReferenceData!$B$39</f>
        <v/>
      </c>
      <c r="C39" t="str">
        <f>ReferenceData!$C$39</f>
        <v/>
      </c>
      <c r="D39" t="str">
        <f>ReferenceData!$D$39</f>
        <v/>
      </c>
      <c r="E39" t="str">
        <f>ReferenceData!$E$39</f>
        <v>Expression</v>
      </c>
      <c r="F39" t="str">
        <f ca="1">ReferenceData!$F$39</f>
        <v/>
      </c>
      <c r="G39" t="str">
        <f>ReferenceData!$G$39</f>
        <v/>
      </c>
      <c r="H39">
        <f>ReferenceData!$H$39</f>
        <v>0.99944781888459422</v>
      </c>
      <c r="I39" t="str">
        <f>ReferenceData!$I$39</f>
        <v/>
      </c>
      <c r="J39">
        <f>ReferenceData!$J$39</f>
        <v>1.0000912823058854</v>
      </c>
      <c r="K39" t="str">
        <f>ReferenceData!$K$39</f>
        <v/>
      </c>
      <c r="L39">
        <f>ReferenceData!$L$39</f>
        <v>1.0005894488653111</v>
      </c>
      <c r="M39" t="str">
        <f>ReferenceData!$M$39</f>
        <v/>
      </c>
      <c r="N39">
        <f>ReferenceData!$N$39</f>
        <v>0.9997725869751849</v>
      </c>
      <c r="O39" t="str">
        <f>ReferenceData!$O$39</f>
        <v/>
      </c>
      <c r="P39" t="str">
        <f>ReferenceData!$P$39</f>
        <v/>
      </c>
      <c r="Q39">
        <f>ReferenceData!$Q$39</f>
        <v>1.0003851338340075</v>
      </c>
      <c r="R39" t="str">
        <f>ReferenceData!$R$39</f>
        <v/>
      </c>
      <c r="S39">
        <f>ReferenceData!$S$39</f>
        <v>1</v>
      </c>
      <c r="T39" t="str">
        <f>ReferenceData!$T$39</f>
        <v/>
      </c>
      <c r="U39">
        <f>ReferenceData!$U$39</f>
        <v>1.0000913325417846</v>
      </c>
      <c r="V39" t="str">
        <f>ReferenceData!$V$39</f>
        <v/>
      </c>
      <c r="W39">
        <f>ReferenceData!$W$39</f>
        <v>0.99984536879542285</v>
      </c>
      <c r="X39" t="str">
        <f>ReferenceData!$X$39</f>
        <v/>
      </c>
      <c r="Y39">
        <f>ReferenceData!$Y$39</f>
        <v>0.9997726066853635</v>
      </c>
      <c r="Z39" t="str">
        <f>ReferenceData!$Z$39</f>
        <v/>
      </c>
      <c r="AA39">
        <f>ReferenceData!$AA$39</f>
        <v>1.001009104758162</v>
      </c>
      <c r="AB39">
        <f>ReferenceData!$AB$39</f>
        <v>0.99989294508082649</v>
      </c>
      <c r="AC39">
        <f>ReferenceData!$AC$39</f>
        <v>0.99971801254966941</v>
      </c>
      <c r="AD39">
        <f>ReferenceData!$AD$39</f>
        <v>1.0002582422312127</v>
      </c>
      <c r="AE39" t="str">
        <f>ReferenceData!$AE$39</f>
        <v/>
      </c>
      <c r="AF39">
        <f>ReferenceData!$AF$39</f>
        <v>0.99973411326774786</v>
      </c>
      <c r="AG39">
        <f>ReferenceData!$AG$39</f>
        <v>0.99980875441885098</v>
      </c>
      <c r="AH39">
        <f>ReferenceData!$AH$39</f>
        <v>1.0004764173415912</v>
      </c>
      <c r="AI39" t="str">
        <f>ReferenceData!$AI$39</f>
        <v/>
      </c>
      <c r="AJ39">
        <f>ReferenceData!$AJ$39</f>
        <v>1</v>
      </c>
      <c r="AK39" t="str">
        <f>ReferenceData!$AK$39</f>
        <v/>
      </c>
      <c r="AL39">
        <f>ReferenceData!$AL$39</f>
        <v>1.0010090817356205</v>
      </c>
      <c r="AM39" t="str">
        <f>ReferenceData!$AM$39</f>
        <v/>
      </c>
      <c r="AN39">
        <f>ReferenceData!$AN$39</f>
        <v>0.99971799210377899</v>
      </c>
      <c r="AO39" t="str">
        <f>ReferenceData!$AO$39</f>
        <v/>
      </c>
      <c r="AP39" t="str">
        <f>ReferenceData!$AP$39</f>
        <v/>
      </c>
      <c r="AQ39">
        <f>ReferenceData!$AQ$39</f>
        <v>1.0008703281045841</v>
      </c>
      <c r="AR39">
        <f>ReferenceData!$AR$39</f>
        <v>0.99980874055656488</v>
      </c>
      <c r="AS39">
        <f>ReferenceData!$AS$39</f>
        <v>0.99970422951789406</v>
      </c>
      <c r="AT39" t="str">
        <f>ReferenceData!$AT$39</f>
        <v/>
      </c>
      <c r="AU39">
        <f>ReferenceData!$AU$39</f>
        <v>1.0006749915626054</v>
      </c>
      <c r="AV39" t="str">
        <f>ReferenceData!$AV$39</f>
        <v/>
      </c>
      <c r="AW39">
        <f>ReferenceData!$AW$39</f>
        <v>0.99874765184721348</v>
      </c>
      <c r="AX39" t="str">
        <f>ReferenceData!$AX$39</f>
        <v/>
      </c>
      <c r="AY39">
        <f>ReferenceData!$AY$39</f>
        <v>1</v>
      </c>
      <c r="AZ39">
        <f>ReferenceData!$AZ$39</f>
        <v>1</v>
      </c>
      <c r="BA39">
        <f>ReferenceData!$BA$39</f>
        <v>0.99888184088646959</v>
      </c>
      <c r="BB39">
        <f>ReferenceData!$BB$39</f>
        <v>1.0008703220191471</v>
      </c>
      <c r="BC39" t="str">
        <f>ReferenceData!$BC$39</f>
        <v/>
      </c>
      <c r="BD39">
        <f>ReferenceData!$BD$39</f>
        <v>1.0003485535029628</v>
      </c>
      <c r="BE39" t="str">
        <f>ReferenceData!$BE$39</f>
        <v/>
      </c>
      <c r="BF39">
        <f>ReferenceData!$BF$39</f>
        <v>1</v>
      </c>
      <c r="BG39" t="str">
        <f>ReferenceData!$BG$39</f>
        <v/>
      </c>
      <c r="BH39">
        <f>ReferenceData!$BH$39</f>
        <v>0.99956031071376228</v>
      </c>
      <c r="BI39" t="str">
        <f>ReferenceData!$BI$39</f>
        <v/>
      </c>
      <c r="BJ39">
        <f>ReferenceData!$BJ$39</f>
        <v>1</v>
      </c>
      <c r="BK39">
        <f>ReferenceData!$BK$39</f>
        <v>1</v>
      </c>
      <c r="BL39">
        <f>ReferenceData!$BL$39</f>
        <v>0.99888184867685437</v>
      </c>
      <c r="BM39">
        <f>ReferenceData!$BM$39</f>
        <v>1</v>
      </c>
      <c r="BN39" t="str">
        <f>ReferenceData!$BN$39</f>
        <v/>
      </c>
      <c r="BO39">
        <f>ReferenceData!$BO$39</f>
        <v>1.001131221719457</v>
      </c>
      <c r="BP39" t="str">
        <f>ReferenceData!$BP$39</f>
        <v/>
      </c>
      <c r="BQ39">
        <f>ReferenceData!$BQ$39</f>
        <v>1.0003165558721114</v>
      </c>
      <c r="BR39" t="str">
        <f>ReferenceData!$BR$39</f>
        <v/>
      </c>
      <c r="BS39">
        <f>ReferenceData!$BS$39</f>
        <v>0.99972152603731546</v>
      </c>
      <c r="BT39" t="str">
        <f>ReferenceData!$BT$39</f>
        <v/>
      </c>
      <c r="BU39">
        <f>ReferenceData!$BU$39</f>
        <v>1</v>
      </c>
      <c r="BV39" t="str">
        <f>ReferenceData!$BV$39</f>
        <v/>
      </c>
      <c r="BW39">
        <f>ReferenceData!$BW$39</f>
        <v>1.0002401362852342</v>
      </c>
      <c r="BX39">
        <f>ReferenceData!$BX$39</f>
        <v>1</v>
      </c>
      <c r="BY39">
        <f>ReferenceData!$BY$39</f>
        <v>1.000128934659436</v>
      </c>
      <c r="BZ39">
        <f>ReferenceData!$BZ$39</f>
        <v>1.0010077258985557</v>
      </c>
      <c r="CA39">
        <f>ReferenceData!$CA$39</f>
        <v>0.99919202236673055</v>
      </c>
      <c r="CB39">
        <f>ReferenceData!$CB$39</f>
        <v>1.0001938360147316</v>
      </c>
      <c r="CC39">
        <f>ReferenceData!$CC$39</f>
        <v>1.0004782515579398</v>
      </c>
      <c r="CD39">
        <f>ReferenceData!$CD$39</f>
        <v>0.99967079995610664</v>
      </c>
      <c r="CE39" t="str">
        <f>ReferenceData!$CE$39</f>
        <v/>
      </c>
      <c r="CF39">
        <f>ReferenceData!$CF$39</f>
        <v>1.0004752851711025</v>
      </c>
      <c r="CG39">
        <f>ReferenceData!$CG$39</f>
        <v>0.99986633805542702</v>
      </c>
    </row>
    <row r="40" spans="1:85" x14ac:dyDescent="0.25">
      <c r="A40" t="str">
        <f>ReferenceData!$A$40</f>
        <v xml:space="preserve">            Bid Amount</v>
      </c>
      <c r="B40" t="str">
        <f>ReferenceData!$B$40</f>
        <v>ECBALTB Index</v>
      </c>
      <c r="C40" t="str">
        <f>ReferenceData!$C$40</f>
        <v>PR005</v>
      </c>
      <c r="D40" t="str">
        <f>ReferenceData!$D$40</f>
        <v>PX_LAST</v>
      </c>
      <c r="E40" t="str">
        <f>ReferenceData!$E$40</f>
        <v>Dynamic</v>
      </c>
      <c r="F40" t="e">
        <f ca="1">ReferenceData!$F$40</f>
        <v>#N/A</v>
      </c>
      <c r="G40" t="str">
        <f>ReferenceData!$G$40</f>
        <v/>
      </c>
      <c r="H40">
        <f>ReferenceData!$H$40</f>
        <v>7.24</v>
      </c>
      <c r="I40" t="str">
        <f>ReferenceData!$I$40</f>
        <v/>
      </c>
      <c r="J40">
        <f>ReferenceData!$J$40</f>
        <v>10.94999981</v>
      </c>
      <c r="K40" t="str">
        <f>ReferenceData!$K$40</f>
        <v/>
      </c>
      <c r="L40">
        <f>ReferenceData!$L$40</f>
        <v>6.79</v>
      </c>
      <c r="M40" t="str">
        <f>ReferenceData!$M$40</f>
        <v/>
      </c>
      <c r="N40">
        <f>ReferenceData!$N$40</f>
        <v>13.18999958</v>
      </c>
      <c r="O40" t="str">
        <f>ReferenceData!$O$40</f>
        <v/>
      </c>
      <c r="P40" t="str">
        <f>ReferenceData!$P$40</f>
        <v/>
      </c>
      <c r="Q40">
        <f>ReferenceData!$Q$40</f>
        <v>10.39</v>
      </c>
      <c r="R40" t="str">
        <f>ReferenceData!$R$40</f>
        <v/>
      </c>
      <c r="S40">
        <f>ReferenceData!$S$40</f>
        <v>9.9700000000000006</v>
      </c>
      <c r="T40" t="str">
        <f>ReferenceData!$T$40</f>
        <v/>
      </c>
      <c r="U40">
        <f>ReferenceData!$U$40</f>
        <v>10.95</v>
      </c>
      <c r="V40" t="str">
        <f>ReferenceData!$V$40</f>
        <v/>
      </c>
      <c r="W40">
        <f>ReferenceData!$W$40</f>
        <v>32.33</v>
      </c>
      <c r="X40" t="str">
        <f>ReferenceData!$X$40</f>
        <v/>
      </c>
      <c r="Y40">
        <f>ReferenceData!$Y$40</f>
        <v>13.19</v>
      </c>
      <c r="Z40" t="str">
        <f>ReferenceData!$Z$40</f>
        <v/>
      </c>
      <c r="AA40">
        <f>ReferenceData!$AA$40</f>
        <v>4.9600000380000004</v>
      </c>
      <c r="AB40">
        <f>ReferenceData!$AB$40</f>
        <v>28.02</v>
      </c>
      <c r="AC40">
        <f>ReferenceData!$AC$40</f>
        <v>7.0900001530000001</v>
      </c>
      <c r="AD40">
        <f>ReferenceData!$AD$40</f>
        <v>11.62</v>
      </c>
      <c r="AE40" t="str">
        <f>ReferenceData!$AE$40</f>
        <v/>
      </c>
      <c r="AF40">
        <f>ReferenceData!$AF$40</f>
        <v>7.52</v>
      </c>
      <c r="AG40">
        <f>ReferenceData!$AG$40</f>
        <v>20.909999849999998</v>
      </c>
      <c r="AH40">
        <f>ReferenceData!$AH$40</f>
        <v>6.3</v>
      </c>
      <c r="AI40" t="str">
        <f>ReferenceData!$AI$40</f>
        <v/>
      </c>
      <c r="AJ40">
        <f>ReferenceData!$AJ$40</f>
        <v>6.48</v>
      </c>
      <c r="AK40" t="str">
        <f>ReferenceData!$AK$40</f>
        <v/>
      </c>
      <c r="AL40">
        <f>ReferenceData!$AL$40</f>
        <v>4.96</v>
      </c>
      <c r="AM40" t="str">
        <f>ReferenceData!$AM$40</f>
        <v/>
      </c>
      <c r="AN40">
        <f>ReferenceData!$AN$40</f>
        <v>7.09</v>
      </c>
      <c r="AO40" t="str">
        <f>ReferenceData!$AO$40</f>
        <v/>
      </c>
      <c r="AP40" t="str">
        <f>ReferenceData!$AP$40</f>
        <v/>
      </c>
      <c r="AQ40">
        <f>ReferenceData!$AQ$40</f>
        <v>3.4500000480000002</v>
      </c>
      <c r="AR40">
        <f>ReferenceData!$AR$40</f>
        <v>20.91</v>
      </c>
      <c r="AS40">
        <f>ReferenceData!$AS$40</f>
        <v>10.14</v>
      </c>
      <c r="AT40" t="str">
        <f>ReferenceData!$AT$40</f>
        <v/>
      </c>
      <c r="AU40">
        <f>ReferenceData!$AU$40</f>
        <v>5.93</v>
      </c>
      <c r="AV40" t="str">
        <f>ReferenceData!$AV$40</f>
        <v/>
      </c>
      <c r="AW40">
        <f>ReferenceData!$AW$40</f>
        <v>3.19</v>
      </c>
      <c r="AX40" t="str">
        <f>ReferenceData!$AX$40</f>
        <v/>
      </c>
      <c r="AY40">
        <f>ReferenceData!$AY$40</f>
        <v>1.9300000000000002</v>
      </c>
      <c r="AZ40">
        <f>ReferenceData!$AZ$40</f>
        <v>3.9100000860000002</v>
      </c>
      <c r="BA40">
        <f>ReferenceData!$BA$40</f>
        <v>2.6800000669999999</v>
      </c>
      <c r="BB40">
        <f>ReferenceData!$BB$40</f>
        <v>3.45</v>
      </c>
      <c r="BC40" t="str">
        <f>ReferenceData!$BC$40</f>
        <v/>
      </c>
      <c r="BD40">
        <f>ReferenceData!$BD$40</f>
        <v>8.61</v>
      </c>
      <c r="BE40" t="str">
        <f>ReferenceData!$BE$40</f>
        <v/>
      </c>
      <c r="BF40">
        <f>ReferenceData!$BF$40</f>
        <v>3.43</v>
      </c>
      <c r="BG40" t="str">
        <f>ReferenceData!$BG$40</f>
        <v/>
      </c>
      <c r="BH40">
        <f>ReferenceData!$BH$40</f>
        <v>6.82</v>
      </c>
      <c r="BI40" t="str">
        <f>ReferenceData!$BI$40</f>
        <v/>
      </c>
      <c r="BJ40">
        <f>ReferenceData!$BJ$40</f>
        <v>5.829999924</v>
      </c>
      <c r="BK40">
        <f>ReferenceData!$BK$40</f>
        <v>3.91</v>
      </c>
      <c r="BL40">
        <f>ReferenceData!$BL$40</f>
        <v>2.68</v>
      </c>
      <c r="BM40">
        <f>ReferenceData!$BM$40</f>
        <v>5.2300000190000002</v>
      </c>
      <c r="BN40" t="str">
        <f>ReferenceData!$BN$40</f>
        <v/>
      </c>
      <c r="BO40">
        <f>ReferenceData!$BO$40</f>
        <v>3.54</v>
      </c>
      <c r="BP40" t="str">
        <f>ReferenceData!$BP$40</f>
        <v/>
      </c>
      <c r="BQ40">
        <f>ReferenceData!$BQ$40</f>
        <v>9.48</v>
      </c>
      <c r="BR40" t="str">
        <f>ReferenceData!$BR$40</f>
        <v/>
      </c>
      <c r="BS40">
        <f>ReferenceData!$BS$40</f>
        <v>3.59</v>
      </c>
      <c r="BT40" t="str">
        <f>ReferenceData!$BT$40</f>
        <v/>
      </c>
      <c r="BU40">
        <f>ReferenceData!$BU$40</f>
        <v>5.83</v>
      </c>
      <c r="BV40" t="str">
        <f>ReferenceData!$BV$40</f>
        <v/>
      </c>
      <c r="BW40">
        <f>ReferenceData!$BW$40</f>
        <v>8.3299999239999991</v>
      </c>
      <c r="BX40">
        <f>ReferenceData!$BX$40</f>
        <v>5.23</v>
      </c>
      <c r="BY40">
        <f>ReferenceData!$BY$40</f>
        <v>7.7600002290000001</v>
      </c>
      <c r="BZ40">
        <f>ReferenceData!$BZ$40</f>
        <v>2.98</v>
      </c>
      <c r="CA40">
        <f>ReferenceData!$CA$40</f>
        <v>3.710000038</v>
      </c>
      <c r="CB40">
        <f>ReferenceData!$CB$40</f>
        <v>5.16</v>
      </c>
      <c r="CC40">
        <f>ReferenceData!$CC$40</f>
        <v>10.460000040000001</v>
      </c>
      <c r="CD40">
        <f>ReferenceData!$CD$40</f>
        <v>9.11</v>
      </c>
      <c r="CE40" t="str">
        <f>ReferenceData!$CE$40</f>
        <v/>
      </c>
      <c r="CF40">
        <f>ReferenceData!$CF$40</f>
        <v>4.21</v>
      </c>
      <c r="CG40">
        <f>ReferenceData!$CG$40</f>
        <v>14.960000040000001</v>
      </c>
    </row>
    <row r="41" spans="1:85" x14ac:dyDescent="0.25">
      <c r="A41" t="str">
        <f>ReferenceData!$A$41</f>
        <v xml:space="preserve">            Alloted Amount</v>
      </c>
      <c r="B41" t="str">
        <f>ReferenceData!$B$41</f>
        <v>ECBALTAL Index</v>
      </c>
      <c r="C41" t="str">
        <f>ReferenceData!$C$41</f>
        <v>PR005</v>
      </c>
      <c r="D41" t="str">
        <f>ReferenceData!$D$41</f>
        <v>PX_LAST</v>
      </c>
      <c r="E41" t="str">
        <f>ReferenceData!$E$41</f>
        <v>Dynamic</v>
      </c>
      <c r="F41" t="e">
        <f ca="1">ReferenceData!$F$41</f>
        <v>#N/A</v>
      </c>
      <c r="G41" t="str">
        <f>ReferenceData!$G$41</f>
        <v/>
      </c>
      <c r="H41">
        <f>ReferenceData!$H$41</f>
        <v>7.2439999999999998</v>
      </c>
      <c r="I41" t="str">
        <f>ReferenceData!$I$41</f>
        <v/>
      </c>
      <c r="J41">
        <f>ReferenceData!$J$41</f>
        <v>10.949000359999999</v>
      </c>
      <c r="K41" t="str">
        <f>ReferenceData!$K$41</f>
        <v/>
      </c>
      <c r="L41">
        <f>ReferenceData!$L$41</f>
        <v>6.7859999999999996</v>
      </c>
      <c r="M41" t="str">
        <f>ReferenceData!$M$41</f>
        <v/>
      </c>
      <c r="N41">
        <f>ReferenceData!$N$41</f>
        <v>13.192999840000001</v>
      </c>
      <c r="O41" t="str">
        <f>ReferenceData!$O$41</f>
        <v/>
      </c>
      <c r="P41" t="str">
        <f>ReferenceData!$P$41</f>
        <v/>
      </c>
      <c r="Q41">
        <f>ReferenceData!$Q$41</f>
        <v>10.385999999999999</v>
      </c>
      <c r="R41" t="str">
        <f>ReferenceData!$R$41</f>
        <v/>
      </c>
      <c r="S41">
        <f>ReferenceData!$S$41</f>
        <v>9.9700000000000006</v>
      </c>
      <c r="T41" t="str">
        <f>ReferenceData!$T$41</f>
        <v/>
      </c>
      <c r="U41">
        <f>ReferenceData!$U$41</f>
        <v>10.949</v>
      </c>
      <c r="V41" t="str">
        <f>ReferenceData!$V$41</f>
        <v/>
      </c>
      <c r="W41">
        <f>ReferenceData!$W$41</f>
        <v>32.335000000000001</v>
      </c>
      <c r="X41" t="str">
        <f>ReferenceData!$X$41</f>
        <v/>
      </c>
      <c r="Y41">
        <f>ReferenceData!$Y$41</f>
        <v>13.193</v>
      </c>
      <c r="Z41" t="str">
        <f>ReferenceData!$Z$41</f>
        <v/>
      </c>
      <c r="AA41">
        <f>ReferenceData!$AA$41</f>
        <v>4.954999924</v>
      </c>
      <c r="AB41">
        <f>ReferenceData!$AB$41</f>
        <v>28.023</v>
      </c>
      <c r="AC41">
        <f>ReferenceData!$AC$41</f>
        <v>7.0920000080000003</v>
      </c>
      <c r="AD41">
        <f>ReferenceData!$AD$41</f>
        <v>11.617000000000001</v>
      </c>
      <c r="AE41" t="str">
        <f>ReferenceData!$AE$41</f>
        <v/>
      </c>
      <c r="AF41">
        <f>ReferenceData!$AF$41</f>
        <v>7.5220000000000002</v>
      </c>
      <c r="AG41">
        <f>ReferenceData!$AG$41</f>
        <v>20.913999560000001</v>
      </c>
      <c r="AH41">
        <f>ReferenceData!$AH$41</f>
        <v>6.2969999999999997</v>
      </c>
      <c r="AI41" t="str">
        <f>ReferenceData!$AI$41</f>
        <v/>
      </c>
      <c r="AJ41">
        <f>ReferenceData!$AJ$41</f>
        <v>6.48</v>
      </c>
      <c r="AK41" t="str">
        <f>ReferenceData!$AK$41</f>
        <v/>
      </c>
      <c r="AL41">
        <f>ReferenceData!$AL$41</f>
        <v>4.9550000000000001</v>
      </c>
      <c r="AM41" t="str">
        <f>ReferenceData!$AM$41</f>
        <v/>
      </c>
      <c r="AN41">
        <f>ReferenceData!$AN$41</f>
        <v>7.0919999999999996</v>
      </c>
      <c r="AO41" t="str">
        <f>ReferenceData!$AO$41</f>
        <v/>
      </c>
      <c r="AP41" t="str">
        <f>ReferenceData!$AP$41</f>
        <v/>
      </c>
      <c r="AQ41">
        <f>ReferenceData!$AQ$41</f>
        <v>3.4470000270000001</v>
      </c>
      <c r="AR41">
        <f>ReferenceData!$AR$41</f>
        <v>20.914000000000001</v>
      </c>
      <c r="AS41">
        <f>ReferenceData!$AS$41</f>
        <v>10.143000000000001</v>
      </c>
      <c r="AT41" t="str">
        <f>ReferenceData!$AT$41</f>
        <v/>
      </c>
      <c r="AU41">
        <f>ReferenceData!$AU$41</f>
        <v>5.9260000000000002</v>
      </c>
      <c r="AV41" t="str">
        <f>ReferenceData!$AV$41</f>
        <v/>
      </c>
      <c r="AW41">
        <f>ReferenceData!$AW$41</f>
        <v>3.194</v>
      </c>
      <c r="AX41" t="str">
        <f>ReferenceData!$AX$41</f>
        <v/>
      </c>
      <c r="AY41">
        <f>ReferenceData!$AY$41</f>
        <v>1.9300000000000002</v>
      </c>
      <c r="AZ41">
        <f>ReferenceData!$AZ$41</f>
        <v>3.9100000860000002</v>
      </c>
      <c r="BA41">
        <f>ReferenceData!$BA$41</f>
        <v>2.683000088</v>
      </c>
      <c r="BB41">
        <f>ReferenceData!$BB$41</f>
        <v>3.4470000000000001</v>
      </c>
      <c r="BC41" t="str">
        <f>ReferenceData!$BC$41</f>
        <v/>
      </c>
      <c r="BD41">
        <f>ReferenceData!$BD$41</f>
        <v>8.6069999999999993</v>
      </c>
      <c r="BE41" t="str">
        <f>ReferenceData!$BE$41</f>
        <v/>
      </c>
      <c r="BF41">
        <f>ReferenceData!$BF$41</f>
        <v>3.43</v>
      </c>
      <c r="BG41" t="str">
        <f>ReferenceData!$BG$41</f>
        <v/>
      </c>
      <c r="BH41">
        <f>ReferenceData!$BH$41</f>
        <v>6.8230000000000004</v>
      </c>
      <c r="BI41" t="str">
        <f>ReferenceData!$BI$41</f>
        <v/>
      </c>
      <c r="BJ41">
        <f>ReferenceData!$BJ$41</f>
        <v>5.829999924</v>
      </c>
      <c r="BK41">
        <f>ReferenceData!$BK$41</f>
        <v>3.91</v>
      </c>
      <c r="BL41">
        <f>ReferenceData!$BL$41</f>
        <v>2.6829999999999998</v>
      </c>
      <c r="BM41">
        <f>ReferenceData!$BM$41</f>
        <v>5.2300000190000002</v>
      </c>
      <c r="BN41" t="str">
        <f>ReferenceData!$BN$41</f>
        <v/>
      </c>
      <c r="BO41">
        <f>ReferenceData!$BO$41</f>
        <v>3.536</v>
      </c>
      <c r="BP41" t="str">
        <f>ReferenceData!$BP$41</f>
        <v/>
      </c>
      <c r="BQ41">
        <f>ReferenceData!$BQ$41</f>
        <v>9.4770000000000003</v>
      </c>
      <c r="BR41" t="str">
        <f>ReferenceData!$BR$41</f>
        <v/>
      </c>
      <c r="BS41">
        <f>ReferenceData!$BS$41</f>
        <v>3.5910000000000002</v>
      </c>
      <c r="BT41" t="str">
        <f>ReferenceData!$BT$41</f>
        <v/>
      </c>
      <c r="BU41">
        <f>ReferenceData!$BU$41</f>
        <v>5.83</v>
      </c>
      <c r="BV41" t="str">
        <f>ReferenceData!$BV$41</f>
        <v/>
      </c>
      <c r="BW41">
        <f>ReferenceData!$BW$41</f>
        <v>8.3280000689999998</v>
      </c>
      <c r="BX41">
        <f>ReferenceData!$BX$41</f>
        <v>5.23</v>
      </c>
      <c r="BY41">
        <f>ReferenceData!$BY$41</f>
        <v>7.7589998250000001</v>
      </c>
      <c r="BZ41">
        <f>ReferenceData!$BZ$41</f>
        <v>2.9769999999999999</v>
      </c>
      <c r="CA41">
        <f>ReferenceData!$CA$41</f>
        <v>3.7130000590000001</v>
      </c>
      <c r="CB41">
        <f>ReferenceData!$CB$41</f>
        <v>5.1589999999999998</v>
      </c>
      <c r="CC41">
        <f>ReferenceData!$CC$41</f>
        <v>10.454999920000001</v>
      </c>
      <c r="CD41">
        <f>ReferenceData!$CD$41</f>
        <v>9.1129999999999995</v>
      </c>
      <c r="CE41" t="str">
        <f>ReferenceData!$CE$41</f>
        <v/>
      </c>
      <c r="CF41">
        <f>ReferenceData!$CF$41</f>
        <v>4.2080000000000002</v>
      </c>
      <c r="CG41">
        <f>ReferenceData!$CG$41</f>
        <v>14.96199989</v>
      </c>
    </row>
    <row r="42" spans="1:85" x14ac:dyDescent="0.25">
      <c r="A42" t="str">
        <f>ReferenceData!$A$42</f>
        <v xml:space="preserve">        Marginal Rate (%)</v>
      </c>
      <c r="B42" t="str">
        <f>ReferenceData!$B$42</f>
        <v>ECBALTMR Index</v>
      </c>
      <c r="C42" t="str">
        <f>ReferenceData!$C$42</f>
        <v>PR005</v>
      </c>
      <c r="D42" t="str">
        <f>ReferenceData!$D$42</f>
        <v>PX_LAST</v>
      </c>
      <c r="E42" t="str">
        <f>ReferenceData!$E$42</f>
        <v>Dynamic</v>
      </c>
      <c r="F42" t="e">
        <f ca="1">ReferenceData!$F$42</f>
        <v>#N/A</v>
      </c>
      <c r="G42" t="str">
        <f>ReferenceData!$G$42</f>
        <v/>
      </c>
      <c r="H42">
        <f>ReferenceData!$H$42</f>
        <v>0.15000000599999999</v>
      </c>
      <c r="I42" t="str">
        <f>ReferenceData!$I$42</f>
        <v/>
      </c>
      <c r="J42" t="str">
        <f>ReferenceData!$J$42</f>
        <v/>
      </c>
      <c r="K42" t="str">
        <f>ReferenceData!$K$42</f>
        <v/>
      </c>
      <c r="L42">
        <f>ReferenceData!$L$42</f>
        <v>0.25</v>
      </c>
      <c r="M42" t="str">
        <f>ReferenceData!$M$42</f>
        <v/>
      </c>
      <c r="N42" t="str">
        <f>ReferenceData!$N$42</f>
        <v/>
      </c>
      <c r="O42" t="str">
        <f>ReferenceData!$O$42</f>
        <v/>
      </c>
      <c r="P42" t="str">
        <f>ReferenceData!$P$42</f>
        <v/>
      </c>
      <c r="Q42">
        <f>ReferenceData!$Q$42</f>
        <v>0.25</v>
      </c>
      <c r="R42" t="str">
        <f>ReferenceData!$R$42</f>
        <v/>
      </c>
      <c r="S42">
        <f>ReferenceData!$S$42</f>
        <v>0.15</v>
      </c>
      <c r="T42" t="str">
        <f>ReferenceData!$T$42</f>
        <v/>
      </c>
      <c r="U42">
        <f>ReferenceData!$U$42</f>
        <v>0.25</v>
      </c>
      <c r="V42" t="str">
        <f>ReferenceData!$V$42</f>
        <v/>
      </c>
      <c r="W42">
        <f>ReferenceData!$W$42</f>
        <v>0.25</v>
      </c>
      <c r="X42" t="str">
        <f>ReferenceData!$X$42</f>
        <v/>
      </c>
      <c r="Y42">
        <f>ReferenceData!$Y$42</f>
        <v>0.25</v>
      </c>
      <c r="Z42" t="str">
        <f>ReferenceData!$Z$42</f>
        <v/>
      </c>
      <c r="AA42">
        <f>ReferenceData!$AA$42</f>
        <v>0.25</v>
      </c>
      <c r="AB42">
        <f>ReferenceData!$AB$42</f>
        <v>0.25</v>
      </c>
      <c r="AC42">
        <f>ReferenceData!$AC$42</f>
        <v>0.25</v>
      </c>
      <c r="AD42">
        <f>ReferenceData!$AD$42</f>
        <v>0.25</v>
      </c>
      <c r="AE42" t="str">
        <f>ReferenceData!$AE$42</f>
        <v/>
      </c>
      <c r="AF42">
        <f>ReferenceData!$AF$42</f>
        <v>0.25</v>
      </c>
      <c r="AG42">
        <f>ReferenceData!$AG$42</f>
        <v>0.25</v>
      </c>
      <c r="AH42">
        <f>ReferenceData!$AH$42</f>
        <v>0.25</v>
      </c>
      <c r="AI42" t="str">
        <f>ReferenceData!$AI$42</f>
        <v/>
      </c>
      <c r="AJ42">
        <f>ReferenceData!$AJ$42</f>
        <v>0.25</v>
      </c>
      <c r="AK42" t="str">
        <f>ReferenceData!$AK$42</f>
        <v/>
      </c>
      <c r="AL42">
        <f>ReferenceData!$AL$42</f>
        <v>0.25</v>
      </c>
      <c r="AM42" t="str">
        <f>ReferenceData!$AM$42</f>
        <v/>
      </c>
      <c r="AN42">
        <f>ReferenceData!$AN$42</f>
        <v>0.25</v>
      </c>
      <c r="AO42" t="str">
        <f>ReferenceData!$AO$42</f>
        <v/>
      </c>
      <c r="AP42" t="str">
        <f>ReferenceData!$AP$42</f>
        <v/>
      </c>
      <c r="AQ42">
        <f>ReferenceData!$AQ$42</f>
        <v>0.5</v>
      </c>
      <c r="AR42">
        <f>ReferenceData!$AR$42</f>
        <v>0.25</v>
      </c>
      <c r="AS42">
        <f>ReferenceData!$AS$42</f>
        <v>0.25</v>
      </c>
      <c r="AT42" t="str">
        <f>ReferenceData!$AT$42</f>
        <v/>
      </c>
      <c r="AU42">
        <f>ReferenceData!$AU$42</f>
        <v>0.25</v>
      </c>
      <c r="AV42" t="str">
        <f>ReferenceData!$AV$42</f>
        <v/>
      </c>
      <c r="AW42">
        <f>ReferenceData!$AW$42</f>
        <v>0.25</v>
      </c>
      <c r="AX42" t="str">
        <f>ReferenceData!$AX$42</f>
        <v/>
      </c>
      <c r="AY42">
        <f>ReferenceData!$AY$42</f>
        <v>0.5</v>
      </c>
      <c r="AZ42">
        <f>ReferenceData!$AZ$42</f>
        <v>0.5</v>
      </c>
      <c r="BA42">
        <f>ReferenceData!$BA$42</f>
        <v>0.5</v>
      </c>
      <c r="BB42">
        <f>ReferenceData!$BB$42</f>
        <v>0.5</v>
      </c>
      <c r="BC42" t="str">
        <f>ReferenceData!$BC$42</f>
        <v/>
      </c>
      <c r="BD42">
        <f>ReferenceData!$BD$42</f>
        <v>0.5</v>
      </c>
      <c r="BE42" t="str">
        <f>ReferenceData!$BE$42</f>
        <v/>
      </c>
      <c r="BF42">
        <f>ReferenceData!$BF$42</f>
        <v>0.5</v>
      </c>
      <c r="BG42" t="str">
        <f>ReferenceData!$BG$42</f>
        <v/>
      </c>
      <c r="BH42">
        <f>ReferenceData!$BH$42</f>
        <v>0.5</v>
      </c>
      <c r="BI42" t="str">
        <f>ReferenceData!$BI$42</f>
        <v/>
      </c>
      <c r="BJ42">
        <f>ReferenceData!$BJ$42</f>
        <v>0.5</v>
      </c>
      <c r="BK42">
        <f>ReferenceData!$BK$42</f>
        <v>0.5</v>
      </c>
      <c r="BL42">
        <f>ReferenceData!$BL$42</f>
        <v>0.5</v>
      </c>
      <c r="BM42">
        <f>ReferenceData!$BM$42</f>
        <v>0.5</v>
      </c>
      <c r="BN42" t="str">
        <f>ReferenceData!$BN$42</f>
        <v/>
      </c>
      <c r="BO42">
        <f>ReferenceData!$BO$42</f>
        <v>0.5</v>
      </c>
      <c r="BP42" t="str">
        <f>ReferenceData!$BP$42</f>
        <v/>
      </c>
      <c r="BQ42">
        <f>ReferenceData!$BQ$42</f>
        <v>0.5</v>
      </c>
      <c r="BR42" t="str">
        <f>ReferenceData!$BR$42</f>
        <v/>
      </c>
      <c r="BS42">
        <f>ReferenceData!$BS$42</f>
        <v>0.5</v>
      </c>
      <c r="BT42" t="str">
        <f>ReferenceData!$BT$42</f>
        <v/>
      </c>
      <c r="BU42">
        <f>ReferenceData!$BU$42</f>
        <v>0.5</v>
      </c>
      <c r="BV42" t="str">
        <f>ReferenceData!$BV$42</f>
        <v/>
      </c>
      <c r="BW42">
        <f>ReferenceData!$BW$42</f>
        <v>0.75</v>
      </c>
      <c r="BX42">
        <f>ReferenceData!$BX$42</f>
        <v>0.5</v>
      </c>
      <c r="BY42">
        <f>ReferenceData!$BY$42</f>
        <v>0.75</v>
      </c>
      <c r="BZ42">
        <f>ReferenceData!$BZ$42</f>
        <v>0.75</v>
      </c>
      <c r="CA42" t="str">
        <f>ReferenceData!$CA$42</f>
        <v/>
      </c>
      <c r="CB42">
        <f>ReferenceData!$CB$42</f>
        <v>0.75</v>
      </c>
      <c r="CC42">
        <f>ReferenceData!$CC$42</f>
        <v>0.75</v>
      </c>
      <c r="CD42">
        <f>ReferenceData!$CD$42</f>
        <v>0.75</v>
      </c>
      <c r="CE42" t="str">
        <f>ReferenceData!$CE$42</f>
        <v/>
      </c>
      <c r="CF42">
        <f>ReferenceData!$CF$42</f>
        <v>0.75</v>
      </c>
      <c r="CG42">
        <f>ReferenceData!$CG$42</f>
        <v>0.75</v>
      </c>
    </row>
    <row r="43" spans="1:85" x14ac:dyDescent="0.25">
      <c r="A43" t="str">
        <f>ReferenceData!$A$43</f>
        <v xml:space="preserve">        Duration (days)</v>
      </c>
      <c r="B43" t="str">
        <f>ReferenceData!$B$43</f>
        <v>ECBALYDY Index</v>
      </c>
      <c r="C43" t="str">
        <f>ReferenceData!$C$43</f>
        <v>PR005</v>
      </c>
      <c r="D43" t="str">
        <f>ReferenceData!$D$43</f>
        <v>PX_LAST</v>
      </c>
      <c r="E43" t="str">
        <f>ReferenceData!$E$43</f>
        <v>Dynamic</v>
      </c>
      <c r="F43" t="e">
        <f ca="1">ReferenceData!$F$43</f>
        <v>#N/A</v>
      </c>
      <c r="G43" t="str">
        <f>ReferenceData!$G$43</f>
        <v/>
      </c>
      <c r="H43">
        <f>ReferenceData!$H$43</f>
        <v>91</v>
      </c>
      <c r="I43" t="str">
        <f>ReferenceData!$I$43</f>
        <v/>
      </c>
      <c r="J43">
        <f>ReferenceData!$J$43</f>
        <v>91</v>
      </c>
      <c r="K43" t="str">
        <f>ReferenceData!$K$43</f>
        <v/>
      </c>
      <c r="L43">
        <f>ReferenceData!$L$43</f>
        <v>91</v>
      </c>
      <c r="M43" t="str">
        <f>ReferenceData!$M$43</f>
        <v/>
      </c>
      <c r="N43">
        <f>ReferenceData!$N$43</f>
        <v>90</v>
      </c>
      <c r="O43" t="str">
        <f>ReferenceData!$O$43</f>
        <v/>
      </c>
      <c r="P43" t="str">
        <f>ReferenceData!$P$43</f>
        <v/>
      </c>
      <c r="Q43">
        <f>ReferenceData!$Q$43</f>
        <v>91</v>
      </c>
      <c r="R43" t="str">
        <f>ReferenceData!$R$43</f>
        <v/>
      </c>
      <c r="S43">
        <f>ReferenceData!$S$43</f>
        <v>28</v>
      </c>
      <c r="T43" t="str">
        <f>ReferenceData!$T$43</f>
        <v/>
      </c>
      <c r="U43">
        <f>ReferenceData!$U$43</f>
        <v>91</v>
      </c>
      <c r="V43" t="str">
        <f>ReferenceData!$V$43</f>
        <v/>
      </c>
      <c r="W43">
        <f>ReferenceData!$W$43</f>
        <v>28</v>
      </c>
      <c r="X43" t="str">
        <f>ReferenceData!$X$43</f>
        <v/>
      </c>
      <c r="Y43">
        <f>ReferenceData!$Y$43</f>
        <v>90</v>
      </c>
      <c r="Z43" t="str">
        <f>ReferenceData!$Z$43</f>
        <v/>
      </c>
      <c r="AA43">
        <f>ReferenceData!$AA$43</f>
        <v>92</v>
      </c>
      <c r="AB43">
        <f>ReferenceData!$AB$43</f>
        <v>35</v>
      </c>
      <c r="AC43">
        <f>ReferenceData!$AC$43</f>
        <v>28</v>
      </c>
      <c r="AD43">
        <f>ReferenceData!$AD$43</f>
        <v>91</v>
      </c>
      <c r="AE43" t="str">
        <f>ReferenceData!$AE$43</f>
        <v/>
      </c>
      <c r="AF43">
        <f>ReferenceData!$AF$43</f>
        <v>28</v>
      </c>
      <c r="AG43">
        <f>ReferenceData!$AG$43</f>
        <v>98</v>
      </c>
      <c r="AH43">
        <f>ReferenceData!$AH$43</f>
        <v>91</v>
      </c>
      <c r="AI43" t="str">
        <f>ReferenceData!$AI$43</f>
        <v/>
      </c>
      <c r="AJ43">
        <f>ReferenceData!$AJ$43</f>
        <v>28</v>
      </c>
      <c r="AK43" t="str">
        <f>ReferenceData!$AK$43</f>
        <v/>
      </c>
      <c r="AL43">
        <f>ReferenceData!$AL$43</f>
        <v>92</v>
      </c>
      <c r="AM43" t="str">
        <f>ReferenceData!$AM$43</f>
        <v/>
      </c>
      <c r="AN43">
        <f>ReferenceData!$AN$43</f>
        <v>28</v>
      </c>
      <c r="AO43" t="str">
        <f>ReferenceData!$AO$43</f>
        <v/>
      </c>
      <c r="AP43" t="str">
        <f>ReferenceData!$AP$43</f>
        <v/>
      </c>
      <c r="AQ43">
        <f>ReferenceData!$AQ$43</f>
        <v>35</v>
      </c>
      <c r="AR43">
        <f>ReferenceData!$AR$43</f>
        <v>98</v>
      </c>
      <c r="AS43">
        <f>ReferenceData!$AS$43</f>
        <v>35</v>
      </c>
      <c r="AT43" t="str">
        <f>ReferenceData!$AT$43</f>
        <v/>
      </c>
      <c r="AU43">
        <f>ReferenceData!$AU$43</f>
        <v>91</v>
      </c>
      <c r="AV43" t="str">
        <f>ReferenceData!$AV$43</f>
        <v/>
      </c>
      <c r="AW43">
        <f>ReferenceData!$AW$43</f>
        <v>28</v>
      </c>
      <c r="AX43" t="str">
        <f>ReferenceData!$AX$43</f>
        <v/>
      </c>
      <c r="AY43">
        <f>ReferenceData!$AY$43</f>
        <v>91</v>
      </c>
      <c r="AZ43">
        <f>ReferenceData!$AZ$43</f>
        <v>35</v>
      </c>
      <c r="BA43">
        <f>ReferenceData!$BA$43</f>
        <v>91</v>
      </c>
      <c r="BB43">
        <f>ReferenceData!$BB$43</f>
        <v>35</v>
      </c>
      <c r="BC43" t="str">
        <f>ReferenceData!$BC$43</f>
        <v/>
      </c>
      <c r="BD43">
        <f>ReferenceData!$BD$43</f>
        <v>84</v>
      </c>
      <c r="BE43" t="str">
        <f>ReferenceData!$BE$43</f>
        <v/>
      </c>
      <c r="BF43">
        <f>ReferenceData!$BF$43</f>
        <v>28</v>
      </c>
      <c r="BG43" t="str">
        <f>ReferenceData!$BG$43</f>
        <v/>
      </c>
      <c r="BH43">
        <f>ReferenceData!$BH$43</f>
        <v>91</v>
      </c>
      <c r="BI43" t="str">
        <f>ReferenceData!$BI$43</f>
        <v/>
      </c>
      <c r="BJ43">
        <f>ReferenceData!$BJ$43</f>
        <v>91</v>
      </c>
      <c r="BK43">
        <f>ReferenceData!$BK$43</f>
        <v>35</v>
      </c>
      <c r="BL43">
        <f>ReferenceData!$BL$43</f>
        <v>91</v>
      </c>
      <c r="BM43">
        <f>ReferenceData!$BM$43</f>
        <v>35</v>
      </c>
      <c r="BN43" t="str">
        <f>ReferenceData!$BN$43</f>
        <v/>
      </c>
      <c r="BO43">
        <f>ReferenceData!$BO$43</f>
        <v>28</v>
      </c>
      <c r="BP43" t="str">
        <f>ReferenceData!$BP$43</f>
        <v/>
      </c>
      <c r="BQ43">
        <f>ReferenceData!$BQ$43</f>
        <v>91</v>
      </c>
      <c r="BR43" t="str">
        <f>ReferenceData!$BR$43</f>
        <v/>
      </c>
      <c r="BS43">
        <f>ReferenceData!$BS$43</f>
        <v>28</v>
      </c>
      <c r="BT43" t="str">
        <f>ReferenceData!$BT$43</f>
        <v/>
      </c>
      <c r="BU43">
        <f>ReferenceData!$BU$43</f>
        <v>91</v>
      </c>
      <c r="BV43" t="str">
        <f>ReferenceData!$BV$43</f>
        <v/>
      </c>
      <c r="BW43">
        <f>ReferenceData!$BW$43</f>
        <v>91</v>
      </c>
      <c r="BX43">
        <f>ReferenceData!$BX$43</f>
        <v>35</v>
      </c>
      <c r="BY43">
        <f>ReferenceData!$BY$43</f>
        <v>28</v>
      </c>
      <c r="BZ43">
        <f>ReferenceData!$BZ$43</f>
        <v>98</v>
      </c>
      <c r="CA43">
        <f>ReferenceData!$CA$43</f>
        <v>84</v>
      </c>
      <c r="CB43">
        <f>ReferenceData!$CB$43</f>
        <v>28</v>
      </c>
      <c r="CC43">
        <f>ReferenceData!$CC$43</f>
        <v>28</v>
      </c>
      <c r="CD43">
        <f>ReferenceData!$CD$43</f>
        <v>91</v>
      </c>
      <c r="CE43" t="str">
        <f>ReferenceData!$CE$43</f>
        <v/>
      </c>
      <c r="CF43">
        <f>ReferenceData!$CF$43</f>
        <v>28</v>
      </c>
      <c r="CG43">
        <f>ReferenceData!$CG$43</f>
        <v>98</v>
      </c>
    </row>
    <row r="44" spans="1:85" x14ac:dyDescent="0.25">
      <c r="A44" t="str">
        <f>ReferenceData!$A$44</f>
        <v xml:space="preserve">    Fine Tunning Operations</v>
      </c>
      <c r="B44" t="str">
        <f>ReferenceData!$B$44</f>
        <v/>
      </c>
      <c r="C44" t="str">
        <f>ReferenceData!$C$44</f>
        <v/>
      </c>
      <c r="D44" t="str">
        <f>ReferenceData!$D$44</f>
        <v/>
      </c>
      <c r="E44" t="str">
        <f>ReferenceData!$E$44</f>
        <v>Static</v>
      </c>
      <c r="F44" t="str">
        <f>ReferenceData!$F$44</f>
        <v/>
      </c>
      <c r="G44" t="str">
        <f>ReferenceData!$G$44</f>
        <v/>
      </c>
      <c r="H44" t="str">
        <f>ReferenceData!$H$44</f>
        <v/>
      </c>
      <c r="I44" t="str">
        <f>ReferenceData!$I$44</f>
        <v/>
      </c>
      <c r="J44" t="str">
        <f>ReferenceData!$J$44</f>
        <v/>
      </c>
      <c r="K44" t="str">
        <f>ReferenceData!$K$44</f>
        <v/>
      </c>
      <c r="L44" t="str">
        <f>ReferenceData!$L$44</f>
        <v/>
      </c>
      <c r="M44" t="str">
        <f>ReferenceData!$M$44</f>
        <v/>
      </c>
      <c r="N44" t="str">
        <f>ReferenceData!$N$44</f>
        <v/>
      </c>
      <c r="O44" t="str">
        <f>ReferenceData!$O$44</f>
        <v/>
      </c>
      <c r="P44" t="str">
        <f>ReferenceData!$P$44</f>
        <v/>
      </c>
      <c r="Q44" t="str">
        <f>ReferenceData!$Q$44</f>
        <v/>
      </c>
      <c r="R44" t="str">
        <f>ReferenceData!$R$44</f>
        <v/>
      </c>
      <c r="S44" t="str">
        <f>ReferenceData!$S$44</f>
        <v/>
      </c>
      <c r="T44" t="str">
        <f>ReferenceData!$T$44</f>
        <v/>
      </c>
      <c r="U44" t="str">
        <f>ReferenceData!$U$44</f>
        <v/>
      </c>
      <c r="V44" t="str">
        <f>ReferenceData!$V$44</f>
        <v/>
      </c>
      <c r="W44" t="str">
        <f>ReferenceData!$W$44</f>
        <v/>
      </c>
      <c r="X44" t="str">
        <f>ReferenceData!$X$44</f>
        <v/>
      </c>
      <c r="Y44" t="str">
        <f>ReferenceData!$Y$44</f>
        <v/>
      </c>
      <c r="Z44" t="str">
        <f>ReferenceData!$Z$44</f>
        <v/>
      </c>
      <c r="AA44" t="str">
        <f>ReferenceData!$AA$44</f>
        <v/>
      </c>
      <c r="AB44" t="str">
        <f>ReferenceData!$AB$44</f>
        <v/>
      </c>
      <c r="AC44" t="str">
        <f>ReferenceData!$AC$44</f>
        <v/>
      </c>
      <c r="AD44" t="str">
        <f>ReferenceData!$AD$44</f>
        <v/>
      </c>
      <c r="AE44" t="str">
        <f>ReferenceData!$AE$44</f>
        <v/>
      </c>
      <c r="AF44" t="str">
        <f>ReferenceData!$AF$44</f>
        <v/>
      </c>
      <c r="AG44" t="str">
        <f>ReferenceData!$AG$44</f>
        <v/>
      </c>
      <c r="AH44" t="str">
        <f>ReferenceData!$AH$44</f>
        <v/>
      </c>
      <c r="AI44" t="str">
        <f>ReferenceData!$AI$44</f>
        <v/>
      </c>
      <c r="AJ44" t="str">
        <f>ReferenceData!$AJ$44</f>
        <v/>
      </c>
      <c r="AK44" t="str">
        <f>ReferenceData!$AK$44</f>
        <v/>
      </c>
      <c r="AL44" t="str">
        <f>ReferenceData!$AL$44</f>
        <v/>
      </c>
      <c r="AM44" t="str">
        <f>ReferenceData!$AM$44</f>
        <v/>
      </c>
      <c r="AN44" t="str">
        <f>ReferenceData!$AN$44</f>
        <v/>
      </c>
      <c r="AO44" t="str">
        <f>ReferenceData!$AO$44</f>
        <v/>
      </c>
      <c r="AP44" t="str">
        <f>ReferenceData!$AP$44</f>
        <v/>
      </c>
      <c r="AQ44" t="str">
        <f>ReferenceData!$AQ$44</f>
        <v/>
      </c>
      <c r="AR44" t="str">
        <f>ReferenceData!$AR$44</f>
        <v/>
      </c>
      <c r="AS44" t="str">
        <f>ReferenceData!$AS$44</f>
        <v/>
      </c>
      <c r="AT44" t="str">
        <f>ReferenceData!$AT$44</f>
        <v/>
      </c>
      <c r="AU44" t="str">
        <f>ReferenceData!$AU$44</f>
        <v/>
      </c>
      <c r="AV44" t="str">
        <f>ReferenceData!$AV$44</f>
        <v/>
      </c>
      <c r="AW44" t="str">
        <f>ReferenceData!$AW$44</f>
        <v/>
      </c>
      <c r="AX44" t="str">
        <f>ReferenceData!$AX$44</f>
        <v/>
      </c>
      <c r="AY44" t="str">
        <f>ReferenceData!$AY$44</f>
        <v/>
      </c>
      <c r="AZ44" t="str">
        <f>ReferenceData!$AZ$44</f>
        <v/>
      </c>
      <c r="BA44" t="str">
        <f>ReferenceData!$BA$44</f>
        <v/>
      </c>
      <c r="BB44" t="str">
        <f>ReferenceData!$BB$44</f>
        <v/>
      </c>
      <c r="BC44" t="str">
        <f>ReferenceData!$BC$44</f>
        <v/>
      </c>
      <c r="BD44" t="str">
        <f>ReferenceData!$BD$44</f>
        <v/>
      </c>
      <c r="BE44" t="str">
        <f>ReferenceData!$BE$44</f>
        <v/>
      </c>
      <c r="BF44" t="str">
        <f>ReferenceData!$BF$44</f>
        <v/>
      </c>
      <c r="BG44" t="str">
        <f>ReferenceData!$BG$44</f>
        <v/>
      </c>
      <c r="BH44" t="str">
        <f>ReferenceData!$BH$44</f>
        <v/>
      </c>
      <c r="BI44" t="str">
        <f>ReferenceData!$BI$44</f>
        <v/>
      </c>
      <c r="BJ44" t="str">
        <f>ReferenceData!$BJ$44</f>
        <v/>
      </c>
      <c r="BK44" t="str">
        <f>ReferenceData!$BK$44</f>
        <v/>
      </c>
      <c r="BL44" t="str">
        <f>ReferenceData!$BL$44</f>
        <v/>
      </c>
      <c r="BM44" t="str">
        <f>ReferenceData!$BM$44</f>
        <v/>
      </c>
      <c r="BN44" t="str">
        <f>ReferenceData!$BN$44</f>
        <v/>
      </c>
      <c r="BO44" t="str">
        <f>ReferenceData!$BO$44</f>
        <v/>
      </c>
      <c r="BP44" t="str">
        <f>ReferenceData!$BP$44</f>
        <v/>
      </c>
      <c r="BQ44" t="str">
        <f>ReferenceData!$BQ$44</f>
        <v/>
      </c>
      <c r="BR44" t="str">
        <f>ReferenceData!$BR$44</f>
        <v/>
      </c>
      <c r="BS44" t="str">
        <f>ReferenceData!$BS$44</f>
        <v/>
      </c>
      <c r="BT44" t="str">
        <f>ReferenceData!$BT$44</f>
        <v/>
      </c>
      <c r="BU44" t="str">
        <f>ReferenceData!$BU$44</f>
        <v/>
      </c>
      <c r="BV44" t="str">
        <f>ReferenceData!$BV$44</f>
        <v/>
      </c>
      <c r="BW44" t="str">
        <f>ReferenceData!$BW$44</f>
        <v/>
      </c>
      <c r="BX44" t="str">
        <f>ReferenceData!$BX$44</f>
        <v/>
      </c>
      <c r="BY44" t="str">
        <f>ReferenceData!$BY$44</f>
        <v/>
      </c>
      <c r="BZ44" t="str">
        <f>ReferenceData!$BZ$44</f>
        <v/>
      </c>
      <c r="CA44" t="str">
        <f>ReferenceData!$CA$44</f>
        <v/>
      </c>
      <c r="CB44" t="str">
        <f>ReferenceData!$CB$44</f>
        <v/>
      </c>
      <c r="CC44" t="str">
        <f>ReferenceData!$CC$44</f>
        <v/>
      </c>
      <c r="CD44" t="str">
        <f>ReferenceData!$CD$44</f>
        <v/>
      </c>
      <c r="CE44" t="str">
        <f>ReferenceData!$CE$44</f>
        <v/>
      </c>
      <c r="CF44" t="str">
        <f>ReferenceData!$CF$44</f>
        <v/>
      </c>
      <c r="CG44" t="str">
        <f>ReferenceData!$CG$44</f>
        <v/>
      </c>
    </row>
    <row r="45" spans="1:85" x14ac:dyDescent="0.25">
      <c r="A45" t="str">
        <f>ReferenceData!$A$45</f>
        <v xml:space="preserve">    7 Day Tender Operations</v>
      </c>
      <c r="B45" t="str">
        <f>ReferenceData!$B$45</f>
        <v/>
      </c>
      <c r="C45" t="str">
        <f>ReferenceData!$C$45</f>
        <v/>
      </c>
      <c r="D45" t="str">
        <f>ReferenceData!$D$45</f>
        <v/>
      </c>
      <c r="E45" t="str">
        <f>ReferenceData!$E$45</f>
        <v>Static</v>
      </c>
      <c r="F45" t="str">
        <f>ReferenceData!$F$45</f>
        <v/>
      </c>
      <c r="G45" t="str">
        <f>ReferenceData!$G$45</f>
        <v/>
      </c>
      <c r="H45" t="str">
        <f>ReferenceData!$H$45</f>
        <v/>
      </c>
      <c r="I45" t="str">
        <f>ReferenceData!$I$45</f>
        <v/>
      </c>
      <c r="J45" t="str">
        <f>ReferenceData!$J$45</f>
        <v/>
      </c>
      <c r="K45" t="str">
        <f>ReferenceData!$K$45</f>
        <v/>
      </c>
      <c r="L45" t="str">
        <f>ReferenceData!$L$45</f>
        <v/>
      </c>
      <c r="M45" t="str">
        <f>ReferenceData!$M$45</f>
        <v/>
      </c>
      <c r="N45" t="str">
        <f>ReferenceData!$N$45</f>
        <v/>
      </c>
      <c r="O45" t="str">
        <f>ReferenceData!$O$45</f>
        <v/>
      </c>
      <c r="P45" t="str">
        <f>ReferenceData!$P$45</f>
        <v/>
      </c>
      <c r="Q45" t="str">
        <f>ReferenceData!$Q$45</f>
        <v/>
      </c>
      <c r="R45" t="str">
        <f>ReferenceData!$R$45</f>
        <v/>
      </c>
      <c r="S45" t="str">
        <f>ReferenceData!$S$45</f>
        <v/>
      </c>
      <c r="T45" t="str">
        <f>ReferenceData!$T$45</f>
        <v/>
      </c>
      <c r="U45" t="str">
        <f>ReferenceData!$U$45</f>
        <v/>
      </c>
      <c r="V45" t="str">
        <f>ReferenceData!$V$45</f>
        <v/>
      </c>
      <c r="W45" t="str">
        <f>ReferenceData!$W$45</f>
        <v/>
      </c>
      <c r="X45" t="str">
        <f>ReferenceData!$X$45</f>
        <v/>
      </c>
      <c r="Y45" t="str">
        <f>ReferenceData!$Y$45</f>
        <v/>
      </c>
      <c r="Z45" t="str">
        <f>ReferenceData!$Z$45</f>
        <v/>
      </c>
      <c r="AA45" t="str">
        <f>ReferenceData!$AA$45</f>
        <v/>
      </c>
      <c r="AB45" t="str">
        <f>ReferenceData!$AB$45</f>
        <v/>
      </c>
      <c r="AC45" t="str">
        <f>ReferenceData!$AC$45</f>
        <v/>
      </c>
      <c r="AD45" t="str">
        <f>ReferenceData!$AD$45</f>
        <v/>
      </c>
      <c r="AE45" t="str">
        <f>ReferenceData!$AE$45</f>
        <v/>
      </c>
      <c r="AF45" t="str">
        <f>ReferenceData!$AF$45</f>
        <v/>
      </c>
      <c r="AG45" t="str">
        <f>ReferenceData!$AG$45</f>
        <v/>
      </c>
      <c r="AH45" t="str">
        <f>ReferenceData!$AH$45</f>
        <v/>
      </c>
      <c r="AI45" t="str">
        <f>ReferenceData!$AI$45</f>
        <v/>
      </c>
      <c r="AJ45" t="str">
        <f>ReferenceData!$AJ$45</f>
        <v/>
      </c>
      <c r="AK45" t="str">
        <f>ReferenceData!$AK$45</f>
        <v/>
      </c>
      <c r="AL45" t="str">
        <f>ReferenceData!$AL$45</f>
        <v/>
      </c>
      <c r="AM45" t="str">
        <f>ReferenceData!$AM$45</f>
        <v/>
      </c>
      <c r="AN45" t="str">
        <f>ReferenceData!$AN$45</f>
        <v/>
      </c>
      <c r="AO45" t="str">
        <f>ReferenceData!$AO$45</f>
        <v/>
      </c>
      <c r="AP45" t="str">
        <f>ReferenceData!$AP$45</f>
        <v/>
      </c>
      <c r="AQ45" t="str">
        <f>ReferenceData!$AQ$45</f>
        <v/>
      </c>
      <c r="AR45" t="str">
        <f>ReferenceData!$AR$45</f>
        <v/>
      </c>
      <c r="AS45" t="str">
        <f>ReferenceData!$AS$45</f>
        <v/>
      </c>
      <c r="AT45" t="str">
        <f>ReferenceData!$AT$45</f>
        <v/>
      </c>
      <c r="AU45" t="str">
        <f>ReferenceData!$AU$45</f>
        <v/>
      </c>
      <c r="AV45" t="str">
        <f>ReferenceData!$AV$45</f>
        <v/>
      </c>
      <c r="AW45" t="str">
        <f>ReferenceData!$AW$45</f>
        <v/>
      </c>
      <c r="AX45" t="str">
        <f>ReferenceData!$AX$45</f>
        <v/>
      </c>
      <c r="AY45" t="str">
        <f>ReferenceData!$AY$45</f>
        <v/>
      </c>
      <c r="AZ45" t="str">
        <f>ReferenceData!$AZ$45</f>
        <v/>
      </c>
      <c r="BA45" t="str">
        <f>ReferenceData!$BA$45</f>
        <v/>
      </c>
      <c r="BB45" t="str">
        <f>ReferenceData!$BB$45</f>
        <v/>
      </c>
      <c r="BC45" t="str">
        <f>ReferenceData!$BC$45</f>
        <v/>
      </c>
      <c r="BD45" t="str">
        <f>ReferenceData!$BD$45</f>
        <v/>
      </c>
      <c r="BE45" t="str">
        <f>ReferenceData!$BE$45</f>
        <v/>
      </c>
      <c r="BF45" t="str">
        <f>ReferenceData!$BF$45</f>
        <v/>
      </c>
      <c r="BG45" t="str">
        <f>ReferenceData!$BG$45</f>
        <v/>
      </c>
      <c r="BH45" t="str">
        <f>ReferenceData!$BH$45</f>
        <v/>
      </c>
      <c r="BI45" t="str">
        <f>ReferenceData!$BI$45</f>
        <v/>
      </c>
      <c r="BJ45" t="str">
        <f>ReferenceData!$BJ$45</f>
        <v/>
      </c>
      <c r="BK45" t="str">
        <f>ReferenceData!$BK$45</f>
        <v/>
      </c>
      <c r="BL45" t="str">
        <f>ReferenceData!$BL$45</f>
        <v/>
      </c>
      <c r="BM45" t="str">
        <f>ReferenceData!$BM$45</f>
        <v/>
      </c>
      <c r="BN45" t="str">
        <f>ReferenceData!$BN$45</f>
        <v/>
      </c>
      <c r="BO45" t="str">
        <f>ReferenceData!$BO$45</f>
        <v/>
      </c>
      <c r="BP45" t="str">
        <f>ReferenceData!$BP$45</f>
        <v/>
      </c>
      <c r="BQ45" t="str">
        <f>ReferenceData!$BQ$45</f>
        <v/>
      </c>
      <c r="BR45" t="str">
        <f>ReferenceData!$BR$45</f>
        <v/>
      </c>
      <c r="BS45" t="str">
        <f>ReferenceData!$BS$45</f>
        <v/>
      </c>
      <c r="BT45" t="str">
        <f>ReferenceData!$BT$45</f>
        <v/>
      </c>
      <c r="BU45" t="str">
        <f>ReferenceData!$BU$45</f>
        <v/>
      </c>
      <c r="BV45" t="str">
        <f>ReferenceData!$BV$45</f>
        <v/>
      </c>
      <c r="BW45" t="str">
        <f>ReferenceData!$BW$45</f>
        <v/>
      </c>
      <c r="BX45" t="str">
        <f>ReferenceData!$BX$45</f>
        <v/>
      </c>
      <c r="BY45" t="str">
        <f>ReferenceData!$BY$45</f>
        <v/>
      </c>
      <c r="BZ45" t="str">
        <f>ReferenceData!$BZ$45</f>
        <v/>
      </c>
      <c r="CA45" t="str">
        <f>ReferenceData!$CA$45</f>
        <v/>
      </c>
      <c r="CB45" t="str">
        <f>ReferenceData!$CB$45</f>
        <v/>
      </c>
      <c r="CC45" t="str">
        <f>ReferenceData!$CC$45</f>
        <v/>
      </c>
      <c r="CD45" t="str">
        <f>ReferenceData!$CD$45</f>
        <v/>
      </c>
      <c r="CE45" t="str">
        <f>ReferenceData!$CE$45</f>
        <v/>
      </c>
      <c r="CF45" t="str">
        <f>ReferenceData!$CF$45</f>
        <v/>
      </c>
      <c r="CG45" t="str">
        <f>ReferenceData!$CG$45</f>
        <v/>
      </c>
    </row>
    <row r="46" spans="1:85" x14ac:dyDescent="0.25">
      <c r="A46" t="str">
        <f>ReferenceData!$A$46</f>
        <v xml:space="preserve">        Total Allotment</v>
      </c>
      <c r="B46" t="str">
        <f>ReferenceData!$B$46</f>
        <v>ECBA7DTO Index</v>
      </c>
      <c r="C46" t="str">
        <f>ReferenceData!$C$46</f>
        <v/>
      </c>
      <c r="D46" t="str">
        <f>ReferenceData!$D$46</f>
        <v/>
      </c>
      <c r="E46" t="str">
        <f>ReferenceData!$E$46</f>
        <v>Expression</v>
      </c>
      <c r="F46" t="str">
        <f ca="1">ReferenceData!$F$46</f>
        <v/>
      </c>
      <c r="G46" t="str">
        <f>ReferenceData!$G$46</f>
        <v/>
      </c>
      <c r="H46">
        <f>ReferenceData!$H$46</f>
        <v>-108.6497969</v>
      </c>
      <c r="I46">
        <f>ReferenceData!$I$46</f>
        <v>-119.2002969</v>
      </c>
      <c r="J46">
        <f>ReferenceData!$J$46</f>
        <v>-102.87779690000001</v>
      </c>
      <c r="K46">
        <f>ReferenceData!$K$46</f>
        <v>-137.4652031</v>
      </c>
      <c r="L46">
        <f>ReferenceData!$L$46</f>
        <v>-144.28070310000001</v>
      </c>
      <c r="M46">
        <f>ReferenceData!$M$46</f>
        <v>-165.53270309999999</v>
      </c>
      <c r="N46">
        <f>ReferenceData!$N$46</f>
        <v>-103.946</v>
      </c>
      <c r="O46">
        <f>ReferenceData!$O$46</f>
        <v>-166.77979690000001</v>
      </c>
      <c r="P46">
        <f>ReferenceData!$P$46</f>
        <v>-153.36349999999999</v>
      </c>
      <c r="Q46">
        <f>ReferenceData!$Q$46</f>
        <v>-172.5</v>
      </c>
      <c r="R46">
        <f>ReferenceData!$R$46</f>
        <v>-175.5</v>
      </c>
      <c r="S46">
        <f>ReferenceData!$S$46</f>
        <v>-108.6498</v>
      </c>
      <c r="T46">
        <f>ReferenceData!$T$46</f>
        <v>-119.2003</v>
      </c>
      <c r="U46">
        <f>ReferenceData!$U$46</f>
        <v>-102.87780000000001</v>
      </c>
      <c r="V46">
        <f>ReferenceData!$V$46</f>
        <v>-137.46520000000001</v>
      </c>
      <c r="W46">
        <f>ReferenceData!$W$46</f>
        <v>-144.28070000000002</v>
      </c>
      <c r="X46">
        <f>ReferenceData!$X$46</f>
        <v>-165.53270000000001</v>
      </c>
      <c r="Y46">
        <f>ReferenceData!$Y$46</f>
        <v>-103.946</v>
      </c>
      <c r="Z46">
        <f>ReferenceData!$Z$46</f>
        <v>-166.77979999999999</v>
      </c>
      <c r="AA46">
        <f>ReferenceData!$AA$46</f>
        <v>-153.36349999999999</v>
      </c>
      <c r="AB46">
        <f>ReferenceData!$AB$46</f>
        <v>-172.5</v>
      </c>
      <c r="AC46">
        <f>ReferenceData!$AC$46</f>
        <v>-175.5</v>
      </c>
      <c r="AD46">
        <f>ReferenceData!$AD$46</f>
        <v>-175.5</v>
      </c>
      <c r="AE46">
        <f>ReferenceData!$AE$46</f>
        <v>-175.5</v>
      </c>
      <c r="AF46">
        <f>ReferenceData!$AF$46</f>
        <v>-175.5</v>
      </c>
      <c r="AG46">
        <f>ReferenceData!$AG$46</f>
        <v>-175.5</v>
      </c>
      <c r="AH46">
        <f>ReferenceData!$AH$46</f>
        <v>-175.5</v>
      </c>
      <c r="AI46">
        <f>ReferenceData!$AI$46</f>
        <v>-175.5</v>
      </c>
      <c r="AJ46">
        <f>ReferenceData!$AJ$46</f>
        <v>-175.5</v>
      </c>
      <c r="AK46">
        <f>ReferenceData!$AK$46</f>
        <v>-175.5</v>
      </c>
      <c r="AL46">
        <f>ReferenceData!$AL$46</f>
        <v>-151.20599999999999</v>
      </c>
      <c r="AM46">
        <f>ReferenceData!$AM$46</f>
        <v>-152.06709000000001</v>
      </c>
      <c r="AN46">
        <f>ReferenceData!$AN$46</f>
        <v>-179</v>
      </c>
      <c r="AO46">
        <f>ReferenceData!$AO$46</f>
        <v>-179</v>
      </c>
      <c r="AP46">
        <f>ReferenceData!$AP$46</f>
        <v>-104.8419</v>
      </c>
      <c r="AQ46">
        <f>ReferenceData!$AQ$46</f>
        <v>-139.91970000000001</v>
      </c>
      <c r="AR46">
        <f>ReferenceData!$AR$46</f>
        <v>-152.25109</v>
      </c>
      <c r="AS46">
        <f>ReferenceData!$AS$46</f>
        <v>-184</v>
      </c>
      <c r="AT46">
        <f>ReferenceData!$AT$46</f>
        <v>-184</v>
      </c>
      <c r="AU46">
        <f>ReferenceData!$AU$46</f>
        <v>-157.76429999999999</v>
      </c>
      <c r="AV46">
        <f>ReferenceData!$AV$46</f>
        <v>-184</v>
      </c>
      <c r="AW46">
        <f>ReferenceData!$AW$46</f>
        <v>-184</v>
      </c>
      <c r="AX46">
        <f>ReferenceData!$AX$46</f>
        <v>-184</v>
      </c>
      <c r="AY46">
        <f>ReferenceData!$AY$46</f>
        <v>-188</v>
      </c>
      <c r="AZ46">
        <f>ReferenceData!$AZ$46</f>
        <v>-188</v>
      </c>
      <c r="BA46">
        <f>ReferenceData!$BA$46</f>
        <v>-188</v>
      </c>
      <c r="BB46">
        <f>ReferenceData!$BB$46</f>
        <v>-188</v>
      </c>
      <c r="BC46">
        <f>ReferenceData!$BC$46</f>
        <v>-187.5</v>
      </c>
      <c r="BD46">
        <f>ReferenceData!$BD$46</f>
        <v>-190.5</v>
      </c>
      <c r="BE46">
        <f>ReferenceData!$BE$46</f>
        <v>-190.5</v>
      </c>
      <c r="BF46">
        <f>ReferenceData!$BF$46</f>
        <v>-190.5</v>
      </c>
      <c r="BG46">
        <f>ReferenceData!$BG$46</f>
        <v>-190.5</v>
      </c>
      <c r="BH46">
        <f>ReferenceData!$BH$46</f>
        <v>-190.5</v>
      </c>
      <c r="BI46">
        <f>ReferenceData!$BI$46</f>
        <v>-192.5</v>
      </c>
      <c r="BJ46">
        <f>ReferenceData!$BJ$46</f>
        <v>-192.5</v>
      </c>
      <c r="BK46">
        <f>ReferenceData!$BK$46</f>
        <v>-192.5</v>
      </c>
      <c r="BL46">
        <f>ReferenceData!$BL$46</f>
        <v>-195.5</v>
      </c>
      <c r="BM46">
        <f>ReferenceData!$BM$46</f>
        <v>-195.5</v>
      </c>
      <c r="BN46">
        <f>ReferenceData!$BN$46</f>
        <v>-195.5</v>
      </c>
      <c r="BO46">
        <f>ReferenceData!$BO$46</f>
        <v>-195.5</v>
      </c>
      <c r="BP46">
        <f>ReferenceData!$BP$46</f>
        <v>-195</v>
      </c>
      <c r="BQ46">
        <f>ReferenceData!$BQ$46</f>
        <v>-195</v>
      </c>
      <c r="BR46">
        <f>ReferenceData!$BR$46</f>
        <v>-195</v>
      </c>
      <c r="BS46">
        <f>ReferenceData!$BS$46</f>
        <v>-195</v>
      </c>
      <c r="BT46">
        <f>ReferenceData!$BT$46</f>
        <v>-197</v>
      </c>
      <c r="BU46">
        <f>ReferenceData!$BU$46</f>
        <v>-197</v>
      </c>
      <c r="BV46">
        <f>ReferenceData!$BV$46</f>
        <v>-201</v>
      </c>
      <c r="BW46">
        <f>ReferenceData!$BW$46</f>
        <v>-201</v>
      </c>
      <c r="BX46">
        <f>ReferenceData!$BX$46</f>
        <v>-201</v>
      </c>
      <c r="BY46">
        <f>ReferenceData!$BY$46</f>
        <v>-202.5</v>
      </c>
      <c r="BZ46">
        <f>ReferenceData!$BZ$46</f>
        <v>-202.5</v>
      </c>
      <c r="CA46">
        <f>ReferenceData!$CA$46</f>
        <v>-206</v>
      </c>
      <c r="CB46">
        <f>ReferenceData!$CB$46</f>
        <v>-206</v>
      </c>
      <c r="CC46">
        <f>ReferenceData!$CC$46</f>
        <v>-205.5</v>
      </c>
      <c r="CD46">
        <f>ReferenceData!$CD$46</f>
        <v>-205.5</v>
      </c>
      <c r="CE46">
        <f>ReferenceData!$CE$46</f>
        <v>-205.5</v>
      </c>
      <c r="CF46">
        <f>ReferenceData!$CF$46</f>
        <v>-205.5</v>
      </c>
      <c r="CG46">
        <f>ReferenceData!$CG$46</f>
        <v>-205.5</v>
      </c>
    </row>
    <row r="47" spans="1:85" x14ac:dyDescent="0.25">
      <c r="A47" t="str">
        <f>ReferenceData!$A$47</f>
        <v xml:space="preserve">        Total Bids</v>
      </c>
      <c r="B47" t="str">
        <f>ReferenceData!$B$47</f>
        <v>ECBA7DBI Index</v>
      </c>
      <c r="C47" t="str">
        <f>ReferenceData!$C$47</f>
        <v/>
      </c>
      <c r="D47" t="str">
        <f>ReferenceData!$D$47</f>
        <v/>
      </c>
      <c r="E47" t="str">
        <f>ReferenceData!$E$47</f>
        <v>Expression</v>
      </c>
      <c r="F47" t="str">
        <f ca="1">ReferenceData!$F$47</f>
        <v/>
      </c>
      <c r="G47" t="str">
        <f>ReferenceData!$G$47</f>
        <v/>
      </c>
      <c r="H47">
        <f>ReferenceData!$H$47</f>
        <v>-108.6497969</v>
      </c>
      <c r="I47">
        <f>ReferenceData!$I$47</f>
        <v>-119.2002969</v>
      </c>
      <c r="J47">
        <f>ReferenceData!$J$47</f>
        <v>-102.87779690000001</v>
      </c>
      <c r="K47">
        <f>ReferenceData!$K$47</f>
        <v>-137.4652031</v>
      </c>
      <c r="L47">
        <f>ReferenceData!$L$47</f>
        <v>-144.28070310000001</v>
      </c>
      <c r="M47">
        <f>ReferenceData!$M$47</f>
        <v>-165.53270309999999</v>
      </c>
      <c r="N47">
        <f>ReferenceData!$N$47</f>
        <v>-103.946</v>
      </c>
      <c r="O47">
        <f>ReferenceData!$O$47</f>
        <v>-166.77979690000001</v>
      </c>
      <c r="P47">
        <f>ReferenceData!$P$47</f>
        <v>-153.36349999999999</v>
      </c>
      <c r="Q47">
        <f>ReferenceData!$Q$47</f>
        <v>-192.5145938</v>
      </c>
      <c r="R47">
        <f>ReferenceData!$R$47</f>
        <v>-199.721</v>
      </c>
      <c r="S47">
        <f>ReferenceData!$S$47</f>
        <v>-108.6498</v>
      </c>
      <c r="T47">
        <f>ReferenceData!$T$47</f>
        <v>-119.2003</v>
      </c>
      <c r="U47">
        <f>ReferenceData!$U$47</f>
        <v>-102.87780000000001</v>
      </c>
      <c r="V47">
        <f>ReferenceData!$V$47</f>
        <v>-137.46520000000001</v>
      </c>
      <c r="W47">
        <f>ReferenceData!$W$47</f>
        <v>-144.28070000000002</v>
      </c>
      <c r="X47">
        <f>ReferenceData!$X$47</f>
        <v>-165.53270000000001</v>
      </c>
      <c r="Y47">
        <f>ReferenceData!$Y$47</f>
        <v>-103.946</v>
      </c>
      <c r="Z47">
        <f>ReferenceData!$Z$47</f>
        <v>-166.77979999999999</v>
      </c>
      <c r="AA47">
        <f>ReferenceData!$AA$47</f>
        <v>-153.36349999999999</v>
      </c>
      <c r="AB47">
        <f>ReferenceData!$AB$47</f>
        <v>-192.51459</v>
      </c>
      <c r="AC47">
        <f>ReferenceData!$AC$47</f>
        <v>-199.721</v>
      </c>
      <c r="AD47">
        <f>ReferenceData!$AD$47</f>
        <v>-180.90058999999999</v>
      </c>
      <c r="AE47">
        <f>ReferenceData!$AE$47</f>
        <v>-223.22670000000002</v>
      </c>
      <c r="AF47">
        <f>ReferenceData!$AF$47</f>
        <v>-219.077</v>
      </c>
      <c r="AG47">
        <f>ReferenceData!$AG$47</f>
        <v>-219.13058999999998</v>
      </c>
      <c r="AH47">
        <f>ReferenceData!$AH$47</f>
        <v>-195.51949999999999</v>
      </c>
      <c r="AI47">
        <f>ReferenceData!$AI$47</f>
        <v>-216.07</v>
      </c>
      <c r="AJ47">
        <f>ReferenceData!$AJ$47</f>
        <v>-195.92400000000001</v>
      </c>
      <c r="AK47">
        <f>ReferenceData!$AK$47</f>
        <v>-211.02199999999999</v>
      </c>
      <c r="AL47">
        <f>ReferenceData!$AL$47</f>
        <v>-151.20599999999999</v>
      </c>
      <c r="AM47">
        <f>ReferenceData!$AM$47</f>
        <v>-152.06709000000001</v>
      </c>
      <c r="AN47">
        <f>ReferenceData!$AN$47</f>
        <v>-180.02679999999998</v>
      </c>
      <c r="AO47">
        <f>ReferenceData!$AO$47</f>
        <v>-185.79508999999999</v>
      </c>
      <c r="AP47">
        <f>ReferenceData!$AP$47</f>
        <v>-104.8419</v>
      </c>
      <c r="AQ47">
        <f>ReferenceData!$AQ$47</f>
        <v>-139.91970000000001</v>
      </c>
      <c r="AR47">
        <f>ReferenceData!$AR$47</f>
        <v>-152.25109</v>
      </c>
      <c r="AS47">
        <f>ReferenceData!$AS$47</f>
        <v>-186.72829999999999</v>
      </c>
      <c r="AT47">
        <f>ReferenceData!$AT$47</f>
        <v>-190.18941000000001</v>
      </c>
      <c r="AU47">
        <f>ReferenceData!$AU$47</f>
        <v>-157.76429999999999</v>
      </c>
      <c r="AV47">
        <f>ReferenceData!$AV$47</f>
        <v>-218.11829999999998</v>
      </c>
      <c r="AW47">
        <f>ReferenceData!$AW$47</f>
        <v>-254.70229999999998</v>
      </c>
      <c r="AX47">
        <f>ReferenceData!$AX$47</f>
        <v>-257.51830000000001</v>
      </c>
      <c r="AY47">
        <f>ReferenceData!$AY$47</f>
        <v>-215.8023</v>
      </c>
      <c r="AZ47">
        <f>ReferenceData!$AZ$47</f>
        <v>-240.2123</v>
      </c>
      <c r="BA47">
        <f>ReferenceData!$BA$47</f>
        <v>-219.44029999999998</v>
      </c>
      <c r="BB47">
        <f>ReferenceData!$BB$47</f>
        <v>-251.34729999999999</v>
      </c>
      <c r="BC47">
        <f>ReferenceData!$BC$47</f>
        <v>-265.06630999999999</v>
      </c>
      <c r="BD47">
        <f>ReferenceData!$BD$47</f>
        <v>-248.47220000000002</v>
      </c>
      <c r="BE47">
        <f>ReferenceData!$BE$47</f>
        <v>-272.91619000000003</v>
      </c>
      <c r="BF47">
        <f>ReferenceData!$BF$47</f>
        <v>-297.76218999999998</v>
      </c>
      <c r="BG47">
        <f>ReferenceData!$BG$47</f>
        <v>-314.84019000000001</v>
      </c>
      <c r="BH47">
        <f>ReferenceData!$BH$47</f>
        <v>-287.53919000000002</v>
      </c>
      <c r="BI47">
        <f>ReferenceData!$BI$47</f>
        <v>-283.97919000000002</v>
      </c>
      <c r="BJ47">
        <f>ReferenceData!$BJ$47</f>
        <v>-259.30119999999999</v>
      </c>
      <c r="BK47">
        <f>ReferenceData!$BK$47</f>
        <v>-269.31319000000002</v>
      </c>
      <c r="BL47">
        <f>ReferenceData!$BL$47</f>
        <v>-229.88320000000002</v>
      </c>
      <c r="BM47">
        <f>ReferenceData!$BM$47</f>
        <v>-231.31820000000002</v>
      </c>
      <c r="BN47">
        <f>ReferenceData!$BN$47</f>
        <v>-239.28320000000002</v>
      </c>
      <c r="BO47">
        <f>ReferenceData!$BO$47</f>
        <v>-250.58770000000001</v>
      </c>
      <c r="BP47">
        <f>ReferenceData!$BP$47</f>
        <v>-239.73400000000001</v>
      </c>
      <c r="BQ47">
        <f>ReferenceData!$BQ$47</f>
        <v>-215.28020000000001</v>
      </c>
      <c r="BR47">
        <f>ReferenceData!$BR$47</f>
        <v>-251.86620000000002</v>
      </c>
      <c r="BS47">
        <f>ReferenceData!$BS$47</f>
        <v>-278.42619000000002</v>
      </c>
      <c r="BT47">
        <f>ReferenceData!$BT$47</f>
        <v>-276.04318999999998</v>
      </c>
      <c r="BU47">
        <f>ReferenceData!$BU$47</f>
        <v>-235.12509</v>
      </c>
      <c r="BV47">
        <f>ReferenceData!$BV$47</f>
        <v>-254.15009000000001</v>
      </c>
      <c r="BW47">
        <f>ReferenceData!$BW$47</f>
        <v>-249.42458999999999</v>
      </c>
      <c r="BX47">
        <f>ReferenceData!$BX$47</f>
        <v>-267.80709000000002</v>
      </c>
      <c r="BY47">
        <f>ReferenceData!$BY$47</f>
        <v>-255.80608999999998</v>
      </c>
      <c r="BZ47">
        <f>ReferenceData!$BZ$47</f>
        <v>-253.82008999999999</v>
      </c>
      <c r="CA47">
        <f>ReferenceData!$CA$47</f>
        <v>-264.41609000000005</v>
      </c>
      <c r="CB47">
        <f>ReferenceData!$CB$47</f>
        <v>-287.54209000000003</v>
      </c>
      <c r="CC47">
        <f>ReferenceData!$CC$47</f>
        <v>-270.43559000000005</v>
      </c>
      <c r="CD47">
        <f>ReferenceData!$CD$47</f>
        <v>-225.22359</v>
      </c>
      <c r="CE47">
        <f>ReferenceData!$CE$47</f>
        <v>-272.71919000000003</v>
      </c>
      <c r="CF47">
        <f>ReferenceData!$CF$47</f>
        <v>-286.41009000000003</v>
      </c>
      <c r="CG47">
        <f>ReferenceData!$CG$47</f>
        <v>-301.60409000000004</v>
      </c>
    </row>
    <row r="48" spans="1:85" x14ac:dyDescent="0.25">
      <c r="A48" t="str">
        <f>ReferenceData!$A$48</f>
        <v xml:space="preserve">        Bid Cover Ratio</v>
      </c>
      <c r="B48" t="str">
        <f>ReferenceData!$B$48</f>
        <v>ECBA7DBC Index</v>
      </c>
      <c r="C48" t="str">
        <f>ReferenceData!$C$48</f>
        <v>PR005</v>
      </c>
      <c r="D48" t="str">
        <f>ReferenceData!$D$48</f>
        <v>PX_LAST</v>
      </c>
      <c r="E48" t="str">
        <f>ReferenceData!$E$48</f>
        <v>Dynamic</v>
      </c>
      <c r="F48" t="e">
        <f ca="1">ReferenceData!$F$48</f>
        <v>#N/A</v>
      </c>
      <c r="G48" t="str">
        <f>ReferenceData!$G$48</f>
        <v/>
      </c>
      <c r="H48">
        <f>ReferenceData!$H$48</f>
        <v>0.670000017</v>
      </c>
      <c r="I48">
        <f>ReferenceData!$I$48</f>
        <v>0.72000002900000004</v>
      </c>
      <c r="J48">
        <f>ReferenceData!$J$48</f>
        <v>0.62999999500000003</v>
      </c>
      <c r="K48">
        <f>ReferenceData!$K$48</f>
        <v>0.81999999300000004</v>
      </c>
      <c r="L48">
        <f>ReferenceData!$L$48</f>
        <v>0.86000001400000003</v>
      </c>
      <c r="M48">
        <f>ReferenceData!$M$48</f>
        <v>0.99000001000000004</v>
      </c>
      <c r="N48">
        <f>ReferenceData!$N$48</f>
        <v>0.60000002399999997</v>
      </c>
      <c r="O48">
        <f>ReferenceData!$O$48</f>
        <v>0.97000002900000004</v>
      </c>
      <c r="P48">
        <f>ReferenceData!$P$48</f>
        <v>0.88999998599999997</v>
      </c>
      <c r="Q48">
        <f>ReferenceData!$Q$48</f>
        <v>1.1200000050000001</v>
      </c>
      <c r="R48">
        <f>ReferenceData!$R$48</f>
        <v>1.1399999860000001</v>
      </c>
      <c r="S48">
        <f>ReferenceData!$S$48</f>
        <v>0.67</v>
      </c>
      <c r="T48">
        <f>ReferenceData!$T$48</f>
        <v>0.72</v>
      </c>
      <c r="U48">
        <f>ReferenceData!$U$48</f>
        <v>0.63</v>
      </c>
      <c r="V48">
        <f>ReferenceData!$V$48</f>
        <v>0.82</v>
      </c>
      <c r="W48">
        <f>ReferenceData!$W$48</f>
        <v>0.86</v>
      </c>
      <c r="X48">
        <f>ReferenceData!$X$48</f>
        <v>0.99</v>
      </c>
      <c r="Y48">
        <f>ReferenceData!$Y$48</f>
        <v>0.6</v>
      </c>
      <c r="Z48">
        <f>ReferenceData!$Z$48</f>
        <v>0.97</v>
      </c>
      <c r="AA48">
        <f>ReferenceData!$AA$48</f>
        <v>0.89</v>
      </c>
      <c r="AB48">
        <f>ReferenceData!$AB$48</f>
        <v>1.1200000000000001</v>
      </c>
      <c r="AC48">
        <f>ReferenceData!$AC$48</f>
        <v>1.1400000000000001</v>
      </c>
      <c r="AD48">
        <f>ReferenceData!$AD$48</f>
        <v>1.03</v>
      </c>
      <c r="AE48">
        <f>ReferenceData!$AE$48</f>
        <v>1.27</v>
      </c>
      <c r="AF48">
        <f>ReferenceData!$AF$48</f>
        <v>1.25</v>
      </c>
      <c r="AG48">
        <f>ReferenceData!$AG$48</f>
        <v>1.25</v>
      </c>
      <c r="AH48">
        <f>ReferenceData!$AH$48</f>
        <v>1.1100000000000001</v>
      </c>
      <c r="AI48">
        <f>ReferenceData!$AI$48</f>
        <v>1.23</v>
      </c>
      <c r="AJ48">
        <f>ReferenceData!$AJ$48</f>
        <v>1.1200000000000001</v>
      </c>
      <c r="AK48">
        <f>ReferenceData!$AK$48</f>
        <v>1.2</v>
      </c>
      <c r="AL48">
        <f>ReferenceData!$AL$48</f>
        <v>0.85</v>
      </c>
      <c r="AM48">
        <f>ReferenceData!$AM$48</f>
        <v>0.86</v>
      </c>
      <c r="AN48">
        <f>ReferenceData!$AN$48</f>
        <v>1.01</v>
      </c>
      <c r="AO48">
        <f>ReferenceData!$AO$48</f>
        <v>1.04</v>
      </c>
      <c r="AP48">
        <f>ReferenceData!$AP$48</f>
        <v>0.59</v>
      </c>
      <c r="AQ48">
        <f>ReferenceData!$AQ$48</f>
        <v>0.78</v>
      </c>
      <c r="AR48">
        <f>ReferenceData!$AR$48</f>
        <v>0.83</v>
      </c>
      <c r="AS48">
        <f>ReferenceData!$AS$48</f>
        <v>1.01</v>
      </c>
      <c r="AT48">
        <f>ReferenceData!$AT$48</f>
        <v>1.03</v>
      </c>
      <c r="AU48">
        <f>ReferenceData!$AU$48</f>
        <v>0.86</v>
      </c>
      <c r="AV48">
        <f>ReferenceData!$AV$48</f>
        <v>1.19</v>
      </c>
      <c r="AW48">
        <f>ReferenceData!$AW$48</f>
        <v>1.38</v>
      </c>
      <c r="AX48">
        <f>ReferenceData!$AX$48</f>
        <v>1.4</v>
      </c>
      <c r="AY48">
        <f>ReferenceData!$AY$48</f>
        <v>1.1499999999999999</v>
      </c>
      <c r="AZ48">
        <f>ReferenceData!$AZ$48</f>
        <v>1.28</v>
      </c>
      <c r="BA48">
        <f>ReferenceData!$BA$48</f>
        <v>1.17</v>
      </c>
      <c r="BB48">
        <f>ReferenceData!$BB$48</f>
        <v>1.34</v>
      </c>
      <c r="BC48">
        <f>ReferenceData!$BC$48</f>
        <v>1.41</v>
      </c>
      <c r="BD48">
        <f>ReferenceData!$BD$48</f>
        <v>1.3</v>
      </c>
      <c r="BE48">
        <f>ReferenceData!$BE$48</f>
        <v>1.43</v>
      </c>
      <c r="BF48">
        <f>ReferenceData!$BF$48</f>
        <v>1.56</v>
      </c>
      <c r="BG48">
        <f>ReferenceData!$BG$48</f>
        <v>1.65</v>
      </c>
      <c r="BH48">
        <f>ReferenceData!$BH$48</f>
        <v>1.51</v>
      </c>
      <c r="BI48">
        <f>ReferenceData!$BI$48</f>
        <v>1.48</v>
      </c>
      <c r="BJ48">
        <f>ReferenceData!$BJ$48</f>
        <v>1.35</v>
      </c>
      <c r="BK48">
        <f>ReferenceData!$BK$48</f>
        <v>1.4</v>
      </c>
      <c r="BL48">
        <f>ReferenceData!$BL$48</f>
        <v>1.18</v>
      </c>
      <c r="BM48">
        <f>ReferenceData!$BM$48</f>
        <v>1.18</v>
      </c>
      <c r="BN48">
        <f>ReferenceData!$BN$48</f>
        <v>1.22</v>
      </c>
      <c r="BO48">
        <f>ReferenceData!$BO$48</f>
        <v>1.28</v>
      </c>
      <c r="BP48">
        <f>ReferenceData!$BP$48</f>
        <v>1.23</v>
      </c>
      <c r="BQ48">
        <f>ReferenceData!$BQ$48</f>
        <v>1.1000000000000001</v>
      </c>
      <c r="BR48">
        <f>ReferenceData!$BR$48</f>
        <v>1.29</v>
      </c>
      <c r="BS48">
        <f>ReferenceData!$BS$48</f>
        <v>1.43</v>
      </c>
      <c r="BT48">
        <f>ReferenceData!$BT$48</f>
        <v>1.4</v>
      </c>
      <c r="BU48">
        <f>ReferenceData!$BU$48</f>
        <v>1.19</v>
      </c>
      <c r="BV48">
        <f>ReferenceData!$BV$48</f>
        <v>1.26</v>
      </c>
      <c r="BW48">
        <f>ReferenceData!$BW$48</f>
        <v>1.24</v>
      </c>
      <c r="BX48">
        <f>ReferenceData!$BX$48</f>
        <v>1.33</v>
      </c>
      <c r="BY48">
        <f>ReferenceData!$BY$48</f>
        <v>1.26</v>
      </c>
      <c r="BZ48">
        <f>ReferenceData!$BZ$48</f>
        <v>1.25</v>
      </c>
      <c r="CA48">
        <f>ReferenceData!$CA$48</f>
        <v>1.28</v>
      </c>
      <c r="CB48">
        <f>ReferenceData!$CB$48</f>
        <v>1.4</v>
      </c>
      <c r="CC48">
        <f>ReferenceData!$CC$48</f>
        <v>1.32</v>
      </c>
      <c r="CD48">
        <f>ReferenceData!$CD$48</f>
        <v>1.1000000000000001</v>
      </c>
      <c r="CE48">
        <f>ReferenceData!$CE$48</f>
        <v>1.33</v>
      </c>
      <c r="CF48">
        <f>ReferenceData!$CF$48</f>
        <v>1.3900000000000001</v>
      </c>
      <c r="CG48">
        <f>ReferenceData!$CG$48</f>
        <v>1.47</v>
      </c>
    </row>
    <row r="49" spans="1:85" x14ac:dyDescent="0.25">
      <c r="A49" t="str">
        <f>ReferenceData!$A$49</f>
        <v xml:space="preserve">        Duration (days)</v>
      </c>
      <c r="B49" t="str">
        <f>ReferenceData!$B$49</f>
        <v>ECBA7DDU Index</v>
      </c>
      <c r="C49" t="str">
        <f>ReferenceData!$C$49</f>
        <v>PR005</v>
      </c>
      <c r="D49" t="str">
        <f>ReferenceData!$D$49</f>
        <v>PX_LAST</v>
      </c>
      <c r="E49" t="str">
        <f>ReferenceData!$E$49</f>
        <v>Dynamic</v>
      </c>
      <c r="F49" t="e">
        <f ca="1">ReferenceData!$F$49</f>
        <v>#N/A</v>
      </c>
      <c r="G49" t="str">
        <f>ReferenceData!$G$49</f>
        <v/>
      </c>
      <c r="H49">
        <f>ReferenceData!$H$49</f>
        <v>7</v>
      </c>
      <c r="I49">
        <f>ReferenceData!$I$49</f>
        <v>7</v>
      </c>
      <c r="J49">
        <f>ReferenceData!$J$49</f>
        <v>7</v>
      </c>
      <c r="K49">
        <f>ReferenceData!$K$49</f>
        <v>7</v>
      </c>
      <c r="L49">
        <f>ReferenceData!$L$49</f>
        <v>7</v>
      </c>
      <c r="M49">
        <f>ReferenceData!$M$49</f>
        <v>7</v>
      </c>
      <c r="N49">
        <f>ReferenceData!$N$49</f>
        <v>7</v>
      </c>
      <c r="O49">
        <f>ReferenceData!$O$49</f>
        <v>7</v>
      </c>
      <c r="P49">
        <f>ReferenceData!$P$49</f>
        <v>7</v>
      </c>
      <c r="Q49">
        <f>ReferenceData!$Q$49</f>
        <v>7</v>
      </c>
      <c r="R49">
        <f>ReferenceData!$R$49</f>
        <v>7</v>
      </c>
      <c r="S49">
        <f>ReferenceData!$S$49</f>
        <v>7</v>
      </c>
      <c r="T49">
        <f>ReferenceData!$T$49</f>
        <v>7</v>
      </c>
      <c r="U49">
        <f>ReferenceData!$U$49</f>
        <v>7</v>
      </c>
      <c r="V49">
        <f>ReferenceData!$V$49</f>
        <v>7</v>
      </c>
      <c r="W49">
        <f>ReferenceData!$W$49</f>
        <v>7</v>
      </c>
      <c r="X49">
        <f>ReferenceData!$X$49</f>
        <v>7</v>
      </c>
      <c r="Y49">
        <f>ReferenceData!$Y$49</f>
        <v>7</v>
      </c>
      <c r="Z49">
        <f>ReferenceData!$Z$49</f>
        <v>7</v>
      </c>
      <c r="AA49">
        <f>ReferenceData!$AA$49</f>
        <v>7</v>
      </c>
      <c r="AB49">
        <f>ReferenceData!$AB$49</f>
        <v>7</v>
      </c>
      <c r="AC49">
        <f>ReferenceData!$AC$49</f>
        <v>7</v>
      </c>
      <c r="AD49">
        <f>ReferenceData!$AD$49</f>
        <v>7</v>
      </c>
      <c r="AE49">
        <f>ReferenceData!$AE$49</f>
        <v>7</v>
      </c>
      <c r="AF49">
        <f>ReferenceData!$AF$49</f>
        <v>7</v>
      </c>
      <c r="AG49">
        <f>ReferenceData!$AG$49</f>
        <v>7</v>
      </c>
      <c r="AH49">
        <f>ReferenceData!$AH$49</f>
        <v>7</v>
      </c>
      <c r="AI49">
        <f>ReferenceData!$AI$49</f>
        <v>7</v>
      </c>
      <c r="AJ49">
        <f>ReferenceData!$AJ$49</f>
        <v>7</v>
      </c>
      <c r="AK49">
        <f>ReferenceData!$AK$49</f>
        <v>7</v>
      </c>
      <c r="AL49">
        <f>ReferenceData!$AL$49</f>
        <v>7</v>
      </c>
      <c r="AM49">
        <f>ReferenceData!$AM$49</f>
        <v>7</v>
      </c>
      <c r="AN49">
        <f>ReferenceData!$AN$49</f>
        <v>7</v>
      </c>
      <c r="AO49">
        <f>ReferenceData!$AO$49</f>
        <v>7</v>
      </c>
      <c r="AP49">
        <f>ReferenceData!$AP$49</f>
        <v>9</v>
      </c>
      <c r="AQ49">
        <f>ReferenceData!$AQ$49</f>
        <v>7</v>
      </c>
      <c r="AR49">
        <f>ReferenceData!$AR$49</f>
        <v>5</v>
      </c>
      <c r="AS49">
        <f>ReferenceData!$AS$49</f>
        <v>7</v>
      </c>
      <c r="AT49">
        <f>ReferenceData!$AT$49</f>
        <v>7</v>
      </c>
      <c r="AU49">
        <f>ReferenceData!$AU$49</f>
        <v>7</v>
      </c>
      <c r="AV49">
        <f>ReferenceData!$AV$49</f>
        <v>7</v>
      </c>
      <c r="AW49">
        <f>ReferenceData!$AW$49</f>
        <v>7</v>
      </c>
      <c r="AX49">
        <f>ReferenceData!$AX$49</f>
        <v>7</v>
      </c>
      <c r="AY49">
        <f>ReferenceData!$AY$49</f>
        <v>7</v>
      </c>
      <c r="AZ49">
        <f>ReferenceData!$AZ$49</f>
        <v>7</v>
      </c>
      <c r="BA49">
        <f>ReferenceData!$BA$49</f>
        <v>7</v>
      </c>
      <c r="BB49">
        <f>ReferenceData!$BB$49</f>
        <v>7</v>
      </c>
      <c r="BC49">
        <f>ReferenceData!$BC$49</f>
        <v>7</v>
      </c>
      <c r="BD49">
        <f>ReferenceData!$BD$49</f>
        <v>7</v>
      </c>
      <c r="BE49">
        <f>ReferenceData!$BE$49</f>
        <v>7</v>
      </c>
      <c r="BF49">
        <f>ReferenceData!$BF$49</f>
        <v>7</v>
      </c>
      <c r="BG49">
        <f>ReferenceData!$BG$49</f>
        <v>7</v>
      </c>
      <c r="BH49">
        <f>ReferenceData!$BH$49</f>
        <v>7</v>
      </c>
      <c r="BI49">
        <f>ReferenceData!$BI$49</f>
        <v>7</v>
      </c>
      <c r="BJ49">
        <f>ReferenceData!$BJ$49</f>
        <v>7</v>
      </c>
      <c r="BK49">
        <f>ReferenceData!$BK$49</f>
        <v>7</v>
      </c>
      <c r="BL49">
        <f>ReferenceData!$BL$49</f>
        <v>7</v>
      </c>
      <c r="BM49">
        <f>ReferenceData!$BM$49</f>
        <v>7</v>
      </c>
      <c r="BN49">
        <f>ReferenceData!$BN$49</f>
        <v>7</v>
      </c>
      <c r="BO49">
        <f>ReferenceData!$BO$49</f>
        <v>7</v>
      </c>
      <c r="BP49">
        <f>ReferenceData!$BP$49</f>
        <v>7</v>
      </c>
      <c r="BQ49">
        <f>ReferenceData!$BQ$49</f>
        <v>7</v>
      </c>
      <c r="BR49">
        <f>ReferenceData!$BR$49</f>
        <v>7</v>
      </c>
      <c r="BS49">
        <f>ReferenceData!$BS$49</f>
        <v>7</v>
      </c>
      <c r="BT49">
        <f>ReferenceData!$BT$49</f>
        <v>7</v>
      </c>
      <c r="BU49">
        <f>ReferenceData!$BU$49</f>
        <v>7</v>
      </c>
      <c r="BV49">
        <f>ReferenceData!$BV$49</f>
        <v>7</v>
      </c>
      <c r="BW49">
        <f>ReferenceData!$BW$49</f>
        <v>7</v>
      </c>
      <c r="BX49">
        <f>ReferenceData!$BX$49</f>
        <v>7</v>
      </c>
      <c r="BY49">
        <f>ReferenceData!$BY$49</f>
        <v>6</v>
      </c>
      <c r="BZ49">
        <f>ReferenceData!$BZ$49</f>
        <v>8</v>
      </c>
      <c r="CA49">
        <f>ReferenceData!$CA$49</f>
        <v>7</v>
      </c>
      <c r="CB49">
        <f>ReferenceData!$CB$49</f>
        <v>7</v>
      </c>
      <c r="CC49">
        <f>ReferenceData!$CC$49</f>
        <v>7</v>
      </c>
      <c r="CD49">
        <f>ReferenceData!$CD$49</f>
        <v>7</v>
      </c>
      <c r="CE49">
        <f>ReferenceData!$CE$49</f>
        <v>7</v>
      </c>
      <c r="CF49">
        <f>ReferenceData!$CF$49</f>
        <v>7</v>
      </c>
      <c r="CG49">
        <f>ReferenceData!$CG$49</f>
        <v>7</v>
      </c>
    </row>
    <row r="50" spans="1:85" x14ac:dyDescent="0.25">
      <c r="A50" t="str">
        <f>ReferenceData!$A$50</f>
        <v xml:space="preserve">    US Dollar Auctions</v>
      </c>
      <c r="B50" t="str">
        <f>ReferenceData!$B$50</f>
        <v/>
      </c>
      <c r="C50" t="str">
        <f>ReferenceData!$C$50</f>
        <v/>
      </c>
      <c r="D50" t="str">
        <f>ReferenceData!$D$50</f>
        <v/>
      </c>
      <c r="E50" t="str">
        <f>ReferenceData!$E$50</f>
        <v>Static</v>
      </c>
      <c r="F50" t="str">
        <f>ReferenceData!$F$50</f>
        <v/>
      </c>
      <c r="G50" t="str">
        <f>ReferenceData!$G$50</f>
        <v/>
      </c>
      <c r="H50" t="str">
        <f>ReferenceData!$H$50</f>
        <v/>
      </c>
      <c r="I50" t="str">
        <f>ReferenceData!$I$50</f>
        <v/>
      </c>
      <c r="J50" t="str">
        <f>ReferenceData!$J$50</f>
        <v/>
      </c>
      <c r="K50" t="str">
        <f>ReferenceData!$K$50</f>
        <v/>
      </c>
      <c r="L50" t="str">
        <f>ReferenceData!$L$50</f>
        <v/>
      </c>
      <c r="M50" t="str">
        <f>ReferenceData!$M$50</f>
        <v/>
      </c>
      <c r="N50" t="str">
        <f>ReferenceData!$N$50</f>
        <v/>
      </c>
      <c r="O50" t="str">
        <f>ReferenceData!$O$50</f>
        <v/>
      </c>
      <c r="P50" t="str">
        <f>ReferenceData!$P$50</f>
        <v/>
      </c>
      <c r="Q50" t="str">
        <f>ReferenceData!$Q$50</f>
        <v/>
      </c>
      <c r="R50" t="str">
        <f>ReferenceData!$R$50</f>
        <v/>
      </c>
      <c r="S50" t="str">
        <f>ReferenceData!$S$50</f>
        <v/>
      </c>
      <c r="T50" t="str">
        <f>ReferenceData!$T$50</f>
        <v/>
      </c>
      <c r="U50" t="str">
        <f>ReferenceData!$U$50</f>
        <v/>
      </c>
      <c r="V50" t="str">
        <f>ReferenceData!$V$50</f>
        <v/>
      </c>
      <c r="W50" t="str">
        <f>ReferenceData!$W$50</f>
        <v/>
      </c>
      <c r="X50" t="str">
        <f>ReferenceData!$X$50</f>
        <v/>
      </c>
      <c r="Y50" t="str">
        <f>ReferenceData!$Y$50</f>
        <v/>
      </c>
      <c r="Z50" t="str">
        <f>ReferenceData!$Z$50</f>
        <v/>
      </c>
      <c r="AA50" t="str">
        <f>ReferenceData!$AA$50</f>
        <v/>
      </c>
      <c r="AB50" t="str">
        <f>ReferenceData!$AB$50</f>
        <v/>
      </c>
      <c r="AC50" t="str">
        <f>ReferenceData!$AC$50</f>
        <v/>
      </c>
      <c r="AD50" t="str">
        <f>ReferenceData!$AD$50</f>
        <v/>
      </c>
      <c r="AE50" t="str">
        <f>ReferenceData!$AE$50</f>
        <v/>
      </c>
      <c r="AF50" t="str">
        <f>ReferenceData!$AF$50</f>
        <v/>
      </c>
      <c r="AG50" t="str">
        <f>ReferenceData!$AG$50</f>
        <v/>
      </c>
      <c r="AH50" t="str">
        <f>ReferenceData!$AH$50</f>
        <v/>
      </c>
      <c r="AI50" t="str">
        <f>ReferenceData!$AI$50</f>
        <v/>
      </c>
      <c r="AJ50" t="str">
        <f>ReferenceData!$AJ$50</f>
        <v/>
      </c>
      <c r="AK50" t="str">
        <f>ReferenceData!$AK$50</f>
        <v/>
      </c>
      <c r="AL50" t="str">
        <f>ReferenceData!$AL$50</f>
        <v/>
      </c>
      <c r="AM50" t="str">
        <f>ReferenceData!$AM$50</f>
        <v/>
      </c>
      <c r="AN50" t="str">
        <f>ReferenceData!$AN$50</f>
        <v/>
      </c>
      <c r="AO50" t="str">
        <f>ReferenceData!$AO$50</f>
        <v/>
      </c>
      <c r="AP50" t="str">
        <f>ReferenceData!$AP$50</f>
        <v/>
      </c>
      <c r="AQ50" t="str">
        <f>ReferenceData!$AQ$50</f>
        <v/>
      </c>
      <c r="AR50" t="str">
        <f>ReferenceData!$AR$50</f>
        <v/>
      </c>
      <c r="AS50" t="str">
        <f>ReferenceData!$AS$50</f>
        <v/>
      </c>
      <c r="AT50" t="str">
        <f>ReferenceData!$AT$50</f>
        <v/>
      </c>
      <c r="AU50" t="str">
        <f>ReferenceData!$AU$50</f>
        <v/>
      </c>
      <c r="AV50" t="str">
        <f>ReferenceData!$AV$50</f>
        <v/>
      </c>
      <c r="AW50" t="str">
        <f>ReferenceData!$AW$50</f>
        <v/>
      </c>
      <c r="AX50" t="str">
        <f>ReferenceData!$AX$50</f>
        <v/>
      </c>
      <c r="AY50" t="str">
        <f>ReferenceData!$AY$50</f>
        <v/>
      </c>
      <c r="AZ50" t="str">
        <f>ReferenceData!$AZ$50</f>
        <v/>
      </c>
      <c r="BA50" t="str">
        <f>ReferenceData!$BA$50</f>
        <v/>
      </c>
      <c r="BB50" t="str">
        <f>ReferenceData!$BB$50</f>
        <v/>
      </c>
      <c r="BC50" t="str">
        <f>ReferenceData!$BC$50</f>
        <v/>
      </c>
      <c r="BD50" t="str">
        <f>ReferenceData!$BD$50</f>
        <v/>
      </c>
      <c r="BE50" t="str">
        <f>ReferenceData!$BE$50</f>
        <v/>
      </c>
      <c r="BF50" t="str">
        <f>ReferenceData!$BF$50</f>
        <v/>
      </c>
      <c r="BG50" t="str">
        <f>ReferenceData!$BG$50</f>
        <v/>
      </c>
      <c r="BH50" t="str">
        <f>ReferenceData!$BH$50</f>
        <v/>
      </c>
      <c r="BI50" t="str">
        <f>ReferenceData!$BI$50</f>
        <v/>
      </c>
      <c r="BJ50" t="str">
        <f>ReferenceData!$BJ$50</f>
        <v/>
      </c>
      <c r="BK50" t="str">
        <f>ReferenceData!$BK$50</f>
        <v/>
      </c>
      <c r="BL50" t="str">
        <f>ReferenceData!$BL$50</f>
        <v/>
      </c>
      <c r="BM50" t="str">
        <f>ReferenceData!$BM$50</f>
        <v/>
      </c>
      <c r="BN50" t="str">
        <f>ReferenceData!$BN$50</f>
        <v/>
      </c>
      <c r="BO50" t="str">
        <f>ReferenceData!$BO$50</f>
        <v/>
      </c>
      <c r="BP50" t="str">
        <f>ReferenceData!$BP$50</f>
        <v/>
      </c>
      <c r="BQ50" t="str">
        <f>ReferenceData!$BQ$50</f>
        <v/>
      </c>
      <c r="BR50" t="str">
        <f>ReferenceData!$BR$50</f>
        <v/>
      </c>
      <c r="BS50" t="str">
        <f>ReferenceData!$BS$50</f>
        <v/>
      </c>
      <c r="BT50" t="str">
        <f>ReferenceData!$BT$50</f>
        <v/>
      </c>
      <c r="BU50" t="str">
        <f>ReferenceData!$BU$50</f>
        <v/>
      </c>
      <c r="BV50" t="str">
        <f>ReferenceData!$BV$50</f>
        <v/>
      </c>
      <c r="BW50" t="str">
        <f>ReferenceData!$BW$50</f>
        <v/>
      </c>
      <c r="BX50" t="str">
        <f>ReferenceData!$BX$50</f>
        <v/>
      </c>
      <c r="BY50" t="str">
        <f>ReferenceData!$BY$50</f>
        <v/>
      </c>
      <c r="BZ50" t="str">
        <f>ReferenceData!$BZ$50</f>
        <v/>
      </c>
      <c r="CA50" t="str">
        <f>ReferenceData!$CA$50</f>
        <v/>
      </c>
      <c r="CB50" t="str">
        <f>ReferenceData!$CB$50</f>
        <v/>
      </c>
      <c r="CC50" t="str">
        <f>ReferenceData!$CC$50</f>
        <v/>
      </c>
      <c r="CD50" t="str">
        <f>ReferenceData!$CD$50</f>
        <v/>
      </c>
      <c r="CE50" t="str">
        <f>ReferenceData!$CE$50</f>
        <v/>
      </c>
      <c r="CF50" t="str">
        <f>ReferenceData!$CF$50</f>
        <v/>
      </c>
      <c r="CG50" t="str">
        <f>ReferenceData!$CG$50</f>
        <v/>
      </c>
    </row>
    <row r="51" spans="1:85" x14ac:dyDescent="0.25">
      <c r="A51" t="str">
        <f>ReferenceData!$A$51</f>
        <v xml:space="preserve">    </v>
      </c>
      <c r="B51" t="str">
        <f>ReferenceData!$B$51</f>
        <v/>
      </c>
      <c r="C51" t="str">
        <f>ReferenceData!$C$51</f>
        <v/>
      </c>
      <c r="D51" t="str">
        <f>ReferenceData!$D$51</f>
        <v/>
      </c>
      <c r="E51" t="str">
        <f>ReferenceData!$E$51</f>
        <v>Static</v>
      </c>
      <c r="F51" t="str">
        <f>ReferenceData!$F$51</f>
        <v/>
      </c>
      <c r="G51" t="str">
        <f>ReferenceData!$G$51</f>
        <v/>
      </c>
      <c r="H51" t="str">
        <f>ReferenceData!$H$51</f>
        <v/>
      </c>
      <c r="I51" t="str">
        <f>ReferenceData!$I$51</f>
        <v/>
      </c>
      <c r="J51" t="str">
        <f>ReferenceData!$J$51</f>
        <v/>
      </c>
      <c r="K51" t="str">
        <f>ReferenceData!$K$51</f>
        <v/>
      </c>
      <c r="L51" t="str">
        <f>ReferenceData!$L$51</f>
        <v/>
      </c>
      <c r="M51" t="str">
        <f>ReferenceData!$M$51</f>
        <v/>
      </c>
      <c r="N51" t="str">
        <f>ReferenceData!$N$51</f>
        <v/>
      </c>
      <c r="O51" t="str">
        <f>ReferenceData!$O$51</f>
        <v/>
      </c>
      <c r="P51" t="str">
        <f>ReferenceData!$P$51</f>
        <v/>
      </c>
      <c r="Q51" t="str">
        <f>ReferenceData!$Q$51</f>
        <v/>
      </c>
      <c r="R51" t="str">
        <f>ReferenceData!$R$51</f>
        <v/>
      </c>
      <c r="S51" t="str">
        <f>ReferenceData!$S$51</f>
        <v/>
      </c>
      <c r="T51" t="str">
        <f>ReferenceData!$T$51</f>
        <v/>
      </c>
      <c r="U51" t="str">
        <f>ReferenceData!$U$51</f>
        <v/>
      </c>
      <c r="V51" t="str">
        <f>ReferenceData!$V$51</f>
        <v/>
      </c>
      <c r="W51" t="str">
        <f>ReferenceData!$W$51</f>
        <v/>
      </c>
      <c r="X51" t="str">
        <f>ReferenceData!$X$51</f>
        <v/>
      </c>
      <c r="Y51" t="str">
        <f>ReferenceData!$Y$51</f>
        <v/>
      </c>
      <c r="Z51" t="str">
        <f>ReferenceData!$Z$51</f>
        <v/>
      </c>
      <c r="AA51" t="str">
        <f>ReferenceData!$AA$51</f>
        <v/>
      </c>
      <c r="AB51" t="str">
        <f>ReferenceData!$AB$51</f>
        <v/>
      </c>
      <c r="AC51" t="str">
        <f>ReferenceData!$AC$51</f>
        <v/>
      </c>
      <c r="AD51" t="str">
        <f>ReferenceData!$AD$51</f>
        <v/>
      </c>
      <c r="AE51" t="str">
        <f>ReferenceData!$AE$51</f>
        <v/>
      </c>
      <c r="AF51" t="str">
        <f>ReferenceData!$AF$51</f>
        <v/>
      </c>
      <c r="AG51" t="str">
        <f>ReferenceData!$AG$51</f>
        <v/>
      </c>
      <c r="AH51" t="str">
        <f>ReferenceData!$AH$51</f>
        <v/>
      </c>
      <c r="AI51" t="str">
        <f>ReferenceData!$AI$51</f>
        <v/>
      </c>
      <c r="AJ51" t="str">
        <f>ReferenceData!$AJ$51</f>
        <v/>
      </c>
      <c r="AK51" t="str">
        <f>ReferenceData!$AK$51</f>
        <v/>
      </c>
      <c r="AL51" t="str">
        <f>ReferenceData!$AL$51</f>
        <v/>
      </c>
      <c r="AM51" t="str">
        <f>ReferenceData!$AM$51</f>
        <v/>
      </c>
      <c r="AN51" t="str">
        <f>ReferenceData!$AN$51</f>
        <v/>
      </c>
      <c r="AO51" t="str">
        <f>ReferenceData!$AO$51</f>
        <v/>
      </c>
      <c r="AP51" t="str">
        <f>ReferenceData!$AP$51</f>
        <v/>
      </c>
      <c r="AQ51" t="str">
        <f>ReferenceData!$AQ$51</f>
        <v/>
      </c>
      <c r="AR51" t="str">
        <f>ReferenceData!$AR$51</f>
        <v/>
      </c>
      <c r="AS51" t="str">
        <f>ReferenceData!$AS$51</f>
        <v/>
      </c>
      <c r="AT51" t="str">
        <f>ReferenceData!$AT$51</f>
        <v/>
      </c>
      <c r="AU51" t="str">
        <f>ReferenceData!$AU$51</f>
        <v/>
      </c>
      <c r="AV51" t="str">
        <f>ReferenceData!$AV$51</f>
        <v/>
      </c>
      <c r="AW51" t="str">
        <f>ReferenceData!$AW$51</f>
        <v/>
      </c>
      <c r="AX51" t="str">
        <f>ReferenceData!$AX$51</f>
        <v/>
      </c>
      <c r="AY51" t="str">
        <f>ReferenceData!$AY$51</f>
        <v/>
      </c>
      <c r="AZ51" t="str">
        <f>ReferenceData!$AZ$51</f>
        <v/>
      </c>
      <c r="BA51" t="str">
        <f>ReferenceData!$BA$51</f>
        <v/>
      </c>
      <c r="BB51" t="str">
        <f>ReferenceData!$BB$51</f>
        <v/>
      </c>
      <c r="BC51" t="str">
        <f>ReferenceData!$BC$51</f>
        <v/>
      </c>
      <c r="BD51" t="str">
        <f>ReferenceData!$BD$51</f>
        <v/>
      </c>
      <c r="BE51" t="str">
        <f>ReferenceData!$BE$51</f>
        <v/>
      </c>
      <c r="BF51" t="str">
        <f>ReferenceData!$BF$51</f>
        <v/>
      </c>
      <c r="BG51" t="str">
        <f>ReferenceData!$BG$51</f>
        <v/>
      </c>
      <c r="BH51" t="str">
        <f>ReferenceData!$BH$51</f>
        <v/>
      </c>
      <c r="BI51" t="str">
        <f>ReferenceData!$BI$51</f>
        <v/>
      </c>
      <c r="BJ51" t="str">
        <f>ReferenceData!$BJ$51</f>
        <v/>
      </c>
      <c r="BK51" t="str">
        <f>ReferenceData!$BK$51</f>
        <v/>
      </c>
      <c r="BL51" t="str">
        <f>ReferenceData!$BL$51</f>
        <v/>
      </c>
      <c r="BM51" t="str">
        <f>ReferenceData!$BM$51</f>
        <v/>
      </c>
      <c r="BN51" t="str">
        <f>ReferenceData!$BN$51</f>
        <v/>
      </c>
      <c r="BO51" t="str">
        <f>ReferenceData!$BO$51</f>
        <v/>
      </c>
      <c r="BP51" t="str">
        <f>ReferenceData!$BP$51</f>
        <v/>
      </c>
      <c r="BQ51" t="str">
        <f>ReferenceData!$BQ$51</f>
        <v/>
      </c>
      <c r="BR51" t="str">
        <f>ReferenceData!$BR$51</f>
        <v/>
      </c>
      <c r="BS51" t="str">
        <f>ReferenceData!$BS$51</f>
        <v/>
      </c>
      <c r="BT51" t="str">
        <f>ReferenceData!$BT$51</f>
        <v/>
      </c>
      <c r="BU51" t="str">
        <f>ReferenceData!$BU$51</f>
        <v/>
      </c>
      <c r="BV51" t="str">
        <f>ReferenceData!$BV$51</f>
        <v/>
      </c>
      <c r="BW51" t="str">
        <f>ReferenceData!$BW$51</f>
        <v/>
      </c>
      <c r="BX51" t="str">
        <f>ReferenceData!$BX$51</f>
        <v/>
      </c>
      <c r="BY51" t="str">
        <f>ReferenceData!$BY$51</f>
        <v/>
      </c>
      <c r="BZ51" t="str">
        <f>ReferenceData!$BZ$51</f>
        <v/>
      </c>
      <c r="CA51" t="str">
        <f>ReferenceData!$CA$51</f>
        <v/>
      </c>
      <c r="CB51" t="str">
        <f>ReferenceData!$CB$51</f>
        <v/>
      </c>
      <c r="CC51" t="str">
        <f>ReferenceData!$CC$51</f>
        <v/>
      </c>
      <c r="CD51" t="str">
        <f>ReferenceData!$CD$51</f>
        <v/>
      </c>
      <c r="CE51" t="str">
        <f>ReferenceData!$CE$51</f>
        <v/>
      </c>
      <c r="CF51" t="str">
        <f>ReferenceData!$CF$51</f>
        <v/>
      </c>
      <c r="CG51" t="str">
        <f>ReferenceData!$CG$51</f>
        <v/>
      </c>
    </row>
    <row r="52" spans="1:85" x14ac:dyDescent="0.25">
      <c r="A52" t="str">
        <f>ReferenceData!$A$52</f>
        <v>ECB SECURITIES MARKET PROGRAM (EUR B)</v>
      </c>
      <c r="B52" t="str">
        <f>ReferenceData!$B$52</f>
        <v/>
      </c>
      <c r="C52" t="str">
        <f>ReferenceData!$C$52</f>
        <v/>
      </c>
      <c r="D52" t="str">
        <f>ReferenceData!$D$52</f>
        <v/>
      </c>
      <c r="E52" t="str">
        <f>ReferenceData!$E$52</f>
        <v>Static</v>
      </c>
      <c r="F52" t="str">
        <f>ReferenceData!$F$52</f>
        <v/>
      </c>
      <c r="G52" t="str">
        <f>ReferenceData!$G$52</f>
        <v/>
      </c>
      <c r="H52" t="str">
        <f>ReferenceData!$H$52</f>
        <v/>
      </c>
      <c r="I52" t="str">
        <f>ReferenceData!$I$52</f>
        <v/>
      </c>
      <c r="J52" t="str">
        <f>ReferenceData!$J$52</f>
        <v/>
      </c>
      <c r="K52" t="str">
        <f>ReferenceData!$K$52</f>
        <v/>
      </c>
      <c r="L52" t="str">
        <f>ReferenceData!$L$52</f>
        <v/>
      </c>
      <c r="M52" t="str">
        <f>ReferenceData!$M$52</f>
        <v/>
      </c>
      <c r="N52" t="str">
        <f>ReferenceData!$N$52</f>
        <v/>
      </c>
      <c r="O52" t="str">
        <f>ReferenceData!$O$52</f>
        <v/>
      </c>
      <c r="P52" t="str">
        <f>ReferenceData!$P$52</f>
        <v/>
      </c>
      <c r="Q52" t="str">
        <f>ReferenceData!$Q$52</f>
        <v/>
      </c>
      <c r="R52" t="str">
        <f>ReferenceData!$R$52</f>
        <v/>
      </c>
      <c r="S52" t="str">
        <f>ReferenceData!$S$52</f>
        <v/>
      </c>
      <c r="T52" t="str">
        <f>ReferenceData!$T$52</f>
        <v/>
      </c>
      <c r="U52" t="str">
        <f>ReferenceData!$U$52</f>
        <v/>
      </c>
      <c r="V52" t="str">
        <f>ReferenceData!$V$52</f>
        <v/>
      </c>
      <c r="W52" t="str">
        <f>ReferenceData!$W$52</f>
        <v/>
      </c>
      <c r="X52" t="str">
        <f>ReferenceData!$X$52</f>
        <v/>
      </c>
      <c r="Y52" t="str">
        <f>ReferenceData!$Y$52</f>
        <v/>
      </c>
      <c r="Z52" t="str">
        <f>ReferenceData!$Z$52</f>
        <v/>
      </c>
      <c r="AA52" t="str">
        <f>ReferenceData!$AA$52</f>
        <v/>
      </c>
      <c r="AB52" t="str">
        <f>ReferenceData!$AB$52</f>
        <v/>
      </c>
      <c r="AC52" t="str">
        <f>ReferenceData!$AC$52</f>
        <v/>
      </c>
      <c r="AD52" t="str">
        <f>ReferenceData!$AD$52</f>
        <v/>
      </c>
      <c r="AE52" t="str">
        <f>ReferenceData!$AE$52</f>
        <v/>
      </c>
      <c r="AF52" t="str">
        <f>ReferenceData!$AF$52</f>
        <v/>
      </c>
      <c r="AG52" t="str">
        <f>ReferenceData!$AG$52</f>
        <v/>
      </c>
      <c r="AH52" t="str">
        <f>ReferenceData!$AH$52</f>
        <v/>
      </c>
      <c r="AI52" t="str">
        <f>ReferenceData!$AI$52</f>
        <v/>
      </c>
      <c r="AJ52" t="str">
        <f>ReferenceData!$AJ$52</f>
        <v/>
      </c>
      <c r="AK52" t="str">
        <f>ReferenceData!$AK$52</f>
        <v/>
      </c>
      <c r="AL52" t="str">
        <f>ReferenceData!$AL$52</f>
        <v/>
      </c>
      <c r="AM52" t="str">
        <f>ReferenceData!$AM$52</f>
        <v/>
      </c>
      <c r="AN52" t="str">
        <f>ReferenceData!$AN$52</f>
        <v/>
      </c>
      <c r="AO52" t="str">
        <f>ReferenceData!$AO$52</f>
        <v/>
      </c>
      <c r="AP52" t="str">
        <f>ReferenceData!$AP$52</f>
        <v/>
      </c>
      <c r="AQ52" t="str">
        <f>ReferenceData!$AQ$52</f>
        <v/>
      </c>
      <c r="AR52" t="str">
        <f>ReferenceData!$AR$52</f>
        <v/>
      </c>
      <c r="AS52" t="str">
        <f>ReferenceData!$AS$52</f>
        <v/>
      </c>
      <c r="AT52" t="str">
        <f>ReferenceData!$AT$52</f>
        <v/>
      </c>
      <c r="AU52" t="str">
        <f>ReferenceData!$AU$52</f>
        <v/>
      </c>
      <c r="AV52" t="str">
        <f>ReferenceData!$AV$52</f>
        <v/>
      </c>
      <c r="AW52" t="str">
        <f>ReferenceData!$AW$52</f>
        <v/>
      </c>
      <c r="AX52" t="str">
        <f>ReferenceData!$AX$52</f>
        <v/>
      </c>
      <c r="AY52" t="str">
        <f>ReferenceData!$AY$52</f>
        <v/>
      </c>
      <c r="AZ52" t="str">
        <f>ReferenceData!$AZ$52</f>
        <v/>
      </c>
      <c r="BA52" t="str">
        <f>ReferenceData!$BA$52</f>
        <v/>
      </c>
      <c r="BB52" t="str">
        <f>ReferenceData!$BB$52</f>
        <v/>
      </c>
      <c r="BC52" t="str">
        <f>ReferenceData!$BC$52</f>
        <v/>
      </c>
      <c r="BD52" t="str">
        <f>ReferenceData!$BD$52</f>
        <v/>
      </c>
      <c r="BE52" t="str">
        <f>ReferenceData!$BE$52</f>
        <v/>
      </c>
      <c r="BF52" t="str">
        <f>ReferenceData!$BF$52</f>
        <v/>
      </c>
      <c r="BG52" t="str">
        <f>ReferenceData!$BG$52</f>
        <v/>
      </c>
      <c r="BH52" t="str">
        <f>ReferenceData!$BH$52</f>
        <v/>
      </c>
      <c r="BI52" t="str">
        <f>ReferenceData!$BI$52</f>
        <v/>
      </c>
      <c r="BJ52" t="str">
        <f>ReferenceData!$BJ$52</f>
        <v/>
      </c>
      <c r="BK52" t="str">
        <f>ReferenceData!$BK$52</f>
        <v/>
      </c>
      <c r="BL52" t="str">
        <f>ReferenceData!$BL$52</f>
        <v/>
      </c>
      <c r="BM52" t="str">
        <f>ReferenceData!$BM$52</f>
        <v/>
      </c>
      <c r="BN52" t="str">
        <f>ReferenceData!$BN$52</f>
        <v/>
      </c>
      <c r="BO52" t="str">
        <f>ReferenceData!$BO$52</f>
        <v/>
      </c>
      <c r="BP52" t="str">
        <f>ReferenceData!$BP$52</f>
        <v/>
      </c>
      <c r="BQ52" t="str">
        <f>ReferenceData!$BQ$52</f>
        <v/>
      </c>
      <c r="BR52" t="str">
        <f>ReferenceData!$BR$52</f>
        <v/>
      </c>
      <c r="BS52" t="str">
        <f>ReferenceData!$BS$52</f>
        <v/>
      </c>
      <c r="BT52" t="str">
        <f>ReferenceData!$BT$52</f>
        <v/>
      </c>
      <c r="BU52" t="str">
        <f>ReferenceData!$BU$52</f>
        <v/>
      </c>
      <c r="BV52" t="str">
        <f>ReferenceData!$BV$52</f>
        <v/>
      </c>
      <c r="BW52" t="str">
        <f>ReferenceData!$BW$52</f>
        <v/>
      </c>
      <c r="BX52" t="str">
        <f>ReferenceData!$BX$52</f>
        <v/>
      </c>
      <c r="BY52" t="str">
        <f>ReferenceData!$BY$52</f>
        <v/>
      </c>
      <c r="BZ52" t="str">
        <f>ReferenceData!$BZ$52</f>
        <v/>
      </c>
      <c r="CA52" t="str">
        <f>ReferenceData!$CA$52</f>
        <v/>
      </c>
      <c r="CB52" t="str">
        <f>ReferenceData!$CB$52</f>
        <v/>
      </c>
      <c r="CC52" t="str">
        <f>ReferenceData!$CC$52</f>
        <v/>
      </c>
      <c r="CD52" t="str">
        <f>ReferenceData!$CD$52</f>
        <v/>
      </c>
      <c r="CE52" t="str">
        <f>ReferenceData!$CE$52</f>
        <v/>
      </c>
      <c r="CF52" t="str">
        <f>ReferenceData!$CF$52</f>
        <v/>
      </c>
      <c r="CG52" t="str">
        <f>ReferenceData!$CG$52</f>
        <v/>
      </c>
    </row>
    <row r="53" spans="1:85" x14ac:dyDescent="0.25">
      <c r="A53" t="str">
        <f>ReferenceData!$A$53</f>
        <v xml:space="preserve">    Securities Held for Monetary Policy Purposes</v>
      </c>
      <c r="B53" t="str">
        <f>ReferenceData!$B$53</f>
        <v>EBBSSECM Index</v>
      </c>
      <c r="C53" t="str">
        <f>ReferenceData!$C$53</f>
        <v>PR005</v>
      </c>
      <c r="D53" t="str">
        <f>ReferenceData!$D$53</f>
        <v>PX_LAST</v>
      </c>
      <c r="E53" t="str">
        <f>ReferenceData!$E$53</f>
        <v>Dynamic</v>
      </c>
      <c r="F53" t="e">
        <f ca="1">ReferenceData!$F$53</f>
        <v>#N/A</v>
      </c>
      <c r="G53">
        <f>ReferenceData!$G$53</f>
        <v>195</v>
      </c>
      <c r="H53">
        <f>ReferenceData!$H$53</f>
        <v>195</v>
      </c>
      <c r="I53">
        <f>ReferenceData!$I$53</f>
        <v>195</v>
      </c>
      <c r="J53">
        <f>ReferenceData!$J$53</f>
        <v>199</v>
      </c>
      <c r="K53">
        <f>ReferenceData!$K$53</f>
        <v>199</v>
      </c>
      <c r="L53">
        <f>ReferenceData!$L$53</f>
        <v>199</v>
      </c>
      <c r="M53">
        <f>ReferenceData!$M$53</f>
        <v>203</v>
      </c>
      <c r="N53">
        <f>ReferenceData!$N$53</f>
        <v>204</v>
      </c>
      <c r="O53">
        <f>ReferenceData!$O$53</f>
        <v>205</v>
      </c>
      <c r="P53">
        <f>ReferenceData!$P$53</f>
        <v>205</v>
      </c>
      <c r="Q53">
        <f>ReferenceData!$Q$53</f>
        <v>210</v>
      </c>
      <c r="R53">
        <f>ReferenceData!$R$53</f>
        <v>210</v>
      </c>
      <c r="S53">
        <f>ReferenceData!$S$53</f>
        <v>213</v>
      </c>
      <c r="T53">
        <f>ReferenceData!$T$53</f>
        <v>213</v>
      </c>
      <c r="U53">
        <f>ReferenceData!$U$53</f>
        <v>215</v>
      </c>
      <c r="V53">
        <f>ReferenceData!$V$53</f>
        <v>217</v>
      </c>
      <c r="W53">
        <f>ReferenceData!$W$53</f>
        <v>220</v>
      </c>
      <c r="X53">
        <f>ReferenceData!$X$53</f>
        <v>220</v>
      </c>
      <c r="Y53">
        <f>ReferenceData!$Y$53</f>
        <v>220</v>
      </c>
      <c r="Z53">
        <f>ReferenceData!$Z$53</f>
        <v>225</v>
      </c>
      <c r="AA53">
        <f>ReferenceData!$AA$53</f>
        <v>225</v>
      </c>
      <c r="AB53">
        <f>ReferenceData!$AB$53</f>
        <v>225</v>
      </c>
      <c r="AC53">
        <f>ReferenceData!$AC$53</f>
        <v>225</v>
      </c>
      <c r="AD53">
        <f>ReferenceData!$AD$53</f>
        <v>228</v>
      </c>
      <c r="AE53">
        <f>ReferenceData!$AE$53</f>
        <v>229</v>
      </c>
      <c r="AF53">
        <f>ReferenceData!$AF$53</f>
        <v>229</v>
      </c>
      <c r="AG53">
        <f>ReferenceData!$AG$53</f>
        <v>229</v>
      </c>
      <c r="AH53">
        <f>ReferenceData!$AH$53</f>
        <v>229</v>
      </c>
      <c r="AI53">
        <f>ReferenceData!$AI$53</f>
        <v>229</v>
      </c>
      <c r="AJ53">
        <f>ReferenceData!$AJ$53</f>
        <v>230</v>
      </c>
      <c r="AK53">
        <f>ReferenceData!$AK$53</f>
        <v>231</v>
      </c>
      <c r="AL53">
        <f>ReferenceData!$AL$53</f>
        <v>231</v>
      </c>
      <c r="AM53">
        <f>ReferenceData!$AM$53</f>
        <v>234</v>
      </c>
      <c r="AN53">
        <f>ReferenceData!$AN$53</f>
        <v>234</v>
      </c>
      <c r="AO53">
        <f>ReferenceData!$AO$53</f>
        <v>236</v>
      </c>
      <c r="AP53">
        <f>ReferenceData!$AP$53</f>
        <v>236</v>
      </c>
      <c r="AQ53">
        <f>ReferenceData!$AQ$53</f>
        <v>235.41200000000001</v>
      </c>
      <c r="AR53">
        <f>ReferenceData!$AR$53</f>
        <v>235.41200000000001</v>
      </c>
      <c r="AS53">
        <f>ReferenceData!$AS$53</f>
        <v>241.251</v>
      </c>
      <c r="AT53">
        <f>ReferenceData!$AT$53</f>
        <v>241.42099999999999</v>
      </c>
      <c r="AU53">
        <f>ReferenceData!$AU$53</f>
        <v>241.42099999999999</v>
      </c>
      <c r="AV53">
        <f>ReferenceData!$AV$53</f>
        <v>241.45599999999999</v>
      </c>
      <c r="AW53">
        <f>ReferenceData!$AW$53</f>
        <v>241.554</v>
      </c>
      <c r="AX53">
        <f>ReferenceData!$AX$53</f>
        <v>241.554</v>
      </c>
      <c r="AY53">
        <f>ReferenceData!$AY$53</f>
        <v>241.614</v>
      </c>
      <c r="AZ53">
        <f>ReferenceData!$AZ$53</f>
        <v>245.745</v>
      </c>
      <c r="BA53">
        <f>ReferenceData!$BA$53</f>
        <v>246.57400000000001</v>
      </c>
      <c r="BB53">
        <f>ReferenceData!$BB$53</f>
        <v>246.57400000000001</v>
      </c>
      <c r="BC53">
        <f>ReferenceData!$BC$53</f>
        <v>246.994</v>
      </c>
      <c r="BD53">
        <f>ReferenceData!$BD$53</f>
        <v>246.703</v>
      </c>
      <c r="BE53">
        <f>ReferenceData!$BE$53</f>
        <v>249.768</v>
      </c>
      <c r="BF53">
        <f>ReferenceData!$BF$53</f>
        <v>250.08699999999999</v>
      </c>
      <c r="BG53">
        <f>ReferenceData!$BG$53</f>
        <v>250.13900000000001</v>
      </c>
      <c r="BH53">
        <f>ReferenceData!$BH$53</f>
        <v>250.13900000000001</v>
      </c>
      <c r="BI53">
        <f>ReferenceData!$BI$53</f>
        <v>250.59700000000001</v>
      </c>
      <c r="BJ53">
        <f>ReferenceData!$BJ$53</f>
        <v>252.499</v>
      </c>
      <c r="BK53">
        <f>ReferenceData!$BK$53</f>
        <v>252.499</v>
      </c>
      <c r="BL53">
        <f>ReferenceData!$BL$53</f>
        <v>252.499</v>
      </c>
      <c r="BM53">
        <f>ReferenceData!$BM$53</f>
        <v>255.38399999999999</v>
      </c>
      <c r="BN53">
        <f>ReferenceData!$BN$53</f>
        <v>255.709</v>
      </c>
      <c r="BO53">
        <f>ReferenceData!$BO$53</f>
        <v>256.11500000000001</v>
      </c>
      <c r="BP53">
        <f>ReferenceData!$BP$53</f>
        <v>256.43299999999999</v>
      </c>
      <c r="BQ53">
        <f>ReferenceData!$BQ$53</f>
        <v>256.83</v>
      </c>
      <c r="BR53">
        <f>ReferenceData!$BR$53</f>
        <v>256.45</v>
      </c>
      <c r="BS53">
        <f>ReferenceData!$BS$53</f>
        <v>256.45</v>
      </c>
      <c r="BT53">
        <f>ReferenceData!$BT$53</f>
        <v>256.63799999999998</v>
      </c>
      <c r="BU53">
        <f>ReferenceData!$BU$53</f>
        <v>259.00400000000002</v>
      </c>
      <c r="BV53">
        <f>ReferenceData!$BV$53</f>
        <v>259.154</v>
      </c>
      <c r="BW53">
        <f>ReferenceData!$BW$53</f>
        <v>263.22199999999998</v>
      </c>
      <c r="BX53">
        <f>ReferenceData!$BX$53</f>
        <v>263.22199999999998</v>
      </c>
      <c r="BY53">
        <f>ReferenceData!$BY$53</f>
        <v>263.447</v>
      </c>
      <c r="BZ53">
        <f>ReferenceData!$BZ$53</f>
        <v>265.58999999999997</v>
      </c>
      <c r="CA53">
        <f>ReferenceData!$CA$53</f>
        <v>265.58999999999997</v>
      </c>
      <c r="CB53">
        <f>ReferenceData!$CB$53</f>
        <v>269.02199999999999</v>
      </c>
      <c r="CC53">
        <f>ReferenceData!$CC$53</f>
        <v>269.33999999999997</v>
      </c>
      <c r="CD53">
        <f>ReferenceData!$CD$53</f>
        <v>269.33999999999997</v>
      </c>
      <c r="CE53">
        <f>ReferenceData!$CE$53</f>
        <v>269.09199999999998</v>
      </c>
      <c r="CF53">
        <f>ReferenceData!$CF$53</f>
        <v>269.17200000000003</v>
      </c>
      <c r="CG53">
        <f>ReferenceData!$CG$53</f>
        <v>269.50400000000002</v>
      </c>
    </row>
    <row r="54" spans="1:85" x14ac:dyDescent="0.25">
      <c r="A54" t="str">
        <f>ReferenceData!$A$54</f>
        <v xml:space="preserve">    Securities Market Program-Outstanding</v>
      </c>
      <c r="B54" t="str">
        <f>ReferenceData!$B$54</f>
        <v>ECBCSMP Index</v>
      </c>
      <c r="C54" t="str">
        <f>ReferenceData!$C$54</f>
        <v/>
      </c>
      <c r="D54" t="str">
        <f>ReferenceData!$D$54</f>
        <v/>
      </c>
      <c r="E54" t="str">
        <f>ReferenceData!$E$54</f>
        <v>Expression</v>
      </c>
      <c r="F54" t="str">
        <f ca="1">ReferenceData!$F$54</f>
        <v/>
      </c>
      <c r="G54">
        <f>ReferenceData!$G$54</f>
        <v>148.72800000000001</v>
      </c>
      <c r="H54">
        <f>ReferenceData!$H$54</f>
        <v>148.72800000000001</v>
      </c>
      <c r="I54">
        <f>ReferenceData!$I$54</f>
        <v>148.72800000000001</v>
      </c>
      <c r="J54">
        <f>ReferenceData!$J$54</f>
        <v>152.29400000000001</v>
      </c>
      <c r="K54">
        <f>ReferenceData!$K$54</f>
        <v>152.29400000000001</v>
      </c>
      <c r="L54">
        <f>ReferenceData!$L$54</f>
        <v>152.29400000000001</v>
      </c>
      <c r="M54">
        <f>ReferenceData!$M$54</f>
        <v>156.31</v>
      </c>
      <c r="N54">
        <f>ReferenceData!$N$54</f>
        <v>156.31</v>
      </c>
      <c r="O54">
        <f>ReferenceData!$O$54</f>
        <v>156.31</v>
      </c>
      <c r="P54">
        <f>ReferenceData!$P$54</f>
        <v>156.31</v>
      </c>
      <c r="Q54">
        <f>ReferenceData!$Q$54</f>
        <v>160.61500000000001</v>
      </c>
      <c r="R54">
        <f>ReferenceData!$R$54</f>
        <v>160.61500000000001</v>
      </c>
      <c r="S54">
        <f>ReferenceData!$S$54</f>
        <v>162.74700000000001</v>
      </c>
      <c r="T54">
        <f>ReferenceData!$T$54</f>
        <v>162.74700000000001</v>
      </c>
      <c r="U54">
        <f>ReferenceData!$U$54</f>
        <v>164.5</v>
      </c>
      <c r="V54">
        <f>ReferenceData!$V$54</f>
        <v>164.5</v>
      </c>
      <c r="W54">
        <f>ReferenceData!$W$54</f>
        <v>167.5</v>
      </c>
      <c r="X54">
        <f>ReferenceData!$X$54</f>
        <v>167.5</v>
      </c>
      <c r="Y54">
        <f>ReferenceData!$Y$54</f>
        <v>167.5</v>
      </c>
      <c r="Z54">
        <f>ReferenceData!$Z$54</f>
        <v>172.5</v>
      </c>
      <c r="AA54">
        <f>ReferenceData!$AA$54</f>
        <v>172.5</v>
      </c>
      <c r="AB54">
        <f>ReferenceData!$AB$54</f>
        <v>172.5</v>
      </c>
      <c r="AC54">
        <f>ReferenceData!$AC$54</f>
        <v>172.5</v>
      </c>
      <c r="AD54">
        <f>ReferenceData!$AD$54</f>
        <v>175.5</v>
      </c>
      <c r="AE54">
        <f>ReferenceData!$AE$54</f>
        <v>175.5</v>
      </c>
      <c r="AF54">
        <f>ReferenceData!$AF$54</f>
        <v>175.5</v>
      </c>
      <c r="AG54">
        <f>ReferenceData!$AG$54</f>
        <v>175.5</v>
      </c>
      <c r="AH54">
        <f>ReferenceData!$AH$54</f>
        <v>175.5</v>
      </c>
      <c r="AI54">
        <f>ReferenceData!$AI$54</f>
        <v>175.5</v>
      </c>
      <c r="AJ54">
        <f>ReferenceData!$AJ$54</f>
        <v>175.5</v>
      </c>
      <c r="AK54">
        <f>ReferenceData!$AK$54</f>
        <v>175.5</v>
      </c>
      <c r="AL54">
        <f>ReferenceData!$AL$54</f>
        <v>175.5</v>
      </c>
      <c r="AM54">
        <f>ReferenceData!$AM$54</f>
        <v>177.5</v>
      </c>
      <c r="AN54">
        <f>ReferenceData!$AN$54</f>
        <v>177.5</v>
      </c>
      <c r="AO54">
        <f>ReferenceData!$AO$54</f>
        <v>179</v>
      </c>
      <c r="AP54">
        <f>ReferenceData!$AP$54</f>
        <v>179</v>
      </c>
      <c r="AQ54">
        <f>ReferenceData!$AQ$54</f>
        <v>178.5</v>
      </c>
      <c r="AR54">
        <f>ReferenceData!$AR$54</f>
        <v>178.5</v>
      </c>
      <c r="AS54">
        <f>ReferenceData!$AS$54</f>
        <v>184</v>
      </c>
      <c r="AT54">
        <f>ReferenceData!$AT$54</f>
        <v>184</v>
      </c>
      <c r="AU54">
        <f>ReferenceData!$AU$54</f>
        <v>184</v>
      </c>
      <c r="AV54">
        <f>ReferenceData!$AV$54</f>
        <v>184</v>
      </c>
      <c r="AW54">
        <f>ReferenceData!$AW$54</f>
        <v>184</v>
      </c>
      <c r="AX54">
        <f>ReferenceData!$AX$54</f>
        <v>184</v>
      </c>
      <c r="AY54">
        <f>ReferenceData!$AY$54</f>
        <v>184</v>
      </c>
      <c r="AZ54">
        <f>ReferenceData!$AZ$54</f>
        <v>188</v>
      </c>
      <c r="BA54">
        <f>ReferenceData!$BA$54</f>
        <v>188</v>
      </c>
      <c r="BB54">
        <f>ReferenceData!$BB$54</f>
        <v>188</v>
      </c>
      <c r="BC54">
        <f>ReferenceData!$BC$54</f>
        <v>188</v>
      </c>
      <c r="BD54">
        <f>ReferenceData!$BD$54</f>
        <v>187.5</v>
      </c>
      <c r="BE54">
        <f>ReferenceData!$BE$54</f>
        <v>190.5</v>
      </c>
      <c r="BF54">
        <f>ReferenceData!$BF$54</f>
        <v>190.5</v>
      </c>
      <c r="BG54">
        <f>ReferenceData!$BG$54</f>
        <v>190.5</v>
      </c>
      <c r="BH54">
        <f>ReferenceData!$BH$54</f>
        <v>190.5</v>
      </c>
      <c r="BI54">
        <f>ReferenceData!$BI$54</f>
        <v>190.5</v>
      </c>
      <c r="BJ54">
        <f>ReferenceData!$BJ$54</f>
        <v>192.5</v>
      </c>
      <c r="BK54">
        <f>ReferenceData!$BK$54</f>
        <v>192.5</v>
      </c>
      <c r="BL54">
        <f>ReferenceData!$BL$54</f>
        <v>192.5</v>
      </c>
      <c r="BM54">
        <f>ReferenceData!$BM$54</f>
        <v>195.5</v>
      </c>
      <c r="BN54">
        <f>ReferenceData!$BN$54</f>
        <v>195.5</v>
      </c>
      <c r="BO54">
        <f>ReferenceData!$BO$54</f>
        <v>195.5</v>
      </c>
      <c r="BP54">
        <f>ReferenceData!$BP$54</f>
        <v>195.5</v>
      </c>
      <c r="BQ54">
        <f>ReferenceData!$BQ$54</f>
        <v>195</v>
      </c>
      <c r="BR54">
        <f>ReferenceData!$BR$54</f>
        <v>195</v>
      </c>
      <c r="BS54">
        <f>ReferenceData!$BS$54</f>
        <v>195</v>
      </c>
      <c r="BT54">
        <f>ReferenceData!$BT$54</f>
        <v>195</v>
      </c>
      <c r="BU54">
        <f>ReferenceData!$BU$54</f>
        <v>197</v>
      </c>
      <c r="BV54">
        <f>ReferenceData!$BV$54</f>
        <v>197</v>
      </c>
      <c r="BW54">
        <f>ReferenceData!$BW$54</f>
        <v>201</v>
      </c>
      <c r="BX54">
        <f>ReferenceData!$BX$54</f>
        <v>201</v>
      </c>
      <c r="BY54">
        <f>ReferenceData!$BY$54</f>
        <v>201</v>
      </c>
      <c r="BZ54">
        <f>ReferenceData!$BZ$54</f>
        <v>202.5</v>
      </c>
      <c r="CA54">
        <f>ReferenceData!$CA$54</f>
        <v>203</v>
      </c>
      <c r="CB54">
        <f>ReferenceData!$CB$54</f>
        <v>206</v>
      </c>
      <c r="CC54">
        <f>ReferenceData!$CC$54</f>
        <v>206</v>
      </c>
      <c r="CD54">
        <f>ReferenceData!$CD$54</f>
        <v>205.5</v>
      </c>
      <c r="CE54">
        <f>ReferenceData!$CE$54</f>
        <v>205.5</v>
      </c>
      <c r="CF54">
        <f>ReferenceData!$CF$54</f>
        <v>205.5</v>
      </c>
      <c r="CG54">
        <f>ReferenceData!$CG$54</f>
        <v>205.5</v>
      </c>
    </row>
    <row r="55" spans="1:85" x14ac:dyDescent="0.25">
      <c r="A55" t="str">
        <f>ReferenceData!$A$55</f>
        <v xml:space="preserve">    Covered Bond Purchase Programme</v>
      </c>
      <c r="B55" t="str">
        <f>ReferenceData!$B$55</f>
        <v>ECBCBOND Index</v>
      </c>
      <c r="C55" t="str">
        <f>ReferenceData!$C$55</f>
        <v/>
      </c>
      <c r="D55" t="str">
        <f>ReferenceData!$D$55</f>
        <v/>
      </c>
      <c r="E55" t="str">
        <f>ReferenceData!$E$55</f>
        <v>Expression</v>
      </c>
      <c r="F55" t="str">
        <f ca="1">ReferenceData!$F$55</f>
        <v/>
      </c>
      <c r="G55">
        <f>ReferenceData!$G$55</f>
        <v>32.887999999999998</v>
      </c>
      <c r="H55">
        <f>ReferenceData!$H$55</f>
        <v>32.887999999999998</v>
      </c>
      <c r="I55">
        <f>ReferenceData!$I$55</f>
        <v>32.887999999999998</v>
      </c>
      <c r="J55">
        <f>ReferenceData!$J$55</f>
        <v>32.887999999999998</v>
      </c>
      <c r="K55">
        <f>ReferenceData!$K$55</f>
        <v>32.887999999999998</v>
      </c>
      <c r="L55">
        <f>ReferenceData!$L$55</f>
        <v>32.887999999999998</v>
      </c>
      <c r="M55">
        <f>ReferenceData!$M$55</f>
        <v>33.180999999999997</v>
      </c>
      <c r="N55">
        <f>ReferenceData!$N$55</f>
        <v>33.798000000000002</v>
      </c>
      <c r="O55">
        <f>ReferenceData!$O$55</f>
        <v>34.375999999999998</v>
      </c>
      <c r="P55">
        <f>ReferenceData!$P$55</f>
        <v>34.808</v>
      </c>
      <c r="Q55">
        <f>ReferenceData!$Q$55</f>
        <v>35.116999999999997</v>
      </c>
      <c r="R55">
        <f>ReferenceData!$R$55</f>
        <v>35.116999999999997</v>
      </c>
      <c r="S55">
        <f>ReferenceData!$S$55</f>
        <v>35.607999999999997</v>
      </c>
      <c r="T55">
        <f>ReferenceData!$T$55</f>
        <v>35.866999999999997</v>
      </c>
      <c r="U55">
        <f>ReferenceData!$U$55</f>
        <v>36.465000000000003</v>
      </c>
      <c r="V55">
        <f>ReferenceData!$V$55</f>
        <v>37.768000000000001</v>
      </c>
      <c r="W55">
        <f>ReferenceData!$W$55</f>
        <v>37.768000000000001</v>
      </c>
      <c r="X55">
        <f>ReferenceData!$X$55</f>
        <v>37.768000000000001</v>
      </c>
      <c r="Y55">
        <f>ReferenceData!$Y$55</f>
        <v>37.768000000000001</v>
      </c>
      <c r="Z55">
        <f>ReferenceData!$Z$55</f>
        <v>37.768000000000001</v>
      </c>
      <c r="AA55">
        <f>ReferenceData!$AA$55</f>
        <v>37.768000000000001</v>
      </c>
      <c r="AB55">
        <f>ReferenceData!$AB$55</f>
        <v>37.768000000000001</v>
      </c>
      <c r="AC55">
        <f>ReferenceData!$AC$55</f>
        <v>37.863</v>
      </c>
      <c r="AD55">
        <f>ReferenceData!$AD$55</f>
        <v>37.941000000000003</v>
      </c>
      <c r="AE55">
        <f>ReferenceData!$AE$55</f>
        <v>38.076000000000001</v>
      </c>
      <c r="AF55">
        <f>ReferenceData!$AF$55</f>
        <v>38.305</v>
      </c>
      <c r="AG55">
        <f>ReferenceData!$AG$55</f>
        <v>38.771999999999998</v>
      </c>
      <c r="AH55">
        <f>ReferenceData!$AH$55</f>
        <v>38.771999999999998</v>
      </c>
      <c r="AI55">
        <f>ReferenceData!$AI$55</f>
        <v>38.771999999999998</v>
      </c>
      <c r="AJ55">
        <f>ReferenceData!$AJ$55</f>
        <v>39.265999999999998</v>
      </c>
      <c r="AK55">
        <f>ReferenceData!$AK$55</f>
        <v>39.750999999999998</v>
      </c>
      <c r="AL55">
        <f>ReferenceData!$AL$55</f>
        <v>40.375</v>
      </c>
      <c r="AM55">
        <f>ReferenceData!$AM$55</f>
        <v>40.865000000000002</v>
      </c>
      <c r="AN55">
        <f>ReferenceData!$AN$55</f>
        <v>41.378999999999998</v>
      </c>
      <c r="AO55">
        <f>ReferenceData!$AO$55</f>
        <v>41.648000000000003</v>
      </c>
      <c r="AP55">
        <f>ReferenceData!$AP$55</f>
        <v>41.646999999999998</v>
      </c>
      <c r="AQ55">
        <f>ReferenceData!$AQ$55</f>
        <v>41.68</v>
      </c>
      <c r="AR55">
        <f>ReferenceData!$AR$55</f>
        <v>41.68</v>
      </c>
      <c r="AS55">
        <f>ReferenceData!$AS$55</f>
        <v>41.69</v>
      </c>
      <c r="AT55">
        <f>ReferenceData!$AT$55</f>
        <v>41.86</v>
      </c>
      <c r="AU55">
        <f>ReferenceData!$AU$55</f>
        <v>41.86</v>
      </c>
      <c r="AV55">
        <f>ReferenceData!$AV$55</f>
        <v>41.895000000000003</v>
      </c>
      <c r="AW55">
        <f>ReferenceData!$AW$55</f>
        <v>41.978000000000002</v>
      </c>
      <c r="AX55">
        <f>ReferenceData!$AX$55</f>
        <v>41.978000000000002</v>
      </c>
      <c r="AY55">
        <f>ReferenceData!$AY$55</f>
        <v>42.008000000000003</v>
      </c>
      <c r="AZ55">
        <f>ReferenceData!$AZ$55</f>
        <v>42.018999999999998</v>
      </c>
      <c r="BA55">
        <f>ReferenceData!$BA$55</f>
        <v>42.847000000000001</v>
      </c>
      <c r="BB55">
        <f>ReferenceData!$BB$55</f>
        <v>42.847000000000001</v>
      </c>
      <c r="BC55">
        <f>ReferenceData!$BC$55</f>
        <v>43.146999999999998</v>
      </c>
      <c r="BD55">
        <f>ReferenceData!$BD$55</f>
        <v>43.281999999999996</v>
      </c>
      <c r="BE55">
        <f>ReferenceData!$BE$55</f>
        <v>43.281999999999996</v>
      </c>
      <c r="BF55">
        <f>ReferenceData!$BF$55</f>
        <v>43.600999999999999</v>
      </c>
      <c r="BG55">
        <f>ReferenceData!$BG$55</f>
        <v>43.648000000000003</v>
      </c>
      <c r="BH55">
        <f>ReferenceData!$BH$55</f>
        <v>43.648000000000003</v>
      </c>
      <c r="BI55">
        <f>ReferenceData!$BI$55</f>
        <v>44.082000000000001</v>
      </c>
      <c r="BJ55">
        <f>ReferenceData!$BJ$55</f>
        <v>44.082000000000001</v>
      </c>
      <c r="BK55">
        <f>ReferenceData!$BK$55</f>
        <v>44.082000000000001</v>
      </c>
      <c r="BL55">
        <f>ReferenceData!$BL$55</f>
        <v>44.082000000000001</v>
      </c>
      <c r="BM55">
        <f>ReferenceData!$BM$55</f>
        <v>44.082000000000001</v>
      </c>
      <c r="BN55">
        <f>ReferenceData!$BN$55</f>
        <v>44.337000000000003</v>
      </c>
      <c r="BO55">
        <f>ReferenceData!$BO$55</f>
        <v>44.73</v>
      </c>
      <c r="BP55">
        <f>ReferenceData!$BP$55</f>
        <v>44.978999999999999</v>
      </c>
      <c r="BQ55">
        <f>ReferenceData!$BQ$55</f>
        <v>45.259</v>
      </c>
      <c r="BR55">
        <f>ReferenceData!$BR$55</f>
        <v>45.44</v>
      </c>
      <c r="BS55">
        <f>ReferenceData!$BS$55</f>
        <v>45.44</v>
      </c>
      <c r="BT55">
        <f>ReferenceData!$BT$55</f>
        <v>45.618000000000002</v>
      </c>
      <c r="BU55">
        <f>ReferenceData!$BU$55</f>
        <v>46</v>
      </c>
      <c r="BV55">
        <f>ReferenceData!$BV$55</f>
        <v>46.15</v>
      </c>
      <c r="BW55">
        <f>ReferenceData!$BW$55</f>
        <v>46.15</v>
      </c>
      <c r="BX55">
        <f>ReferenceData!$BX$55</f>
        <v>46.15</v>
      </c>
      <c r="BY55">
        <f>ReferenceData!$BY$55</f>
        <v>46.363999999999997</v>
      </c>
      <c r="BZ55">
        <f>ReferenceData!$BZ$55</f>
        <v>46.780999999999999</v>
      </c>
      <c r="CA55">
        <f>ReferenceData!$CA$55</f>
        <v>46.780999999999999</v>
      </c>
      <c r="CB55">
        <f>ReferenceData!$CB$55</f>
        <v>47.002000000000002</v>
      </c>
      <c r="CC55">
        <f>ReferenceData!$CC$55</f>
        <v>47.302</v>
      </c>
      <c r="CD55">
        <f>ReferenceData!$CD$55</f>
        <v>47.348999999999997</v>
      </c>
      <c r="CE55">
        <f>ReferenceData!$CE$55</f>
        <v>47.667000000000002</v>
      </c>
      <c r="CF55">
        <f>ReferenceData!$CF$55</f>
        <v>47.731999999999999</v>
      </c>
      <c r="CG55">
        <f>ReferenceData!$CG$55</f>
        <v>47.99</v>
      </c>
    </row>
    <row r="56" spans="1:85" x14ac:dyDescent="0.25">
      <c r="A56" t="str">
        <f>ReferenceData!$A$56</f>
        <v xml:space="preserve">    Covered Bond Purchase Programme 2</v>
      </c>
      <c r="B56" t="str">
        <f>ReferenceData!$B$56</f>
        <v>ECBCBND2 Index</v>
      </c>
      <c r="C56" t="str">
        <f>ReferenceData!$C$56</f>
        <v/>
      </c>
      <c r="D56" t="str">
        <f>ReferenceData!$D$56</f>
        <v/>
      </c>
      <c r="E56" t="str">
        <f>ReferenceData!$E$56</f>
        <v>Expression</v>
      </c>
      <c r="F56" t="str">
        <f ca="1">ReferenceData!$F$56</f>
        <v/>
      </c>
      <c r="G56">
        <f>ReferenceData!$G$56</f>
        <v>13.829000000000001</v>
      </c>
      <c r="H56">
        <f>ReferenceData!$H$56</f>
        <v>13.829000000000001</v>
      </c>
      <c r="I56">
        <f>ReferenceData!$I$56</f>
        <v>13.829000000000001</v>
      </c>
      <c r="J56">
        <f>ReferenceData!$J$56</f>
        <v>13.829000000000001</v>
      </c>
      <c r="K56">
        <f>ReferenceData!$K$56</f>
        <v>13.829000000000001</v>
      </c>
      <c r="L56">
        <f>ReferenceData!$L$56</f>
        <v>13.829000000000001</v>
      </c>
      <c r="M56">
        <f>ReferenceData!$M$56</f>
        <v>13.972</v>
      </c>
      <c r="N56">
        <f>ReferenceData!$N$56</f>
        <v>14.002000000000001</v>
      </c>
      <c r="O56">
        <f>ReferenceData!$O$56</f>
        <v>14.08</v>
      </c>
      <c r="P56">
        <f>ReferenceData!$P$56</f>
        <v>14.089</v>
      </c>
      <c r="Q56">
        <f>ReferenceData!$Q$56</f>
        <v>14.188000000000001</v>
      </c>
      <c r="R56">
        <f>ReferenceData!$R$56</f>
        <v>14.188000000000001</v>
      </c>
      <c r="S56">
        <f>ReferenceData!$S$56</f>
        <v>14.188000000000001</v>
      </c>
      <c r="T56">
        <f>ReferenceData!$T$56</f>
        <v>14.233000000000001</v>
      </c>
      <c r="U56">
        <f>ReferenceData!$U$56</f>
        <v>14.257</v>
      </c>
      <c r="V56">
        <f>ReferenceData!$V$56</f>
        <v>14.364000000000001</v>
      </c>
      <c r="W56">
        <f>ReferenceData!$W$56</f>
        <v>14.364000000000001</v>
      </c>
      <c r="X56">
        <f>ReferenceData!$X$56</f>
        <v>14.364000000000001</v>
      </c>
      <c r="Y56">
        <f>ReferenceData!$Y$56</f>
        <v>14.407</v>
      </c>
      <c r="Z56">
        <f>ReferenceData!$Z$56</f>
        <v>14.407</v>
      </c>
      <c r="AA56">
        <f>ReferenceData!$AA$56</f>
        <v>14.407</v>
      </c>
      <c r="AB56">
        <f>ReferenceData!$AB$56</f>
        <v>14.407</v>
      </c>
      <c r="AC56">
        <f>ReferenceData!$AC$56</f>
        <v>14.552</v>
      </c>
      <c r="AD56">
        <f>ReferenceData!$AD$56</f>
        <v>14.715999999999999</v>
      </c>
      <c r="AE56">
        <f>ReferenceData!$AE$56</f>
        <v>14.792999999999999</v>
      </c>
      <c r="AF56">
        <f>ReferenceData!$AF$56</f>
        <v>14.814</v>
      </c>
      <c r="AG56">
        <f>ReferenceData!$AG$56</f>
        <v>14.814</v>
      </c>
      <c r="AH56">
        <f>ReferenceData!$AH$56</f>
        <v>14.814</v>
      </c>
      <c r="AI56">
        <f>ReferenceData!$AI$56</f>
        <v>14.866</v>
      </c>
      <c r="AJ56">
        <f>ReferenceData!$AJ$56</f>
        <v>14.949</v>
      </c>
      <c r="AK56">
        <f>ReferenceData!$AK$56</f>
        <v>15.137</v>
      </c>
      <c r="AL56">
        <f>ReferenceData!$AL$56</f>
        <v>15.225</v>
      </c>
      <c r="AM56">
        <f>ReferenceData!$AM$56</f>
        <v>15.244999999999999</v>
      </c>
      <c r="AN56">
        <f>ReferenceData!$AN$56</f>
        <v>15.244999999999999</v>
      </c>
      <c r="AO56">
        <f>ReferenceData!$AO$56</f>
        <v>15.446</v>
      </c>
      <c r="AP56">
        <f>ReferenceData!$AP$56</f>
        <v>15.446</v>
      </c>
      <c r="AQ56">
        <f>ReferenceData!$AQ$56</f>
        <v>15.448</v>
      </c>
      <c r="AR56">
        <f>ReferenceData!$AR$56</f>
        <v>15.448</v>
      </c>
      <c r="AS56">
        <f>ReferenceData!$AS$56</f>
        <v>15.448</v>
      </c>
      <c r="AT56">
        <f>ReferenceData!$AT$56</f>
        <v>15.448</v>
      </c>
      <c r="AU56">
        <f>ReferenceData!$AU$56</f>
        <v>15.448</v>
      </c>
      <c r="AV56">
        <f>ReferenceData!$AV$56</f>
        <v>15.448</v>
      </c>
      <c r="AW56">
        <f>ReferenceData!$AW$56</f>
        <v>15.462999999999999</v>
      </c>
      <c r="AX56">
        <f>ReferenceData!$AX$56</f>
        <v>15.462999999999999</v>
      </c>
      <c r="AY56">
        <f>ReferenceData!$AY$56</f>
        <v>15.493</v>
      </c>
      <c r="AZ56">
        <f>ReferenceData!$AZ$56</f>
        <v>15.532999999999999</v>
      </c>
      <c r="BA56">
        <f>ReferenceData!$BA$56</f>
        <v>15.532999999999999</v>
      </c>
      <c r="BB56">
        <f>ReferenceData!$BB$56</f>
        <v>15.532999999999999</v>
      </c>
      <c r="BC56">
        <f>ReferenceData!$BC$56</f>
        <v>15.653</v>
      </c>
      <c r="BD56">
        <f>ReferenceData!$BD$56</f>
        <v>15.71</v>
      </c>
      <c r="BE56">
        <f>ReferenceData!$BE$56</f>
        <v>15.808999999999999</v>
      </c>
      <c r="BF56">
        <f>ReferenceData!$BF$56</f>
        <v>15.808999999999999</v>
      </c>
      <c r="BG56">
        <f>ReferenceData!$BG$56</f>
        <v>15.815</v>
      </c>
      <c r="BH56">
        <f>ReferenceData!$BH$56</f>
        <v>15.815</v>
      </c>
      <c r="BI56">
        <f>ReferenceData!$BI$56</f>
        <v>15.839</v>
      </c>
      <c r="BJ56">
        <f>ReferenceData!$BJ$56</f>
        <v>15.839</v>
      </c>
      <c r="BK56">
        <f>ReferenceData!$BK$56</f>
        <v>15.839</v>
      </c>
      <c r="BL56">
        <f>ReferenceData!$BL$56</f>
        <v>15.839</v>
      </c>
      <c r="BM56">
        <f>ReferenceData!$BM$56</f>
        <v>15.839</v>
      </c>
      <c r="BN56">
        <f>ReferenceData!$BN$56</f>
        <v>15.909000000000001</v>
      </c>
      <c r="BO56">
        <f>ReferenceData!$BO$56</f>
        <v>15.922000000000001</v>
      </c>
      <c r="BP56">
        <f>ReferenceData!$BP$56</f>
        <v>15.99</v>
      </c>
      <c r="BQ56">
        <f>ReferenceData!$BQ$56</f>
        <v>16.067</v>
      </c>
      <c r="BR56">
        <f>ReferenceData!$BR$56</f>
        <v>16.067</v>
      </c>
      <c r="BS56">
        <f>ReferenceData!$BS$56</f>
        <v>16.067</v>
      </c>
      <c r="BT56">
        <f>ReferenceData!$BT$56</f>
        <v>16.077000000000002</v>
      </c>
      <c r="BU56">
        <f>ReferenceData!$BU$56</f>
        <v>16.077000000000002</v>
      </c>
      <c r="BV56">
        <f>ReferenceData!$BV$56</f>
        <v>16.077000000000002</v>
      </c>
      <c r="BW56">
        <f>ReferenceData!$BW$56</f>
        <v>16.077000000000002</v>
      </c>
      <c r="BX56">
        <f>ReferenceData!$BX$56</f>
        <v>16.077000000000002</v>
      </c>
      <c r="BY56">
        <f>ReferenceData!$BY$56</f>
        <v>16.087</v>
      </c>
      <c r="BZ56">
        <f>ReferenceData!$BZ$56</f>
        <v>16.119</v>
      </c>
      <c r="CA56">
        <f>ReferenceData!$CA$56</f>
        <v>16.119</v>
      </c>
      <c r="CB56">
        <f>ReferenceData!$CB$56</f>
        <v>16.143000000000001</v>
      </c>
      <c r="CC56">
        <f>ReferenceData!$CC$56</f>
        <v>16.161000000000001</v>
      </c>
      <c r="CD56">
        <f>ReferenceData!$CD$56</f>
        <v>16.163</v>
      </c>
      <c r="CE56">
        <f>ReferenceData!$CE$56</f>
        <v>16.163</v>
      </c>
      <c r="CF56">
        <f>ReferenceData!$CF$56</f>
        <v>16.178000000000001</v>
      </c>
      <c r="CG56">
        <f>ReferenceData!$CG$56</f>
        <v>16.253</v>
      </c>
    </row>
    <row r="57" spans="1:85" x14ac:dyDescent="0.25">
      <c r="A57" t="str">
        <f>ReferenceData!$A$57</f>
        <v xml:space="preserve">    </v>
      </c>
      <c r="B57" t="str">
        <f>ReferenceData!$B$57</f>
        <v/>
      </c>
      <c r="C57" t="str">
        <f>ReferenceData!$C$57</f>
        <v/>
      </c>
      <c r="D57" t="str">
        <f>ReferenceData!$D$57</f>
        <v/>
      </c>
      <c r="E57" t="str">
        <f>ReferenceData!$E$57</f>
        <v>Static</v>
      </c>
      <c r="F57" t="str">
        <f>ReferenceData!$F$57</f>
        <v/>
      </c>
      <c r="G57" t="str">
        <f>ReferenceData!$G$57</f>
        <v/>
      </c>
      <c r="H57" t="str">
        <f>ReferenceData!$H$57</f>
        <v/>
      </c>
      <c r="I57" t="str">
        <f>ReferenceData!$I$57</f>
        <v/>
      </c>
      <c r="J57" t="str">
        <f>ReferenceData!$J$57</f>
        <v/>
      </c>
      <c r="K57" t="str">
        <f>ReferenceData!$K$57</f>
        <v/>
      </c>
      <c r="L57" t="str">
        <f>ReferenceData!$L$57</f>
        <v/>
      </c>
      <c r="M57" t="str">
        <f>ReferenceData!$M$57</f>
        <v/>
      </c>
      <c r="N57" t="str">
        <f>ReferenceData!$N$57</f>
        <v/>
      </c>
      <c r="O57" t="str">
        <f>ReferenceData!$O$57</f>
        <v/>
      </c>
      <c r="P57" t="str">
        <f>ReferenceData!$P$57</f>
        <v/>
      </c>
      <c r="Q57" t="str">
        <f>ReferenceData!$Q$57</f>
        <v/>
      </c>
      <c r="R57" t="str">
        <f>ReferenceData!$R$57</f>
        <v/>
      </c>
      <c r="S57" t="str">
        <f>ReferenceData!$S$57</f>
        <v/>
      </c>
      <c r="T57" t="str">
        <f>ReferenceData!$T$57</f>
        <v/>
      </c>
      <c r="U57" t="str">
        <f>ReferenceData!$U$57</f>
        <v/>
      </c>
      <c r="V57" t="str">
        <f>ReferenceData!$V$57</f>
        <v/>
      </c>
      <c r="W57" t="str">
        <f>ReferenceData!$W$57</f>
        <v/>
      </c>
      <c r="X57" t="str">
        <f>ReferenceData!$X$57</f>
        <v/>
      </c>
      <c r="Y57" t="str">
        <f>ReferenceData!$Y$57</f>
        <v/>
      </c>
      <c r="Z57" t="str">
        <f>ReferenceData!$Z$57</f>
        <v/>
      </c>
      <c r="AA57" t="str">
        <f>ReferenceData!$AA$57</f>
        <v/>
      </c>
      <c r="AB57" t="str">
        <f>ReferenceData!$AB$57</f>
        <v/>
      </c>
      <c r="AC57" t="str">
        <f>ReferenceData!$AC$57</f>
        <v/>
      </c>
      <c r="AD57" t="str">
        <f>ReferenceData!$AD$57</f>
        <v/>
      </c>
      <c r="AE57" t="str">
        <f>ReferenceData!$AE$57</f>
        <v/>
      </c>
      <c r="AF57" t="str">
        <f>ReferenceData!$AF$57</f>
        <v/>
      </c>
      <c r="AG57" t="str">
        <f>ReferenceData!$AG$57</f>
        <v/>
      </c>
      <c r="AH57" t="str">
        <f>ReferenceData!$AH$57</f>
        <v/>
      </c>
      <c r="AI57" t="str">
        <f>ReferenceData!$AI$57</f>
        <v/>
      </c>
      <c r="AJ57" t="str">
        <f>ReferenceData!$AJ$57</f>
        <v/>
      </c>
      <c r="AK57" t="str">
        <f>ReferenceData!$AK$57</f>
        <v/>
      </c>
      <c r="AL57" t="str">
        <f>ReferenceData!$AL$57</f>
        <v/>
      </c>
      <c r="AM57" t="str">
        <f>ReferenceData!$AM$57</f>
        <v/>
      </c>
      <c r="AN57" t="str">
        <f>ReferenceData!$AN$57</f>
        <v/>
      </c>
      <c r="AO57" t="str">
        <f>ReferenceData!$AO$57</f>
        <v/>
      </c>
      <c r="AP57" t="str">
        <f>ReferenceData!$AP$57</f>
        <v/>
      </c>
      <c r="AQ57" t="str">
        <f>ReferenceData!$AQ$57</f>
        <v/>
      </c>
      <c r="AR57" t="str">
        <f>ReferenceData!$AR$57</f>
        <v/>
      </c>
      <c r="AS57" t="str">
        <f>ReferenceData!$AS$57</f>
        <v/>
      </c>
      <c r="AT57" t="str">
        <f>ReferenceData!$AT$57</f>
        <v/>
      </c>
      <c r="AU57" t="str">
        <f>ReferenceData!$AU$57</f>
        <v/>
      </c>
      <c r="AV57" t="str">
        <f>ReferenceData!$AV$57</f>
        <v/>
      </c>
      <c r="AW57" t="str">
        <f>ReferenceData!$AW$57</f>
        <v/>
      </c>
      <c r="AX57" t="str">
        <f>ReferenceData!$AX$57</f>
        <v/>
      </c>
      <c r="AY57" t="str">
        <f>ReferenceData!$AY$57</f>
        <v/>
      </c>
      <c r="AZ57" t="str">
        <f>ReferenceData!$AZ$57</f>
        <v/>
      </c>
      <c r="BA57" t="str">
        <f>ReferenceData!$BA$57</f>
        <v/>
      </c>
      <c r="BB57" t="str">
        <f>ReferenceData!$BB$57</f>
        <v/>
      </c>
      <c r="BC57" t="str">
        <f>ReferenceData!$BC$57</f>
        <v/>
      </c>
      <c r="BD57" t="str">
        <f>ReferenceData!$BD$57</f>
        <v/>
      </c>
      <c r="BE57" t="str">
        <f>ReferenceData!$BE$57</f>
        <v/>
      </c>
      <c r="BF57" t="str">
        <f>ReferenceData!$BF$57</f>
        <v/>
      </c>
      <c r="BG57" t="str">
        <f>ReferenceData!$BG$57</f>
        <v/>
      </c>
      <c r="BH57" t="str">
        <f>ReferenceData!$BH$57</f>
        <v/>
      </c>
      <c r="BI57" t="str">
        <f>ReferenceData!$BI$57</f>
        <v/>
      </c>
      <c r="BJ57" t="str">
        <f>ReferenceData!$BJ$57</f>
        <v/>
      </c>
      <c r="BK57" t="str">
        <f>ReferenceData!$BK$57</f>
        <v/>
      </c>
      <c r="BL57" t="str">
        <f>ReferenceData!$BL$57</f>
        <v/>
      </c>
      <c r="BM57" t="str">
        <f>ReferenceData!$BM$57</f>
        <v/>
      </c>
      <c r="BN57" t="str">
        <f>ReferenceData!$BN$57</f>
        <v/>
      </c>
      <c r="BO57" t="str">
        <f>ReferenceData!$BO$57</f>
        <v/>
      </c>
      <c r="BP57" t="str">
        <f>ReferenceData!$BP$57</f>
        <v/>
      </c>
      <c r="BQ57" t="str">
        <f>ReferenceData!$BQ$57</f>
        <v/>
      </c>
      <c r="BR57" t="str">
        <f>ReferenceData!$BR$57</f>
        <v/>
      </c>
      <c r="BS57" t="str">
        <f>ReferenceData!$BS$57</f>
        <v/>
      </c>
      <c r="BT57" t="str">
        <f>ReferenceData!$BT$57</f>
        <v/>
      </c>
      <c r="BU57" t="str">
        <f>ReferenceData!$BU$57</f>
        <v/>
      </c>
      <c r="BV57" t="str">
        <f>ReferenceData!$BV$57</f>
        <v/>
      </c>
      <c r="BW57" t="str">
        <f>ReferenceData!$BW$57</f>
        <v/>
      </c>
      <c r="BX57" t="str">
        <f>ReferenceData!$BX$57</f>
        <v/>
      </c>
      <c r="BY57" t="str">
        <f>ReferenceData!$BY$57</f>
        <v/>
      </c>
      <c r="BZ57" t="str">
        <f>ReferenceData!$BZ$57</f>
        <v/>
      </c>
      <c r="CA57" t="str">
        <f>ReferenceData!$CA$57</f>
        <v/>
      </c>
      <c r="CB57" t="str">
        <f>ReferenceData!$CB$57</f>
        <v/>
      </c>
      <c r="CC57" t="str">
        <f>ReferenceData!$CC$57</f>
        <v/>
      </c>
      <c r="CD57" t="str">
        <f>ReferenceData!$CD$57</f>
        <v/>
      </c>
      <c r="CE57" t="str">
        <f>ReferenceData!$CE$57</f>
        <v/>
      </c>
      <c r="CF57" t="str">
        <f>ReferenceData!$CF$57</f>
        <v/>
      </c>
      <c r="CG57" t="str">
        <f>ReferenceData!$CG$57</f>
        <v/>
      </c>
    </row>
    <row r="58" spans="1:85" x14ac:dyDescent="0.25">
      <c r="A58" t="str">
        <f>ReferenceData!$A$58</f>
        <v xml:space="preserve">    Securities Market Program-Weekly Amount</v>
      </c>
      <c r="B58" t="str">
        <f>ReferenceData!$B$58</f>
        <v>ECBCSMPW Index</v>
      </c>
      <c r="C58" t="str">
        <f>ReferenceData!$C$58</f>
        <v/>
      </c>
      <c r="D58" t="str">
        <f>ReferenceData!$D$58</f>
        <v/>
      </c>
      <c r="E58" t="str">
        <f>ReferenceData!$E$58</f>
        <v>Expression</v>
      </c>
      <c r="F58" t="str">
        <f ca="1">ReferenceData!$F$58</f>
        <v/>
      </c>
      <c r="G58" t="str">
        <f>ReferenceData!$G$58</f>
        <v/>
      </c>
      <c r="H58" t="str">
        <f>ReferenceData!$H$58</f>
        <v/>
      </c>
      <c r="I58">
        <f>ReferenceData!$I$58</f>
        <v>0</v>
      </c>
      <c r="J58">
        <f>ReferenceData!$J$58</f>
        <v>0</v>
      </c>
      <c r="K58">
        <f>ReferenceData!$K$58</f>
        <v>0</v>
      </c>
      <c r="L58">
        <f>ReferenceData!$L$58</f>
        <v>0</v>
      </c>
      <c r="M58">
        <f>ReferenceData!$M$58</f>
        <v>0</v>
      </c>
      <c r="N58">
        <f>ReferenceData!$N$58</f>
        <v>0</v>
      </c>
      <c r="O58">
        <f>ReferenceData!$O$58</f>
        <v>0</v>
      </c>
      <c r="P58">
        <f>ReferenceData!$P$58</f>
        <v>0</v>
      </c>
      <c r="Q58">
        <f>ReferenceData!$Q$58</f>
        <v>0</v>
      </c>
      <c r="R58">
        <f>ReferenceData!$R$58</f>
        <v>0</v>
      </c>
      <c r="S58">
        <f>ReferenceData!$S$58</f>
        <v>0</v>
      </c>
      <c r="T58">
        <f>ReferenceData!$T$58</f>
        <v>0</v>
      </c>
      <c r="U58">
        <f>ReferenceData!$U$58</f>
        <v>0</v>
      </c>
      <c r="V58">
        <f>ReferenceData!$V$58</f>
        <v>0</v>
      </c>
      <c r="W58">
        <f>ReferenceData!$W$58</f>
        <v>0</v>
      </c>
      <c r="X58">
        <f>ReferenceData!$X$58</f>
        <v>0</v>
      </c>
      <c r="Y58">
        <f>ReferenceData!$Y$58</f>
        <v>0</v>
      </c>
      <c r="Z58">
        <f>ReferenceData!$Z$58</f>
        <v>0</v>
      </c>
      <c r="AA58">
        <f>ReferenceData!$AA$58</f>
        <v>0</v>
      </c>
      <c r="AB58">
        <f>ReferenceData!$AB$58</f>
        <v>0</v>
      </c>
      <c r="AC58">
        <f>ReferenceData!$AC$58</f>
        <v>0</v>
      </c>
      <c r="AD58">
        <f>ReferenceData!$AD$58</f>
        <v>0</v>
      </c>
      <c r="AE58">
        <f>ReferenceData!$AE$58</f>
        <v>0</v>
      </c>
      <c r="AF58">
        <f>ReferenceData!$AF$58</f>
        <v>0</v>
      </c>
      <c r="AG58">
        <f>ReferenceData!$AG$58</f>
        <v>0</v>
      </c>
      <c r="AH58">
        <f>ReferenceData!$AH$58</f>
        <v>0</v>
      </c>
      <c r="AI58">
        <f>ReferenceData!$AI$58</f>
        <v>0</v>
      </c>
      <c r="AJ58">
        <f>ReferenceData!$AJ$58</f>
        <v>0</v>
      </c>
      <c r="AK58">
        <f>ReferenceData!$AK$58</f>
        <v>0</v>
      </c>
      <c r="AL58">
        <f>ReferenceData!$AL$58</f>
        <v>0</v>
      </c>
      <c r="AM58">
        <f>ReferenceData!$AM$58</f>
        <v>0</v>
      </c>
      <c r="AN58">
        <f>ReferenceData!$AN$58</f>
        <v>0</v>
      </c>
      <c r="AO58">
        <f>ReferenceData!$AO$58</f>
        <v>0</v>
      </c>
      <c r="AP58">
        <f>ReferenceData!$AP$58</f>
        <v>0</v>
      </c>
      <c r="AQ58">
        <f>ReferenceData!$AQ$58</f>
        <v>0</v>
      </c>
      <c r="AR58">
        <f>ReferenceData!$AR$58</f>
        <v>0</v>
      </c>
      <c r="AS58">
        <f>ReferenceData!$AS$58</f>
        <v>0</v>
      </c>
      <c r="AT58">
        <f>ReferenceData!$AT$58</f>
        <v>0</v>
      </c>
      <c r="AU58">
        <f>ReferenceData!$AU$58</f>
        <v>0</v>
      </c>
      <c r="AV58">
        <f>ReferenceData!$AV$58</f>
        <v>0</v>
      </c>
      <c r="AW58">
        <f>ReferenceData!$AW$58</f>
        <v>0</v>
      </c>
      <c r="AX58">
        <f>ReferenceData!$AX$58</f>
        <v>0</v>
      </c>
      <c r="AY58">
        <f>ReferenceData!$AY$58</f>
        <v>0</v>
      </c>
      <c r="AZ58">
        <f>ReferenceData!$AZ$58</f>
        <v>0</v>
      </c>
      <c r="BA58">
        <f>ReferenceData!$BA$58</f>
        <v>0</v>
      </c>
      <c r="BB58">
        <f>ReferenceData!$BB$58</f>
        <v>0</v>
      </c>
      <c r="BC58">
        <f>ReferenceData!$BC$58</f>
        <v>0</v>
      </c>
      <c r="BD58">
        <f>ReferenceData!$BD$58</f>
        <v>0</v>
      </c>
      <c r="BE58">
        <f>ReferenceData!$BE$58</f>
        <v>0</v>
      </c>
      <c r="BF58">
        <f>ReferenceData!$BF$58</f>
        <v>0</v>
      </c>
      <c r="BG58">
        <f>ReferenceData!$BG$58</f>
        <v>0</v>
      </c>
      <c r="BH58">
        <f>ReferenceData!$BH$58</f>
        <v>0</v>
      </c>
      <c r="BI58">
        <f>ReferenceData!$BI$58</f>
        <v>0</v>
      </c>
      <c r="BJ58">
        <f>ReferenceData!$BJ$58</f>
        <v>0</v>
      </c>
      <c r="BK58">
        <f>ReferenceData!$BK$58</f>
        <v>0</v>
      </c>
      <c r="BL58">
        <f>ReferenceData!$BL$58</f>
        <v>0</v>
      </c>
      <c r="BM58">
        <f>ReferenceData!$BM$58</f>
        <v>0</v>
      </c>
      <c r="BN58">
        <f>ReferenceData!$BN$58</f>
        <v>0</v>
      </c>
      <c r="BO58">
        <f>ReferenceData!$BO$58</f>
        <v>0</v>
      </c>
      <c r="BP58">
        <f>ReferenceData!$BP$58</f>
        <v>0</v>
      </c>
      <c r="BQ58">
        <f>ReferenceData!$BQ$58</f>
        <v>0</v>
      </c>
      <c r="BR58">
        <f>ReferenceData!$BR$58</f>
        <v>0</v>
      </c>
      <c r="BS58">
        <f>ReferenceData!$BS$58</f>
        <v>0</v>
      </c>
      <c r="BT58">
        <f>ReferenceData!$BT$58</f>
        <v>0</v>
      </c>
      <c r="BU58">
        <f>ReferenceData!$BU$58</f>
        <v>0</v>
      </c>
      <c r="BV58">
        <f>ReferenceData!$BV$58</f>
        <v>0</v>
      </c>
      <c r="BW58">
        <f>ReferenceData!$BW$58</f>
        <v>0</v>
      </c>
      <c r="BX58">
        <f>ReferenceData!$BX$58</f>
        <v>0</v>
      </c>
      <c r="BY58">
        <f>ReferenceData!$BY$58</f>
        <v>0</v>
      </c>
      <c r="BZ58">
        <f>ReferenceData!$BZ$58</f>
        <v>0</v>
      </c>
      <c r="CA58">
        <f>ReferenceData!$CA$58</f>
        <v>0</v>
      </c>
      <c r="CB58">
        <f>ReferenceData!$CB$58</f>
        <v>0</v>
      </c>
      <c r="CC58">
        <f>ReferenceData!$CC$58</f>
        <v>0</v>
      </c>
      <c r="CD58">
        <f>ReferenceData!$CD$58</f>
        <v>0</v>
      </c>
      <c r="CE58">
        <f>ReferenceData!$CE$58</f>
        <v>0</v>
      </c>
      <c r="CF58">
        <f>ReferenceData!$CF$58</f>
        <v>0</v>
      </c>
      <c r="CG58">
        <f>ReferenceData!$CG$58</f>
        <v>0</v>
      </c>
    </row>
    <row r="59" spans="1:85" x14ac:dyDescent="0.25">
      <c r="A59" t="str">
        <f>ReferenceData!$A$59</f>
        <v xml:space="preserve">    7 Day Average Rate</v>
      </c>
      <c r="B59" t="str">
        <f>ReferenceData!$B$59</f>
        <v>ECBA7DAV Index</v>
      </c>
      <c r="C59" t="str">
        <f>ReferenceData!$C$59</f>
        <v>PR005</v>
      </c>
      <c r="D59" t="str">
        <f>ReferenceData!$D$59</f>
        <v>PX_LAST</v>
      </c>
      <c r="E59" t="str">
        <f>ReferenceData!$E$59</f>
        <v>Dynamic</v>
      </c>
      <c r="F59" t="e">
        <f ca="1">ReferenceData!$F$59</f>
        <v>#N/A</v>
      </c>
      <c r="G59" t="str">
        <f>ReferenceData!$G$59</f>
        <v/>
      </c>
      <c r="H59">
        <f>ReferenceData!$H$59</f>
        <v>0.12999999500000001</v>
      </c>
      <c r="I59">
        <f>ReferenceData!$I$59</f>
        <v>0.23999999499999999</v>
      </c>
      <c r="J59">
        <f>ReferenceData!$J$59</f>
        <v>0.25</v>
      </c>
      <c r="K59">
        <f>ReferenceData!$K$59</f>
        <v>0.23999999499999999</v>
      </c>
      <c r="L59">
        <f>ReferenceData!$L$59</f>
        <v>0.23999999499999999</v>
      </c>
      <c r="M59">
        <f>ReferenceData!$M$59</f>
        <v>0.23000000400000001</v>
      </c>
      <c r="N59">
        <f>ReferenceData!$N$59</f>
        <v>0.23999999499999999</v>
      </c>
      <c r="O59">
        <f>ReferenceData!$O$59</f>
        <v>0.23000000400000001</v>
      </c>
      <c r="P59">
        <f>ReferenceData!$P$59</f>
        <v>0.23000000400000001</v>
      </c>
      <c r="Q59">
        <f>ReferenceData!$Q$59</f>
        <v>0.219999999</v>
      </c>
      <c r="R59">
        <f>ReferenceData!$R$59</f>
        <v>0.209999993</v>
      </c>
      <c r="S59">
        <f>ReferenceData!$S$59</f>
        <v>0.13</v>
      </c>
      <c r="T59">
        <f>ReferenceData!$T$59</f>
        <v>0.24</v>
      </c>
      <c r="U59">
        <f>ReferenceData!$U$59</f>
        <v>0.25</v>
      </c>
      <c r="V59">
        <f>ReferenceData!$V$59</f>
        <v>0.24</v>
      </c>
      <c r="W59">
        <f>ReferenceData!$W$59</f>
        <v>0.24</v>
      </c>
      <c r="X59">
        <f>ReferenceData!$X$59</f>
        <v>0.23</v>
      </c>
      <c r="Y59">
        <f>ReferenceData!$Y$59</f>
        <v>0.24</v>
      </c>
      <c r="Z59">
        <f>ReferenceData!$Z$59</f>
        <v>0.23</v>
      </c>
      <c r="AA59">
        <f>ReferenceData!$AA$59</f>
        <v>0.23</v>
      </c>
      <c r="AB59">
        <f>ReferenceData!$AB$59</f>
        <v>0.22</v>
      </c>
      <c r="AC59">
        <f>ReferenceData!$AC$59</f>
        <v>0.21</v>
      </c>
      <c r="AD59">
        <f>ReferenceData!$AD$59</f>
        <v>0.22</v>
      </c>
      <c r="AE59">
        <f>ReferenceData!$AE$59</f>
        <v>0.21</v>
      </c>
      <c r="AF59">
        <f>ReferenceData!$AF$59</f>
        <v>0.21</v>
      </c>
      <c r="AG59">
        <f>ReferenceData!$AG$59</f>
        <v>0.22</v>
      </c>
      <c r="AH59">
        <f>ReferenceData!$AH$59</f>
        <v>0.23</v>
      </c>
      <c r="AI59">
        <f>ReferenceData!$AI$59</f>
        <v>0.23</v>
      </c>
      <c r="AJ59">
        <f>ReferenceData!$AJ$59</f>
        <v>0.23</v>
      </c>
      <c r="AK59">
        <f>ReferenceData!$AK$59</f>
        <v>0.23</v>
      </c>
      <c r="AL59">
        <f>ReferenceData!$AL$59</f>
        <v>0.24</v>
      </c>
      <c r="AM59">
        <f>ReferenceData!$AM$59</f>
        <v>0.23</v>
      </c>
      <c r="AN59">
        <f>ReferenceData!$AN$59</f>
        <v>0.21</v>
      </c>
      <c r="AO59">
        <f>ReferenceData!$AO$59</f>
        <v>0.17</v>
      </c>
      <c r="AP59">
        <f>ReferenceData!$AP$59</f>
        <v>0.24</v>
      </c>
      <c r="AQ59">
        <f>ReferenceData!$AQ$59</f>
        <v>0.24</v>
      </c>
      <c r="AR59">
        <f>ReferenceData!$AR$59</f>
        <v>0.23</v>
      </c>
      <c r="AS59">
        <f>ReferenceData!$AS$59</f>
        <v>0.19</v>
      </c>
      <c r="AT59">
        <f>ReferenceData!$AT$59</f>
        <v>0.14000000000000001</v>
      </c>
      <c r="AU59">
        <f>ReferenceData!$AU$59</f>
        <v>0.16</v>
      </c>
      <c r="AV59">
        <f>ReferenceData!$AV$59</f>
        <v>0.09</v>
      </c>
      <c r="AW59">
        <f>ReferenceData!$AW$59</f>
        <v>0.09</v>
      </c>
      <c r="AX59">
        <f>ReferenceData!$AX$59</f>
        <v>0.1</v>
      </c>
      <c r="AY59">
        <f>ReferenceData!$AY$59</f>
        <v>0.12</v>
      </c>
      <c r="AZ59">
        <f>ReferenceData!$AZ$59</f>
        <v>0.09</v>
      </c>
      <c r="BA59">
        <f>ReferenceData!$BA$59</f>
        <v>0.09</v>
      </c>
      <c r="BB59">
        <f>ReferenceData!$BB$59</f>
        <v>0.08</v>
      </c>
      <c r="BC59">
        <f>ReferenceData!$BC$59</f>
        <v>0.08</v>
      </c>
      <c r="BD59">
        <f>ReferenceData!$BD$59</f>
        <v>0.11</v>
      </c>
      <c r="BE59">
        <f>ReferenceData!$BE$59</f>
        <v>0.08</v>
      </c>
      <c r="BF59">
        <f>ReferenceData!$BF$59</f>
        <v>0.08</v>
      </c>
      <c r="BG59">
        <f>ReferenceData!$BG$59</f>
        <v>0.09</v>
      </c>
      <c r="BH59">
        <f>ReferenceData!$BH$59</f>
        <v>0.11</v>
      </c>
      <c r="BI59">
        <f>ReferenceData!$BI$59</f>
        <v>0.1</v>
      </c>
      <c r="BJ59">
        <f>ReferenceData!$BJ$59</f>
        <v>0.1</v>
      </c>
      <c r="BK59">
        <f>ReferenceData!$BK$59</f>
        <v>0.11</v>
      </c>
      <c r="BL59">
        <f>ReferenceData!$BL$59</f>
        <v>0.13</v>
      </c>
      <c r="BM59">
        <f>ReferenceData!$BM$59</f>
        <v>0.11</v>
      </c>
      <c r="BN59">
        <f>ReferenceData!$BN$59</f>
        <v>0.1</v>
      </c>
      <c r="BO59">
        <f>ReferenceData!$BO$59</f>
        <v>0.09</v>
      </c>
      <c r="BP59">
        <f>ReferenceData!$BP$59</f>
        <v>0.09</v>
      </c>
      <c r="BQ59">
        <f>ReferenceData!$BQ$59</f>
        <v>0.18</v>
      </c>
      <c r="BR59">
        <f>ReferenceData!$BR$59</f>
        <v>7.0000000000000007E-2</v>
      </c>
      <c r="BS59">
        <f>ReferenceData!$BS$59</f>
        <v>7.0000000000000007E-2</v>
      </c>
      <c r="BT59">
        <f>ReferenceData!$BT$59</f>
        <v>7.0000000000000007E-2</v>
      </c>
      <c r="BU59">
        <f>ReferenceData!$BU$59</f>
        <v>7.0000000000000007E-2</v>
      </c>
      <c r="BV59">
        <f>ReferenceData!$BV$59</f>
        <v>0.06</v>
      </c>
      <c r="BW59">
        <f>ReferenceData!$BW$59</f>
        <v>0.05</v>
      </c>
      <c r="BX59">
        <f>ReferenceData!$BX$59</f>
        <v>0.05</v>
      </c>
      <c r="BY59">
        <f>ReferenceData!$BY$59</f>
        <v>0.05</v>
      </c>
      <c r="BZ59">
        <f>ReferenceData!$BZ$59</f>
        <v>0.05</v>
      </c>
      <c r="CA59">
        <f>ReferenceData!$CA$59</f>
        <v>0.04</v>
      </c>
      <c r="CB59">
        <f>ReferenceData!$CB$59</f>
        <v>0.04</v>
      </c>
      <c r="CC59">
        <f>ReferenceData!$CC$59</f>
        <v>0.04</v>
      </c>
      <c r="CD59">
        <f>ReferenceData!$CD$59</f>
        <v>0.06</v>
      </c>
      <c r="CE59">
        <f>ReferenceData!$CE$59</f>
        <v>0.03</v>
      </c>
      <c r="CF59">
        <f>ReferenceData!$CF$59</f>
        <v>0.03</v>
      </c>
      <c r="CG59">
        <f>ReferenceData!$CG$59</f>
        <v>0.03</v>
      </c>
    </row>
    <row r="60" spans="1:85" x14ac:dyDescent="0.25">
      <c r="A60" t="str">
        <f>ReferenceData!$A$60</f>
        <v xml:space="preserve">    7 Day Bid to Cover Ratio</v>
      </c>
      <c r="B60" t="str">
        <f>ReferenceData!$B$60</f>
        <v>ECBA7DBC Index</v>
      </c>
      <c r="C60" t="str">
        <f>ReferenceData!$C$60</f>
        <v>PR005</v>
      </c>
      <c r="D60" t="str">
        <f>ReferenceData!$D$60</f>
        <v>PX_LAST</v>
      </c>
      <c r="E60" t="str">
        <f>ReferenceData!$E$60</f>
        <v>Dynamic</v>
      </c>
      <c r="F60" t="e">
        <f ca="1">ReferenceData!$F$60</f>
        <v>#N/A</v>
      </c>
      <c r="G60" t="str">
        <f>ReferenceData!$G$60</f>
        <v/>
      </c>
      <c r="H60">
        <f>ReferenceData!$H$60</f>
        <v>0.670000017</v>
      </c>
      <c r="I60">
        <f>ReferenceData!$I$60</f>
        <v>0.72000002900000004</v>
      </c>
      <c r="J60">
        <f>ReferenceData!$J$60</f>
        <v>0.62999999500000003</v>
      </c>
      <c r="K60">
        <f>ReferenceData!$K$60</f>
        <v>0.81999999300000004</v>
      </c>
      <c r="L60">
        <f>ReferenceData!$L$60</f>
        <v>0.86000001400000003</v>
      </c>
      <c r="M60">
        <f>ReferenceData!$M$60</f>
        <v>0.99000001000000004</v>
      </c>
      <c r="N60">
        <f>ReferenceData!$N$60</f>
        <v>0.60000002399999997</v>
      </c>
      <c r="O60">
        <f>ReferenceData!$O$60</f>
        <v>0.97000002900000004</v>
      </c>
      <c r="P60">
        <f>ReferenceData!$P$60</f>
        <v>0.88999998599999997</v>
      </c>
      <c r="Q60">
        <f>ReferenceData!$Q$60</f>
        <v>1.1200000050000001</v>
      </c>
      <c r="R60">
        <f>ReferenceData!$R$60</f>
        <v>1.1399999860000001</v>
      </c>
      <c r="S60">
        <f>ReferenceData!$S$60</f>
        <v>0.67</v>
      </c>
      <c r="T60">
        <f>ReferenceData!$T$60</f>
        <v>0.72</v>
      </c>
      <c r="U60">
        <f>ReferenceData!$U$60</f>
        <v>0.63</v>
      </c>
      <c r="V60">
        <f>ReferenceData!$V$60</f>
        <v>0.82</v>
      </c>
      <c r="W60">
        <f>ReferenceData!$W$60</f>
        <v>0.86</v>
      </c>
      <c r="X60">
        <f>ReferenceData!$X$60</f>
        <v>0.99</v>
      </c>
      <c r="Y60">
        <f>ReferenceData!$Y$60</f>
        <v>0.6</v>
      </c>
      <c r="Z60">
        <f>ReferenceData!$Z$60</f>
        <v>0.97</v>
      </c>
      <c r="AA60">
        <f>ReferenceData!$AA$60</f>
        <v>0.89</v>
      </c>
      <c r="AB60">
        <f>ReferenceData!$AB$60</f>
        <v>1.1200000000000001</v>
      </c>
      <c r="AC60">
        <f>ReferenceData!$AC$60</f>
        <v>1.1400000000000001</v>
      </c>
      <c r="AD60">
        <f>ReferenceData!$AD$60</f>
        <v>1.03</v>
      </c>
      <c r="AE60">
        <f>ReferenceData!$AE$60</f>
        <v>1.27</v>
      </c>
      <c r="AF60">
        <f>ReferenceData!$AF$60</f>
        <v>1.25</v>
      </c>
      <c r="AG60">
        <f>ReferenceData!$AG$60</f>
        <v>1.25</v>
      </c>
      <c r="AH60">
        <f>ReferenceData!$AH$60</f>
        <v>1.1100000000000001</v>
      </c>
      <c r="AI60">
        <f>ReferenceData!$AI$60</f>
        <v>1.23</v>
      </c>
      <c r="AJ60">
        <f>ReferenceData!$AJ$60</f>
        <v>1.1200000000000001</v>
      </c>
      <c r="AK60">
        <f>ReferenceData!$AK$60</f>
        <v>1.2</v>
      </c>
      <c r="AL60">
        <f>ReferenceData!$AL$60</f>
        <v>0.85</v>
      </c>
      <c r="AM60">
        <f>ReferenceData!$AM$60</f>
        <v>0.86</v>
      </c>
      <c r="AN60">
        <f>ReferenceData!$AN$60</f>
        <v>1.01</v>
      </c>
      <c r="AO60">
        <f>ReferenceData!$AO$60</f>
        <v>1.04</v>
      </c>
      <c r="AP60">
        <f>ReferenceData!$AP$60</f>
        <v>0.59</v>
      </c>
      <c r="AQ60">
        <f>ReferenceData!$AQ$60</f>
        <v>0.78</v>
      </c>
      <c r="AR60">
        <f>ReferenceData!$AR$60</f>
        <v>0.83</v>
      </c>
      <c r="AS60">
        <f>ReferenceData!$AS$60</f>
        <v>1.01</v>
      </c>
      <c r="AT60">
        <f>ReferenceData!$AT$60</f>
        <v>1.03</v>
      </c>
      <c r="AU60">
        <f>ReferenceData!$AU$60</f>
        <v>0.86</v>
      </c>
      <c r="AV60">
        <f>ReferenceData!$AV$60</f>
        <v>1.19</v>
      </c>
      <c r="AW60">
        <f>ReferenceData!$AW$60</f>
        <v>1.38</v>
      </c>
      <c r="AX60">
        <f>ReferenceData!$AX$60</f>
        <v>1.4</v>
      </c>
      <c r="AY60">
        <f>ReferenceData!$AY$60</f>
        <v>1.1499999999999999</v>
      </c>
      <c r="AZ60">
        <f>ReferenceData!$AZ$60</f>
        <v>1.28</v>
      </c>
      <c r="BA60">
        <f>ReferenceData!$BA$60</f>
        <v>1.17</v>
      </c>
      <c r="BB60">
        <f>ReferenceData!$BB$60</f>
        <v>1.34</v>
      </c>
      <c r="BC60">
        <f>ReferenceData!$BC$60</f>
        <v>1.41</v>
      </c>
      <c r="BD60">
        <f>ReferenceData!$BD$60</f>
        <v>1.3</v>
      </c>
      <c r="BE60">
        <f>ReferenceData!$BE$60</f>
        <v>1.43</v>
      </c>
      <c r="BF60">
        <f>ReferenceData!$BF$60</f>
        <v>1.56</v>
      </c>
      <c r="BG60">
        <f>ReferenceData!$BG$60</f>
        <v>1.65</v>
      </c>
      <c r="BH60">
        <f>ReferenceData!$BH$60</f>
        <v>1.51</v>
      </c>
      <c r="BI60">
        <f>ReferenceData!$BI$60</f>
        <v>1.48</v>
      </c>
      <c r="BJ60">
        <f>ReferenceData!$BJ$60</f>
        <v>1.35</v>
      </c>
      <c r="BK60">
        <f>ReferenceData!$BK$60</f>
        <v>1.4</v>
      </c>
      <c r="BL60">
        <f>ReferenceData!$BL$60</f>
        <v>1.18</v>
      </c>
      <c r="BM60">
        <f>ReferenceData!$BM$60</f>
        <v>1.18</v>
      </c>
      <c r="BN60">
        <f>ReferenceData!$BN$60</f>
        <v>1.22</v>
      </c>
      <c r="BO60">
        <f>ReferenceData!$BO$60</f>
        <v>1.28</v>
      </c>
      <c r="BP60">
        <f>ReferenceData!$BP$60</f>
        <v>1.23</v>
      </c>
      <c r="BQ60">
        <f>ReferenceData!$BQ$60</f>
        <v>1.1000000000000001</v>
      </c>
      <c r="BR60">
        <f>ReferenceData!$BR$60</f>
        <v>1.29</v>
      </c>
      <c r="BS60">
        <f>ReferenceData!$BS$60</f>
        <v>1.43</v>
      </c>
      <c r="BT60">
        <f>ReferenceData!$BT$60</f>
        <v>1.4</v>
      </c>
      <c r="BU60">
        <f>ReferenceData!$BU$60</f>
        <v>1.19</v>
      </c>
      <c r="BV60">
        <f>ReferenceData!$BV$60</f>
        <v>1.26</v>
      </c>
      <c r="BW60">
        <f>ReferenceData!$BW$60</f>
        <v>1.24</v>
      </c>
      <c r="BX60">
        <f>ReferenceData!$BX$60</f>
        <v>1.33</v>
      </c>
      <c r="BY60">
        <f>ReferenceData!$BY$60</f>
        <v>1.26</v>
      </c>
      <c r="BZ60">
        <f>ReferenceData!$BZ$60</f>
        <v>1.25</v>
      </c>
      <c r="CA60">
        <f>ReferenceData!$CA$60</f>
        <v>1.28</v>
      </c>
      <c r="CB60">
        <f>ReferenceData!$CB$60</f>
        <v>1.4</v>
      </c>
      <c r="CC60">
        <f>ReferenceData!$CC$60</f>
        <v>1.32</v>
      </c>
      <c r="CD60">
        <f>ReferenceData!$CD$60</f>
        <v>1.1000000000000001</v>
      </c>
      <c r="CE60">
        <f>ReferenceData!$CE$60</f>
        <v>1.33</v>
      </c>
      <c r="CF60">
        <f>ReferenceData!$CF$60</f>
        <v>1.3900000000000001</v>
      </c>
      <c r="CG60">
        <f>ReferenceData!$CG$60</f>
        <v>1.47</v>
      </c>
    </row>
    <row r="61" spans="1:85" x14ac:dyDescent="0.25">
      <c r="A61" t="str">
        <f>ReferenceData!$A$61</f>
        <v xml:space="preserve">    </v>
      </c>
      <c r="B61" t="str">
        <f>ReferenceData!$B$61</f>
        <v/>
      </c>
      <c r="C61" t="str">
        <f>ReferenceData!$C$61</f>
        <v/>
      </c>
      <c r="D61" t="str">
        <f>ReferenceData!$D$61</f>
        <v/>
      </c>
      <c r="E61" t="str">
        <f>ReferenceData!$E$61</f>
        <v>Static</v>
      </c>
      <c r="F61" t="str">
        <f>ReferenceData!$F$61</f>
        <v/>
      </c>
      <c r="G61" t="str">
        <f>ReferenceData!$G$61</f>
        <v/>
      </c>
      <c r="H61" t="str">
        <f>ReferenceData!$H$61</f>
        <v/>
      </c>
      <c r="I61" t="str">
        <f>ReferenceData!$I$61</f>
        <v/>
      </c>
      <c r="J61" t="str">
        <f>ReferenceData!$J$61</f>
        <v/>
      </c>
      <c r="K61" t="str">
        <f>ReferenceData!$K$61</f>
        <v/>
      </c>
      <c r="L61" t="str">
        <f>ReferenceData!$L$61</f>
        <v/>
      </c>
      <c r="M61" t="str">
        <f>ReferenceData!$M$61</f>
        <v/>
      </c>
      <c r="N61" t="str">
        <f>ReferenceData!$N$61</f>
        <v/>
      </c>
      <c r="O61" t="str">
        <f>ReferenceData!$O$61</f>
        <v/>
      </c>
      <c r="P61" t="str">
        <f>ReferenceData!$P$61</f>
        <v/>
      </c>
      <c r="Q61" t="str">
        <f>ReferenceData!$Q$61</f>
        <v/>
      </c>
      <c r="R61" t="str">
        <f>ReferenceData!$R$61</f>
        <v/>
      </c>
      <c r="S61" t="str">
        <f>ReferenceData!$S$61</f>
        <v/>
      </c>
      <c r="T61" t="str">
        <f>ReferenceData!$T$61</f>
        <v/>
      </c>
      <c r="U61" t="str">
        <f>ReferenceData!$U$61</f>
        <v/>
      </c>
      <c r="V61" t="str">
        <f>ReferenceData!$V$61</f>
        <v/>
      </c>
      <c r="W61" t="str">
        <f>ReferenceData!$W$61</f>
        <v/>
      </c>
      <c r="X61" t="str">
        <f>ReferenceData!$X$61</f>
        <v/>
      </c>
      <c r="Y61" t="str">
        <f>ReferenceData!$Y$61</f>
        <v/>
      </c>
      <c r="Z61" t="str">
        <f>ReferenceData!$Z$61</f>
        <v/>
      </c>
      <c r="AA61" t="str">
        <f>ReferenceData!$AA$61</f>
        <v/>
      </c>
      <c r="AB61" t="str">
        <f>ReferenceData!$AB$61</f>
        <v/>
      </c>
      <c r="AC61" t="str">
        <f>ReferenceData!$AC$61</f>
        <v/>
      </c>
      <c r="AD61" t="str">
        <f>ReferenceData!$AD$61</f>
        <v/>
      </c>
      <c r="AE61" t="str">
        <f>ReferenceData!$AE$61</f>
        <v/>
      </c>
      <c r="AF61" t="str">
        <f>ReferenceData!$AF$61</f>
        <v/>
      </c>
      <c r="AG61" t="str">
        <f>ReferenceData!$AG$61</f>
        <v/>
      </c>
      <c r="AH61" t="str">
        <f>ReferenceData!$AH$61</f>
        <v/>
      </c>
      <c r="AI61" t="str">
        <f>ReferenceData!$AI$61</f>
        <v/>
      </c>
      <c r="AJ61" t="str">
        <f>ReferenceData!$AJ$61</f>
        <v/>
      </c>
      <c r="AK61" t="str">
        <f>ReferenceData!$AK$61</f>
        <v/>
      </c>
      <c r="AL61" t="str">
        <f>ReferenceData!$AL$61</f>
        <v/>
      </c>
      <c r="AM61" t="str">
        <f>ReferenceData!$AM$61</f>
        <v/>
      </c>
      <c r="AN61" t="str">
        <f>ReferenceData!$AN$61</f>
        <v/>
      </c>
      <c r="AO61" t="str">
        <f>ReferenceData!$AO$61</f>
        <v/>
      </c>
      <c r="AP61" t="str">
        <f>ReferenceData!$AP$61</f>
        <v/>
      </c>
      <c r="AQ61" t="str">
        <f>ReferenceData!$AQ$61</f>
        <v/>
      </c>
      <c r="AR61" t="str">
        <f>ReferenceData!$AR$61</f>
        <v/>
      </c>
      <c r="AS61" t="str">
        <f>ReferenceData!$AS$61</f>
        <v/>
      </c>
      <c r="AT61" t="str">
        <f>ReferenceData!$AT$61</f>
        <v/>
      </c>
      <c r="AU61" t="str">
        <f>ReferenceData!$AU$61</f>
        <v/>
      </c>
      <c r="AV61" t="str">
        <f>ReferenceData!$AV$61</f>
        <v/>
      </c>
      <c r="AW61" t="str">
        <f>ReferenceData!$AW$61</f>
        <v/>
      </c>
      <c r="AX61" t="str">
        <f>ReferenceData!$AX$61</f>
        <v/>
      </c>
      <c r="AY61" t="str">
        <f>ReferenceData!$AY$61</f>
        <v/>
      </c>
      <c r="AZ61" t="str">
        <f>ReferenceData!$AZ$61</f>
        <v/>
      </c>
      <c r="BA61" t="str">
        <f>ReferenceData!$BA$61</f>
        <v/>
      </c>
      <c r="BB61" t="str">
        <f>ReferenceData!$BB$61</f>
        <v/>
      </c>
      <c r="BC61" t="str">
        <f>ReferenceData!$BC$61</f>
        <v/>
      </c>
      <c r="BD61" t="str">
        <f>ReferenceData!$BD$61</f>
        <v/>
      </c>
      <c r="BE61" t="str">
        <f>ReferenceData!$BE$61</f>
        <v/>
      </c>
      <c r="BF61" t="str">
        <f>ReferenceData!$BF$61</f>
        <v/>
      </c>
      <c r="BG61" t="str">
        <f>ReferenceData!$BG$61</f>
        <v/>
      </c>
      <c r="BH61" t="str">
        <f>ReferenceData!$BH$61</f>
        <v/>
      </c>
      <c r="BI61" t="str">
        <f>ReferenceData!$BI$61</f>
        <v/>
      </c>
      <c r="BJ61" t="str">
        <f>ReferenceData!$BJ$61</f>
        <v/>
      </c>
      <c r="BK61" t="str">
        <f>ReferenceData!$BK$61</f>
        <v/>
      </c>
      <c r="BL61" t="str">
        <f>ReferenceData!$BL$61</f>
        <v/>
      </c>
      <c r="BM61" t="str">
        <f>ReferenceData!$BM$61</f>
        <v/>
      </c>
      <c r="BN61" t="str">
        <f>ReferenceData!$BN$61</f>
        <v/>
      </c>
      <c r="BO61" t="str">
        <f>ReferenceData!$BO$61</f>
        <v/>
      </c>
      <c r="BP61" t="str">
        <f>ReferenceData!$BP$61</f>
        <v/>
      </c>
      <c r="BQ61" t="str">
        <f>ReferenceData!$BQ$61</f>
        <v/>
      </c>
      <c r="BR61" t="str">
        <f>ReferenceData!$BR$61</f>
        <v/>
      </c>
      <c r="BS61" t="str">
        <f>ReferenceData!$BS$61</f>
        <v/>
      </c>
      <c r="BT61" t="str">
        <f>ReferenceData!$BT$61</f>
        <v/>
      </c>
      <c r="BU61" t="str">
        <f>ReferenceData!$BU$61</f>
        <v/>
      </c>
      <c r="BV61" t="str">
        <f>ReferenceData!$BV$61</f>
        <v/>
      </c>
      <c r="BW61" t="str">
        <f>ReferenceData!$BW$61</f>
        <v/>
      </c>
      <c r="BX61" t="str">
        <f>ReferenceData!$BX$61</f>
        <v/>
      </c>
      <c r="BY61" t="str">
        <f>ReferenceData!$BY$61</f>
        <v/>
      </c>
      <c r="BZ61" t="str">
        <f>ReferenceData!$BZ$61</f>
        <v/>
      </c>
      <c r="CA61" t="str">
        <f>ReferenceData!$CA$61</f>
        <v/>
      </c>
      <c r="CB61" t="str">
        <f>ReferenceData!$CB$61</f>
        <v/>
      </c>
      <c r="CC61" t="str">
        <f>ReferenceData!$CC$61</f>
        <v/>
      </c>
      <c r="CD61" t="str">
        <f>ReferenceData!$CD$61</f>
        <v/>
      </c>
      <c r="CE61" t="str">
        <f>ReferenceData!$CE$61</f>
        <v/>
      </c>
      <c r="CF61" t="str">
        <f>ReferenceData!$CF$61</f>
        <v/>
      </c>
      <c r="CG61" t="str">
        <f>ReferenceData!$CG$61</f>
        <v/>
      </c>
    </row>
    <row r="62" spans="1:85" x14ac:dyDescent="0.25">
      <c r="A62" t="str">
        <f>ReferenceData!$A$62</f>
        <v>ECB LIQUIDITY CONDITIONS (DAILY)  (EUR B)</v>
      </c>
      <c r="B62" t="str">
        <f>ReferenceData!$B$62</f>
        <v/>
      </c>
      <c r="C62" t="str">
        <f>ReferenceData!$C$62</f>
        <v/>
      </c>
      <c r="D62" t="str">
        <f>ReferenceData!$D$62</f>
        <v/>
      </c>
      <c r="E62" t="str">
        <f>ReferenceData!$E$62</f>
        <v>Static</v>
      </c>
      <c r="F62" t="str">
        <f>ReferenceData!$F$62</f>
        <v/>
      </c>
      <c r="G62" t="str">
        <f>ReferenceData!$G$62</f>
        <v/>
      </c>
      <c r="H62" t="str">
        <f>ReferenceData!$H$62</f>
        <v/>
      </c>
      <c r="I62" t="str">
        <f>ReferenceData!$I$62</f>
        <v/>
      </c>
      <c r="J62" t="str">
        <f>ReferenceData!$J$62</f>
        <v/>
      </c>
      <c r="K62" t="str">
        <f>ReferenceData!$K$62</f>
        <v/>
      </c>
      <c r="L62" t="str">
        <f>ReferenceData!$L$62</f>
        <v/>
      </c>
      <c r="M62" t="str">
        <f>ReferenceData!$M$62</f>
        <v/>
      </c>
      <c r="N62" t="str">
        <f>ReferenceData!$N$62</f>
        <v/>
      </c>
      <c r="O62" t="str">
        <f>ReferenceData!$O$62</f>
        <v/>
      </c>
      <c r="P62" t="str">
        <f>ReferenceData!$P$62</f>
        <v/>
      </c>
      <c r="Q62" t="str">
        <f>ReferenceData!$Q$62</f>
        <v/>
      </c>
      <c r="R62" t="str">
        <f>ReferenceData!$R$62</f>
        <v/>
      </c>
      <c r="S62" t="str">
        <f>ReferenceData!$S$62</f>
        <v/>
      </c>
      <c r="T62" t="str">
        <f>ReferenceData!$T$62</f>
        <v/>
      </c>
      <c r="U62" t="str">
        <f>ReferenceData!$U$62</f>
        <v/>
      </c>
      <c r="V62" t="str">
        <f>ReferenceData!$V$62</f>
        <v/>
      </c>
      <c r="W62" t="str">
        <f>ReferenceData!$W$62</f>
        <v/>
      </c>
      <c r="X62" t="str">
        <f>ReferenceData!$X$62</f>
        <v/>
      </c>
      <c r="Y62" t="str">
        <f>ReferenceData!$Y$62</f>
        <v/>
      </c>
      <c r="Z62" t="str">
        <f>ReferenceData!$Z$62</f>
        <v/>
      </c>
      <c r="AA62" t="str">
        <f>ReferenceData!$AA$62</f>
        <v/>
      </c>
      <c r="AB62" t="str">
        <f>ReferenceData!$AB$62</f>
        <v/>
      </c>
      <c r="AC62" t="str">
        <f>ReferenceData!$AC$62</f>
        <v/>
      </c>
      <c r="AD62" t="str">
        <f>ReferenceData!$AD$62</f>
        <v/>
      </c>
      <c r="AE62" t="str">
        <f>ReferenceData!$AE$62</f>
        <v/>
      </c>
      <c r="AF62" t="str">
        <f>ReferenceData!$AF$62</f>
        <v/>
      </c>
      <c r="AG62" t="str">
        <f>ReferenceData!$AG$62</f>
        <v/>
      </c>
      <c r="AH62" t="str">
        <f>ReferenceData!$AH$62</f>
        <v/>
      </c>
      <c r="AI62" t="str">
        <f>ReferenceData!$AI$62</f>
        <v/>
      </c>
      <c r="AJ62" t="str">
        <f>ReferenceData!$AJ$62</f>
        <v/>
      </c>
      <c r="AK62" t="str">
        <f>ReferenceData!$AK$62</f>
        <v/>
      </c>
      <c r="AL62" t="str">
        <f>ReferenceData!$AL$62</f>
        <v/>
      </c>
      <c r="AM62" t="str">
        <f>ReferenceData!$AM$62</f>
        <v/>
      </c>
      <c r="AN62" t="str">
        <f>ReferenceData!$AN$62</f>
        <v/>
      </c>
      <c r="AO62" t="str">
        <f>ReferenceData!$AO$62</f>
        <v/>
      </c>
      <c r="AP62" t="str">
        <f>ReferenceData!$AP$62</f>
        <v/>
      </c>
      <c r="AQ62" t="str">
        <f>ReferenceData!$AQ$62</f>
        <v/>
      </c>
      <c r="AR62" t="str">
        <f>ReferenceData!$AR$62</f>
        <v/>
      </c>
      <c r="AS62" t="str">
        <f>ReferenceData!$AS$62</f>
        <v/>
      </c>
      <c r="AT62" t="str">
        <f>ReferenceData!$AT$62</f>
        <v/>
      </c>
      <c r="AU62" t="str">
        <f>ReferenceData!$AU$62</f>
        <v/>
      </c>
      <c r="AV62" t="str">
        <f>ReferenceData!$AV$62</f>
        <v/>
      </c>
      <c r="AW62" t="str">
        <f>ReferenceData!$AW$62</f>
        <v/>
      </c>
      <c r="AX62" t="str">
        <f>ReferenceData!$AX$62</f>
        <v/>
      </c>
      <c r="AY62" t="str">
        <f>ReferenceData!$AY$62</f>
        <v/>
      </c>
      <c r="AZ62" t="str">
        <f>ReferenceData!$AZ$62</f>
        <v/>
      </c>
      <c r="BA62" t="str">
        <f>ReferenceData!$BA$62</f>
        <v/>
      </c>
      <c r="BB62" t="str">
        <f>ReferenceData!$BB$62</f>
        <v/>
      </c>
      <c r="BC62" t="str">
        <f>ReferenceData!$BC$62</f>
        <v/>
      </c>
      <c r="BD62" t="str">
        <f>ReferenceData!$BD$62</f>
        <v/>
      </c>
      <c r="BE62" t="str">
        <f>ReferenceData!$BE$62</f>
        <v/>
      </c>
      <c r="BF62" t="str">
        <f>ReferenceData!$BF$62</f>
        <v/>
      </c>
      <c r="BG62" t="str">
        <f>ReferenceData!$BG$62</f>
        <v/>
      </c>
      <c r="BH62" t="str">
        <f>ReferenceData!$BH$62</f>
        <v/>
      </c>
      <c r="BI62" t="str">
        <f>ReferenceData!$BI$62</f>
        <v/>
      </c>
      <c r="BJ62" t="str">
        <f>ReferenceData!$BJ$62</f>
        <v/>
      </c>
      <c r="BK62" t="str">
        <f>ReferenceData!$BK$62</f>
        <v/>
      </c>
      <c r="BL62" t="str">
        <f>ReferenceData!$BL$62</f>
        <v/>
      </c>
      <c r="BM62" t="str">
        <f>ReferenceData!$BM$62</f>
        <v/>
      </c>
      <c r="BN62" t="str">
        <f>ReferenceData!$BN$62</f>
        <v/>
      </c>
      <c r="BO62" t="str">
        <f>ReferenceData!$BO$62</f>
        <v/>
      </c>
      <c r="BP62" t="str">
        <f>ReferenceData!$BP$62</f>
        <v/>
      </c>
      <c r="BQ62" t="str">
        <f>ReferenceData!$BQ$62</f>
        <v/>
      </c>
      <c r="BR62" t="str">
        <f>ReferenceData!$BR$62</f>
        <v/>
      </c>
      <c r="BS62" t="str">
        <f>ReferenceData!$BS$62</f>
        <v/>
      </c>
      <c r="BT62" t="str">
        <f>ReferenceData!$BT$62</f>
        <v/>
      </c>
      <c r="BU62" t="str">
        <f>ReferenceData!$BU$62</f>
        <v/>
      </c>
      <c r="BV62" t="str">
        <f>ReferenceData!$BV$62</f>
        <v/>
      </c>
      <c r="BW62" t="str">
        <f>ReferenceData!$BW$62</f>
        <v/>
      </c>
      <c r="BX62" t="str">
        <f>ReferenceData!$BX$62</f>
        <v/>
      </c>
      <c r="BY62" t="str">
        <f>ReferenceData!$BY$62</f>
        <v/>
      </c>
      <c r="BZ62" t="str">
        <f>ReferenceData!$BZ$62</f>
        <v/>
      </c>
      <c r="CA62" t="str">
        <f>ReferenceData!$CA$62</f>
        <v/>
      </c>
      <c r="CB62" t="str">
        <f>ReferenceData!$CB$62</f>
        <v/>
      </c>
      <c r="CC62" t="str">
        <f>ReferenceData!$CC$62</f>
        <v/>
      </c>
      <c r="CD62" t="str">
        <f>ReferenceData!$CD$62</f>
        <v/>
      </c>
      <c r="CE62" t="str">
        <f>ReferenceData!$CE$62</f>
        <v/>
      </c>
      <c r="CF62" t="str">
        <f>ReferenceData!$CF$62</f>
        <v/>
      </c>
      <c r="CG62" t="str">
        <f>ReferenceData!$CG$62</f>
        <v/>
      </c>
    </row>
    <row r="63" spans="1:85" x14ac:dyDescent="0.25">
      <c r="A63" t="str">
        <f>ReferenceData!$A$63</f>
        <v xml:space="preserve">    Deposit Facility + Current Account</v>
      </c>
      <c r="B63" t="str">
        <f>ReferenceData!$B$63</f>
        <v/>
      </c>
      <c r="C63" t="str">
        <f>ReferenceData!$C$63</f>
        <v/>
      </c>
      <c r="D63" t="str">
        <f>ReferenceData!$D$63</f>
        <v/>
      </c>
      <c r="E63" t="str">
        <f>ReferenceData!$E$63</f>
        <v>Sum</v>
      </c>
      <c r="F63" t="str">
        <f ca="1">ReferenceData!$F$63</f>
        <v/>
      </c>
      <c r="G63">
        <f>ReferenceData!$G$63</f>
        <v>220.369</v>
      </c>
      <c r="H63">
        <f>ReferenceData!$H$63</f>
        <v>253.62100000000001</v>
      </c>
      <c r="I63">
        <f>ReferenceData!$I$63</f>
        <v>230.84200000000001</v>
      </c>
      <c r="J63">
        <f>ReferenceData!$J$63</f>
        <v>241.46899999999999</v>
      </c>
      <c r="K63">
        <f>ReferenceData!$K$63</f>
        <v>235.62099999999998</v>
      </c>
      <c r="L63">
        <f>ReferenceData!$L$63</f>
        <v>263.83300000000003</v>
      </c>
      <c r="M63">
        <f>ReferenceData!$M$63</f>
        <v>217.70099999999999</v>
      </c>
      <c r="N63">
        <f>ReferenceData!$N$63</f>
        <v>233.80199999999999</v>
      </c>
      <c r="O63">
        <f>ReferenceData!$O$63</f>
        <v>226.339</v>
      </c>
      <c r="P63">
        <f>ReferenceData!$P$63</f>
        <v>241.52100000000002</v>
      </c>
      <c r="Q63">
        <f>ReferenceData!$Q$63</f>
        <v>243.15</v>
      </c>
      <c r="R63">
        <f>ReferenceData!$R$63</f>
        <v>237.77</v>
      </c>
      <c r="S63">
        <f>ReferenceData!$S$63</f>
        <v>217.006</v>
      </c>
      <c r="T63">
        <f>ReferenceData!$T$63</f>
        <v>224.435</v>
      </c>
      <c r="U63">
        <f>ReferenceData!$U$63</f>
        <v>249.30199999999999</v>
      </c>
      <c r="V63">
        <f>ReferenceData!$V$63</f>
        <v>192.31899999999999</v>
      </c>
      <c r="W63">
        <f>ReferenceData!$W$63</f>
        <v>218.89699999999999</v>
      </c>
      <c r="X63">
        <f>ReferenceData!$X$63</f>
        <v>183.863</v>
      </c>
      <c r="Y63">
        <f>ReferenceData!$Y$63</f>
        <v>279.27</v>
      </c>
      <c r="Z63">
        <f>ReferenceData!$Z$63</f>
        <v>190.119</v>
      </c>
      <c r="AA63">
        <f>ReferenceData!$AA$63</f>
        <v>235.39099999999999</v>
      </c>
      <c r="AB63">
        <f>ReferenceData!$AB$63</f>
        <v>219.386</v>
      </c>
      <c r="AC63">
        <f>ReferenceData!$AC$63</f>
        <v>206.86099999999999</v>
      </c>
      <c r="AD63">
        <f>ReferenceData!$AD$63</f>
        <v>207.41800000000001</v>
      </c>
      <c r="AE63">
        <f>ReferenceData!$AE$63</f>
        <v>229.73699999999999</v>
      </c>
      <c r="AF63">
        <f>ReferenceData!$AF$63</f>
        <v>250.25</v>
      </c>
      <c r="AG63">
        <f>ReferenceData!$AG$63</f>
        <v>218.05099999999999</v>
      </c>
      <c r="AH63">
        <f>ReferenceData!$AH$63</f>
        <v>216.76400000000001</v>
      </c>
      <c r="AI63">
        <f>ReferenceData!$AI$63</f>
        <v>228.27600000000001</v>
      </c>
      <c r="AJ63">
        <f>ReferenceData!$AJ$63</f>
        <v>253.626</v>
      </c>
      <c r="AK63">
        <f>ReferenceData!$AK$63</f>
        <v>247.66499999999999</v>
      </c>
      <c r="AL63">
        <f>ReferenceData!$AL$63</f>
        <v>271.75400000000002</v>
      </c>
      <c r="AM63">
        <f>ReferenceData!$AM$63</f>
        <v>271.89400000000001</v>
      </c>
      <c r="AN63">
        <f>ReferenceData!$AN$63</f>
        <v>238.93800000000002</v>
      </c>
      <c r="AO63">
        <f>ReferenceData!$AO$63</f>
        <v>262.08</v>
      </c>
      <c r="AP63">
        <f>ReferenceData!$AP$63</f>
        <v>387.15599999999995</v>
      </c>
      <c r="AQ63">
        <f>ReferenceData!$AQ$63</f>
        <v>303.71100000000001</v>
      </c>
      <c r="AR63">
        <f>ReferenceData!$AR$63</f>
        <v>309.423</v>
      </c>
      <c r="AS63">
        <f>ReferenceData!$AS$63</f>
        <v>261.97800000000001</v>
      </c>
      <c r="AT63">
        <f>ReferenceData!$AT$63</f>
        <v>257.74299999999999</v>
      </c>
      <c r="AU63">
        <f>ReferenceData!$AU$63</f>
        <v>271.59899999999999</v>
      </c>
      <c r="AV63">
        <f>ReferenceData!$AV$63</f>
        <v>261.99599999999998</v>
      </c>
      <c r="AW63">
        <f>ReferenceData!$AW$63</f>
        <v>275.74900000000002</v>
      </c>
      <c r="AX63">
        <f>ReferenceData!$AX$63</f>
        <v>293.01099999999997</v>
      </c>
      <c r="AY63">
        <f>ReferenceData!$AY$63</f>
        <v>279.06200000000001</v>
      </c>
      <c r="AZ63">
        <f>ReferenceData!$AZ$63</f>
        <v>281.49200000000002</v>
      </c>
      <c r="BA63">
        <f>ReferenceData!$BA$63</f>
        <v>314.77200000000005</v>
      </c>
      <c r="BB63">
        <f>ReferenceData!$BB$63</f>
        <v>320.60000000000002</v>
      </c>
      <c r="BC63">
        <f>ReferenceData!$BC$63</f>
        <v>320.702</v>
      </c>
      <c r="BD63">
        <f>ReferenceData!$BD$63</f>
        <v>311.63</v>
      </c>
      <c r="BE63">
        <f>ReferenceData!$BE$63</f>
        <v>324.53800000000001</v>
      </c>
      <c r="BF63">
        <f>ReferenceData!$BF$63</f>
        <v>347.24400000000003</v>
      </c>
      <c r="BG63">
        <f>ReferenceData!$BG$63</f>
        <v>349.11500000000001</v>
      </c>
      <c r="BH63">
        <f>ReferenceData!$BH$63</f>
        <v>342.82900000000001</v>
      </c>
      <c r="BI63">
        <f>ReferenceData!$BI$63</f>
        <v>343.37200000000001</v>
      </c>
      <c r="BJ63">
        <f>ReferenceData!$BJ$63</f>
        <v>362.74099999999999</v>
      </c>
      <c r="BK63">
        <f>ReferenceData!$BK$63</f>
        <v>361.03200000000004</v>
      </c>
      <c r="BL63">
        <f>ReferenceData!$BL$63</f>
        <v>359.67700000000002</v>
      </c>
      <c r="BM63">
        <f>ReferenceData!$BM$63</f>
        <v>335.06299999999999</v>
      </c>
      <c r="BN63">
        <f>ReferenceData!$BN$63</f>
        <v>341.09299999999996</v>
      </c>
      <c r="BO63">
        <f>ReferenceData!$BO$63</f>
        <v>369.96600000000001</v>
      </c>
      <c r="BP63">
        <f>ReferenceData!$BP$63</f>
        <v>375.12599999999998</v>
      </c>
      <c r="BQ63">
        <f>ReferenceData!$BQ$63</f>
        <v>368.50900000000001</v>
      </c>
      <c r="BR63">
        <f>ReferenceData!$BR$63</f>
        <v>362.5</v>
      </c>
      <c r="BS63">
        <f>ReferenceData!$BS$63</f>
        <v>399.77199999999999</v>
      </c>
      <c r="BT63">
        <f>ReferenceData!$BT$63</f>
        <v>380.90499999999997</v>
      </c>
      <c r="BU63">
        <f>ReferenceData!$BU$63</f>
        <v>358.99399999999997</v>
      </c>
      <c r="BV63">
        <f>ReferenceData!$BV$63</f>
        <v>383.62300000000005</v>
      </c>
      <c r="BW63">
        <f>ReferenceData!$BW$63</f>
        <v>402.54300000000001</v>
      </c>
      <c r="BX63">
        <f>ReferenceData!$BX$63</f>
        <v>429.036</v>
      </c>
      <c r="BY63">
        <f>ReferenceData!$BY$63</f>
        <v>420.29999999999995</v>
      </c>
      <c r="BZ63">
        <f>ReferenceData!$BZ$63</f>
        <v>425.61400000000003</v>
      </c>
      <c r="CA63">
        <f>ReferenceData!$CA$63</f>
        <v>435.39099999999996</v>
      </c>
      <c r="CB63">
        <f>ReferenceData!$CB$63</f>
        <v>462.95699999999999</v>
      </c>
      <c r="CC63">
        <f>ReferenceData!$CC$63</f>
        <v>471.81399999999996</v>
      </c>
      <c r="CD63">
        <f>ReferenceData!$CD$63</f>
        <v>463.923</v>
      </c>
      <c r="CE63">
        <f>ReferenceData!$CE$63</f>
        <v>478.428</v>
      </c>
      <c r="CF63">
        <f>ReferenceData!$CF$63</f>
        <v>499.14400000000001</v>
      </c>
      <c r="CG63">
        <f>ReferenceData!$CG$63</f>
        <v>488.88499999999999</v>
      </c>
    </row>
    <row r="64" spans="1:85" x14ac:dyDescent="0.25">
      <c r="A64" t="str">
        <f>ReferenceData!$A$64</f>
        <v xml:space="preserve">        Current Account Holdings</v>
      </c>
      <c r="B64" t="str">
        <f>ReferenceData!$B$64</f>
        <v>ECBLCAHO Index</v>
      </c>
      <c r="C64" t="str">
        <f>ReferenceData!$C$64</f>
        <v/>
      </c>
      <c r="D64" t="str">
        <f>ReferenceData!$D$64</f>
        <v/>
      </c>
      <c r="E64" t="str">
        <f>ReferenceData!$E$64</f>
        <v>Expression</v>
      </c>
      <c r="F64" t="str">
        <f ca="1">ReferenceData!$F$64</f>
        <v/>
      </c>
      <c r="G64">
        <f>ReferenceData!$G$64</f>
        <v>193.71899999999999</v>
      </c>
      <c r="H64">
        <f>ReferenceData!$H$64</f>
        <v>222.75700000000001</v>
      </c>
      <c r="I64">
        <f>ReferenceData!$I$64</f>
        <v>205.21600000000001</v>
      </c>
      <c r="J64">
        <f>ReferenceData!$J$64</f>
        <v>221.62</v>
      </c>
      <c r="K64">
        <f>ReferenceData!$K$64</f>
        <v>214.47499999999999</v>
      </c>
      <c r="L64">
        <f>ReferenceData!$L$64</f>
        <v>219.715</v>
      </c>
      <c r="M64">
        <f>ReferenceData!$M$64</f>
        <v>196.36699999999999</v>
      </c>
      <c r="N64">
        <f>ReferenceData!$N$64</f>
        <v>211.084</v>
      </c>
      <c r="O64">
        <f>ReferenceData!$O$64</f>
        <v>206.155</v>
      </c>
      <c r="P64">
        <f>ReferenceData!$P$64</f>
        <v>214.24600000000001</v>
      </c>
      <c r="Q64">
        <f>ReferenceData!$Q$64</f>
        <v>217.727</v>
      </c>
      <c r="R64">
        <f>ReferenceData!$R$64</f>
        <v>211.226</v>
      </c>
      <c r="S64">
        <f>ReferenceData!$S$64</f>
        <v>199.83099999999999</v>
      </c>
      <c r="T64">
        <f>ReferenceData!$T$64</f>
        <v>187.12299999999999</v>
      </c>
      <c r="U64">
        <f>ReferenceData!$U$64</f>
        <v>209.392</v>
      </c>
      <c r="V64">
        <f>ReferenceData!$V$64</f>
        <v>168.54499999999999</v>
      </c>
      <c r="W64">
        <f>ReferenceData!$W$64</f>
        <v>201.41499999999999</v>
      </c>
      <c r="X64">
        <f>ReferenceData!$X$64</f>
        <v>150.01900000000001</v>
      </c>
      <c r="Y64">
        <f>ReferenceData!$Y$64</f>
        <v>240.19200000000001</v>
      </c>
      <c r="Z64">
        <f>ReferenceData!$Z$64</f>
        <v>166.14500000000001</v>
      </c>
      <c r="AA64">
        <f>ReferenceData!$AA$64</f>
        <v>206.261</v>
      </c>
      <c r="AB64">
        <f>ReferenceData!$AB$64</f>
        <v>198.232</v>
      </c>
      <c r="AC64">
        <f>ReferenceData!$AC$64</f>
        <v>181.13800000000001</v>
      </c>
      <c r="AD64">
        <f>ReferenceData!$AD$64</f>
        <v>179.16200000000001</v>
      </c>
      <c r="AE64">
        <f>ReferenceData!$AE$64</f>
        <v>195.20099999999999</v>
      </c>
      <c r="AF64">
        <f>ReferenceData!$AF$64</f>
        <v>226.755</v>
      </c>
      <c r="AG64">
        <f>ReferenceData!$AG$64</f>
        <v>187.11199999999999</v>
      </c>
      <c r="AH64">
        <f>ReferenceData!$AH$64</f>
        <v>187.393</v>
      </c>
      <c r="AI64">
        <f>ReferenceData!$AI$64</f>
        <v>196.262</v>
      </c>
      <c r="AJ64">
        <f>ReferenceData!$AJ$64</f>
        <v>223.73500000000001</v>
      </c>
      <c r="AK64">
        <f>ReferenceData!$AK$64</f>
        <v>200.44399999999999</v>
      </c>
      <c r="AL64">
        <f>ReferenceData!$AL$64</f>
        <v>215.69</v>
      </c>
      <c r="AM64">
        <f>ReferenceData!$AM$64</f>
        <v>227.88399999999999</v>
      </c>
      <c r="AN64">
        <f>ReferenceData!$AN$64</f>
        <v>202.44900000000001</v>
      </c>
      <c r="AO64">
        <f>ReferenceData!$AO$64</f>
        <v>202.327</v>
      </c>
      <c r="AP64">
        <f>ReferenceData!$AP$64</f>
        <v>298.94299999999998</v>
      </c>
      <c r="AQ64">
        <f>ReferenceData!$AQ$64</f>
        <v>244.083</v>
      </c>
      <c r="AR64">
        <f>ReferenceData!$AR$64</f>
        <v>256.07799999999997</v>
      </c>
      <c r="AS64">
        <f>ReferenceData!$AS$64</f>
        <v>223.637</v>
      </c>
      <c r="AT64">
        <f>ReferenceData!$AT$64</f>
        <v>203.67400000000001</v>
      </c>
      <c r="AU64">
        <f>ReferenceData!$AU$64</f>
        <v>215.452</v>
      </c>
      <c r="AV64">
        <f>ReferenceData!$AV$64</f>
        <v>217.95699999999999</v>
      </c>
      <c r="AW64">
        <f>ReferenceData!$AW$64</f>
        <v>231.88800000000001</v>
      </c>
      <c r="AX64">
        <f>ReferenceData!$AX$64</f>
        <v>230.56899999999999</v>
      </c>
      <c r="AY64">
        <f>ReferenceData!$AY$64</f>
        <v>226.935</v>
      </c>
      <c r="AZ64">
        <f>ReferenceData!$AZ$64</f>
        <v>230.15600000000001</v>
      </c>
      <c r="BA64">
        <f>ReferenceData!$BA$64</f>
        <v>269.10500000000002</v>
      </c>
      <c r="BB64">
        <f>ReferenceData!$BB$64</f>
        <v>268.04700000000003</v>
      </c>
      <c r="BC64">
        <f>ReferenceData!$BC$64</f>
        <v>265.36599999999999</v>
      </c>
      <c r="BD64">
        <f>ReferenceData!$BD$64</f>
        <v>258.76</v>
      </c>
      <c r="BE64">
        <f>ReferenceData!$BE$64</f>
        <v>274.47800000000001</v>
      </c>
      <c r="BF64">
        <f>ReferenceData!$BF$64</f>
        <v>275.81900000000002</v>
      </c>
      <c r="BG64">
        <f>ReferenceData!$BG$64</f>
        <v>269.18099999999998</v>
      </c>
      <c r="BH64">
        <f>ReferenceData!$BH$64</f>
        <v>272.26</v>
      </c>
      <c r="BI64">
        <f>ReferenceData!$BI$64</f>
        <v>256.14800000000002</v>
      </c>
      <c r="BJ64">
        <f>ReferenceData!$BJ$64</f>
        <v>281.53899999999999</v>
      </c>
      <c r="BK64">
        <f>ReferenceData!$BK$64</f>
        <v>284.03500000000003</v>
      </c>
      <c r="BL64">
        <f>ReferenceData!$BL$64</f>
        <v>272.32900000000001</v>
      </c>
      <c r="BM64">
        <f>ReferenceData!$BM$64</f>
        <v>255.821</v>
      </c>
      <c r="BN64">
        <f>ReferenceData!$BN$64</f>
        <v>264.66199999999998</v>
      </c>
      <c r="BO64">
        <f>ReferenceData!$BO$64</f>
        <v>275.34699999999998</v>
      </c>
      <c r="BP64">
        <f>ReferenceData!$BP$64</f>
        <v>271.26400000000001</v>
      </c>
      <c r="BQ64">
        <f>ReferenceData!$BQ$64</f>
        <v>276.32900000000001</v>
      </c>
      <c r="BR64">
        <f>ReferenceData!$BR$64</f>
        <v>279.536</v>
      </c>
      <c r="BS64">
        <f>ReferenceData!$BS$64</f>
        <v>309.815</v>
      </c>
      <c r="BT64">
        <f>ReferenceData!$BT$64</f>
        <v>280.024</v>
      </c>
      <c r="BU64">
        <f>ReferenceData!$BU$64</f>
        <v>273.35399999999998</v>
      </c>
      <c r="BV64">
        <f>ReferenceData!$BV$64</f>
        <v>302.58600000000001</v>
      </c>
      <c r="BW64">
        <f>ReferenceData!$BW$64</f>
        <v>319.50400000000002</v>
      </c>
      <c r="BX64">
        <f>ReferenceData!$BX$64</f>
        <v>333.697</v>
      </c>
      <c r="BY64">
        <f>ReferenceData!$BY$64</f>
        <v>296.19799999999998</v>
      </c>
      <c r="BZ64">
        <f>ReferenceData!$BZ$64</f>
        <v>315.952</v>
      </c>
      <c r="CA64">
        <f>ReferenceData!$CA$64</f>
        <v>329.80099999999999</v>
      </c>
      <c r="CB64">
        <f>ReferenceData!$CB$64</f>
        <v>343.05099999999999</v>
      </c>
      <c r="CC64">
        <f>ReferenceData!$CC$64</f>
        <v>336.91199999999998</v>
      </c>
      <c r="CD64">
        <f>ReferenceData!$CD$64</f>
        <v>319.27499999999998</v>
      </c>
      <c r="CE64">
        <f>ReferenceData!$CE$64</f>
        <v>351.673</v>
      </c>
      <c r="CF64">
        <f>ReferenceData!$CF$64</f>
        <v>366.51</v>
      </c>
      <c r="CG64">
        <f>ReferenceData!$CG$64</f>
        <v>354.80200000000002</v>
      </c>
    </row>
    <row r="65" spans="1:85" x14ac:dyDescent="0.25">
      <c r="A65" t="str">
        <f>ReferenceData!$A$65</f>
        <v xml:space="preserve">        Use of the Deposit Facility</v>
      </c>
      <c r="B65" t="str">
        <f>ReferenceData!$B$65</f>
        <v>ECBLDEPO Index</v>
      </c>
      <c r="C65" t="str">
        <f>ReferenceData!$C$65</f>
        <v/>
      </c>
      <c r="D65" t="str">
        <f>ReferenceData!$D$65</f>
        <v/>
      </c>
      <c r="E65" t="str">
        <f>ReferenceData!$E$65</f>
        <v>Expression</v>
      </c>
      <c r="F65" t="str">
        <f ca="1">ReferenceData!$F$65</f>
        <v/>
      </c>
      <c r="G65">
        <f>ReferenceData!$G$65</f>
        <v>26.65</v>
      </c>
      <c r="H65">
        <f>ReferenceData!$H$65</f>
        <v>30.864000000000001</v>
      </c>
      <c r="I65">
        <f>ReferenceData!$I$65</f>
        <v>25.626000000000001</v>
      </c>
      <c r="J65">
        <f>ReferenceData!$J$65</f>
        <v>19.849</v>
      </c>
      <c r="K65">
        <f>ReferenceData!$K$65</f>
        <v>21.146000000000001</v>
      </c>
      <c r="L65">
        <f>ReferenceData!$L$65</f>
        <v>44.118000000000002</v>
      </c>
      <c r="M65">
        <f>ReferenceData!$M$65</f>
        <v>21.334</v>
      </c>
      <c r="N65">
        <f>ReferenceData!$N$65</f>
        <v>22.718</v>
      </c>
      <c r="O65">
        <f>ReferenceData!$O$65</f>
        <v>20.184000000000001</v>
      </c>
      <c r="P65">
        <f>ReferenceData!$P$65</f>
        <v>27.274999999999999</v>
      </c>
      <c r="Q65">
        <f>ReferenceData!$Q$65</f>
        <v>25.422999999999998</v>
      </c>
      <c r="R65">
        <f>ReferenceData!$R$65</f>
        <v>26.544</v>
      </c>
      <c r="S65">
        <f>ReferenceData!$S$65</f>
        <v>17.175000000000001</v>
      </c>
      <c r="T65">
        <f>ReferenceData!$T$65</f>
        <v>37.311999999999998</v>
      </c>
      <c r="U65">
        <f>ReferenceData!$U$65</f>
        <v>39.909999999999997</v>
      </c>
      <c r="V65">
        <f>ReferenceData!$V$65</f>
        <v>23.774000000000001</v>
      </c>
      <c r="W65">
        <f>ReferenceData!$W$65</f>
        <v>17.481999999999999</v>
      </c>
      <c r="X65">
        <f>ReferenceData!$X$65</f>
        <v>33.844000000000001</v>
      </c>
      <c r="Y65">
        <f>ReferenceData!$Y$65</f>
        <v>39.078000000000003</v>
      </c>
      <c r="Z65">
        <f>ReferenceData!$Z$65</f>
        <v>23.974</v>
      </c>
      <c r="AA65">
        <f>ReferenceData!$AA$65</f>
        <v>29.13</v>
      </c>
      <c r="AB65">
        <f>ReferenceData!$AB$65</f>
        <v>21.154</v>
      </c>
      <c r="AC65">
        <f>ReferenceData!$AC$65</f>
        <v>25.722999999999999</v>
      </c>
      <c r="AD65">
        <f>ReferenceData!$AD$65</f>
        <v>28.256</v>
      </c>
      <c r="AE65">
        <f>ReferenceData!$AE$65</f>
        <v>34.536000000000001</v>
      </c>
      <c r="AF65">
        <f>ReferenceData!$AF$65</f>
        <v>23.495000000000001</v>
      </c>
      <c r="AG65">
        <f>ReferenceData!$AG$65</f>
        <v>30.939</v>
      </c>
      <c r="AH65">
        <f>ReferenceData!$AH$65</f>
        <v>29.370999999999999</v>
      </c>
      <c r="AI65">
        <f>ReferenceData!$AI$65</f>
        <v>32.014000000000003</v>
      </c>
      <c r="AJ65">
        <f>ReferenceData!$AJ$65</f>
        <v>29.890999999999998</v>
      </c>
      <c r="AK65">
        <f>ReferenceData!$AK$65</f>
        <v>47.220999999999997</v>
      </c>
      <c r="AL65">
        <f>ReferenceData!$AL$65</f>
        <v>56.064</v>
      </c>
      <c r="AM65">
        <f>ReferenceData!$AM$65</f>
        <v>44.01</v>
      </c>
      <c r="AN65">
        <f>ReferenceData!$AN$65</f>
        <v>36.488999999999997</v>
      </c>
      <c r="AO65">
        <f>ReferenceData!$AO$65</f>
        <v>59.753</v>
      </c>
      <c r="AP65">
        <f>ReferenceData!$AP$65</f>
        <v>88.212999999999994</v>
      </c>
      <c r="AQ65">
        <f>ReferenceData!$AQ$65</f>
        <v>59.628</v>
      </c>
      <c r="AR65">
        <f>ReferenceData!$AR$65</f>
        <v>53.344999999999999</v>
      </c>
      <c r="AS65">
        <f>ReferenceData!$AS$65</f>
        <v>38.341000000000001</v>
      </c>
      <c r="AT65">
        <f>ReferenceData!$AT$65</f>
        <v>54.069000000000003</v>
      </c>
      <c r="AU65">
        <f>ReferenceData!$AU$65</f>
        <v>56.146999999999998</v>
      </c>
      <c r="AV65">
        <f>ReferenceData!$AV$65</f>
        <v>44.039000000000001</v>
      </c>
      <c r="AW65">
        <f>ReferenceData!$AW$65</f>
        <v>43.860999999999997</v>
      </c>
      <c r="AX65">
        <f>ReferenceData!$AX$65</f>
        <v>62.442</v>
      </c>
      <c r="AY65">
        <f>ReferenceData!$AY$65</f>
        <v>52.127000000000002</v>
      </c>
      <c r="AZ65">
        <f>ReferenceData!$AZ$65</f>
        <v>51.335999999999999</v>
      </c>
      <c r="BA65">
        <f>ReferenceData!$BA$65</f>
        <v>45.667000000000002</v>
      </c>
      <c r="BB65">
        <f>ReferenceData!$BB$65</f>
        <v>52.552999999999997</v>
      </c>
      <c r="BC65">
        <f>ReferenceData!$BC$65</f>
        <v>55.335999999999999</v>
      </c>
      <c r="BD65">
        <f>ReferenceData!$BD$65</f>
        <v>52.87</v>
      </c>
      <c r="BE65">
        <f>ReferenceData!$BE$65</f>
        <v>50.06</v>
      </c>
      <c r="BF65">
        <f>ReferenceData!$BF$65</f>
        <v>71.424999999999997</v>
      </c>
      <c r="BG65">
        <f>ReferenceData!$BG$65</f>
        <v>79.933999999999997</v>
      </c>
      <c r="BH65">
        <f>ReferenceData!$BH$65</f>
        <v>70.569000000000003</v>
      </c>
      <c r="BI65">
        <f>ReferenceData!$BI$65</f>
        <v>87.224000000000004</v>
      </c>
      <c r="BJ65">
        <f>ReferenceData!$BJ$65</f>
        <v>81.201999999999998</v>
      </c>
      <c r="BK65">
        <f>ReferenceData!$BK$65</f>
        <v>76.997</v>
      </c>
      <c r="BL65">
        <f>ReferenceData!$BL$65</f>
        <v>87.347999999999999</v>
      </c>
      <c r="BM65">
        <f>ReferenceData!$BM$65</f>
        <v>79.242000000000004</v>
      </c>
      <c r="BN65">
        <f>ReferenceData!$BN$65</f>
        <v>76.430999999999997</v>
      </c>
      <c r="BO65">
        <f>ReferenceData!$BO$65</f>
        <v>94.619</v>
      </c>
      <c r="BP65">
        <f>ReferenceData!$BP$65</f>
        <v>103.86199999999999</v>
      </c>
      <c r="BQ65">
        <f>ReferenceData!$BQ$65</f>
        <v>92.18</v>
      </c>
      <c r="BR65">
        <f>ReferenceData!$BR$65</f>
        <v>82.963999999999999</v>
      </c>
      <c r="BS65">
        <f>ReferenceData!$BS$65</f>
        <v>89.956999999999994</v>
      </c>
      <c r="BT65">
        <f>ReferenceData!$BT$65</f>
        <v>100.881</v>
      </c>
      <c r="BU65">
        <f>ReferenceData!$BU$65</f>
        <v>85.64</v>
      </c>
      <c r="BV65">
        <f>ReferenceData!$BV$65</f>
        <v>81.037000000000006</v>
      </c>
      <c r="BW65">
        <f>ReferenceData!$BW$65</f>
        <v>83.039000000000001</v>
      </c>
      <c r="BX65">
        <f>ReferenceData!$BX$65</f>
        <v>95.338999999999999</v>
      </c>
      <c r="BY65">
        <f>ReferenceData!$BY$65</f>
        <v>124.102</v>
      </c>
      <c r="BZ65">
        <f>ReferenceData!$BZ$65</f>
        <v>109.66200000000001</v>
      </c>
      <c r="CA65">
        <f>ReferenceData!$CA$65</f>
        <v>105.59</v>
      </c>
      <c r="CB65">
        <f>ReferenceData!$CB$65</f>
        <v>119.90600000000001</v>
      </c>
      <c r="CC65">
        <f>ReferenceData!$CC$65</f>
        <v>134.90199999999999</v>
      </c>
      <c r="CD65">
        <f>ReferenceData!$CD$65</f>
        <v>144.648</v>
      </c>
      <c r="CE65">
        <f>ReferenceData!$CE$65</f>
        <v>126.755</v>
      </c>
      <c r="CF65">
        <f>ReferenceData!$CF$65</f>
        <v>132.63399999999999</v>
      </c>
      <c r="CG65">
        <f>ReferenceData!$CG$65</f>
        <v>134.083</v>
      </c>
    </row>
    <row r="66" spans="1:85" x14ac:dyDescent="0.25">
      <c r="A66" t="str">
        <f>ReferenceData!$A$66</f>
        <v xml:space="preserve">    Average Reserve Requirements (a)</v>
      </c>
      <c r="B66" t="str">
        <f>ReferenceData!$B$66</f>
        <v>ECBLRERE Index</v>
      </c>
      <c r="C66" t="str">
        <f>ReferenceData!$C$66</f>
        <v/>
      </c>
      <c r="D66" t="str">
        <f>ReferenceData!$D$66</f>
        <v/>
      </c>
      <c r="E66" t="str">
        <f>ReferenceData!$E$66</f>
        <v>Expression</v>
      </c>
      <c r="F66" t="str">
        <f ca="1">ReferenceData!$F$66</f>
        <v/>
      </c>
      <c r="G66">
        <f>ReferenceData!$G$66</f>
        <v>105.22499999999999</v>
      </c>
      <c r="H66">
        <f>ReferenceData!$H$66</f>
        <v>105.22499999999999</v>
      </c>
      <c r="I66">
        <f>ReferenceData!$I$66</f>
        <v>105.22499999999999</v>
      </c>
      <c r="J66">
        <f>ReferenceData!$J$66</f>
        <v>105.22499999999999</v>
      </c>
      <c r="K66">
        <f>ReferenceData!$K$66</f>
        <v>105</v>
      </c>
      <c r="L66">
        <f>ReferenceData!$L$66</f>
        <v>105</v>
      </c>
      <c r="M66">
        <f>ReferenceData!$M$66</f>
        <v>105</v>
      </c>
      <c r="N66">
        <f>ReferenceData!$N$66</f>
        <v>105</v>
      </c>
      <c r="O66">
        <f>ReferenceData!$O$66</f>
        <v>105</v>
      </c>
      <c r="P66">
        <f>ReferenceData!$P$66</f>
        <v>104.426</v>
      </c>
      <c r="Q66">
        <f>ReferenceData!$Q$66</f>
        <v>104.428</v>
      </c>
      <c r="R66">
        <f>ReferenceData!$R$66</f>
        <v>104.428</v>
      </c>
      <c r="S66">
        <f>ReferenceData!$S$66</f>
        <v>104.428</v>
      </c>
      <c r="T66">
        <f>ReferenceData!$T$66</f>
        <v>103.925</v>
      </c>
      <c r="U66">
        <f>ReferenceData!$U$66</f>
        <v>103.925</v>
      </c>
      <c r="V66">
        <f>ReferenceData!$V$66</f>
        <v>103.925</v>
      </c>
      <c r="W66">
        <f>ReferenceData!$W$66</f>
        <v>103.925</v>
      </c>
      <c r="X66">
        <f>ReferenceData!$X$66</f>
        <v>103.505</v>
      </c>
      <c r="Y66">
        <f>ReferenceData!$Y$66</f>
        <v>103.505</v>
      </c>
      <c r="Z66">
        <f>ReferenceData!$Z$66</f>
        <v>103.505</v>
      </c>
      <c r="AA66">
        <f>ReferenceData!$AA$66</f>
        <v>103.506</v>
      </c>
      <c r="AB66">
        <f>ReferenceData!$AB$66</f>
        <v>103.50700000000001</v>
      </c>
      <c r="AC66">
        <f>ReferenceData!$AC$66</f>
        <v>103.57</v>
      </c>
      <c r="AD66">
        <f>ReferenceData!$AD$66</f>
        <v>103.57</v>
      </c>
      <c r="AE66">
        <f>ReferenceData!$AE$66</f>
        <v>103.578</v>
      </c>
      <c r="AF66">
        <f>ReferenceData!$AF$66</f>
        <v>103.578</v>
      </c>
      <c r="AG66">
        <f>ReferenceData!$AG$66</f>
        <v>102.833</v>
      </c>
      <c r="AH66">
        <f>ReferenceData!$AH$66</f>
        <v>102.833</v>
      </c>
      <c r="AI66">
        <f>ReferenceData!$AI$66</f>
        <v>102.833</v>
      </c>
      <c r="AJ66">
        <f>ReferenceData!$AJ$66</f>
        <v>102.833</v>
      </c>
      <c r="AK66">
        <f>ReferenceData!$AK$66</f>
        <v>103.61</v>
      </c>
      <c r="AL66">
        <f>ReferenceData!$AL$66</f>
        <v>103.61</v>
      </c>
      <c r="AM66">
        <f>ReferenceData!$AM$66</f>
        <v>103.61</v>
      </c>
      <c r="AN66">
        <f>ReferenceData!$AN$66</f>
        <v>103.61</v>
      </c>
      <c r="AO66">
        <f>ReferenceData!$AO$66</f>
        <v>103.27200000000001</v>
      </c>
      <c r="AP66">
        <f>ReferenceData!$AP$66</f>
        <v>103.27200000000001</v>
      </c>
      <c r="AQ66">
        <f>ReferenceData!$AQ$66</f>
        <v>103.27200000000001</v>
      </c>
      <c r="AR66">
        <f>ReferenceData!$AR$66</f>
        <v>103.197</v>
      </c>
      <c r="AS66">
        <f>ReferenceData!$AS$66</f>
        <v>103.197</v>
      </c>
      <c r="AT66">
        <f>ReferenceData!$AT$66</f>
        <v>103.321</v>
      </c>
      <c r="AU66">
        <f>ReferenceData!$AU$66</f>
        <v>103.321</v>
      </c>
      <c r="AV66">
        <f>ReferenceData!$AV$66</f>
        <v>103.321</v>
      </c>
      <c r="AW66">
        <f>ReferenceData!$AW$66</f>
        <v>103.321</v>
      </c>
      <c r="AX66">
        <f>ReferenceData!$AX$66</f>
        <v>103.76</v>
      </c>
      <c r="AY66">
        <f>ReferenceData!$AY$66</f>
        <v>103.76</v>
      </c>
      <c r="AZ66">
        <f>ReferenceData!$AZ$66</f>
        <v>103.76</v>
      </c>
      <c r="BA66">
        <f>ReferenceData!$BA$66</f>
        <v>103.76</v>
      </c>
      <c r="BB66">
        <f>ReferenceData!$BB$66</f>
        <v>103.76</v>
      </c>
      <c r="BC66">
        <f>ReferenceData!$BC$66</f>
        <v>103.753</v>
      </c>
      <c r="BD66">
        <f>ReferenceData!$BD$66</f>
        <v>103.753</v>
      </c>
      <c r="BE66">
        <f>ReferenceData!$BE$66</f>
        <v>103.753</v>
      </c>
      <c r="BF66">
        <f>ReferenceData!$BF$66</f>
        <v>103.754</v>
      </c>
      <c r="BG66">
        <f>ReferenceData!$BG$66</f>
        <v>104.93899999999999</v>
      </c>
      <c r="BH66">
        <f>ReferenceData!$BH$66</f>
        <v>104.93899999999999</v>
      </c>
      <c r="BI66">
        <f>ReferenceData!$BI$66</f>
        <v>104.93899999999999</v>
      </c>
      <c r="BJ66">
        <f>ReferenceData!$BJ$66</f>
        <v>104.93899999999999</v>
      </c>
      <c r="BK66">
        <f>ReferenceData!$BK$66</f>
        <v>104.93899999999999</v>
      </c>
      <c r="BL66">
        <f>ReferenceData!$BL$66</f>
        <v>104.473</v>
      </c>
      <c r="BM66">
        <f>ReferenceData!$BM$66</f>
        <v>104.473</v>
      </c>
      <c r="BN66">
        <f>ReferenceData!$BN$66</f>
        <v>104.473</v>
      </c>
      <c r="BO66">
        <f>ReferenceData!$BO$66</f>
        <v>104.473</v>
      </c>
      <c r="BP66">
        <f>ReferenceData!$BP$66</f>
        <v>105.066</v>
      </c>
      <c r="BQ66">
        <f>ReferenceData!$BQ$66</f>
        <v>105.066</v>
      </c>
      <c r="BR66">
        <f>ReferenceData!$BR$66</f>
        <v>105.066</v>
      </c>
      <c r="BS66">
        <f>ReferenceData!$BS$66</f>
        <v>105.066</v>
      </c>
      <c r="BT66">
        <f>ReferenceData!$BT$66</f>
        <v>105.30200000000001</v>
      </c>
      <c r="BU66">
        <f>ReferenceData!$BU$66</f>
        <v>105.30200000000001</v>
      </c>
      <c r="BV66">
        <f>ReferenceData!$BV$66</f>
        <v>105.30200000000001</v>
      </c>
      <c r="BW66">
        <f>ReferenceData!$BW$66</f>
        <v>105.303</v>
      </c>
      <c r="BX66">
        <f>ReferenceData!$BX$66</f>
        <v>105.303</v>
      </c>
      <c r="BY66">
        <f>ReferenceData!$BY$66</f>
        <v>104.871</v>
      </c>
      <c r="BZ66">
        <f>ReferenceData!$BZ$66</f>
        <v>104.871</v>
      </c>
      <c r="CA66">
        <f>ReferenceData!$CA$66</f>
        <v>104.871</v>
      </c>
      <c r="CB66">
        <f>ReferenceData!$CB$66</f>
        <v>104.871</v>
      </c>
      <c r="CC66">
        <f>ReferenceData!$CC$66</f>
        <v>104.893</v>
      </c>
      <c r="CD66">
        <f>ReferenceData!$CD$66</f>
        <v>104.893</v>
      </c>
      <c r="CE66">
        <f>ReferenceData!$CE$66</f>
        <v>104.89400000000001</v>
      </c>
      <c r="CF66">
        <f>ReferenceData!$CF$66</f>
        <v>104.89400000000001</v>
      </c>
      <c r="CG66">
        <f>ReferenceData!$CG$66</f>
        <v>105.61799999999999</v>
      </c>
    </row>
    <row r="67" spans="1:85" x14ac:dyDescent="0.25">
      <c r="A67" t="str">
        <f>ReferenceData!$A$67</f>
        <v xml:space="preserve">    Use of the Marginal Lending Facility</v>
      </c>
      <c r="B67" t="str">
        <f>ReferenceData!$B$67</f>
        <v>ECBLMARG Index</v>
      </c>
      <c r="C67" t="str">
        <f>ReferenceData!$C$67</f>
        <v/>
      </c>
      <c r="D67" t="str">
        <f>ReferenceData!$D$67</f>
        <v/>
      </c>
      <c r="E67" t="str">
        <f>ReferenceData!$E$67</f>
        <v>Expression</v>
      </c>
      <c r="F67" t="str">
        <f ca="1">ReferenceData!$F$67</f>
        <v/>
      </c>
      <c r="G67">
        <f>ReferenceData!$G$67</f>
        <v>0.11600000000000001</v>
      </c>
      <c r="H67">
        <f>ReferenceData!$H$67</f>
        <v>0.91700000000000004</v>
      </c>
      <c r="I67">
        <f>ReferenceData!$I$67</f>
        <v>4.0000000000000001E-3</v>
      </c>
      <c r="J67">
        <f>ReferenceData!$J$67</f>
        <v>4.0000000000000001E-3</v>
      </c>
      <c r="K67">
        <f>ReferenceData!$K$67</f>
        <v>1.7000000000000001E-2</v>
      </c>
      <c r="L67">
        <f>ReferenceData!$L$67</f>
        <v>4.4999999999999998E-2</v>
      </c>
      <c r="M67">
        <f>ReferenceData!$M$67</f>
        <v>0.36499999999999999</v>
      </c>
      <c r="N67">
        <f>ReferenceData!$N$67</f>
        <v>0.70099999999999996</v>
      </c>
      <c r="O67">
        <f>ReferenceData!$O$67</f>
        <v>0.2</v>
      </c>
      <c r="P67">
        <f>ReferenceData!$P$67</f>
        <v>0</v>
      </c>
      <c r="Q67">
        <f>ReferenceData!$Q$67</f>
        <v>5.6000000000000001E-2</v>
      </c>
      <c r="R67">
        <f>ReferenceData!$R$67</f>
        <v>5.0000000000000001E-3</v>
      </c>
      <c r="S67">
        <f>ReferenceData!$S$67</f>
        <v>1.0999999999999999E-2</v>
      </c>
      <c r="T67">
        <f>ReferenceData!$T$67</f>
        <v>3.6999999999999998E-2</v>
      </c>
      <c r="U67">
        <f>ReferenceData!$U$67</f>
        <v>6.4000000000000001E-2</v>
      </c>
      <c r="V67">
        <f>ReferenceData!$V$67</f>
        <v>0.125</v>
      </c>
      <c r="W67">
        <f>ReferenceData!$W$67</f>
        <v>1.0999999999999999E-2</v>
      </c>
      <c r="X67">
        <f>ReferenceData!$X$67</f>
        <v>0</v>
      </c>
      <c r="Y67">
        <f>ReferenceData!$Y$67</f>
        <v>0.751</v>
      </c>
      <c r="Z67">
        <f>ReferenceData!$Z$67</f>
        <v>1.7999999999999999E-2</v>
      </c>
      <c r="AA67">
        <f>ReferenceData!$AA$67</f>
        <v>0</v>
      </c>
      <c r="AB67">
        <f>ReferenceData!$AB$67</f>
        <v>0</v>
      </c>
      <c r="AC67">
        <f>ReferenceData!$AC$67</f>
        <v>0.222</v>
      </c>
      <c r="AD67">
        <f>ReferenceData!$AD$67</f>
        <v>1.417</v>
      </c>
      <c r="AE67">
        <f>ReferenceData!$AE$67</f>
        <v>0.91700000000000004</v>
      </c>
      <c r="AF67">
        <f>ReferenceData!$AF$67</f>
        <v>2E-3</v>
      </c>
      <c r="AG67">
        <f>ReferenceData!$AG$67</f>
        <v>0.28399999999999997</v>
      </c>
      <c r="AH67">
        <f>ReferenceData!$AH$67</f>
        <v>0.77600000000000002</v>
      </c>
      <c r="AI67">
        <f>ReferenceData!$AI$67</f>
        <v>0.187</v>
      </c>
      <c r="AJ67">
        <f>ReferenceData!$AJ$67</f>
        <v>0.13500000000000001</v>
      </c>
      <c r="AK67">
        <f>ReferenceData!$AK$67</f>
        <v>0.54800000000000004</v>
      </c>
      <c r="AL67">
        <f>ReferenceData!$AL$67</f>
        <v>0.255</v>
      </c>
      <c r="AM67">
        <f>ReferenceData!$AM$67</f>
        <v>0.17899999999999999</v>
      </c>
      <c r="AN67">
        <f>ReferenceData!$AN$67</f>
        <v>0.114</v>
      </c>
      <c r="AO67">
        <f>ReferenceData!$AO$67</f>
        <v>3.1E-2</v>
      </c>
      <c r="AP67">
        <f>ReferenceData!$AP$67</f>
        <v>0.27</v>
      </c>
      <c r="AQ67">
        <f>ReferenceData!$AQ$67</f>
        <v>0.27400000000000002</v>
      </c>
      <c r="AR67">
        <f>ReferenceData!$AR$67</f>
        <v>0.34100000000000003</v>
      </c>
      <c r="AS67">
        <f>ReferenceData!$AS$67</f>
        <v>0.128</v>
      </c>
      <c r="AT67">
        <f>ReferenceData!$AT$67</f>
        <v>0.158</v>
      </c>
      <c r="AU67">
        <f>ReferenceData!$AU$67</f>
        <v>7.3999999999999996E-2</v>
      </c>
      <c r="AV67">
        <f>ReferenceData!$AV$67</f>
        <v>0.18099999999999999</v>
      </c>
      <c r="AW67">
        <f>ReferenceData!$AW$67</f>
        <v>0</v>
      </c>
      <c r="AX67">
        <f>ReferenceData!$AX$67</f>
        <v>2E-3</v>
      </c>
      <c r="AY67">
        <f>ReferenceData!$AY$67</f>
        <v>2.4E-2</v>
      </c>
      <c r="AZ67">
        <f>ReferenceData!$AZ$67</f>
        <v>0</v>
      </c>
      <c r="BA67">
        <f>ReferenceData!$BA$67</f>
        <v>0</v>
      </c>
      <c r="BB67">
        <f>ReferenceData!$BB$67</f>
        <v>0.314</v>
      </c>
      <c r="BC67">
        <f>ReferenceData!$BC$67</f>
        <v>0.10100000000000001</v>
      </c>
      <c r="BD67">
        <f>ReferenceData!$BD$67</f>
        <v>0.12</v>
      </c>
      <c r="BE67">
        <f>ReferenceData!$BE$67</f>
        <v>0.246</v>
      </c>
      <c r="BF67">
        <f>ReferenceData!$BF$67</f>
        <v>6.7000000000000004E-2</v>
      </c>
      <c r="BG67">
        <f>ReferenceData!$BG$67</f>
        <v>2.2490000000000001</v>
      </c>
      <c r="BH67">
        <f>ReferenceData!$BH$67</f>
        <v>0.13100000000000001</v>
      </c>
      <c r="BI67">
        <f>ReferenceData!$BI$67</f>
        <v>1.4999999999999999E-2</v>
      </c>
      <c r="BJ67">
        <f>ReferenceData!$BJ$67</f>
        <v>0.111</v>
      </c>
      <c r="BK67">
        <f>ReferenceData!$BK$67</f>
        <v>0.21199999999999999</v>
      </c>
      <c r="BL67">
        <f>ReferenceData!$BL$67</f>
        <v>1.9E-2</v>
      </c>
      <c r="BM67">
        <f>ReferenceData!$BM$67</f>
        <v>0.72899999999999998</v>
      </c>
      <c r="BN67">
        <f>ReferenceData!$BN$67</f>
        <v>1.7999999999999999E-2</v>
      </c>
      <c r="BO67">
        <f>ReferenceData!$BO$67</f>
        <v>0.13500000000000001</v>
      </c>
      <c r="BP67">
        <f>ReferenceData!$BP$67</f>
        <v>0.438</v>
      </c>
      <c r="BQ67">
        <f>ReferenceData!$BQ$67</f>
        <v>2.9000000000000001E-2</v>
      </c>
      <c r="BR67">
        <f>ReferenceData!$BR$67</f>
        <v>3.5449999999999999</v>
      </c>
      <c r="BS67">
        <f>ReferenceData!$BS$67</f>
        <v>0.20599999999999999</v>
      </c>
      <c r="BT67">
        <f>ReferenceData!$BT$67</f>
        <v>1.0629999999999999</v>
      </c>
      <c r="BU67">
        <f>ReferenceData!$BU$67</f>
        <v>2.4E-2</v>
      </c>
      <c r="BV67">
        <f>ReferenceData!$BV$67</f>
        <v>0.50600000000000001</v>
      </c>
      <c r="BW67">
        <f>ReferenceData!$BW$67</f>
        <v>0.122</v>
      </c>
      <c r="BX67">
        <f>ReferenceData!$BX$67</f>
        <v>1.1970000000000001</v>
      </c>
      <c r="BY67">
        <f>ReferenceData!$BY$67</f>
        <v>1.881</v>
      </c>
      <c r="BZ67">
        <f>ReferenceData!$BZ$67</f>
        <v>5.0000000000000001E-3</v>
      </c>
      <c r="CA67">
        <f>ReferenceData!$CA$67</f>
        <v>5.0999999999999997E-2</v>
      </c>
      <c r="CB67">
        <f>ReferenceData!$CB$67</f>
        <v>0.57499999999999996</v>
      </c>
      <c r="CC67">
        <f>ReferenceData!$CC$67</f>
        <v>1.9E-2</v>
      </c>
      <c r="CD67">
        <f>ReferenceData!$CD$67</f>
        <v>1.5069999999999999</v>
      </c>
      <c r="CE67">
        <f>ReferenceData!$CE$67</f>
        <v>0.21199999999999999</v>
      </c>
      <c r="CF67">
        <f>ReferenceData!$CF$67</f>
        <v>1.2E-2</v>
      </c>
      <c r="CG67">
        <f>ReferenceData!$CG$67</f>
        <v>1.4999999999999999E-2</v>
      </c>
    </row>
    <row r="68" spans="1:85" x14ac:dyDescent="0.25">
      <c r="A68" t="str">
        <f>ReferenceData!$A$68</f>
        <v xml:space="preserve">    Net Liquidity Effect from Autonomous Factors and SMP</v>
      </c>
      <c r="B68" t="str">
        <f>ReferenceData!$B$68</f>
        <v>ECBLALIQ Index</v>
      </c>
      <c r="C68" t="str">
        <f>ReferenceData!$C$68</f>
        <v/>
      </c>
      <c r="D68" t="str">
        <f>ReferenceData!$D$68</f>
        <v/>
      </c>
      <c r="E68" t="str">
        <f>ReferenceData!$E$68</f>
        <v>Expression</v>
      </c>
      <c r="F68" t="str">
        <f ca="1">ReferenceData!$F$68</f>
        <v/>
      </c>
      <c r="G68">
        <f>ReferenceData!$G$68</f>
        <v>319.053</v>
      </c>
      <c r="H68">
        <f>ReferenceData!$H$68</f>
        <v>310.67399999999998</v>
      </c>
      <c r="I68">
        <f>ReferenceData!$I$68</f>
        <v>313.45400000000001</v>
      </c>
      <c r="J68">
        <f>ReferenceData!$J$68</f>
        <v>306.279</v>
      </c>
      <c r="K68">
        <f>ReferenceData!$K$68</f>
        <v>316.00900000000001</v>
      </c>
      <c r="L68">
        <f>ReferenceData!$L$68</f>
        <v>316.41699999999997</v>
      </c>
      <c r="M68">
        <f>ReferenceData!$M$68</f>
        <v>337.27100000000002</v>
      </c>
      <c r="N68">
        <f>ReferenceData!$N$68</f>
        <v>345.68</v>
      </c>
      <c r="O68">
        <f>ReferenceData!$O$68</f>
        <v>351.279</v>
      </c>
      <c r="P68">
        <f>ReferenceData!$P$68</f>
        <v>353.27600000000001</v>
      </c>
      <c r="Q68">
        <f>ReferenceData!$Q$68</f>
        <v>374.529</v>
      </c>
      <c r="R68">
        <f>ReferenceData!$R$68</f>
        <v>376.55399999999997</v>
      </c>
      <c r="S68">
        <f>ReferenceData!$S$68</f>
        <v>331.75700000000001</v>
      </c>
      <c r="T68">
        <f>ReferenceData!$T$68</f>
        <v>359.74400000000003</v>
      </c>
      <c r="U68">
        <f>ReferenceData!$U$68</f>
        <v>378.291</v>
      </c>
      <c r="V68">
        <f>ReferenceData!$V$68</f>
        <v>362.38600000000002</v>
      </c>
      <c r="W68">
        <f>ReferenceData!$W$68</f>
        <v>340.428</v>
      </c>
      <c r="X68">
        <f>ReferenceData!$X$68</f>
        <v>345.09199999999998</v>
      </c>
      <c r="Y68">
        <f>ReferenceData!$Y$68</f>
        <v>357.29599999999999</v>
      </c>
      <c r="Z68">
        <f>ReferenceData!$Z$68</f>
        <v>333.416</v>
      </c>
      <c r="AA68">
        <f>ReferenceData!$AA$68</f>
        <v>302.11700000000002</v>
      </c>
      <c r="AB68">
        <f>ReferenceData!$AB$68</f>
        <v>297.01499999999999</v>
      </c>
      <c r="AC68">
        <f>ReferenceData!$AC$68</f>
        <v>297.40499999999997</v>
      </c>
      <c r="AD68">
        <f>ReferenceData!$AD$68</f>
        <v>310.505</v>
      </c>
      <c r="AE68">
        <f>ReferenceData!$AE$68</f>
        <v>291.70499999999998</v>
      </c>
      <c r="AF68">
        <f>ReferenceData!$AF$68</f>
        <v>276.26100000000002</v>
      </c>
      <c r="AG68">
        <f>ReferenceData!$AG$68</f>
        <v>314.048</v>
      </c>
      <c r="AH68">
        <f>ReferenceData!$AH$68</f>
        <v>325.82799999999997</v>
      </c>
      <c r="AI68">
        <f>ReferenceData!$AI$68</f>
        <v>315.08600000000001</v>
      </c>
      <c r="AJ68">
        <f>ReferenceData!$AJ$68</f>
        <v>291.69499999999999</v>
      </c>
      <c r="AK68">
        <f>ReferenceData!$AK$68</f>
        <v>302.99299999999999</v>
      </c>
      <c r="AL68">
        <f>ReferenceData!$AL$68</f>
        <v>324.57299999999998</v>
      </c>
      <c r="AM68">
        <f>ReferenceData!$AM$68</f>
        <v>325.32499999999999</v>
      </c>
      <c r="AN68">
        <f>ReferenceData!$AN$68</f>
        <v>311.245</v>
      </c>
      <c r="AO68">
        <f>ReferenceData!$AO$68</f>
        <v>311.827</v>
      </c>
      <c r="AP68">
        <f>ReferenceData!$AP$68</f>
        <v>317.35300000000001</v>
      </c>
      <c r="AQ68">
        <f>ReferenceData!$AQ$68</f>
        <v>330.68099999999998</v>
      </c>
      <c r="AR68">
        <f>ReferenceData!$AR$68</f>
        <v>318.75700000000001</v>
      </c>
      <c r="AS68">
        <f>ReferenceData!$AS$68</f>
        <v>324.17500000000001</v>
      </c>
      <c r="AT68">
        <f>ReferenceData!$AT$68</f>
        <v>324.86200000000002</v>
      </c>
      <c r="AU68">
        <f>ReferenceData!$AU$68</f>
        <v>346.976</v>
      </c>
      <c r="AV68">
        <f>ReferenceData!$AV$68</f>
        <v>328.96199999999999</v>
      </c>
      <c r="AW68">
        <f>ReferenceData!$AW$68</f>
        <v>319.57400000000001</v>
      </c>
      <c r="AX68">
        <f>ReferenceData!$AX$68</f>
        <v>310.11399999999998</v>
      </c>
      <c r="AY68">
        <f>ReferenceData!$AY$68</f>
        <v>330.59100000000001</v>
      </c>
      <c r="AZ68">
        <f>ReferenceData!$AZ$68</f>
        <v>331.96100000000001</v>
      </c>
      <c r="BA68">
        <f>ReferenceData!$BA$68</f>
        <v>305.33800000000002</v>
      </c>
      <c r="BB68">
        <f>ReferenceData!$BB$68</f>
        <v>302.80200000000002</v>
      </c>
      <c r="BC68">
        <f>ReferenceData!$BC$68</f>
        <v>312.16399999999999</v>
      </c>
      <c r="BD68">
        <f>ReferenceData!$BD$68</f>
        <v>324.166</v>
      </c>
      <c r="BE68">
        <f>ReferenceData!$BE$68</f>
        <v>319.471</v>
      </c>
      <c r="BF68">
        <f>ReferenceData!$BF$68</f>
        <v>301.161</v>
      </c>
      <c r="BG68">
        <f>ReferenceData!$BG$68</f>
        <v>306.36099999999999</v>
      </c>
      <c r="BH68">
        <f>ReferenceData!$BH$68</f>
        <v>316.68200000000002</v>
      </c>
      <c r="BI68">
        <f>ReferenceData!$BI$68</f>
        <v>314.39699999999999</v>
      </c>
      <c r="BJ68">
        <f>ReferenceData!$BJ$68</f>
        <v>295.61</v>
      </c>
      <c r="BK68">
        <f>ReferenceData!$BK$68</f>
        <v>299.988</v>
      </c>
      <c r="BL68">
        <f>ReferenceData!$BL$68</f>
        <v>309.66000000000003</v>
      </c>
      <c r="BM68">
        <f>ReferenceData!$BM$68</f>
        <v>329.93200000000002</v>
      </c>
      <c r="BN68">
        <f>ReferenceData!$BN$68</f>
        <v>328.02300000000002</v>
      </c>
      <c r="BO68">
        <f>ReferenceData!$BO$68</f>
        <v>298.52600000000001</v>
      </c>
      <c r="BP68">
        <f>ReferenceData!$BP$68</f>
        <v>302.26799999999997</v>
      </c>
      <c r="BQ68">
        <f>ReferenceData!$BQ$68</f>
        <v>320.50599999999997</v>
      </c>
      <c r="BR68">
        <f>ReferenceData!$BR$68</f>
        <v>319.65199999999999</v>
      </c>
      <c r="BS68">
        <f>ReferenceData!$BS$68</f>
        <v>288.52</v>
      </c>
      <c r="BT68">
        <f>ReferenceData!$BT$68</f>
        <v>305.68900000000002</v>
      </c>
      <c r="BU68">
        <f>ReferenceData!$BU$68</f>
        <v>330.19600000000003</v>
      </c>
      <c r="BV68">
        <f>ReferenceData!$BV$68</f>
        <v>327.517</v>
      </c>
      <c r="BW68">
        <f>ReferenceData!$BW$68</f>
        <v>295.29199999999997</v>
      </c>
      <c r="BX68">
        <f>ReferenceData!$BX$68</f>
        <v>282.67500000000001</v>
      </c>
      <c r="BY68">
        <f>ReferenceData!$BY$68</f>
        <v>286.08800000000002</v>
      </c>
      <c r="BZ68">
        <f>ReferenceData!$BZ$68</f>
        <v>287.01799999999997</v>
      </c>
      <c r="CA68">
        <f>ReferenceData!$CA$68</f>
        <v>291.42500000000001</v>
      </c>
      <c r="CB68">
        <f>ReferenceData!$CB$68</f>
        <v>278.39999999999998</v>
      </c>
      <c r="CC68">
        <f>ReferenceData!$CC$68</f>
        <v>282.91199999999998</v>
      </c>
      <c r="CD68">
        <f>ReferenceData!$CD$68</f>
        <v>296.17700000000002</v>
      </c>
      <c r="CE68">
        <f>ReferenceData!$CE$68</f>
        <v>286.14600000000002</v>
      </c>
      <c r="CF68">
        <f>ReferenceData!$CF$68</f>
        <v>280.05700000000002</v>
      </c>
      <c r="CG68">
        <f>ReferenceData!$CG$68</f>
        <v>301.666</v>
      </c>
    </row>
    <row r="69" spans="1:85" x14ac:dyDescent="0.25">
      <c r="A69" t="str">
        <f>ReferenceData!$A$69</f>
        <v xml:space="preserve">    Overnight Deposit Facility Rate (%)</v>
      </c>
      <c r="B69" t="str">
        <f>ReferenceData!$B$69</f>
        <v>EUORDEPO Index</v>
      </c>
      <c r="C69" t="str">
        <f>ReferenceData!$C$69</f>
        <v/>
      </c>
      <c r="D69" t="str">
        <f>ReferenceData!$D$69</f>
        <v/>
      </c>
      <c r="E69" t="str">
        <f>ReferenceData!$E$69</f>
        <v>Expression</v>
      </c>
      <c r="F69" t="str">
        <f ca="1">ReferenceData!$F$69</f>
        <v/>
      </c>
      <c r="G69">
        <f>ReferenceData!$G$69</f>
        <v>-0.2</v>
      </c>
      <c r="H69">
        <f>ReferenceData!$H$69</f>
        <v>-0.1</v>
      </c>
      <c r="I69">
        <f>ReferenceData!$I$69</f>
        <v>-0.1</v>
      </c>
      <c r="J69">
        <f>ReferenceData!$J$69</f>
        <v>-0.1</v>
      </c>
      <c r="K69">
        <f>ReferenceData!$K$69</f>
        <v>-0.1</v>
      </c>
      <c r="L69">
        <f>ReferenceData!$L$69</f>
        <v>-0.1</v>
      </c>
      <c r="M69">
        <f>ReferenceData!$M$69</f>
        <v>-0.1</v>
      </c>
      <c r="N69">
        <f>ReferenceData!$N$69</f>
        <v>-0.1</v>
      </c>
      <c r="O69">
        <f>ReferenceData!$O$69</f>
        <v>-0.1</v>
      </c>
      <c r="P69">
        <f>ReferenceData!$P$69</f>
        <v>-0.1</v>
      </c>
      <c r="Q69">
        <f>ReferenceData!$Q$69</f>
        <v>-0.1</v>
      </c>
      <c r="R69">
        <f>ReferenceData!$R$69</f>
        <v>-0.1</v>
      </c>
      <c r="S69">
        <f>ReferenceData!$S$69</f>
        <v>-0.1</v>
      </c>
      <c r="T69">
        <f>ReferenceData!$T$69</f>
        <v>-0.1</v>
      </c>
      <c r="U69">
        <f>ReferenceData!$U$69</f>
        <v>0</v>
      </c>
      <c r="V69">
        <f>ReferenceData!$V$69</f>
        <v>0</v>
      </c>
      <c r="W69">
        <f>ReferenceData!$W$69</f>
        <v>0</v>
      </c>
      <c r="X69">
        <f>ReferenceData!$X$69</f>
        <v>0</v>
      </c>
      <c r="Y69">
        <f>ReferenceData!$Y$69</f>
        <v>0</v>
      </c>
      <c r="Z69">
        <f>ReferenceData!$Z$69</f>
        <v>0</v>
      </c>
      <c r="AA69">
        <f>ReferenceData!$AA$69</f>
        <v>0</v>
      </c>
      <c r="AB69">
        <f>ReferenceData!$AB$69</f>
        <v>0</v>
      </c>
      <c r="AC69">
        <f>ReferenceData!$AC$69</f>
        <v>0</v>
      </c>
      <c r="AD69">
        <f>ReferenceData!$AD$69</f>
        <v>0</v>
      </c>
      <c r="AE69">
        <f>ReferenceData!$AE$69</f>
        <v>0</v>
      </c>
      <c r="AF69">
        <f>ReferenceData!$AF$69</f>
        <v>0</v>
      </c>
      <c r="AG69">
        <f>ReferenceData!$AG$69</f>
        <v>0</v>
      </c>
      <c r="AH69" t="str">
        <f>ReferenceData!$AH$69</f>
        <v/>
      </c>
      <c r="AI69">
        <f>ReferenceData!$AI$69</f>
        <v>0</v>
      </c>
      <c r="AJ69" t="str">
        <f>ReferenceData!$AJ$69</f>
        <v/>
      </c>
      <c r="AK69">
        <f>ReferenceData!$AK$69</f>
        <v>0</v>
      </c>
      <c r="AL69" t="str">
        <f>ReferenceData!$AL$69</f>
        <v/>
      </c>
      <c r="AM69">
        <f>ReferenceData!$AM$69</f>
        <v>0</v>
      </c>
      <c r="AN69" t="str">
        <f>ReferenceData!$AN$69</f>
        <v/>
      </c>
      <c r="AO69">
        <f>ReferenceData!$AO$69</f>
        <v>0</v>
      </c>
      <c r="AP69" t="str">
        <f>ReferenceData!$AP$69</f>
        <v/>
      </c>
      <c r="AQ69" t="str">
        <f>ReferenceData!$AQ$69</f>
        <v/>
      </c>
      <c r="AR69">
        <f>ReferenceData!$AR$69</f>
        <v>0</v>
      </c>
      <c r="AS69" t="str">
        <f>ReferenceData!$AS$69</f>
        <v/>
      </c>
      <c r="AT69">
        <f>ReferenceData!$AT$69</f>
        <v>0</v>
      </c>
      <c r="AU69" t="str">
        <f>ReferenceData!$AU$69</f>
        <v/>
      </c>
      <c r="AV69">
        <f>ReferenceData!$AV$69</f>
        <v>0</v>
      </c>
      <c r="AW69" t="str">
        <f>ReferenceData!$AW$69</f>
        <v/>
      </c>
      <c r="AX69">
        <f>ReferenceData!$AX$69</f>
        <v>0</v>
      </c>
      <c r="AY69" t="str">
        <f>ReferenceData!$AY$69</f>
        <v/>
      </c>
      <c r="AZ69" t="str">
        <f>ReferenceData!$AZ$69</f>
        <v/>
      </c>
      <c r="BA69">
        <f>ReferenceData!$BA$69</f>
        <v>0</v>
      </c>
      <c r="BB69" t="str">
        <f>ReferenceData!$BB$69</f>
        <v/>
      </c>
      <c r="BC69">
        <f>ReferenceData!$BC$69</f>
        <v>0</v>
      </c>
      <c r="BD69" t="str">
        <f>ReferenceData!$BD$69</f>
        <v/>
      </c>
      <c r="BE69">
        <f>ReferenceData!$BE$69</f>
        <v>0</v>
      </c>
      <c r="BF69" t="str">
        <f>ReferenceData!$BF$69</f>
        <v/>
      </c>
      <c r="BG69">
        <f>ReferenceData!$BG$69</f>
        <v>0</v>
      </c>
      <c r="BH69" t="str">
        <f>ReferenceData!$BH$69</f>
        <v/>
      </c>
      <c r="BI69">
        <f>ReferenceData!$BI$69</f>
        <v>0</v>
      </c>
      <c r="BJ69" t="str">
        <f>ReferenceData!$BJ$69</f>
        <v/>
      </c>
      <c r="BK69" t="str">
        <f>ReferenceData!$BK$69</f>
        <v/>
      </c>
      <c r="BL69">
        <f>ReferenceData!$BL$69</f>
        <v>0</v>
      </c>
      <c r="BM69" t="str">
        <f>ReferenceData!$BM$69</f>
        <v/>
      </c>
      <c r="BN69">
        <f>ReferenceData!$BN$69</f>
        <v>0</v>
      </c>
      <c r="BO69">
        <f>ReferenceData!$BO$69</f>
        <v>0</v>
      </c>
      <c r="BP69">
        <f>ReferenceData!$BP$69</f>
        <v>0</v>
      </c>
      <c r="BQ69">
        <f>ReferenceData!$BQ$69</f>
        <v>0</v>
      </c>
      <c r="BR69">
        <f>ReferenceData!$BR$69</f>
        <v>0</v>
      </c>
      <c r="BS69">
        <f>ReferenceData!$BS$69</f>
        <v>0</v>
      </c>
      <c r="BT69">
        <f>ReferenceData!$BT$69</f>
        <v>0</v>
      </c>
      <c r="BU69">
        <f>ReferenceData!$BU$69</f>
        <v>0</v>
      </c>
      <c r="BV69">
        <f>ReferenceData!$BV$69</f>
        <v>0</v>
      </c>
      <c r="BW69">
        <f>ReferenceData!$BW$69</f>
        <v>0</v>
      </c>
      <c r="BX69">
        <f>ReferenceData!$BX$69</f>
        <v>0</v>
      </c>
      <c r="BY69">
        <f>ReferenceData!$BY$69</f>
        <v>0</v>
      </c>
      <c r="BZ69">
        <f>ReferenceData!$BZ$69</f>
        <v>0</v>
      </c>
      <c r="CA69">
        <f>ReferenceData!$CA$69</f>
        <v>0</v>
      </c>
      <c r="CB69">
        <f>ReferenceData!$CB$69</f>
        <v>0</v>
      </c>
      <c r="CC69">
        <f>ReferenceData!$CC$69</f>
        <v>0</v>
      </c>
      <c r="CD69">
        <f>ReferenceData!$CD$69</f>
        <v>0</v>
      </c>
      <c r="CE69">
        <f>ReferenceData!$CE$69</f>
        <v>0</v>
      </c>
      <c r="CF69">
        <f>ReferenceData!$CF$69</f>
        <v>0</v>
      </c>
      <c r="CG69">
        <f>ReferenceData!$CG$69</f>
        <v>0</v>
      </c>
    </row>
    <row r="70" spans="1:85" x14ac:dyDescent="0.25">
      <c r="A70" t="str">
        <f>ReferenceData!$A$70</f>
        <v>ECB LIQUIDITY OPERATIONS (MONTHLY AVG) (EUR B)</v>
      </c>
      <c r="B70" t="str">
        <f>ReferenceData!$B$70</f>
        <v/>
      </c>
      <c r="C70" t="str">
        <f>ReferenceData!$C$70</f>
        <v/>
      </c>
      <c r="D70" t="str">
        <f>ReferenceData!$D$70</f>
        <v/>
      </c>
      <c r="E70" t="str">
        <f>ReferenceData!$E$70</f>
        <v>Static</v>
      </c>
      <c r="F70" t="str">
        <f>ReferenceData!$F$70</f>
        <v/>
      </c>
      <c r="G70" t="str">
        <f>ReferenceData!$G$70</f>
        <v/>
      </c>
      <c r="H70" t="str">
        <f>ReferenceData!$H$70</f>
        <v/>
      </c>
      <c r="I70" t="str">
        <f>ReferenceData!$I$70</f>
        <v/>
      </c>
      <c r="J70" t="str">
        <f>ReferenceData!$J$70</f>
        <v/>
      </c>
      <c r="K70" t="str">
        <f>ReferenceData!$K$70</f>
        <v/>
      </c>
      <c r="L70" t="str">
        <f>ReferenceData!$L$70</f>
        <v/>
      </c>
      <c r="M70" t="str">
        <f>ReferenceData!$M$70</f>
        <v/>
      </c>
      <c r="N70" t="str">
        <f>ReferenceData!$N$70</f>
        <v/>
      </c>
      <c r="O70" t="str">
        <f>ReferenceData!$O$70</f>
        <v/>
      </c>
      <c r="P70" t="str">
        <f>ReferenceData!$P$70</f>
        <v/>
      </c>
      <c r="Q70" t="str">
        <f>ReferenceData!$Q$70</f>
        <v/>
      </c>
      <c r="R70" t="str">
        <f>ReferenceData!$R$70</f>
        <v/>
      </c>
      <c r="S70" t="str">
        <f>ReferenceData!$S$70</f>
        <v/>
      </c>
      <c r="T70" t="str">
        <f>ReferenceData!$T$70</f>
        <v/>
      </c>
      <c r="U70" t="str">
        <f>ReferenceData!$U$70</f>
        <v/>
      </c>
      <c r="V70" t="str">
        <f>ReferenceData!$V$70</f>
        <v/>
      </c>
      <c r="W70" t="str">
        <f>ReferenceData!$W$70</f>
        <v/>
      </c>
      <c r="X70" t="str">
        <f>ReferenceData!$X$70</f>
        <v/>
      </c>
      <c r="Y70" t="str">
        <f>ReferenceData!$Y$70</f>
        <v/>
      </c>
      <c r="Z70" t="str">
        <f>ReferenceData!$Z$70</f>
        <v/>
      </c>
      <c r="AA70" t="str">
        <f>ReferenceData!$AA$70</f>
        <v/>
      </c>
      <c r="AB70" t="str">
        <f>ReferenceData!$AB$70</f>
        <v/>
      </c>
      <c r="AC70" t="str">
        <f>ReferenceData!$AC$70</f>
        <v/>
      </c>
      <c r="AD70" t="str">
        <f>ReferenceData!$AD$70</f>
        <v/>
      </c>
      <c r="AE70" t="str">
        <f>ReferenceData!$AE$70</f>
        <v/>
      </c>
      <c r="AF70" t="str">
        <f>ReferenceData!$AF$70</f>
        <v/>
      </c>
      <c r="AG70" t="str">
        <f>ReferenceData!$AG$70</f>
        <v/>
      </c>
      <c r="AH70" t="str">
        <f>ReferenceData!$AH$70</f>
        <v/>
      </c>
      <c r="AI70" t="str">
        <f>ReferenceData!$AI$70</f>
        <v/>
      </c>
      <c r="AJ70" t="str">
        <f>ReferenceData!$AJ$70</f>
        <v/>
      </c>
      <c r="AK70" t="str">
        <f>ReferenceData!$AK$70</f>
        <v/>
      </c>
      <c r="AL70" t="str">
        <f>ReferenceData!$AL$70</f>
        <v/>
      </c>
      <c r="AM70" t="str">
        <f>ReferenceData!$AM$70</f>
        <v/>
      </c>
      <c r="AN70" t="str">
        <f>ReferenceData!$AN$70</f>
        <v/>
      </c>
      <c r="AO70" t="str">
        <f>ReferenceData!$AO$70</f>
        <v/>
      </c>
      <c r="AP70" t="str">
        <f>ReferenceData!$AP$70</f>
        <v/>
      </c>
      <c r="AQ70" t="str">
        <f>ReferenceData!$AQ$70</f>
        <v/>
      </c>
      <c r="AR70" t="str">
        <f>ReferenceData!$AR$70</f>
        <v/>
      </c>
      <c r="AS70" t="str">
        <f>ReferenceData!$AS$70</f>
        <v/>
      </c>
      <c r="AT70" t="str">
        <f>ReferenceData!$AT$70</f>
        <v/>
      </c>
      <c r="AU70" t="str">
        <f>ReferenceData!$AU$70</f>
        <v/>
      </c>
      <c r="AV70" t="str">
        <f>ReferenceData!$AV$70</f>
        <v/>
      </c>
      <c r="AW70" t="str">
        <f>ReferenceData!$AW$70</f>
        <v/>
      </c>
      <c r="AX70" t="str">
        <f>ReferenceData!$AX$70</f>
        <v/>
      </c>
      <c r="AY70" t="str">
        <f>ReferenceData!$AY$70</f>
        <v/>
      </c>
      <c r="AZ70" t="str">
        <f>ReferenceData!$AZ$70</f>
        <v/>
      </c>
      <c r="BA70" t="str">
        <f>ReferenceData!$BA$70</f>
        <v/>
      </c>
      <c r="BB70" t="str">
        <f>ReferenceData!$BB$70</f>
        <v/>
      </c>
      <c r="BC70" t="str">
        <f>ReferenceData!$BC$70</f>
        <v/>
      </c>
      <c r="BD70" t="str">
        <f>ReferenceData!$BD$70</f>
        <v/>
      </c>
      <c r="BE70" t="str">
        <f>ReferenceData!$BE$70</f>
        <v/>
      </c>
      <c r="BF70" t="str">
        <f>ReferenceData!$BF$70</f>
        <v/>
      </c>
      <c r="BG70" t="str">
        <f>ReferenceData!$BG$70</f>
        <v/>
      </c>
      <c r="BH70" t="str">
        <f>ReferenceData!$BH$70</f>
        <v/>
      </c>
      <c r="BI70" t="str">
        <f>ReferenceData!$BI$70</f>
        <v/>
      </c>
      <c r="BJ70" t="str">
        <f>ReferenceData!$BJ$70</f>
        <v/>
      </c>
      <c r="BK70" t="str">
        <f>ReferenceData!$BK$70</f>
        <v/>
      </c>
      <c r="BL70" t="str">
        <f>ReferenceData!$BL$70</f>
        <v/>
      </c>
      <c r="BM70" t="str">
        <f>ReferenceData!$BM$70</f>
        <v/>
      </c>
      <c r="BN70" t="str">
        <f>ReferenceData!$BN$70</f>
        <v/>
      </c>
      <c r="BO70" t="str">
        <f>ReferenceData!$BO$70</f>
        <v/>
      </c>
      <c r="BP70" t="str">
        <f>ReferenceData!$BP$70</f>
        <v/>
      </c>
      <c r="BQ70" t="str">
        <f>ReferenceData!$BQ$70</f>
        <v/>
      </c>
      <c r="BR70" t="str">
        <f>ReferenceData!$BR$70</f>
        <v/>
      </c>
      <c r="BS70" t="str">
        <f>ReferenceData!$BS$70</f>
        <v/>
      </c>
      <c r="BT70" t="str">
        <f>ReferenceData!$BT$70</f>
        <v/>
      </c>
      <c r="BU70" t="str">
        <f>ReferenceData!$BU$70</f>
        <v/>
      </c>
      <c r="BV70" t="str">
        <f>ReferenceData!$BV$70</f>
        <v/>
      </c>
      <c r="BW70" t="str">
        <f>ReferenceData!$BW$70</f>
        <v/>
      </c>
      <c r="BX70" t="str">
        <f>ReferenceData!$BX$70</f>
        <v/>
      </c>
      <c r="BY70" t="str">
        <f>ReferenceData!$BY$70</f>
        <v/>
      </c>
      <c r="BZ70" t="str">
        <f>ReferenceData!$BZ$70</f>
        <v/>
      </c>
      <c r="CA70" t="str">
        <f>ReferenceData!$CA$70</f>
        <v/>
      </c>
      <c r="CB70" t="str">
        <f>ReferenceData!$CB$70</f>
        <v/>
      </c>
      <c r="CC70" t="str">
        <f>ReferenceData!$CC$70</f>
        <v/>
      </c>
      <c r="CD70" t="str">
        <f>ReferenceData!$CD$70</f>
        <v/>
      </c>
      <c r="CE70" t="str">
        <f>ReferenceData!$CE$70</f>
        <v/>
      </c>
      <c r="CF70" t="str">
        <f>ReferenceData!$CF$70</f>
        <v/>
      </c>
      <c r="CG70" t="str">
        <f>ReferenceData!$CG$70</f>
        <v/>
      </c>
    </row>
    <row r="71" spans="1:85" x14ac:dyDescent="0.25">
      <c r="A71" t="str">
        <f>ReferenceData!$A$71</f>
        <v>Source: European Central Bank</v>
      </c>
      <c r="B71" t="str">
        <f>ReferenceData!$B$71</f>
        <v/>
      </c>
      <c r="C71" t="str">
        <f>ReferenceData!$C$71</f>
        <v/>
      </c>
      <c r="D71" t="str">
        <f>ReferenceData!$D$71</f>
        <v/>
      </c>
      <c r="E71" t="str">
        <f>ReferenceData!$E$71</f>
        <v>Heading</v>
      </c>
      <c r="F71" t="str">
        <f>ReferenceData!$F$71</f>
        <v/>
      </c>
      <c r="G71" t="str">
        <f>ReferenceData!$G$71</f>
        <v/>
      </c>
      <c r="H71" t="str">
        <f>ReferenceData!$H$71</f>
        <v/>
      </c>
      <c r="I71" t="str">
        <f>ReferenceData!$I$71</f>
        <v/>
      </c>
      <c r="J71" t="str">
        <f>ReferenceData!$J$71</f>
        <v/>
      </c>
      <c r="K71" t="str">
        <f>ReferenceData!$K$71</f>
        <v/>
      </c>
      <c r="L71" t="str">
        <f>ReferenceData!$L$71</f>
        <v/>
      </c>
      <c r="M71" t="str">
        <f>ReferenceData!$M$71</f>
        <v/>
      </c>
      <c r="N71" t="str">
        <f>ReferenceData!$N$71</f>
        <v/>
      </c>
      <c r="O71" t="str">
        <f>ReferenceData!$O$71</f>
        <v/>
      </c>
      <c r="P71" t="str">
        <f>ReferenceData!$P$71</f>
        <v/>
      </c>
      <c r="Q71" t="str">
        <f>ReferenceData!$Q$71</f>
        <v/>
      </c>
      <c r="R71" t="str">
        <f>ReferenceData!$R$71</f>
        <v/>
      </c>
      <c r="S71" t="str">
        <f>ReferenceData!$S$71</f>
        <v/>
      </c>
      <c r="T71" t="str">
        <f>ReferenceData!$T$71</f>
        <v/>
      </c>
      <c r="U71" t="str">
        <f>ReferenceData!$U$71</f>
        <v/>
      </c>
      <c r="V71" t="str">
        <f>ReferenceData!$V$71</f>
        <v/>
      </c>
      <c r="W71" t="str">
        <f>ReferenceData!$W$71</f>
        <v/>
      </c>
      <c r="X71" t="str">
        <f>ReferenceData!$X$71</f>
        <v/>
      </c>
      <c r="Y71" t="str">
        <f>ReferenceData!$Y$71</f>
        <v/>
      </c>
      <c r="Z71" t="str">
        <f>ReferenceData!$Z$71</f>
        <v/>
      </c>
      <c r="AA71" t="str">
        <f>ReferenceData!$AA$71</f>
        <v/>
      </c>
      <c r="AB71" t="str">
        <f>ReferenceData!$AB$71</f>
        <v/>
      </c>
      <c r="AC71" t="str">
        <f>ReferenceData!$AC$71</f>
        <v/>
      </c>
      <c r="AD71" t="str">
        <f>ReferenceData!$AD$71</f>
        <v/>
      </c>
      <c r="AE71" t="str">
        <f>ReferenceData!$AE$71</f>
        <v/>
      </c>
      <c r="AF71" t="str">
        <f>ReferenceData!$AF$71</f>
        <v/>
      </c>
      <c r="AG71" t="str">
        <f>ReferenceData!$AG$71</f>
        <v/>
      </c>
      <c r="AH71" t="str">
        <f>ReferenceData!$AH$71</f>
        <v/>
      </c>
      <c r="AI71" t="str">
        <f>ReferenceData!$AI$71</f>
        <v/>
      </c>
      <c r="AJ71" t="str">
        <f>ReferenceData!$AJ$71</f>
        <v/>
      </c>
      <c r="AK71" t="str">
        <f>ReferenceData!$AK$71</f>
        <v/>
      </c>
      <c r="AL71" t="str">
        <f>ReferenceData!$AL$71</f>
        <v/>
      </c>
      <c r="AM71" t="str">
        <f>ReferenceData!$AM$71</f>
        <v/>
      </c>
      <c r="AN71" t="str">
        <f>ReferenceData!$AN$71</f>
        <v/>
      </c>
      <c r="AO71" t="str">
        <f>ReferenceData!$AO$71</f>
        <v/>
      </c>
      <c r="AP71" t="str">
        <f>ReferenceData!$AP$71</f>
        <v/>
      </c>
      <c r="AQ71" t="str">
        <f>ReferenceData!$AQ$71</f>
        <v/>
      </c>
      <c r="AR71" t="str">
        <f>ReferenceData!$AR$71</f>
        <v/>
      </c>
      <c r="AS71" t="str">
        <f>ReferenceData!$AS$71</f>
        <v/>
      </c>
      <c r="AT71" t="str">
        <f>ReferenceData!$AT$71</f>
        <v/>
      </c>
      <c r="AU71" t="str">
        <f>ReferenceData!$AU$71</f>
        <v/>
      </c>
      <c r="AV71" t="str">
        <f>ReferenceData!$AV$71</f>
        <v/>
      </c>
      <c r="AW71" t="str">
        <f>ReferenceData!$AW$71</f>
        <v/>
      </c>
      <c r="AX71" t="str">
        <f>ReferenceData!$AX$71</f>
        <v/>
      </c>
      <c r="AY71" t="str">
        <f>ReferenceData!$AY$71</f>
        <v/>
      </c>
      <c r="AZ71" t="str">
        <f>ReferenceData!$AZ$71</f>
        <v/>
      </c>
      <c r="BA71" t="str">
        <f>ReferenceData!$BA$71</f>
        <v/>
      </c>
      <c r="BB71" t="str">
        <f>ReferenceData!$BB$71</f>
        <v/>
      </c>
      <c r="BC71" t="str">
        <f>ReferenceData!$BC$71</f>
        <v/>
      </c>
      <c r="BD71" t="str">
        <f>ReferenceData!$BD$71</f>
        <v/>
      </c>
      <c r="BE71" t="str">
        <f>ReferenceData!$BE$71</f>
        <v/>
      </c>
      <c r="BF71" t="str">
        <f>ReferenceData!$BF$71</f>
        <v/>
      </c>
      <c r="BG71" t="str">
        <f>ReferenceData!$BG$71</f>
        <v/>
      </c>
      <c r="BH71" t="str">
        <f>ReferenceData!$BH$71</f>
        <v/>
      </c>
      <c r="BI71" t="str">
        <f>ReferenceData!$BI$71</f>
        <v/>
      </c>
      <c r="BJ71" t="str">
        <f>ReferenceData!$BJ$71</f>
        <v/>
      </c>
      <c r="BK71" t="str">
        <f>ReferenceData!$BK$71</f>
        <v/>
      </c>
      <c r="BL71" t="str">
        <f>ReferenceData!$BL$71</f>
        <v/>
      </c>
      <c r="BM71" t="str">
        <f>ReferenceData!$BM$71</f>
        <v/>
      </c>
      <c r="BN71" t="str">
        <f>ReferenceData!$BN$71</f>
        <v/>
      </c>
      <c r="BO71" t="str">
        <f>ReferenceData!$BO$71</f>
        <v/>
      </c>
      <c r="BP71" t="str">
        <f>ReferenceData!$BP$71</f>
        <v/>
      </c>
      <c r="BQ71" t="str">
        <f>ReferenceData!$BQ$71</f>
        <v/>
      </c>
      <c r="BR71" t="str">
        <f>ReferenceData!$BR$71</f>
        <v/>
      </c>
      <c r="BS71" t="str">
        <f>ReferenceData!$BS$71</f>
        <v/>
      </c>
      <c r="BT71" t="str">
        <f>ReferenceData!$BT$71</f>
        <v/>
      </c>
      <c r="BU71" t="str">
        <f>ReferenceData!$BU$71</f>
        <v/>
      </c>
      <c r="BV71" t="str">
        <f>ReferenceData!$BV$71</f>
        <v/>
      </c>
      <c r="BW71" t="str">
        <f>ReferenceData!$BW$71</f>
        <v/>
      </c>
      <c r="BX71" t="str">
        <f>ReferenceData!$BX$71</f>
        <v/>
      </c>
      <c r="BY71" t="str">
        <f>ReferenceData!$BY$71</f>
        <v/>
      </c>
      <c r="BZ71" t="str">
        <f>ReferenceData!$BZ$71</f>
        <v/>
      </c>
      <c r="CA71" t="str">
        <f>ReferenceData!$CA$71</f>
        <v/>
      </c>
      <c r="CB71" t="str">
        <f>ReferenceData!$CB$71</f>
        <v/>
      </c>
      <c r="CC71" t="str">
        <f>ReferenceData!$CC$71</f>
        <v/>
      </c>
      <c r="CD71" t="str">
        <f>ReferenceData!$CD$71</f>
        <v/>
      </c>
      <c r="CE71" t="str">
        <f>ReferenceData!$CE$71</f>
        <v/>
      </c>
      <c r="CF71" t="str">
        <f>ReferenceData!$CF$71</f>
        <v/>
      </c>
      <c r="CG71" t="str">
        <f>ReferenceData!$CG$71</f>
        <v/>
      </c>
    </row>
    <row r="72" spans="1:85" x14ac:dyDescent="0.25">
      <c r="A72" t="str">
        <f>ReferenceData!$A$72</f>
        <v/>
      </c>
      <c r="B72" t="str">
        <f>ReferenceData!$B$72</f>
        <v/>
      </c>
      <c r="C72" t="str">
        <f>ReferenceData!$C$72</f>
        <v/>
      </c>
      <c r="D72" t="str">
        <f>ReferenceData!$D$72</f>
        <v/>
      </c>
      <c r="E72" t="str">
        <f>ReferenceData!$E$72</f>
        <v>Static</v>
      </c>
      <c r="F72" t="str">
        <f>ReferenceData!$F$72</f>
        <v/>
      </c>
      <c r="G72" t="str">
        <f>ReferenceData!$G$72</f>
        <v/>
      </c>
      <c r="H72" t="str">
        <f>ReferenceData!$H$72</f>
        <v/>
      </c>
      <c r="I72" t="str">
        <f>ReferenceData!$I$72</f>
        <v/>
      </c>
      <c r="J72" t="str">
        <f>ReferenceData!$J$72</f>
        <v/>
      </c>
      <c r="K72" t="str">
        <f>ReferenceData!$K$72</f>
        <v/>
      </c>
      <c r="L72" t="str">
        <f>ReferenceData!$L$72</f>
        <v/>
      </c>
      <c r="M72" t="str">
        <f>ReferenceData!$M$72</f>
        <v/>
      </c>
      <c r="N72" t="str">
        <f>ReferenceData!$N$72</f>
        <v/>
      </c>
      <c r="O72" t="str">
        <f>ReferenceData!$O$72</f>
        <v/>
      </c>
      <c r="P72" t="str">
        <f>ReferenceData!$P$72</f>
        <v/>
      </c>
      <c r="Q72" t="str">
        <f>ReferenceData!$Q$72</f>
        <v/>
      </c>
      <c r="R72" t="str">
        <f>ReferenceData!$R$72</f>
        <v/>
      </c>
      <c r="S72" t="str">
        <f>ReferenceData!$S$72</f>
        <v/>
      </c>
      <c r="T72" t="str">
        <f>ReferenceData!$T$72</f>
        <v/>
      </c>
      <c r="U72" t="str">
        <f>ReferenceData!$U$72</f>
        <v/>
      </c>
      <c r="V72" t="str">
        <f>ReferenceData!$V$72</f>
        <v/>
      </c>
      <c r="W72" t="str">
        <f>ReferenceData!$W$72</f>
        <v/>
      </c>
      <c r="X72" t="str">
        <f>ReferenceData!$X$72</f>
        <v/>
      </c>
      <c r="Y72" t="str">
        <f>ReferenceData!$Y$72</f>
        <v/>
      </c>
      <c r="Z72" t="str">
        <f>ReferenceData!$Z$72</f>
        <v/>
      </c>
      <c r="AA72" t="str">
        <f>ReferenceData!$AA$72</f>
        <v/>
      </c>
      <c r="AB72" t="str">
        <f>ReferenceData!$AB$72</f>
        <v/>
      </c>
      <c r="AC72" t="str">
        <f>ReferenceData!$AC$72</f>
        <v/>
      </c>
      <c r="AD72" t="str">
        <f>ReferenceData!$AD$72</f>
        <v/>
      </c>
      <c r="AE72" t="str">
        <f>ReferenceData!$AE$72</f>
        <v/>
      </c>
      <c r="AF72" t="str">
        <f>ReferenceData!$AF$72</f>
        <v/>
      </c>
      <c r="AG72" t="str">
        <f>ReferenceData!$AG$72</f>
        <v/>
      </c>
      <c r="AH72" t="str">
        <f>ReferenceData!$AH$72</f>
        <v/>
      </c>
      <c r="AI72" t="str">
        <f>ReferenceData!$AI$72</f>
        <v/>
      </c>
      <c r="AJ72" t="str">
        <f>ReferenceData!$AJ$72</f>
        <v/>
      </c>
      <c r="AK72" t="str">
        <f>ReferenceData!$AK$72</f>
        <v/>
      </c>
      <c r="AL72" t="str">
        <f>ReferenceData!$AL$72</f>
        <v/>
      </c>
      <c r="AM72" t="str">
        <f>ReferenceData!$AM$72</f>
        <v/>
      </c>
      <c r="AN72" t="str">
        <f>ReferenceData!$AN$72</f>
        <v/>
      </c>
      <c r="AO72" t="str">
        <f>ReferenceData!$AO$72</f>
        <v/>
      </c>
      <c r="AP72" t="str">
        <f>ReferenceData!$AP$72</f>
        <v/>
      </c>
      <c r="AQ72" t="str">
        <f>ReferenceData!$AQ$72</f>
        <v/>
      </c>
      <c r="AR72" t="str">
        <f>ReferenceData!$AR$72</f>
        <v/>
      </c>
      <c r="AS72" t="str">
        <f>ReferenceData!$AS$72</f>
        <v/>
      </c>
      <c r="AT72" t="str">
        <f>ReferenceData!$AT$72</f>
        <v/>
      </c>
      <c r="AU72" t="str">
        <f>ReferenceData!$AU$72</f>
        <v/>
      </c>
      <c r="AV72" t="str">
        <f>ReferenceData!$AV$72</f>
        <v/>
      </c>
      <c r="AW72" t="str">
        <f>ReferenceData!$AW$72</f>
        <v/>
      </c>
      <c r="AX72" t="str">
        <f>ReferenceData!$AX$72</f>
        <v/>
      </c>
      <c r="AY72" t="str">
        <f>ReferenceData!$AY$72</f>
        <v/>
      </c>
      <c r="AZ72" t="str">
        <f>ReferenceData!$AZ$72</f>
        <v/>
      </c>
      <c r="BA72" t="str">
        <f>ReferenceData!$BA$72</f>
        <v/>
      </c>
      <c r="BB72" t="str">
        <f>ReferenceData!$BB$72</f>
        <v/>
      </c>
      <c r="BC72" t="str">
        <f>ReferenceData!$BC$72</f>
        <v/>
      </c>
      <c r="BD72" t="str">
        <f>ReferenceData!$BD$72</f>
        <v/>
      </c>
      <c r="BE72" t="str">
        <f>ReferenceData!$BE$72</f>
        <v/>
      </c>
      <c r="BF72" t="str">
        <f>ReferenceData!$BF$72</f>
        <v/>
      </c>
      <c r="BG72" t="str">
        <f>ReferenceData!$BG$72</f>
        <v/>
      </c>
      <c r="BH72" t="str">
        <f>ReferenceData!$BH$72</f>
        <v/>
      </c>
      <c r="BI72" t="str">
        <f>ReferenceData!$BI$72</f>
        <v/>
      </c>
      <c r="BJ72" t="str">
        <f>ReferenceData!$BJ$72</f>
        <v/>
      </c>
      <c r="BK72" t="str">
        <f>ReferenceData!$BK$72</f>
        <v/>
      </c>
      <c r="BL72" t="str">
        <f>ReferenceData!$BL$72</f>
        <v/>
      </c>
      <c r="BM72" t="str">
        <f>ReferenceData!$BM$72</f>
        <v/>
      </c>
      <c r="BN72" t="str">
        <f>ReferenceData!$BN$72</f>
        <v/>
      </c>
      <c r="BO72" t="str">
        <f>ReferenceData!$BO$72</f>
        <v/>
      </c>
      <c r="BP72" t="str">
        <f>ReferenceData!$BP$72</f>
        <v/>
      </c>
      <c r="BQ72" t="str">
        <f>ReferenceData!$BQ$72</f>
        <v/>
      </c>
      <c r="BR72" t="str">
        <f>ReferenceData!$BR$72</f>
        <v/>
      </c>
      <c r="BS72" t="str">
        <f>ReferenceData!$BS$72</f>
        <v/>
      </c>
      <c r="BT72" t="str">
        <f>ReferenceData!$BT$72</f>
        <v/>
      </c>
      <c r="BU72" t="str">
        <f>ReferenceData!$BU$72</f>
        <v/>
      </c>
      <c r="BV72" t="str">
        <f>ReferenceData!$BV$72</f>
        <v/>
      </c>
      <c r="BW72" t="str">
        <f>ReferenceData!$BW$72</f>
        <v/>
      </c>
      <c r="BX72" t="str">
        <f>ReferenceData!$BX$72</f>
        <v/>
      </c>
      <c r="BY72" t="str">
        <f>ReferenceData!$BY$72</f>
        <v/>
      </c>
      <c r="BZ72" t="str">
        <f>ReferenceData!$BZ$72</f>
        <v/>
      </c>
      <c r="CA72" t="str">
        <f>ReferenceData!$CA$72</f>
        <v/>
      </c>
      <c r="CB72" t="str">
        <f>ReferenceData!$CB$72</f>
        <v/>
      </c>
      <c r="CC72" t="str">
        <f>ReferenceData!$CC$72</f>
        <v/>
      </c>
      <c r="CD72" t="str">
        <f>ReferenceData!$CD$72</f>
        <v/>
      </c>
      <c r="CE72" t="str">
        <f>ReferenceData!$CE$72</f>
        <v/>
      </c>
      <c r="CF72" t="str">
        <f>ReferenceData!$CF$72</f>
        <v/>
      </c>
      <c r="CG72" t="str">
        <f>ReferenceData!$CG$72</f>
        <v/>
      </c>
    </row>
    <row r="73" spans="1:85" x14ac:dyDescent="0.25">
      <c r="A73" t="str">
        <f>ReferenceData!$A$73</f>
        <v>EURO AREA SYSTEMIC STRESS INDICATORS - Source: European Central Bank</v>
      </c>
      <c r="B73" t="str">
        <f>ReferenceData!$B$73</f>
        <v/>
      </c>
      <c r="C73" t="str">
        <f>ReferenceData!$C$73</f>
        <v/>
      </c>
      <c r="D73" t="str">
        <f>ReferenceData!$D$73</f>
        <v/>
      </c>
      <c r="E73" t="str">
        <f>ReferenceData!$E$73</f>
        <v>Heading</v>
      </c>
      <c r="F73" t="str">
        <f>ReferenceData!$F$73</f>
        <v/>
      </c>
      <c r="G73" t="str">
        <f>ReferenceData!$G$73</f>
        <v/>
      </c>
      <c r="H73" t="str">
        <f>ReferenceData!$H$73</f>
        <v/>
      </c>
      <c r="I73" t="str">
        <f>ReferenceData!$I$73</f>
        <v/>
      </c>
      <c r="J73" t="str">
        <f>ReferenceData!$J$73</f>
        <v/>
      </c>
      <c r="K73" t="str">
        <f>ReferenceData!$K$73</f>
        <v/>
      </c>
      <c r="L73" t="str">
        <f>ReferenceData!$L$73</f>
        <v/>
      </c>
      <c r="M73" t="str">
        <f>ReferenceData!$M$73</f>
        <v/>
      </c>
      <c r="N73" t="str">
        <f>ReferenceData!$N$73</f>
        <v/>
      </c>
      <c r="O73" t="str">
        <f>ReferenceData!$O$73</f>
        <v/>
      </c>
      <c r="P73" t="str">
        <f>ReferenceData!$P$73</f>
        <v/>
      </c>
      <c r="Q73" t="str">
        <f>ReferenceData!$Q$73</f>
        <v/>
      </c>
      <c r="R73" t="str">
        <f>ReferenceData!$R$73</f>
        <v/>
      </c>
      <c r="S73" t="str">
        <f>ReferenceData!$S$73</f>
        <v/>
      </c>
      <c r="T73" t="str">
        <f>ReferenceData!$T$73</f>
        <v/>
      </c>
      <c r="U73" t="str">
        <f>ReferenceData!$U$73</f>
        <v/>
      </c>
      <c r="V73" t="str">
        <f>ReferenceData!$V$73</f>
        <v/>
      </c>
      <c r="W73" t="str">
        <f>ReferenceData!$W$73</f>
        <v/>
      </c>
      <c r="X73" t="str">
        <f>ReferenceData!$X$73</f>
        <v/>
      </c>
      <c r="Y73" t="str">
        <f>ReferenceData!$Y$73</f>
        <v/>
      </c>
      <c r="Z73" t="str">
        <f>ReferenceData!$Z$73</f>
        <v/>
      </c>
      <c r="AA73" t="str">
        <f>ReferenceData!$AA$73</f>
        <v/>
      </c>
      <c r="AB73" t="str">
        <f>ReferenceData!$AB$73</f>
        <v/>
      </c>
      <c r="AC73" t="str">
        <f>ReferenceData!$AC$73</f>
        <v/>
      </c>
      <c r="AD73" t="str">
        <f>ReferenceData!$AD$73</f>
        <v/>
      </c>
      <c r="AE73" t="str">
        <f>ReferenceData!$AE$73</f>
        <v/>
      </c>
      <c r="AF73" t="str">
        <f>ReferenceData!$AF$73</f>
        <v/>
      </c>
      <c r="AG73" t="str">
        <f>ReferenceData!$AG$73</f>
        <v/>
      </c>
      <c r="AH73" t="str">
        <f>ReferenceData!$AH$73</f>
        <v/>
      </c>
      <c r="AI73" t="str">
        <f>ReferenceData!$AI$73</f>
        <v/>
      </c>
      <c r="AJ73" t="str">
        <f>ReferenceData!$AJ$73</f>
        <v/>
      </c>
      <c r="AK73" t="str">
        <f>ReferenceData!$AK$73</f>
        <v/>
      </c>
      <c r="AL73" t="str">
        <f>ReferenceData!$AL$73</f>
        <v/>
      </c>
      <c r="AM73" t="str">
        <f>ReferenceData!$AM$73</f>
        <v/>
      </c>
      <c r="AN73" t="str">
        <f>ReferenceData!$AN$73</f>
        <v/>
      </c>
      <c r="AO73" t="str">
        <f>ReferenceData!$AO$73</f>
        <v/>
      </c>
      <c r="AP73" t="str">
        <f>ReferenceData!$AP$73</f>
        <v/>
      </c>
      <c r="AQ73" t="str">
        <f>ReferenceData!$AQ$73</f>
        <v/>
      </c>
      <c r="AR73" t="str">
        <f>ReferenceData!$AR$73</f>
        <v/>
      </c>
      <c r="AS73" t="str">
        <f>ReferenceData!$AS$73</f>
        <v/>
      </c>
      <c r="AT73" t="str">
        <f>ReferenceData!$AT$73</f>
        <v/>
      </c>
      <c r="AU73" t="str">
        <f>ReferenceData!$AU$73</f>
        <v/>
      </c>
      <c r="AV73" t="str">
        <f>ReferenceData!$AV$73</f>
        <v/>
      </c>
      <c r="AW73" t="str">
        <f>ReferenceData!$AW$73</f>
        <v/>
      </c>
      <c r="AX73" t="str">
        <f>ReferenceData!$AX$73</f>
        <v/>
      </c>
      <c r="AY73" t="str">
        <f>ReferenceData!$AY$73</f>
        <v/>
      </c>
      <c r="AZ73" t="str">
        <f>ReferenceData!$AZ$73</f>
        <v/>
      </c>
      <c r="BA73" t="str">
        <f>ReferenceData!$BA$73</f>
        <v/>
      </c>
      <c r="BB73" t="str">
        <f>ReferenceData!$BB$73</f>
        <v/>
      </c>
      <c r="BC73" t="str">
        <f>ReferenceData!$BC$73</f>
        <v/>
      </c>
      <c r="BD73" t="str">
        <f>ReferenceData!$BD$73</f>
        <v/>
      </c>
      <c r="BE73" t="str">
        <f>ReferenceData!$BE$73</f>
        <v/>
      </c>
      <c r="BF73" t="str">
        <f>ReferenceData!$BF$73</f>
        <v/>
      </c>
      <c r="BG73" t="str">
        <f>ReferenceData!$BG$73</f>
        <v/>
      </c>
      <c r="BH73" t="str">
        <f>ReferenceData!$BH$73</f>
        <v/>
      </c>
      <c r="BI73" t="str">
        <f>ReferenceData!$BI$73</f>
        <v/>
      </c>
      <c r="BJ73" t="str">
        <f>ReferenceData!$BJ$73</f>
        <v/>
      </c>
      <c r="BK73" t="str">
        <f>ReferenceData!$BK$73</f>
        <v/>
      </c>
      <c r="BL73" t="str">
        <f>ReferenceData!$BL$73</f>
        <v/>
      </c>
      <c r="BM73" t="str">
        <f>ReferenceData!$BM$73</f>
        <v/>
      </c>
      <c r="BN73" t="str">
        <f>ReferenceData!$BN$73</f>
        <v/>
      </c>
      <c r="BO73" t="str">
        <f>ReferenceData!$BO$73</f>
        <v/>
      </c>
      <c r="BP73" t="str">
        <f>ReferenceData!$BP$73</f>
        <v/>
      </c>
      <c r="BQ73" t="str">
        <f>ReferenceData!$BQ$73</f>
        <v/>
      </c>
      <c r="BR73" t="str">
        <f>ReferenceData!$BR$73</f>
        <v/>
      </c>
      <c r="BS73" t="str">
        <f>ReferenceData!$BS$73</f>
        <v/>
      </c>
      <c r="BT73" t="str">
        <f>ReferenceData!$BT$73</f>
        <v/>
      </c>
      <c r="BU73" t="str">
        <f>ReferenceData!$BU$73</f>
        <v/>
      </c>
      <c r="BV73" t="str">
        <f>ReferenceData!$BV$73</f>
        <v/>
      </c>
      <c r="BW73" t="str">
        <f>ReferenceData!$BW$73</f>
        <v/>
      </c>
      <c r="BX73" t="str">
        <f>ReferenceData!$BX$73</f>
        <v/>
      </c>
      <c r="BY73" t="str">
        <f>ReferenceData!$BY$73</f>
        <v/>
      </c>
      <c r="BZ73" t="str">
        <f>ReferenceData!$BZ$73</f>
        <v/>
      </c>
      <c r="CA73" t="str">
        <f>ReferenceData!$CA$73</f>
        <v/>
      </c>
      <c r="CB73" t="str">
        <f>ReferenceData!$CB$73</f>
        <v/>
      </c>
      <c r="CC73" t="str">
        <f>ReferenceData!$CC$73</f>
        <v/>
      </c>
      <c r="CD73" t="str">
        <f>ReferenceData!$CD$73</f>
        <v/>
      </c>
      <c r="CE73" t="str">
        <f>ReferenceData!$CE$73</f>
        <v/>
      </c>
      <c r="CF73" t="str">
        <f>ReferenceData!$CF$73</f>
        <v/>
      </c>
      <c r="CG73" t="str">
        <f>ReferenceData!$CG$73</f>
        <v/>
      </c>
    </row>
    <row r="74" spans="1:85" x14ac:dyDescent="0.25">
      <c r="A74" t="str">
        <f>ReferenceData!$A$74</f>
        <v>EURO AREA SYSTEMIC STRESS INDICATORS - For a more detailed definition</v>
      </c>
      <c r="B74" t="str">
        <f>ReferenceData!$B$74</f>
        <v/>
      </c>
      <c r="C74" t="str">
        <f>ReferenceData!$C$74</f>
        <v/>
      </c>
      <c r="D74" t="str">
        <f>ReferenceData!$D$74</f>
        <v/>
      </c>
      <c r="E74" t="str">
        <f>ReferenceData!$E$74</f>
        <v>Heading</v>
      </c>
      <c r="F74" t="str">
        <f>ReferenceData!$F$74</f>
        <v/>
      </c>
      <c r="G74" t="str">
        <f>ReferenceData!$G$74</f>
        <v/>
      </c>
      <c r="H74" t="str">
        <f>ReferenceData!$H$74</f>
        <v/>
      </c>
      <c r="I74" t="str">
        <f>ReferenceData!$I$74</f>
        <v/>
      </c>
      <c r="J74" t="str">
        <f>ReferenceData!$J$74</f>
        <v/>
      </c>
      <c r="K74" t="str">
        <f>ReferenceData!$K$74</f>
        <v/>
      </c>
      <c r="L74" t="str">
        <f>ReferenceData!$L$74</f>
        <v/>
      </c>
      <c r="M74" t="str">
        <f>ReferenceData!$M$74</f>
        <v/>
      </c>
      <c r="N74" t="str">
        <f>ReferenceData!$N$74</f>
        <v/>
      </c>
      <c r="O74" t="str">
        <f>ReferenceData!$O$74</f>
        <v/>
      </c>
      <c r="P74" t="str">
        <f>ReferenceData!$P$74</f>
        <v/>
      </c>
      <c r="Q74" t="str">
        <f>ReferenceData!$Q$74</f>
        <v/>
      </c>
      <c r="R74" t="str">
        <f>ReferenceData!$R$74</f>
        <v/>
      </c>
      <c r="S74" t="str">
        <f>ReferenceData!$S$74</f>
        <v/>
      </c>
      <c r="T74" t="str">
        <f>ReferenceData!$T$74</f>
        <v/>
      </c>
      <c r="U74" t="str">
        <f>ReferenceData!$U$74</f>
        <v/>
      </c>
      <c r="V74" t="str">
        <f>ReferenceData!$V$74</f>
        <v/>
      </c>
      <c r="W74" t="str">
        <f>ReferenceData!$W$74</f>
        <v/>
      </c>
      <c r="X74" t="str">
        <f>ReferenceData!$X$74</f>
        <v/>
      </c>
      <c r="Y74" t="str">
        <f>ReferenceData!$Y$74</f>
        <v/>
      </c>
      <c r="Z74" t="str">
        <f>ReferenceData!$Z$74</f>
        <v/>
      </c>
      <c r="AA74" t="str">
        <f>ReferenceData!$AA$74</f>
        <v/>
      </c>
      <c r="AB74" t="str">
        <f>ReferenceData!$AB$74</f>
        <v/>
      </c>
      <c r="AC74" t="str">
        <f>ReferenceData!$AC$74</f>
        <v/>
      </c>
      <c r="AD74" t="str">
        <f>ReferenceData!$AD$74</f>
        <v/>
      </c>
      <c r="AE74" t="str">
        <f>ReferenceData!$AE$74</f>
        <v/>
      </c>
      <c r="AF74" t="str">
        <f>ReferenceData!$AF$74</f>
        <v/>
      </c>
      <c r="AG74" t="str">
        <f>ReferenceData!$AG$74</f>
        <v/>
      </c>
      <c r="AH74" t="str">
        <f>ReferenceData!$AH$74</f>
        <v/>
      </c>
      <c r="AI74" t="str">
        <f>ReferenceData!$AI$74</f>
        <v/>
      </c>
      <c r="AJ74" t="str">
        <f>ReferenceData!$AJ$74</f>
        <v/>
      </c>
      <c r="AK74" t="str">
        <f>ReferenceData!$AK$74</f>
        <v/>
      </c>
      <c r="AL74" t="str">
        <f>ReferenceData!$AL$74</f>
        <v/>
      </c>
      <c r="AM74" t="str">
        <f>ReferenceData!$AM$74</f>
        <v/>
      </c>
      <c r="AN74" t="str">
        <f>ReferenceData!$AN$74</f>
        <v/>
      </c>
      <c r="AO74" t="str">
        <f>ReferenceData!$AO$74</f>
        <v/>
      </c>
      <c r="AP74" t="str">
        <f>ReferenceData!$AP$74</f>
        <v/>
      </c>
      <c r="AQ74" t="str">
        <f>ReferenceData!$AQ$74</f>
        <v/>
      </c>
      <c r="AR74" t="str">
        <f>ReferenceData!$AR$74</f>
        <v/>
      </c>
      <c r="AS74" t="str">
        <f>ReferenceData!$AS$74</f>
        <v/>
      </c>
      <c r="AT74" t="str">
        <f>ReferenceData!$AT$74</f>
        <v/>
      </c>
      <c r="AU74" t="str">
        <f>ReferenceData!$AU$74</f>
        <v/>
      </c>
      <c r="AV74" t="str">
        <f>ReferenceData!$AV$74</f>
        <v/>
      </c>
      <c r="AW74" t="str">
        <f>ReferenceData!$AW$74</f>
        <v/>
      </c>
      <c r="AX74" t="str">
        <f>ReferenceData!$AX$74</f>
        <v/>
      </c>
      <c r="AY74" t="str">
        <f>ReferenceData!$AY$74</f>
        <v/>
      </c>
      <c r="AZ74" t="str">
        <f>ReferenceData!$AZ$74</f>
        <v/>
      </c>
      <c r="BA74" t="str">
        <f>ReferenceData!$BA$74</f>
        <v/>
      </c>
      <c r="BB74" t="str">
        <f>ReferenceData!$BB$74</f>
        <v/>
      </c>
      <c r="BC74" t="str">
        <f>ReferenceData!$BC$74</f>
        <v/>
      </c>
      <c r="BD74" t="str">
        <f>ReferenceData!$BD$74</f>
        <v/>
      </c>
      <c r="BE74" t="str">
        <f>ReferenceData!$BE$74</f>
        <v/>
      </c>
      <c r="BF74" t="str">
        <f>ReferenceData!$BF$74</f>
        <v/>
      </c>
      <c r="BG74" t="str">
        <f>ReferenceData!$BG$74</f>
        <v/>
      </c>
      <c r="BH74" t="str">
        <f>ReferenceData!$BH$74</f>
        <v/>
      </c>
      <c r="BI74" t="str">
        <f>ReferenceData!$BI$74</f>
        <v/>
      </c>
      <c r="BJ74" t="str">
        <f>ReferenceData!$BJ$74</f>
        <v/>
      </c>
      <c r="BK74" t="str">
        <f>ReferenceData!$BK$74</f>
        <v/>
      </c>
      <c r="BL74" t="str">
        <f>ReferenceData!$BL$74</f>
        <v/>
      </c>
      <c r="BM74" t="str">
        <f>ReferenceData!$BM$74</f>
        <v/>
      </c>
      <c r="BN74" t="str">
        <f>ReferenceData!$BN$74</f>
        <v/>
      </c>
      <c r="BO74" t="str">
        <f>ReferenceData!$BO$74</f>
        <v/>
      </c>
      <c r="BP74" t="str">
        <f>ReferenceData!$BP$74</f>
        <v/>
      </c>
      <c r="BQ74" t="str">
        <f>ReferenceData!$BQ$74</f>
        <v/>
      </c>
      <c r="BR74" t="str">
        <f>ReferenceData!$BR$74</f>
        <v/>
      </c>
      <c r="BS74" t="str">
        <f>ReferenceData!$BS$74</f>
        <v/>
      </c>
      <c r="BT74" t="str">
        <f>ReferenceData!$BT$74</f>
        <v/>
      </c>
      <c r="BU74" t="str">
        <f>ReferenceData!$BU$74</f>
        <v/>
      </c>
      <c r="BV74" t="str">
        <f>ReferenceData!$BV$74</f>
        <v/>
      </c>
      <c r="BW74" t="str">
        <f>ReferenceData!$BW$74</f>
        <v/>
      </c>
      <c r="BX74" t="str">
        <f>ReferenceData!$BX$74</f>
        <v/>
      </c>
      <c r="BY74" t="str">
        <f>ReferenceData!$BY$74</f>
        <v/>
      </c>
      <c r="BZ74" t="str">
        <f>ReferenceData!$BZ$74</f>
        <v/>
      </c>
      <c r="CA74" t="str">
        <f>ReferenceData!$CA$74</f>
        <v/>
      </c>
      <c r="CB74" t="str">
        <f>ReferenceData!$CB$74</f>
        <v/>
      </c>
      <c r="CC74" t="str">
        <f>ReferenceData!$CC$74</f>
        <v/>
      </c>
      <c r="CD74" t="str">
        <f>ReferenceData!$CD$74</f>
        <v/>
      </c>
      <c r="CE74" t="str">
        <f>ReferenceData!$CE$74</f>
        <v/>
      </c>
      <c r="CF74" t="str">
        <f>ReferenceData!$CF$74</f>
        <v/>
      </c>
      <c r="CG74" t="str">
        <f>ReferenceData!$CG$74</f>
        <v/>
      </c>
    </row>
    <row r="75" spans="1:85" x14ac:dyDescent="0.25">
      <c r="A75" t="str">
        <f>ReferenceData!$A$75</f>
        <v>EURO AREA SYSTEMIC STRESS INDICATORS - of stress indicators please view</v>
      </c>
      <c r="B75" t="str">
        <f>ReferenceData!$B$75</f>
        <v/>
      </c>
      <c r="C75" t="str">
        <f>ReferenceData!$C$75</f>
        <v/>
      </c>
      <c r="D75" t="str">
        <f>ReferenceData!$D$75</f>
        <v/>
      </c>
      <c r="E75" t="str">
        <f>ReferenceData!$E$75</f>
        <v>Heading</v>
      </c>
      <c r="F75" t="str">
        <f>ReferenceData!$F$75</f>
        <v/>
      </c>
      <c r="G75" t="str">
        <f>ReferenceData!$G$75</f>
        <v/>
      </c>
      <c r="H75" t="str">
        <f>ReferenceData!$H$75</f>
        <v/>
      </c>
      <c r="I75" t="str">
        <f>ReferenceData!$I$75</f>
        <v/>
      </c>
      <c r="J75" t="str">
        <f>ReferenceData!$J$75</f>
        <v/>
      </c>
      <c r="K75" t="str">
        <f>ReferenceData!$K$75</f>
        <v/>
      </c>
      <c r="L75" t="str">
        <f>ReferenceData!$L$75</f>
        <v/>
      </c>
      <c r="M75" t="str">
        <f>ReferenceData!$M$75</f>
        <v/>
      </c>
      <c r="N75" t="str">
        <f>ReferenceData!$N$75</f>
        <v/>
      </c>
      <c r="O75" t="str">
        <f>ReferenceData!$O$75</f>
        <v/>
      </c>
      <c r="P75" t="str">
        <f>ReferenceData!$P$75</f>
        <v/>
      </c>
      <c r="Q75" t="str">
        <f>ReferenceData!$Q$75</f>
        <v/>
      </c>
      <c r="R75" t="str">
        <f>ReferenceData!$R$75</f>
        <v/>
      </c>
      <c r="S75" t="str">
        <f>ReferenceData!$S$75</f>
        <v/>
      </c>
      <c r="T75" t="str">
        <f>ReferenceData!$T$75</f>
        <v/>
      </c>
      <c r="U75" t="str">
        <f>ReferenceData!$U$75</f>
        <v/>
      </c>
      <c r="V75" t="str">
        <f>ReferenceData!$V$75</f>
        <v/>
      </c>
      <c r="W75" t="str">
        <f>ReferenceData!$W$75</f>
        <v/>
      </c>
      <c r="X75" t="str">
        <f>ReferenceData!$X$75</f>
        <v/>
      </c>
      <c r="Y75" t="str">
        <f>ReferenceData!$Y$75</f>
        <v/>
      </c>
      <c r="Z75" t="str">
        <f>ReferenceData!$Z$75</f>
        <v/>
      </c>
      <c r="AA75" t="str">
        <f>ReferenceData!$AA$75</f>
        <v/>
      </c>
      <c r="AB75" t="str">
        <f>ReferenceData!$AB$75</f>
        <v/>
      </c>
      <c r="AC75" t="str">
        <f>ReferenceData!$AC$75</f>
        <v/>
      </c>
      <c r="AD75" t="str">
        <f>ReferenceData!$AD$75</f>
        <v/>
      </c>
      <c r="AE75" t="str">
        <f>ReferenceData!$AE$75</f>
        <v/>
      </c>
      <c r="AF75" t="str">
        <f>ReferenceData!$AF$75</f>
        <v/>
      </c>
      <c r="AG75" t="str">
        <f>ReferenceData!$AG$75</f>
        <v/>
      </c>
      <c r="AH75" t="str">
        <f>ReferenceData!$AH$75</f>
        <v/>
      </c>
      <c r="AI75" t="str">
        <f>ReferenceData!$AI$75</f>
        <v/>
      </c>
      <c r="AJ75" t="str">
        <f>ReferenceData!$AJ$75</f>
        <v/>
      </c>
      <c r="AK75" t="str">
        <f>ReferenceData!$AK$75</f>
        <v/>
      </c>
      <c r="AL75" t="str">
        <f>ReferenceData!$AL$75</f>
        <v/>
      </c>
      <c r="AM75" t="str">
        <f>ReferenceData!$AM$75</f>
        <v/>
      </c>
      <c r="AN75" t="str">
        <f>ReferenceData!$AN$75</f>
        <v/>
      </c>
      <c r="AO75" t="str">
        <f>ReferenceData!$AO$75</f>
        <v/>
      </c>
      <c r="AP75" t="str">
        <f>ReferenceData!$AP$75</f>
        <v/>
      </c>
      <c r="AQ75" t="str">
        <f>ReferenceData!$AQ$75</f>
        <v/>
      </c>
      <c r="AR75" t="str">
        <f>ReferenceData!$AR$75</f>
        <v/>
      </c>
      <c r="AS75" t="str">
        <f>ReferenceData!$AS$75</f>
        <v/>
      </c>
      <c r="AT75" t="str">
        <f>ReferenceData!$AT$75</f>
        <v/>
      </c>
      <c r="AU75" t="str">
        <f>ReferenceData!$AU$75</f>
        <v/>
      </c>
      <c r="AV75" t="str">
        <f>ReferenceData!$AV$75</f>
        <v/>
      </c>
      <c r="AW75" t="str">
        <f>ReferenceData!$AW$75</f>
        <v/>
      </c>
      <c r="AX75" t="str">
        <f>ReferenceData!$AX$75</f>
        <v/>
      </c>
      <c r="AY75" t="str">
        <f>ReferenceData!$AY$75</f>
        <v/>
      </c>
      <c r="AZ75" t="str">
        <f>ReferenceData!$AZ$75</f>
        <v/>
      </c>
      <c r="BA75" t="str">
        <f>ReferenceData!$BA$75</f>
        <v/>
      </c>
      <c r="BB75" t="str">
        <f>ReferenceData!$BB$75</f>
        <v/>
      </c>
      <c r="BC75" t="str">
        <f>ReferenceData!$BC$75</f>
        <v/>
      </c>
      <c r="BD75" t="str">
        <f>ReferenceData!$BD$75</f>
        <v/>
      </c>
      <c r="BE75" t="str">
        <f>ReferenceData!$BE$75</f>
        <v/>
      </c>
      <c r="BF75" t="str">
        <f>ReferenceData!$BF$75</f>
        <v/>
      </c>
      <c r="BG75" t="str">
        <f>ReferenceData!$BG$75</f>
        <v/>
      </c>
      <c r="BH75" t="str">
        <f>ReferenceData!$BH$75</f>
        <v/>
      </c>
      <c r="BI75" t="str">
        <f>ReferenceData!$BI$75</f>
        <v/>
      </c>
      <c r="BJ75" t="str">
        <f>ReferenceData!$BJ$75</f>
        <v/>
      </c>
      <c r="BK75" t="str">
        <f>ReferenceData!$BK$75</f>
        <v/>
      </c>
      <c r="BL75" t="str">
        <f>ReferenceData!$BL$75</f>
        <v/>
      </c>
      <c r="BM75" t="str">
        <f>ReferenceData!$BM$75</f>
        <v/>
      </c>
      <c r="BN75" t="str">
        <f>ReferenceData!$BN$75</f>
        <v/>
      </c>
      <c r="BO75" t="str">
        <f>ReferenceData!$BO$75</f>
        <v/>
      </c>
      <c r="BP75" t="str">
        <f>ReferenceData!$BP$75</f>
        <v/>
      </c>
      <c r="BQ75" t="str">
        <f>ReferenceData!$BQ$75</f>
        <v/>
      </c>
      <c r="BR75" t="str">
        <f>ReferenceData!$BR$75</f>
        <v/>
      </c>
      <c r="BS75" t="str">
        <f>ReferenceData!$BS$75</f>
        <v/>
      </c>
      <c r="BT75" t="str">
        <f>ReferenceData!$BT$75</f>
        <v/>
      </c>
      <c r="BU75" t="str">
        <f>ReferenceData!$BU$75</f>
        <v/>
      </c>
      <c r="BV75" t="str">
        <f>ReferenceData!$BV$75</f>
        <v/>
      </c>
      <c r="BW75" t="str">
        <f>ReferenceData!$BW$75</f>
        <v/>
      </c>
      <c r="BX75" t="str">
        <f>ReferenceData!$BX$75</f>
        <v/>
      </c>
      <c r="BY75" t="str">
        <f>ReferenceData!$BY$75</f>
        <v/>
      </c>
      <c r="BZ75" t="str">
        <f>ReferenceData!$BZ$75</f>
        <v/>
      </c>
      <c r="CA75" t="str">
        <f>ReferenceData!$CA$75</f>
        <v/>
      </c>
      <c r="CB75" t="str">
        <f>ReferenceData!$CB$75</f>
        <v/>
      </c>
      <c r="CC75" t="str">
        <f>ReferenceData!$CC$75</f>
        <v/>
      </c>
      <c r="CD75" t="str">
        <f>ReferenceData!$CD$75</f>
        <v/>
      </c>
      <c r="CE75" t="str">
        <f>ReferenceData!$CE$75</f>
        <v/>
      </c>
      <c r="CF75" t="str">
        <f>ReferenceData!$CF$75</f>
        <v/>
      </c>
      <c r="CG75" t="str">
        <f>ReferenceData!$CG$75</f>
        <v/>
      </c>
    </row>
    <row r="76" spans="1:85" x14ac:dyDescent="0.25">
      <c r="A76" t="str">
        <f>ReferenceData!$A$76</f>
        <v>EURO AREA SYSTEMIC STRESS INDICATORS - http://sdw.ecb.europa.eu/browse.do?node=9551138</v>
      </c>
      <c r="B76" t="str">
        <f>ReferenceData!$B$76</f>
        <v/>
      </c>
      <c r="C76" t="str">
        <f>ReferenceData!$C$76</f>
        <v/>
      </c>
      <c r="D76" t="str">
        <f>ReferenceData!$D$76</f>
        <v/>
      </c>
      <c r="E76" t="str">
        <f>ReferenceData!$E$76</f>
        <v>Heading</v>
      </c>
      <c r="F76" t="str">
        <f>ReferenceData!$F$76</f>
        <v/>
      </c>
      <c r="G76" t="str">
        <f>ReferenceData!$G$76</f>
        <v/>
      </c>
      <c r="H76" t="str">
        <f>ReferenceData!$H$76</f>
        <v/>
      </c>
      <c r="I76" t="str">
        <f>ReferenceData!$I$76</f>
        <v/>
      </c>
      <c r="J76" t="str">
        <f>ReferenceData!$J$76</f>
        <v/>
      </c>
      <c r="K76" t="str">
        <f>ReferenceData!$K$76</f>
        <v/>
      </c>
      <c r="L76" t="str">
        <f>ReferenceData!$L$76</f>
        <v/>
      </c>
      <c r="M76" t="str">
        <f>ReferenceData!$M$76</f>
        <v/>
      </c>
      <c r="N76" t="str">
        <f>ReferenceData!$N$76</f>
        <v/>
      </c>
      <c r="O76" t="str">
        <f>ReferenceData!$O$76</f>
        <v/>
      </c>
      <c r="P76" t="str">
        <f>ReferenceData!$P$76</f>
        <v/>
      </c>
      <c r="Q76" t="str">
        <f>ReferenceData!$Q$76</f>
        <v/>
      </c>
      <c r="R76" t="str">
        <f>ReferenceData!$R$76</f>
        <v/>
      </c>
      <c r="S76" t="str">
        <f>ReferenceData!$S$76</f>
        <v/>
      </c>
      <c r="T76" t="str">
        <f>ReferenceData!$T$76</f>
        <v/>
      </c>
      <c r="U76" t="str">
        <f>ReferenceData!$U$76</f>
        <v/>
      </c>
      <c r="V76" t="str">
        <f>ReferenceData!$V$76</f>
        <v/>
      </c>
      <c r="W76" t="str">
        <f>ReferenceData!$W$76</f>
        <v/>
      </c>
      <c r="X76" t="str">
        <f>ReferenceData!$X$76</f>
        <v/>
      </c>
      <c r="Y76" t="str">
        <f>ReferenceData!$Y$76</f>
        <v/>
      </c>
      <c r="Z76" t="str">
        <f>ReferenceData!$Z$76</f>
        <v/>
      </c>
      <c r="AA76" t="str">
        <f>ReferenceData!$AA$76</f>
        <v/>
      </c>
      <c r="AB76" t="str">
        <f>ReferenceData!$AB$76</f>
        <v/>
      </c>
      <c r="AC76" t="str">
        <f>ReferenceData!$AC$76</f>
        <v/>
      </c>
      <c r="AD76" t="str">
        <f>ReferenceData!$AD$76</f>
        <v/>
      </c>
      <c r="AE76" t="str">
        <f>ReferenceData!$AE$76</f>
        <v/>
      </c>
      <c r="AF76" t="str">
        <f>ReferenceData!$AF$76</f>
        <v/>
      </c>
      <c r="AG76" t="str">
        <f>ReferenceData!$AG$76</f>
        <v/>
      </c>
      <c r="AH76" t="str">
        <f>ReferenceData!$AH$76</f>
        <v/>
      </c>
      <c r="AI76" t="str">
        <f>ReferenceData!$AI$76</f>
        <v/>
      </c>
      <c r="AJ76" t="str">
        <f>ReferenceData!$AJ$76</f>
        <v/>
      </c>
      <c r="AK76" t="str">
        <f>ReferenceData!$AK$76</f>
        <v/>
      </c>
      <c r="AL76" t="str">
        <f>ReferenceData!$AL$76</f>
        <v/>
      </c>
      <c r="AM76" t="str">
        <f>ReferenceData!$AM$76</f>
        <v/>
      </c>
      <c r="AN76" t="str">
        <f>ReferenceData!$AN$76</f>
        <v/>
      </c>
      <c r="AO76" t="str">
        <f>ReferenceData!$AO$76</f>
        <v/>
      </c>
      <c r="AP76" t="str">
        <f>ReferenceData!$AP$76</f>
        <v/>
      </c>
      <c r="AQ76" t="str">
        <f>ReferenceData!$AQ$76</f>
        <v/>
      </c>
      <c r="AR76" t="str">
        <f>ReferenceData!$AR$76</f>
        <v/>
      </c>
      <c r="AS76" t="str">
        <f>ReferenceData!$AS$76</f>
        <v/>
      </c>
      <c r="AT76" t="str">
        <f>ReferenceData!$AT$76</f>
        <v/>
      </c>
      <c r="AU76" t="str">
        <f>ReferenceData!$AU$76</f>
        <v/>
      </c>
      <c r="AV76" t="str">
        <f>ReferenceData!$AV$76</f>
        <v/>
      </c>
      <c r="AW76" t="str">
        <f>ReferenceData!$AW$76</f>
        <v/>
      </c>
      <c r="AX76" t="str">
        <f>ReferenceData!$AX$76</f>
        <v/>
      </c>
      <c r="AY76" t="str">
        <f>ReferenceData!$AY$76</f>
        <v/>
      </c>
      <c r="AZ76" t="str">
        <f>ReferenceData!$AZ$76</f>
        <v/>
      </c>
      <c r="BA76" t="str">
        <f>ReferenceData!$BA$76</f>
        <v/>
      </c>
      <c r="BB76" t="str">
        <f>ReferenceData!$BB$76</f>
        <v/>
      </c>
      <c r="BC76" t="str">
        <f>ReferenceData!$BC$76</f>
        <v/>
      </c>
      <c r="BD76" t="str">
        <f>ReferenceData!$BD$76</f>
        <v/>
      </c>
      <c r="BE76" t="str">
        <f>ReferenceData!$BE$76</f>
        <v/>
      </c>
      <c r="BF76" t="str">
        <f>ReferenceData!$BF$76</f>
        <v/>
      </c>
      <c r="BG76" t="str">
        <f>ReferenceData!$BG$76</f>
        <v/>
      </c>
      <c r="BH76" t="str">
        <f>ReferenceData!$BH$76</f>
        <v/>
      </c>
      <c r="BI76" t="str">
        <f>ReferenceData!$BI$76</f>
        <v/>
      </c>
      <c r="BJ76" t="str">
        <f>ReferenceData!$BJ$76</f>
        <v/>
      </c>
      <c r="BK76" t="str">
        <f>ReferenceData!$BK$76</f>
        <v/>
      </c>
      <c r="BL76" t="str">
        <f>ReferenceData!$BL$76</f>
        <v/>
      </c>
      <c r="BM76" t="str">
        <f>ReferenceData!$BM$76</f>
        <v/>
      </c>
      <c r="BN76" t="str">
        <f>ReferenceData!$BN$76</f>
        <v/>
      </c>
      <c r="BO76" t="str">
        <f>ReferenceData!$BO$76</f>
        <v/>
      </c>
      <c r="BP76" t="str">
        <f>ReferenceData!$BP$76</f>
        <v/>
      </c>
      <c r="BQ76" t="str">
        <f>ReferenceData!$BQ$76</f>
        <v/>
      </c>
      <c r="BR76" t="str">
        <f>ReferenceData!$BR$76</f>
        <v/>
      </c>
      <c r="BS76" t="str">
        <f>ReferenceData!$BS$76</f>
        <v/>
      </c>
      <c r="BT76" t="str">
        <f>ReferenceData!$BT$76</f>
        <v/>
      </c>
      <c r="BU76" t="str">
        <f>ReferenceData!$BU$76</f>
        <v/>
      </c>
      <c r="BV76" t="str">
        <f>ReferenceData!$BV$76</f>
        <v/>
      </c>
      <c r="BW76" t="str">
        <f>ReferenceData!$BW$76</f>
        <v/>
      </c>
      <c r="BX76" t="str">
        <f>ReferenceData!$BX$76</f>
        <v/>
      </c>
      <c r="BY76" t="str">
        <f>ReferenceData!$BY$76</f>
        <v/>
      </c>
      <c r="BZ76" t="str">
        <f>ReferenceData!$BZ$76</f>
        <v/>
      </c>
      <c r="CA76" t="str">
        <f>ReferenceData!$CA$76</f>
        <v/>
      </c>
      <c r="CB76" t="str">
        <f>ReferenceData!$CB$76</f>
        <v/>
      </c>
      <c r="CC76" t="str">
        <f>ReferenceData!$CC$76</f>
        <v/>
      </c>
      <c r="CD76" t="str">
        <f>ReferenceData!$CD$76</f>
        <v/>
      </c>
      <c r="CE76" t="str">
        <f>ReferenceData!$CE$76</f>
        <v/>
      </c>
      <c r="CF76" t="str">
        <f>ReferenceData!$CF$76</f>
        <v/>
      </c>
      <c r="CG76" t="str">
        <f>ReferenceData!$CG$76</f>
        <v/>
      </c>
    </row>
    <row r="77" spans="1:85" x14ac:dyDescent="0.25">
      <c r="A77" t="str">
        <f>ReferenceData!$A$77</f>
        <v>Source: European Central Bank</v>
      </c>
      <c r="B77" t="str">
        <f>ReferenceData!$B$77</f>
        <v/>
      </c>
      <c r="C77" t="str">
        <f>ReferenceData!$C$77</f>
        <v/>
      </c>
      <c r="D77" t="str">
        <f>ReferenceData!$D$77</f>
        <v/>
      </c>
      <c r="E77" t="str">
        <f>ReferenceData!$E$77</f>
        <v>Heading</v>
      </c>
      <c r="F77" t="str">
        <f>ReferenceData!$F$77</f>
        <v/>
      </c>
      <c r="G77" t="str">
        <f>ReferenceData!$G$77</f>
        <v/>
      </c>
      <c r="H77" t="str">
        <f>ReferenceData!$H$77</f>
        <v/>
      </c>
      <c r="I77" t="str">
        <f>ReferenceData!$I$77</f>
        <v/>
      </c>
      <c r="J77" t="str">
        <f>ReferenceData!$J$77</f>
        <v/>
      </c>
      <c r="K77" t="str">
        <f>ReferenceData!$K$77</f>
        <v/>
      </c>
      <c r="L77" t="str">
        <f>ReferenceData!$L$77</f>
        <v/>
      </c>
      <c r="M77" t="str">
        <f>ReferenceData!$M$77</f>
        <v/>
      </c>
      <c r="N77" t="str">
        <f>ReferenceData!$N$77</f>
        <v/>
      </c>
      <c r="O77" t="str">
        <f>ReferenceData!$O$77</f>
        <v/>
      </c>
      <c r="P77" t="str">
        <f>ReferenceData!$P$77</f>
        <v/>
      </c>
      <c r="Q77" t="str">
        <f>ReferenceData!$Q$77</f>
        <v/>
      </c>
      <c r="R77" t="str">
        <f>ReferenceData!$R$77</f>
        <v/>
      </c>
      <c r="S77" t="str">
        <f>ReferenceData!$S$77</f>
        <v/>
      </c>
      <c r="T77" t="str">
        <f>ReferenceData!$T$77</f>
        <v/>
      </c>
      <c r="U77" t="str">
        <f>ReferenceData!$U$77</f>
        <v/>
      </c>
      <c r="V77" t="str">
        <f>ReferenceData!$V$77</f>
        <v/>
      </c>
      <c r="W77" t="str">
        <f>ReferenceData!$W$77</f>
        <v/>
      </c>
      <c r="X77" t="str">
        <f>ReferenceData!$X$77</f>
        <v/>
      </c>
      <c r="Y77" t="str">
        <f>ReferenceData!$Y$77</f>
        <v/>
      </c>
      <c r="Z77" t="str">
        <f>ReferenceData!$Z$77</f>
        <v/>
      </c>
      <c r="AA77" t="str">
        <f>ReferenceData!$AA$77</f>
        <v/>
      </c>
      <c r="AB77" t="str">
        <f>ReferenceData!$AB$77</f>
        <v/>
      </c>
      <c r="AC77" t="str">
        <f>ReferenceData!$AC$77</f>
        <v/>
      </c>
      <c r="AD77" t="str">
        <f>ReferenceData!$AD$77</f>
        <v/>
      </c>
      <c r="AE77" t="str">
        <f>ReferenceData!$AE$77</f>
        <v/>
      </c>
      <c r="AF77" t="str">
        <f>ReferenceData!$AF$77</f>
        <v/>
      </c>
      <c r="AG77" t="str">
        <f>ReferenceData!$AG$77</f>
        <v/>
      </c>
      <c r="AH77" t="str">
        <f>ReferenceData!$AH$77</f>
        <v/>
      </c>
      <c r="AI77" t="str">
        <f>ReferenceData!$AI$77</f>
        <v/>
      </c>
      <c r="AJ77" t="str">
        <f>ReferenceData!$AJ$77</f>
        <v/>
      </c>
      <c r="AK77" t="str">
        <f>ReferenceData!$AK$77</f>
        <v/>
      </c>
      <c r="AL77" t="str">
        <f>ReferenceData!$AL$77</f>
        <v/>
      </c>
      <c r="AM77" t="str">
        <f>ReferenceData!$AM$77</f>
        <v/>
      </c>
      <c r="AN77" t="str">
        <f>ReferenceData!$AN$77</f>
        <v/>
      </c>
      <c r="AO77" t="str">
        <f>ReferenceData!$AO$77</f>
        <v/>
      </c>
      <c r="AP77" t="str">
        <f>ReferenceData!$AP$77</f>
        <v/>
      </c>
      <c r="AQ77" t="str">
        <f>ReferenceData!$AQ$77</f>
        <v/>
      </c>
      <c r="AR77" t="str">
        <f>ReferenceData!$AR$77</f>
        <v/>
      </c>
      <c r="AS77" t="str">
        <f>ReferenceData!$AS$77</f>
        <v/>
      </c>
      <c r="AT77" t="str">
        <f>ReferenceData!$AT$77</f>
        <v/>
      </c>
      <c r="AU77" t="str">
        <f>ReferenceData!$AU$77</f>
        <v/>
      </c>
      <c r="AV77" t="str">
        <f>ReferenceData!$AV$77</f>
        <v/>
      </c>
      <c r="AW77" t="str">
        <f>ReferenceData!$AW$77</f>
        <v/>
      </c>
      <c r="AX77" t="str">
        <f>ReferenceData!$AX$77</f>
        <v/>
      </c>
      <c r="AY77" t="str">
        <f>ReferenceData!$AY$77</f>
        <v/>
      </c>
      <c r="AZ77" t="str">
        <f>ReferenceData!$AZ$77</f>
        <v/>
      </c>
      <c r="BA77" t="str">
        <f>ReferenceData!$BA$77</f>
        <v/>
      </c>
      <c r="BB77" t="str">
        <f>ReferenceData!$BB$77</f>
        <v/>
      </c>
      <c r="BC77" t="str">
        <f>ReferenceData!$BC$77</f>
        <v/>
      </c>
      <c r="BD77" t="str">
        <f>ReferenceData!$BD$77</f>
        <v/>
      </c>
      <c r="BE77" t="str">
        <f>ReferenceData!$BE$77</f>
        <v/>
      </c>
      <c r="BF77" t="str">
        <f>ReferenceData!$BF$77</f>
        <v/>
      </c>
      <c r="BG77" t="str">
        <f>ReferenceData!$BG$77</f>
        <v/>
      </c>
      <c r="BH77" t="str">
        <f>ReferenceData!$BH$77</f>
        <v/>
      </c>
      <c r="BI77" t="str">
        <f>ReferenceData!$BI$77</f>
        <v/>
      </c>
      <c r="BJ77" t="str">
        <f>ReferenceData!$BJ$77</f>
        <v/>
      </c>
      <c r="BK77" t="str">
        <f>ReferenceData!$BK$77</f>
        <v/>
      </c>
      <c r="BL77" t="str">
        <f>ReferenceData!$BL$77</f>
        <v/>
      </c>
      <c r="BM77" t="str">
        <f>ReferenceData!$BM$77</f>
        <v/>
      </c>
      <c r="BN77" t="str">
        <f>ReferenceData!$BN$77</f>
        <v/>
      </c>
      <c r="BO77" t="str">
        <f>ReferenceData!$BO$77</f>
        <v/>
      </c>
      <c r="BP77" t="str">
        <f>ReferenceData!$BP$77</f>
        <v/>
      </c>
      <c r="BQ77" t="str">
        <f>ReferenceData!$BQ$77</f>
        <v/>
      </c>
      <c r="BR77" t="str">
        <f>ReferenceData!$BR$77</f>
        <v/>
      </c>
      <c r="BS77" t="str">
        <f>ReferenceData!$BS$77</f>
        <v/>
      </c>
      <c r="BT77" t="str">
        <f>ReferenceData!$BT$77</f>
        <v/>
      </c>
      <c r="BU77" t="str">
        <f>ReferenceData!$BU$77</f>
        <v/>
      </c>
      <c r="BV77" t="str">
        <f>ReferenceData!$BV$77</f>
        <v/>
      </c>
      <c r="BW77" t="str">
        <f>ReferenceData!$BW$77</f>
        <v/>
      </c>
      <c r="BX77" t="str">
        <f>ReferenceData!$BX$77</f>
        <v/>
      </c>
      <c r="BY77" t="str">
        <f>ReferenceData!$BY$77</f>
        <v/>
      </c>
      <c r="BZ77" t="str">
        <f>ReferenceData!$BZ$77</f>
        <v/>
      </c>
      <c r="CA77" t="str">
        <f>ReferenceData!$CA$77</f>
        <v/>
      </c>
      <c r="CB77" t="str">
        <f>ReferenceData!$CB$77</f>
        <v/>
      </c>
      <c r="CC77" t="str">
        <f>ReferenceData!$CC$77</f>
        <v/>
      </c>
      <c r="CD77" t="str">
        <f>ReferenceData!$CD$77</f>
        <v/>
      </c>
      <c r="CE77" t="str">
        <f>ReferenceData!$CE$77</f>
        <v/>
      </c>
      <c r="CF77" t="str">
        <f>ReferenceData!$CF$77</f>
        <v/>
      </c>
      <c r="CG77" t="str">
        <f>ReferenceData!$CG$77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7"/>
  <sheetViews>
    <sheetView workbookViewId="0"/>
  </sheetViews>
  <sheetFormatPr baseColWidth="10" defaultRowHeight="15" x14ac:dyDescent="0.25"/>
  <cols>
    <col min="1" max="1" width="56.42578125" bestFit="1" customWidth="1"/>
    <col min="2" max="2" width="15.85546875" bestFit="1" customWidth="1"/>
  </cols>
  <sheetData>
    <row r="1" spans="1:8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spans="1:85" x14ac:dyDescent="0.25">
      <c r="A2" t="str">
        <f>"LTRO REPAYMENT (EUR B)"</f>
        <v>LTRO REPAYMENT (EUR B)</v>
      </c>
      <c r="B2" t="str">
        <f>""</f>
        <v/>
      </c>
      <c r="C2" t="str">
        <f>""</f>
        <v/>
      </c>
      <c r="D2" t="str">
        <f>""</f>
        <v/>
      </c>
      <c r="E2" t="str">
        <f>"Static"</f>
        <v>Static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  <c r="L2" t="str">
        <f>""</f>
        <v/>
      </c>
      <c r="M2" t="str">
        <f>""</f>
        <v/>
      </c>
      <c r="N2" t="str">
        <f>""</f>
        <v/>
      </c>
      <c r="O2" t="str">
        <f>""</f>
        <v/>
      </c>
      <c r="P2" t="str">
        <f>""</f>
        <v/>
      </c>
      <c r="Q2" t="str">
        <f>""</f>
        <v/>
      </c>
      <c r="R2" t="str">
        <f>""</f>
        <v/>
      </c>
      <c r="S2" t="str">
        <f>""</f>
        <v/>
      </c>
      <c r="T2" t="str">
        <f>""</f>
        <v/>
      </c>
      <c r="U2" t="str">
        <f>""</f>
        <v/>
      </c>
      <c r="V2" t="str">
        <f>""</f>
        <v/>
      </c>
      <c r="W2" t="str">
        <f>""</f>
        <v/>
      </c>
      <c r="X2" t="str">
        <f>""</f>
        <v/>
      </c>
      <c r="Y2" t="str">
        <f>""</f>
        <v/>
      </c>
      <c r="Z2" t="str">
        <f>""</f>
        <v/>
      </c>
      <c r="AA2" t="str">
        <f>""</f>
        <v/>
      </c>
      <c r="AB2" t="str">
        <f>""</f>
        <v/>
      </c>
      <c r="AC2" t="str">
        <f>""</f>
        <v/>
      </c>
      <c r="AD2" t="str">
        <f>""</f>
        <v/>
      </c>
      <c r="AE2" t="str">
        <f>""</f>
        <v/>
      </c>
      <c r="AF2" t="str">
        <f>""</f>
        <v/>
      </c>
      <c r="AG2" t="str">
        <f>""</f>
        <v/>
      </c>
      <c r="AH2" t="str">
        <f>""</f>
        <v/>
      </c>
      <c r="AI2" t="str">
        <f>""</f>
        <v/>
      </c>
      <c r="AJ2" t="str">
        <f>""</f>
        <v/>
      </c>
      <c r="AK2" t="str">
        <f>""</f>
        <v/>
      </c>
      <c r="AL2" t="str">
        <f>""</f>
        <v/>
      </c>
      <c r="AM2" t="str">
        <f>""</f>
        <v/>
      </c>
      <c r="AN2" t="str">
        <f>""</f>
        <v/>
      </c>
      <c r="AO2" t="str">
        <f>""</f>
        <v/>
      </c>
      <c r="AP2" t="str">
        <f>""</f>
        <v/>
      </c>
      <c r="AQ2" t="str">
        <f>""</f>
        <v/>
      </c>
      <c r="AR2" t="str">
        <f>""</f>
        <v/>
      </c>
      <c r="AS2" t="str">
        <f>""</f>
        <v/>
      </c>
      <c r="AT2" t="str">
        <f>""</f>
        <v/>
      </c>
      <c r="AU2" t="str">
        <f>""</f>
        <v/>
      </c>
      <c r="AV2" t="str">
        <f>""</f>
        <v/>
      </c>
      <c r="AW2" t="str">
        <f>""</f>
        <v/>
      </c>
      <c r="AX2" t="str">
        <f>""</f>
        <v/>
      </c>
      <c r="AY2" t="str">
        <f>""</f>
        <v/>
      </c>
      <c r="AZ2" t="str">
        <f>""</f>
        <v/>
      </c>
      <c r="BA2" t="str">
        <f>""</f>
        <v/>
      </c>
      <c r="BB2" t="str">
        <f>""</f>
        <v/>
      </c>
      <c r="BC2" t="str">
        <f>""</f>
        <v/>
      </c>
      <c r="BD2" t="str">
        <f>""</f>
        <v/>
      </c>
      <c r="BE2" t="str">
        <f>""</f>
        <v/>
      </c>
      <c r="BF2" t="str">
        <f>""</f>
        <v/>
      </c>
      <c r="BG2" t="str">
        <f>""</f>
        <v/>
      </c>
      <c r="BH2" t="str">
        <f>""</f>
        <v/>
      </c>
      <c r="BI2" t="str">
        <f>""</f>
        <v/>
      </c>
      <c r="BJ2" t="str">
        <f>""</f>
        <v/>
      </c>
      <c r="BK2" t="str">
        <f>""</f>
        <v/>
      </c>
      <c r="BL2" t="str">
        <f>""</f>
        <v/>
      </c>
      <c r="BM2" t="str">
        <f>""</f>
        <v/>
      </c>
      <c r="BN2" t="str">
        <f>""</f>
        <v/>
      </c>
      <c r="BO2" t="str">
        <f>""</f>
        <v/>
      </c>
      <c r="BP2" t="str">
        <f>""</f>
        <v/>
      </c>
      <c r="BQ2" t="str">
        <f>""</f>
        <v/>
      </c>
      <c r="BR2" t="str">
        <f>""</f>
        <v/>
      </c>
      <c r="BS2" t="str">
        <f>""</f>
        <v/>
      </c>
      <c r="BT2" t="str">
        <f>""</f>
        <v/>
      </c>
      <c r="BU2" t="str">
        <f>""</f>
        <v/>
      </c>
      <c r="BV2" t="str">
        <f>""</f>
        <v/>
      </c>
      <c r="BW2" t="str">
        <f>""</f>
        <v/>
      </c>
      <c r="BX2" t="str">
        <f>""</f>
        <v/>
      </c>
      <c r="BY2" t="str">
        <f>""</f>
        <v/>
      </c>
      <c r="BZ2" t="str">
        <f>""</f>
        <v/>
      </c>
      <c r="CA2" t="str">
        <f>""</f>
        <v/>
      </c>
      <c r="CB2" t="str">
        <f>""</f>
        <v/>
      </c>
      <c r="CC2" t="str">
        <f>""</f>
        <v/>
      </c>
      <c r="CD2" t="str">
        <f>""</f>
        <v/>
      </c>
      <c r="CE2" t="str">
        <f>""</f>
        <v/>
      </c>
      <c r="CF2" t="str">
        <f>""</f>
        <v/>
      </c>
      <c r="CG2" t="str">
        <f>""</f>
        <v/>
      </c>
    </row>
    <row r="3" spans="1:85" x14ac:dyDescent="0.25">
      <c r="A3" t="str">
        <f>"    (Switch to WEEKLY view to see latest data)"</f>
        <v xml:space="preserve">    (Switch to WEEKLY view to see latest data)</v>
      </c>
      <c r="B3" t="str">
        <f>""</f>
        <v/>
      </c>
      <c r="C3" t="str">
        <f>""</f>
        <v/>
      </c>
      <c r="D3" t="str">
        <f>""</f>
        <v/>
      </c>
      <c r="E3" t="str">
        <f>"Heading"</f>
        <v>Heading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  <c r="AD3" t="str">
        <f>""</f>
        <v/>
      </c>
      <c r="AE3" t="str">
        <f>""</f>
        <v/>
      </c>
      <c r="AF3" t="str">
        <f>""</f>
        <v/>
      </c>
      <c r="AG3" t="str">
        <f>""</f>
        <v/>
      </c>
      <c r="AH3" t="str">
        <f>""</f>
        <v/>
      </c>
      <c r="AI3" t="str">
        <f>""</f>
        <v/>
      </c>
      <c r="AJ3" t="str">
        <f>""</f>
        <v/>
      </c>
      <c r="AK3" t="str">
        <f>""</f>
        <v/>
      </c>
      <c r="AL3" t="str">
        <f>""</f>
        <v/>
      </c>
      <c r="AM3" t="str">
        <f>""</f>
        <v/>
      </c>
      <c r="AN3" t="str">
        <f>""</f>
        <v/>
      </c>
      <c r="AO3" t="str">
        <f>""</f>
        <v/>
      </c>
      <c r="AP3" t="str">
        <f>""</f>
        <v/>
      </c>
      <c r="AQ3" t="str">
        <f>""</f>
        <v/>
      </c>
      <c r="AR3" t="str">
        <f>""</f>
        <v/>
      </c>
      <c r="AS3" t="str">
        <f>""</f>
        <v/>
      </c>
      <c r="AT3" t="str">
        <f>""</f>
        <v/>
      </c>
      <c r="AU3" t="str">
        <f>""</f>
        <v/>
      </c>
      <c r="AV3" t="str">
        <f>""</f>
        <v/>
      </c>
      <c r="AW3" t="str">
        <f>""</f>
        <v/>
      </c>
      <c r="AX3" t="str">
        <f>""</f>
        <v/>
      </c>
      <c r="AY3" t="str">
        <f>""</f>
        <v/>
      </c>
      <c r="AZ3" t="str">
        <f>""</f>
        <v/>
      </c>
      <c r="BA3" t="str">
        <f>""</f>
        <v/>
      </c>
      <c r="BB3" t="str">
        <f>""</f>
        <v/>
      </c>
      <c r="BC3" t="str">
        <f>""</f>
        <v/>
      </c>
      <c r="BD3" t="str">
        <f>""</f>
        <v/>
      </c>
      <c r="BE3" t="str">
        <f>""</f>
        <v/>
      </c>
      <c r="BF3" t="str">
        <f>""</f>
        <v/>
      </c>
      <c r="BG3" t="str">
        <f>""</f>
        <v/>
      </c>
      <c r="BH3" t="str">
        <f>""</f>
        <v/>
      </c>
      <c r="BI3" t="str">
        <f>""</f>
        <v/>
      </c>
      <c r="BJ3" t="str">
        <f>""</f>
        <v/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</row>
    <row r="4" spans="1:85" x14ac:dyDescent="0.25">
      <c r="A4" t="str">
        <f>"    LTRO I Weekly Repayment"</f>
        <v xml:space="preserve">    LTRO I Weekly Repayment</v>
      </c>
      <c r="B4" t="str">
        <f>"ECBA3YP1 Index"</f>
        <v>ECBA3YP1 Index</v>
      </c>
      <c r="C4" t="str">
        <f>"PR005"</f>
        <v>PR005</v>
      </c>
      <c r="D4" t="str">
        <f>"PX_LAST"</f>
        <v>PX_LAST</v>
      </c>
      <c r="E4" t="str">
        <f>"Dynamic"</f>
        <v>Dynamic</v>
      </c>
      <c r="F4" t="e">
        <f ca="1">IF(OR(ISBLANK($F$109), $F$109 = ""), 10.30000019,$F$109)</f>
        <v>#N/A</v>
      </c>
      <c r="G4">
        <f>IF(OR(ISBLANK($G$109), $G$109 = ""), 1.692000031,$G$109)</f>
        <v>1.8380000000000001</v>
      </c>
      <c r="H4">
        <f>IF(OR(ISBLANK($H$109), $H$109 = ""), 9.663999557,$H$109)</f>
        <v>0.374</v>
      </c>
      <c r="I4">
        <f>IF(OR(ISBLANK($I$109), $I$109 = ""), 1.549999952,$I$109)</f>
        <v>0.3</v>
      </c>
      <c r="J4">
        <f>IF(OR(ISBLANK($J$109), $J$109 = ""), 6.123000145,$J$109)</f>
        <v>2.3199999999999998</v>
      </c>
      <c r="K4">
        <f>IF(OR(ISBLANK($K$109), $K$109 = ""), 5.005000114,$K$109)</f>
        <v>0.2</v>
      </c>
      <c r="L4">
        <f>IF(OR(ISBLANK($L$109), $L$109 = ""), 2.608999968,$L$109)</f>
        <v>0.71</v>
      </c>
      <c r="M4">
        <f>IF(OR(ISBLANK($M$109), $M$109 = ""), 1.299999952,$M$109)</f>
        <v>3.2330000000000001</v>
      </c>
      <c r="N4">
        <f>IF(OR(ISBLANK($N$109), $N$109 = ""), 9.399999619,$N$109)</f>
        <v>1.5169999999999999</v>
      </c>
      <c r="O4">
        <f>IF(OR(ISBLANK($O$109), $O$109 = ""), 5.782000065,$O$109)</f>
        <v>0.64500000000000002</v>
      </c>
      <c r="P4">
        <f>IF(OR(ISBLANK($P$109), $P$109 = ""), 3.38499999,$P$109)</f>
        <v>0.03</v>
      </c>
      <c r="Q4">
        <f>IF(OR(ISBLANK($Q$109), $Q$109 = ""), 2.52699995,$Q$109)</f>
        <v>10.3</v>
      </c>
      <c r="R4">
        <f>IF(OR(ISBLANK($R$109), $R$109 = ""), 0.174999997,$R$109)</f>
        <v>1.6919999999999999</v>
      </c>
      <c r="S4">
        <f>IF(OR(ISBLANK($S$109), $S$109 = ""), 6.410999775,$S$109)</f>
        <v>9.6639999999999997</v>
      </c>
      <c r="T4">
        <f>IF(OR(ISBLANK($T$109), $T$109 = ""), 4.994999886,$T$109)</f>
        <v>1.55</v>
      </c>
      <c r="U4">
        <f>IF(OR(ISBLANK($U$109), $U$109 = ""), 3.132999897,$U$109)</f>
        <v>6.1230000000000002</v>
      </c>
      <c r="V4">
        <f>IF(OR(ISBLANK($V$109), $V$109 = ""), 0.509999991,$V$109)</f>
        <v>5.0049999999999999</v>
      </c>
      <c r="W4">
        <f>IF(OR(ISBLANK($W$109), $W$109 = ""), 2.5,$W$109)</f>
        <v>2.609</v>
      </c>
      <c r="X4">
        <f>IF(OR(ISBLANK($X$109), $X$109 = ""), 0.790000022,$X$109)</f>
        <v>1.3</v>
      </c>
      <c r="Y4">
        <f>IF(OR(ISBLANK($Y$109), $Y$109 = ""), 0.524999976,$Y$109)</f>
        <v>9.4</v>
      </c>
      <c r="Z4">
        <f>IF(OR(ISBLANK($Z$109), $Z$109 = ""), 0.25,$Z$109)</f>
        <v>5.782</v>
      </c>
      <c r="AA4">
        <f>IF(OR(ISBLANK($AA$109), $AA$109 = ""), 3.496999979,$AA$109)</f>
        <v>3.3849999999999998</v>
      </c>
      <c r="AB4">
        <f>IF(OR(ISBLANK($AB$109), $AB$109 = ""), 0.632000029,$AB$109)</f>
        <v>2.5270000000000001</v>
      </c>
      <c r="AC4">
        <f>IF(OR(ISBLANK($AC$109), $AC$109 = ""), 0.980000019,$AC$109)</f>
        <v>0.17499999999999999</v>
      </c>
      <c r="AD4">
        <f>IF(OR(ISBLANK($AD$109), $AD$109 = ""), "",$AD$109)</f>
        <v>6.4109999999999996</v>
      </c>
      <c r="AE4">
        <f>IF(OR(ISBLANK($AE$109), $AE$109 = ""), "",$AE$109)</f>
        <v>4.9950000000000001</v>
      </c>
      <c r="AF4">
        <f>IF(OR(ISBLANK($AF$109), $AF$109 = ""), 4.050000191,$AF$109)</f>
        <v>3.133</v>
      </c>
      <c r="AG4">
        <f>IF(OR(ISBLANK($AG$109), $AG$109 = ""), 3.319999933,$AG$109)</f>
        <v>0.51</v>
      </c>
      <c r="AH4">
        <f>IF(OR(ISBLANK($AH$109), $AH$109 = ""), 3.138000011,$AH$109)</f>
        <v>2.5</v>
      </c>
      <c r="AI4">
        <f>IF(OR(ISBLANK($AI$109), $AI$109 = ""), 5.105000019,$AI$109)</f>
        <v>0.79</v>
      </c>
      <c r="AJ4">
        <f>IF(OR(ISBLANK($AJ$109), $AJ$109 = ""), 2.84100008,$AJ$109)</f>
        <v>0.52500000000000002</v>
      </c>
      <c r="AK4">
        <f>IF(OR(ISBLANK($AK$109), $AK$109 = ""), 3.154999971,$AK$109)</f>
        <v>0.25</v>
      </c>
      <c r="AL4">
        <f>IF(OR(ISBLANK($AL$109), $AL$109 = ""), 2.910000086,$AL$109)</f>
        <v>3.4969999999999999</v>
      </c>
      <c r="AM4">
        <f>IF(OR(ISBLANK($AM$109), $AM$109 = ""), 5.288000107,$AM$109)</f>
        <v>0.63200000000000001</v>
      </c>
      <c r="AN4">
        <f>IF(OR(ISBLANK($AN$109), $AN$109 = ""), 1.445000052,$AN$109)</f>
        <v>0.98</v>
      </c>
      <c r="AO4">
        <f>IF(OR(ISBLANK($AO$109), $AO$109 = ""), 0.104999997,$AO$109)</f>
        <v>0.104999997</v>
      </c>
      <c r="AP4">
        <f>IF(OR(ISBLANK($AP$109), $AP$109 = ""), 0.597000003,$AP$109)</f>
        <v>0.597000003</v>
      </c>
      <c r="AQ4">
        <f>IF(OR(ISBLANK($AQ$109), $AQ$109 = ""), 4.610000134,$AQ$109)</f>
        <v>4.05</v>
      </c>
      <c r="AR4">
        <f>IF(OR(ISBLANK($AR$109), $AR$109 = ""), 1.534999967,$AR$109)</f>
        <v>3.32</v>
      </c>
      <c r="AS4">
        <f>IF(OR(ISBLANK($AS$109), $AS$109 = ""), 2.650000095,$AS$109)</f>
        <v>3.1379999999999999</v>
      </c>
      <c r="AT4">
        <f>IF(OR(ISBLANK($AT$109), $AT$109 = ""), 0.740999997,$AT$109)</f>
        <v>5.1050000000000004</v>
      </c>
      <c r="AU4">
        <f>IF(OR(ISBLANK($AU$109), $AU$109 = ""), 3.704999924,$AU$109)</f>
        <v>2.8410000000000002</v>
      </c>
      <c r="AV4">
        <f>IF(OR(ISBLANK($AV$109), $AV$109 = ""), 0.100000002,$AV$109)</f>
        <v>3.1549999999999998</v>
      </c>
      <c r="AW4">
        <f>IF(OR(ISBLANK($AW$109), $AW$109 = ""), 0.100000002,$AW$109)</f>
        <v>2.91</v>
      </c>
      <c r="AX4">
        <f>IF(OR(ISBLANK($AX$109), $AX$109 = ""), 0.203999996,$AX$109)</f>
        <v>5.2880000000000003</v>
      </c>
      <c r="AY4">
        <f>IF(OR(ISBLANK($AY$109), $AY$109 = ""), 0.515999973,$AY$109)</f>
        <v>1.4450000000000001</v>
      </c>
      <c r="AZ4">
        <f>IF(OR(ISBLANK($AZ$109), $AZ$109 = ""), 1.799999952,$AZ$109)</f>
        <v>0.105</v>
      </c>
      <c r="BA4">
        <f>IF(OR(ISBLANK($BA$109), $BA$109 = ""), 1.06400001,$BA$109)</f>
        <v>0.59699999999999998</v>
      </c>
      <c r="BB4">
        <f>IF(OR(ISBLANK($BB$109), $BB$109 = ""), 2.181999922,$BB$109)</f>
        <v>4.6100000000000003</v>
      </c>
      <c r="BC4">
        <f>IF(OR(ISBLANK($BC$109), $BC$109 = ""), 0.513000011,$BC$109)</f>
        <v>1.5350000000000001</v>
      </c>
      <c r="BD4">
        <f>IF(OR(ISBLANK($BD$109), $BD$109 = ""), 0,$BD$109)</f>
        <v>2.65</v>
      </c>
      <c r="BE4">
        <f>IF(OR(ISBLANK($BE$109), $BE$109 = ""), 2.025000095,$BE$109)</f>
        <v>0.74099999999999999</v>
      </c>
      <c r="BF4">
        <f>IF(OR(ISBLANK($BF$109), $BF$109 = ""), 5.03000021,$BF$109)</f>
        <v>3.7050000000000001</v>
      </c>
      <c r="BG4">
        <f>IF(OR(ISBLANK($BG$109), $BG$109 = ""), 3.007999897,$BG$109)</f>
        <v>0.1</v>
      </c>
      <c r="BH4">
        <f>IF(OR(ISBLANK($BH$109), $BH$109 = ""), 2.799999952,$BH$109)</f>
        <v>0.1</v>
      </c>
      <c r="BI4">
        <f>IF(OR(ISBLANK($BI$109), $BI$109 = ""), 2.809999943,$BI$109)</f>
        <v>0.20399999999999999</v>
      </c>
      <c r="BJ4">
        <f>IF(OR(ISBLANK($BJ$109), $BJ$109 = ""), 6.208000183,$BJ$109)</f>
        <v>0.51600000000000001</v>
      </c>
      <c r="BK4">
        <f>IF(OR(ISBLANK($BK$109), $BK$109 = ""), 1.019999981,$BK$109)</f>
        <v>1.8</v>
      </c>
      <c r="BL4">
        <f>IF(OR(ISBLANK($BL$109), $BL$109 = ""), 1.205000043,$BL$109)</f>
        <v>1.0640000000000001</v>
      </c>
      <c r="BM4">
        <f>IF(OR(ISBLANK($BM$109), $BM$109 = ""), 0.008,$BM$109)</f>
        <v>2.1819999999999999</v>
      </c>
      <c r="BN4">
        <f>IF(OR(ISBLANK($BN$109), $BN$109 = ""), 1.661000013,$BN$109)</f>
        <v>0.51300000000000001</v>
      </c>
      <c r="BO4">
        <f>IF(OR(ISBLANK($BO$109), $BO$109 = ""), 8.873999596,$BO$109)</f>
        <v>0</v>
      </c>
      <c r="BP4">
        <f>IF(OR(ISBLANK($BP$109), $BP$109 = ""), 6.553999901,$BP$109)</f>
        <v>2.0249999999999999</v>
      </c>
      <c r="BQ4">
        <f>IF(OR(ISBLANK($BQ$109), $BQ$109 = ""), 4.092000008,$BQ$109)</f>
        <v>5.03</v>
      </c>
      <c r="BR4">
        <f>IF(OR(ISBLANK($BR$109), $BR$109 = ""), 3.845000029,$BR$109)</f>
        <v>3.008</v>
      </c>
      <c r="BS4">
        <f>IF(OR(ISBLANK($BS$109), $BS$109 = ""), 1.565000057,$BS$109)</f>
        <v>2.8</v>
      </c>
      <c r="BT4">
        <f>IF(OR(ISBLANK($BT$109), $BT$109 = ""), 0.384999991,$BT$109)</f>
        <v>2.81</v>
      </c>
      <c r="BU4">
        <f>IF(OR(ISBLANK($BU$109), $BU$109 = ""), 1.335999966,$BU$109)</f>
        <v>6.2080000000000002</v>
      </c>
      <c r="BV4">
        <f>IF(OR(ISBLANK($BV$109), $BV$109 = ""), 4.176000118,$BV$109)</f>
        <v>1.02</v>
      </c>
      <c r="BW4">
        <f>IF(OR(ISBLANK($BW$109), $BW$109 = ""), 1.743999958,$BW$109)</f>
        <v>1.2050000000000001</v>
      </c>
      <c r="BX4">
        <f>IF(OR(ISBLANK($BX$109), $BX$109 = ""), 3.789999962,$BX$109)</f>
        <v>8.0000000000000002E-3</v>
      </c>
      <c r="BY4">
        <f>IF(OR(ISBLANK($BY$109), $BY$109 = ""), 4.993000031,$BY$109)</f>
        <v>1.661</v>
      </c>
      <c r="BZ4">
        <f>IF(OR(ISBLANK($BZ$109), $BZ$109 = ""), 3.483999968,$BZ$109)</f>
        <v>8.8740000000000006</v>
      </c>
      <c r="CA4">
        <f>IF(OR(ISBLANK($CA$109), $CA$109 = ""), 137.1589966,$CA$109)</f>
        <v>6.5540000000000003</v>
      </c>
      <c r="CB4">
        <f>IF(OR(ISBLANK($CB$109), $CB$109 = ""), "",$CB$109)</f>
        <v>4.0919999999999996</v>
      </c>
      <c r="CC4">
        <f>IF(OR(ISBLANK($CC$109), $CC$109 = ""), "",$CC$109)</f>
        <v>3.8449999999999998</v>
      </c>
      <c r="CD4">
        <f>IF(OR(ISBLANK($CD$109), $CD$109 = ""), "",$CD$109)</f>
        <v>1.5649999999999999</v>
      </c>
      <c r="CE4">
        <f>IF(OR(ISBLANK($CE$109), $CE$109 = ""), "",$CE$109)</f>
        <v>0.38500000000000001</v>
      </c>
      <c r="CF4">
        <f>IF(OR(ISBLANK($CF$109), $CF$109 = ""), "",$CF$109)</f>
        <v>1.3360000000000001</v>
      </c>
      <c r="CG4">
        <f>IF(OR(ISBLANK($CG$109), $CG$109 = ""), "",$CG$109)</f>
        <v>4.1760000000000002</v>
      </c>
    </row>
    <row r="5" spans="1:85" x14ac:dyDescent="0.25">
      <c r="A5" t="str">
        <f>"    LTRO I Cumulative Repayment"</f>
        <v xml:space="preserve">    LTRO I Cumulative Repayment</v>
      </c>
      <c r="B5" t="str">
        <f>"ECBA3YC1 Index"</f>
        <v>ECBA3YC1 Index</v>
      </c>
      <c r="C5" t="str">
        <f>"PR005"</f>
        <v>PR005</v>
      </c>
      <c r="D5" t="str">
        <f>"PX_LAST"</f>
        <v>PX_LAST</v>
      </c>
      <c r="E5" t="str">
        <f>"Dynamic"</f>
        <v>Dynamic</v>
      </c>
      <c r="F5" t="e">
        <f ca="1">IF(OR(ISBLANK($F$110), $F$110 = ""), "",$F$110)</f>
        <v>#N/A</v>
      </c>
      <c r="G5">
        <f>IF(OR(ISBLANK($G$110), $G$110 = ""), 332.8809814,$G$110)</f>
        <v>354.34800000000001</v>
      </c>
      <c r="H5">
        <f>IF(OR(ISBLANK($H$110), $H$110 = ""), 331.1889954,$H$110)</f>
        <v>352.51</v>
      </c>
      <c r="I5">
        <f>IF(OR(ISBLANK($I$110), $I$110 = ""), 321.5249939,$I$110)</f>
        <v>352.13600000000002</v>
      </c>
      <c r="J5">
        <f>IF(OR(ISBLANK($J$110), $J$110 = ""), 319.9749756,$J$110)</f>
        <v>351.83600000000001</v>
      </c>
      <c r="K5">
        <f>IF(OR(ISBLANK($K$110), $K$110 = ""), 313.8519897,$K$110)</f>
        <v>349.51600000000002</v>
      </c>
      <c r="L5">
        <f>IF(OR(ISBLANK($L$110), $L$110 = ""), 308.8469849,$L$110)</f>
        <v>349.31599999999997</v>
      </c>
      <c r="M5">
        <f>IF(OR(ISBLANK($M$110), $M$110 = ""), 306.2379761,$M$110)</f>
        <v>348.60599999999999</v>
      </c>
      <c r="N5">
        <f>IF(OR(ISBLANK($N$110), $N$110 = ""), 304.9379883,$N$110)</f>
        <v>345.37299999999999</v>
      </c>
      <c r="O5">
        <f>IF(OR(ISBLANK($O$110), $O$110 = ""), 295.5379944,$O$110)</f>
        <v>343.85599999999999</v>
      </c>
      <c r="P5">
        <f>IF(OR(ISBLANK($P$110), $P$110 = ""), 289.7559814,$P$110)</f>
        <v>343.21100000000001</v>
      </c>
      <c r="Q5">
        <f>IF(OR(ISBLANK($Q$110), $Q$110 = ""), 286.3709717,$Q$110)</f>
        <v>343.18099999999998</v>
      </c>
      <c r="R5">
        <f>IF(OR(ISBLANK($R$110), $R$110 = ""), 283.8439941,$R$110)</f>
        <v>332.88099999999997</v>
      </c>
      <c r="S5">
        <f>IF(OR(ISBLANK($S$110), $S$110 = ""), 283.6690063,$S$110)</f>
        <v>331.18900000000002</v>
      </c>
      <c r="T5">
        <f>IF(OR(ISBLANK($T$110), $T$110 = ""), 277.2579956,$T$110)</f>
        <v>321.52499999999998</v>
      </c>
      <c r="U5">
        <f>IF(OR(ISBLANK($U$110), $U$110 = ""), 272.2630005,$U$110)</f>
        <v>319.97500000000002</v>
      </c>
      <c r="V5">
        <f>IF(OR(ISBLANK($V$110), $V$110 = ""), 269.1300049,$V$110)</f>
        <v>313.85199999999998</v>
      </c>
      <c r="W5">
        <f>IF(OR(ISBLANK($W$110), $W$110 = ""), 268.6199951,$W$110)</f>
        <v>308.84699999999998</v>
      </c>
      <c r="X5">
        <f>IF(OR(ISBLANK($X$110), $X$110 = ""), 266.1199951,$X$110)</f>
        <v>306.238</v>
      </c>
      <c r="Y5">
        <f>IF(OR(ISBLANK($Y$110), $Y$110 = ""), 265.3300171,$Y$110)</f>
        <v>304.93799999999999</v>
      </c>
      <c r="Z5">
        <f>IF(OR(ISBLANK($Z$110), $Z$110 = ""), 264.8050232,$Z$110)</f>
        <v>295.53800000000001</v>
      </c>
      <c r="AA5">
        <f>IF(OR(ISBLANK($AA$110), $AA$110 = ""), 264.5550232,$AA$110)</f>
        <v>289.75599999999997</v>
      </c>
      <c r="AB5">
        <f>IF(OR(ISBLANK($AB$110), $AB$110 = ""), 261.0580139,$AB$110)</f>
        <v>286.37099999999998</v>
      </c>
      <c r="AC5">
        <f>IF(OR(ISBLANK($AC$110), $AC$110 = ""), 260.4260254,$AC$110)</f>
        <v>283.84399999999999</v>
      </c>
      <c r="AD5">
        <f>IF(OR(ISBLANK($AD$110), $AD$110 = ""), "",$AD$110)</f>
        <v>283.66899999999998</v>
      </c>
      <c r="AE5">
        <f>IF(OR(ISBLANK($AE$110), $AE$110 = ""), "",$AE$110)</f>
        <v>277.25799999999998</v>
      </c>
      <c r="AF5">
        <f>IF(OR(ISBLANK($AF$110), $AF$110 = ""), 259.4460144,$AF$110)</f>
        <v>272.26299999999998</v>
      </c>
      <c r="AG5">
        <f>IF(OR(ISBLANK($AG$110), $AG$110 = ""), 255.3960266,$AG$110)</f>
        <v>269.13</v>
      </c>
      <c r="AH5">
        <f>IF(OR(ISBLANK($AH$110), $AH$110 = ""), 252.0760193,$AH$110)</f>
        <v>268.62</v>
      </c>
      <c r="AI5">
        <f>IF(OR(ISBLANK($AI$110), $AI$110 = ""), 248.9380188,$AI$110)</f>
        <v>266.12</v>
      </c>
      <c r="AJ5">
        <f>IF(OR(ISBLANK($AJ$110), $AJ$110 = ""), 243.8330078,$AJ$110)</f>
        <v>265.33</v>
      </c>
      <c r="AK5">
        <f>IF(OR(ISBLANK($AK$110), $AK$110 = ""), 240.9920044,$AK$110)</f>
        <v>264.80500000000001</v>
      </c>
      <c r="AL5">
        <f>IF(OR(ISBLANK($AL$110), $AL$110 = ""), 237.8370056,$AL$110)</f>
        <v>264.55500000000001</v>
      </c>
      <c r="AM5">
        <f>IF(OR(ISBLANK($AM$110), $AM$110 = ""), 234.927002,$AM$110)</f>
        <v>261.05799999999999</v>
      </c>
      <c r="AN5">
        <f>IF(OR(ISBLANK($AN$110), $AN$110 = ""), 229.6390076,$AN$110)</f>
        <v>260.42599999999999</v>
      </c>
      <c r="AO5">
        <f>IF(OR(ISBLANK($AO$110), $AO$110 = ""), 228.1940002,$AO$110)</f>
        <v>228.1940002</v>
      </c>
      <c r="AP5">
        <f>IF(OR(ISBLANK($AP$110), $AP$110 = ""), 228.0890198,$AP$110)</f>
        <v>228.08901979999999</v>
      </c>
      <c r="AQ5">
        <f>IF(OR(ISBLANK($AQ$110), $AQ$110 = ""), 227.4920044,$AQ$110)</f>
        <v>259.44600000000003</v>
      </c>
      <c r="AR5">
        <f>IF(OR(ISBLANK($AR$110), $AR$110 = ""), 222.882019,$AR$110)</f>
        <v>255.39599999999999</v>
      </c>
      <c r="AS5">
        <f>IF(OR(ISBLANK($AS$110), $AS$110 = ""), 221.3470154,$AS$110)</f>
        <v>252.07599999999999</v>
      </c>
      <c r="AT5">
        <f>IF(OR(ISBLANK($AT$110), $AT$110 = ""), 218.696991,$AT$110)</f>
        <v>248.93799999999999</v>
      </c>
      <c r="AU5">
        <f>IF(OR(ISBLANK($AU$110), $AU$110 = ""), 217.9559937,$AU$110)</f>
        <v>243.833</v>
      </c>
      <c r="AV5">
        <f>IF(OR(ISBLANK($AV$110), $AV$110 = ""), 214.2510071,$AV$110)</f>
        <v>240.99199999999999</v>
      </c>
      <c r="AW5">
        <f>IF(OR(ISBLANK($AW$110), $AW$110 = ""), 214.151001,$AW$110)</f>
        <v>237.83699999999999</v>
      </c>
      <c r="AX5">
        <f>IF(OR(ISBLANK($AX$110), $AX$110 = ""), 214.0509949,$AX$110)</f>
        <v>234.92699999999999</v>
      </c>
      <c r="AY5">
        <f>IF(OR(ISBLANK($AY$110), $AY$110 = ""), 213.8469849,$AY$110)</f>
        <v>229.63900000000001</v>
      </c>
      <c r="AZ5">
        <f>IF(OR(ISBLANK($AZ$110), $AZ$110 = ""), 213.3309937,$AZ$110)</f>
        <v>228.19399999999999</v>
      </c>
      <c r="BA5">
        <f>IF(OR(ISBLANK($BA$110), $BA$110 = ""), 211.5309753,$BA$110)</f>
        <v>228.089</v>
      </c>
      <c r="BB5">
        <f>IF(OR(ISBLANK($BB$110), $BB$110 = ""), 210.46698,$BB$110)</f>
        <v>227.49199999999999</v>
      </c>
      <c r="BC5">
        <f>IF(OR(ISBLANK($BC$110), $BC$110 = ""), 208.2850037,$BC$110)</f>
        <v>222.88200000000001</v>
      </c>
      <c r="BD5">
        <f>IF(OR(ISBLANK($BD$110), $BD$110 = ""), 207.7720032,$BD$110)</f>
        <v>221.34700000000001</v>
      </c>
      <c r="BE5">
        <f>IF(OR(ISBLANK($BE$110), $BE$110 = ""), 207.7720032,$BE$110)</f>
        <v>218.697</v>
      </c>
      <c r="BF5">
        <f>IF(OR(ISBLANK($BF$110), $BF$110 = ""), 205.746994,$BF$110)</f>
        <v>217.95599999999999</v>
      </c>
      <c r="BG5">
        <f>IF(OR(ISBLANK($BG$110), $BG$110 = ""), 200.7169952,$BG$110)</f>
        <v>214.251</v>
      </c>
      <c r="BH5">
        <f>IF(OR(ISBLANK($BH$110), $BH$110 = ""), 197.7089844,$BH$110)</f>
        <v>214.15100000000001</v>
      </c>
      <c r="BI5">
        <f>IF(OR(ISBLANK($BI$110), $BI$110 = ""), 194.9089966,$BI$110)</f>
        <v>214.05099999999999</v>
      </c>
      <c r="BJ5">
        <f>IF(OR(ISBLANK($BJ$110), $BJ$110 = ""), 192.098999,$BJ$110)</f>
        <v>213.84700000000001</v>
      </c>
      <c r="BK5">
        <f>IF(OR(ISBLANK($BK$110), $BK$110 = ""), 185.8909912,$BK$110)</f>
        <v>213.33099999999999</v>
      </c>
      <c r="BL5">
        <f>IF(OR(ISBLANK($BL$110), $BL$110 = ""), 184.8710022,$BL$110)</f>
        <v>211.53100000000001</v>
      </c>
      <c r="BM5">
        <f>IF(OR(ISBLANK($BM$110), $BM$110 = ""), 183.6660004,$BM$110)</f>
        <v>210.46700000000001</v>
      </c>
      <c r="BN5">
        <f>IF(OR(ISBLANK($BN$110), $BN$110 = ""), 183.6579895,$BN$110)</f>
        <v>208.285</v>
      </c>
      <c r="BO5">
        <f>IF(OR(ISBLANK($BO$110), $BO$110 = ""), 181.9970093,$BO$110)</f>
        <v>207.77199999999999</v>
      </c>
      <c r="BP5">
        <f>IF(OR(ISBLANK($BP$110), $BP$110 = ""), 173.1230011,$BP$110)</f>
        <v>207.77199999999999</v>
      </c>
      <c r="BQ5">
        <f>IF(OR(ISBLANK($BQ$110), $BQ$110 = ""), 166.5690002,$BQ$110)</f>
        <v>205.74700000000001</v>
      </c>
      <c r="BR5">
        <f>IF(OR(ISBLANK($BR$110), $BR$110 = ""), 162.4769897,$BR$110)</f>
        <v>200.71700000000001</v>
      </c>
      <c r="BS5">
        <f>IF(OR(ISBLANK($BS$110), $BS$110 = ""), 158.6319885,$BS$110)</f>
        <v>197.709</v>
      </c>
      <c r="BT5">
        <f>IF(OR(ISBLANK($BT$110), $BT$110 = ""), 157.0670013,$BT$110)</f>
        <v>194.90899999999999</v>
      </c>
      <c r="BU5">
        <f>IF(OR(ISBLANK($BU$110), $BU$110 = ""), 156.6819916,$BU$110)</f>
        <v>192.09899999999999</v>
      </c>
      <c r="BV5">
        <f>IF(OR(ISBLANK($BV$110), $BV$110 = ""), 155.345993,$BV$110)</f>
        <v>185.89099999999999</v>
      </c>
      <c r="BW5">
        <f>IF(OR(ISBLANK($BW$110), $BW$110 = ""), 151.1699982,$BW$110)</f>
        <v>184.87100000000001</v>
      </c>
      <c r="BX5">
        <f>IF(OR(ISBLANK($BX$110), $BX$110 = ""), 149.4259949,$BX$110)</f>
        <v>183.666</v>
      </c>
      <c r="BY5">
        <f>IF(OR(ISBLANK($BY$110), $BY$110 = ""), 145.6360016,$BY$110)</f>
        <v>183.65799999999999</v>
      </c>
      <c r="BZ5">
        <f>IF(OR(ISBLANK($BZ$110), $BZ$110 = ""), 140.6430054,$BZ$110)</f>
        <v>181.99700000000001</v>
      </c>
      <c r="CA5">
        <f>IF(OR(ISBLANK($CA$110), $CA$110 = ""), 137.1589966,$CA$110)</f>
        <v>173.12299999999999</v>
      </c>
      <c r="CB5">
        <f>IF(OR(ISBLANK($CB$110), $CB$110 = ""), "",$CB$110)</f>
        <v>166.56899999999999</v>
      </c>
      <c r="CC5">
        <f>IF(OR(ISBLANK($CC$110), $CC$110 = ""), "",$CC$110)</f>
        <v>162.477</v>
      </c>
      <c r="CD5">
        <f>IF(OR(ISBLANK($CD$110), $CD$110 = ""), "",$CD$110)</f>
        <v>158.63200000000001</v>
      </c>
      <c r="CE5">
        <f>IF(OR(ISBLANK($CE$110), $CE$110 = ""), "",$CE$110)</f>
        <v>157.06700000000001</v>
      </c>
      <c r="CF5">
        <f>IF(OR(ISBLANK($CF$110), $CF$110 = ""), "",$CF$110)</f>
        <v>156.68199999999999</v>
      </c>
      <c r="CG5">
        <f>IF(OR(ISBLANK($CG$110), $CG$110 = ""), "",$CG$110)</f>
        <v>155.346</v>
      </c>
    </row>
    <row r="6" spans="1:85" x14ac:dyDescent="0.25">
      <c r="A6" t="str">
        <f>"    LTRO I Outstanding"</f>
        <v xml:space="preserve">    LTRO I Outstanding</v>
      </c>
      <c r="B6" t="str">
        <f>"ECBA3YO1 Index"</f>
        <v>ECBA3YO1 Index</v>
      </c>
      <c r="C6" t="str">
        <f>"PR005"</f>
        <v>PR005</v>
      </c>
      <c r="D6" t="str">
        <f>"PX_LAST"</f>
        <v>PX_LAST</v>
      </c>
      <c r="E6" t="str">
        <f>"Dynamic"</f>
        <v>Dynamic</v>
      </c>
      <c r="F6" t="e">
        <f ca="1">IF(OR(ISBLANK($F$111), $F$111 = ""), 134.451004,$F$111)</f>
        <v>#N/A</v>
      </c>
      <c r="G6">
        <f>IF(OR(ISBLANK($G$111), $G$111 = ""), 134.451004,$G$111)</f>
        <v>112.98399999999999</v>
      </c>
      <c r="H6">
        <f>IF(OR(ISBLANK($H$111), $H$111 = ""), 136.1430054,$H$111)</f>
        <v>114.822</v>
      </c>
      <c r="I6">
        <f>IF(OR(ISBLANK($I$111), $I$111 = ""), 145.8370056,$I$111)</f>
        <v>115.196</v>
      </c>
      <c r="J6">
        <f>IF(OR(ISBLANK($J$111), $J$111 = ""), 147.3869934,$J$111)</f>
        <v>115.496</v>
      </c>
      <c r="K6">
        <f>IF(OR(ISBLANK($K$111), $K$111 = ""), 153.5099945,$K$111)</f>
        <v>117.816</v>
      </c>
      <c r="L6">
        <f>IF(OR(ISBLANK($L$111), $L$111 = ""), 161.1239929,$L$111)</f>
        <v>118.01600000000001</v>
      </c>
      <c r="M6">
        <f>IF(OR(ISBLANK($M$111), $M$111 = ""), 162.423996,$M$111)</f>
        <v>118.726</v>
      </c>
      <c r="N6">
        <f>IF(OR(ISBLANK($N$111), $N$111 = ""), 171.8240051,$N$111)</f>
        <v>121.959</v>
      </c>
      <c r="O6">
        <f>IF(OR(ISBLANK($O$111), $O$111 = ""), 177.6060028,$O$111)</f>
        <v>123.476</v>
      </c>
      <c r="P6">
        <f>IF(OR(ISBLANK($P$111), $P$111 = ""), 180.9909973,$P$111)</f>
        <v>124.121</v>
      </c>
      <c r="Q6">
        <f>IF(OR(ISBLANK($Q$111), $Q$111 = ""), 183.5,$Q$111)</f>
        <v>124.151</v>
      </c>
      <c r="R6">
        <f>IF(OR(ISBLANK($R$111), $R$111 = ""), 183.6999969,$R$111)</f>
        <v>134.45099999999999</v>
      </c>
      <c r="S6">
        <f>IF(OR(ISBLANK($S$111), $S$111 = ""), 190.1000061,$S$111)</f>
        <v>136.143</v>
      </c>
      <c r="T6">
        <f>IF(OR(ISBLANK($T$111), $T$111 = ""), 195.1000061,$T$111)</f>
        <v>145.83699999999999</v>
      </c>
      <c r="U6">
        <f>IF(OR(ISBLANK($U$111), $U$111 = ""), 198.1999969,$U$111)</f>
        <v>147.387</v>
      </c>
      <c r="V6">
        <f>IF(OR(ISBLANK($V$111), $V$111 = ""), 198.6999969,$V$111)</f>
        <v>153.51</v>
      </c>
      <c r="W6">
        <f>IF(OR(ISBLANK($W$111), $W$111 = ""), 201.1999969,$W$111)</f>
        <v>161.124</v>
      </c>
      <c r="X6">
        <f>IF(OR(ISBLANK($X$111), $X$111 = ""), 202,$X$111)</f>
        <v>162.42400000000001</v>
      </c>
      <c r="Y6">
        <f>IF(OR(ISBLANK($Y$111), $Y$111 = ""), 202.6000061,$Y$111)</f>
        <v>171.82400000000001</v>
      </c>
      <c r="Z6">
        <f>IF(OR(ISBLANK($Z$111), $Z$111 = ""), 202.8000031,$Z$111)</f>
        <v>177.60599999999999</v>
      </c>
      <c r="AA6">
        <f>IF(OR(ISBLANK($AA$111), $AA$111 = ""), 206.3000031,$AA$111)</f>
        <v>180.99100000000001</v>
      </c>
      <c r="AB6">
        <f>IF(OR(ISBLANK($AB$111), $AB$111 = ""), 206.8999939,$AB$111)</f>
        <v>183.5</v>
      </c>
      <c r="AC6">
        <f>IF(OR(ISBLANK($AC$111), $AC$111 = ""), 207.8999939,$AC$111)</f>
        <v>183.7</v>
      </c>
      <c r="AD6">
        <f>IF(OR(ISBLANK($AD$111), $AD$111 = ""), "",$AD$111)</f>
        <v>190.1</v>
      </c>
      <c r="AE6">
        <f>IF(OR(ISBLANK($AE$111), $AE$111 = ""), "",$AE$111)</f>
        <v>195.1</v>
      </c>
      <c r="AF6">
        <f>IF(OR(ISBLANK($AF$111), $AF$111 = ""), 212,$AF$111)</f>
        <v>198.2</v>
      </c>
      <c r="AG6">
        <f>IF(OR(ISBLANK($AG$111), $AG$111 = ""), 215.3000031,$AG$111)</f>
        <v>198.7</v>
      </c>
      <c r="AH6">
        <f>IF(OR(ISBLANK($AH$111), $AH$111 = ""), 218.3999939,$AH$111)</f>
        <v>201.2</v>
      </c>
      <c r="AI6">
        <f>IF(OR(ISBLANK($AI$111), $AI$111 = ""), 223.5,$AI$111)</f>
        <v>202</v>
      </c>
      <c r="AJ6">
        <f>IF(OR(ISBLANK($AJ$111), $AJ$111 = ""), 226.3999939,$AJ$111)</f>
        <v>202.6</v>
      </c>
      <c r="AK6">
        <f>IF(OR(ISBLANK($AK$111), $AK$111 = ""), 229.5,$AK$111)</f>
        <v>202.8</v>
      </c>
      <c r="AL6">
        <f>IF(OR(ISBLANK($AL$111), $AL$111 = ""), 232.3999939,$AL$111)</f>
        <v>206.3</v>
      </c>
      <c r="AM6">
        <f>IF(OR(ISBLANK($AM$111), $AM$111 = ""), 237.6999969,$AM$111)</f>
        <v>206.9</v>
      </c>
      <c r="AN6">
        <f>IF(OR(ISBLANK($AN$111), $AN$111 = ""), 239.1999969,$AN$111)</f>
        <v>207.9</v>
      </c>
      <c r="AO6">
        <f>IF(OR(ISBLANK($AO$111), $AO$111 = ""), 239.3000031,$AO$111)</f>
        <v>239.3000031</v>
      </c>
      <c r="AP6">
        <f>IF(OR(ISBLANK($AP$111), $AP$111 = ""), 239.8999939,$AP$111)</f>
        <v>239.8999939</v>
      </c>
      <c r="AQ6">
        <f>IF(OR(ISBLANK($AQ$111), $AQ$111 = ""), 244.5,$AQ$111)</f>
        <v>212</v>
      </c>
      <c r="AR6">
        <f>IF(OR(ISBLANK($AR$111), $AR$111 = ""), 246,$AR$111)</f>
        <v>215.3</v>
      </c>
      <c r="AS6">
        <f>IF(OR(ISBLANK($AS$111), $AS$111 = ""), 248.6999969,$AS$111)</f>
        <v>218.4</v>
      </c>
      <c r="AT6">
        <f>IF(OR(ISBLANK($AT$111), $AT$111 = ""), 249.3999939,$AT$111)</f>
        <v>223.5</v>
      </c>
      <c r="AU6">
        <f>IF(OR(ISBLANK($AU$111), $AU$111 = ""), 253.1999969,$AU$111)</f>
        <v>226.4</v>
      </c>
      <c r="AV6">
        <f>IF(OR(ISBLANK($AV$111), $AV$111 = ""), 253.3000031,$AV$111)</f>
        <v>229.5</v>
      </c>
      <c r="AW6">
        <f>IF(OR(ISBLANK($AW$111), $AW$111 = ""), 253.3999939,$AW$111)</f>
        <v>232.4</v>
      </c>
      <c r="AX6">
        <f>IF(OR(ISBLANK($AX$111), $AX$111 = ""), 253.6000061,$AX$111)</f>
        <v>237.7</v>
      </c>
      <c r="AY6">
        <f>IF(OR(ISBLANK($AY$111), $AY$111 = ""), 254.1000061,$AY$111)</f>
        <v>239.2</v>
      </c>
      <c r="AZ6">
        <f>IF(OR(ISBLANK($AZ$111), $AZ$111 = ""), 255.8999939,$AZ$111)</f>
        <v>239.3</v>
      </c>
      <c r="BA6">
        <f>IF(OR(ISBLANK($BA$111), $BA$111 = ""), 257,$BA$111)</f>
        <v>239.9</v>
      </c>
      <c r="BB6">
        <f>IF(OR(ISBLANK($BB$111), $BB$111 = ""), 259.2000122,$BB$111)</f>
        <v>244.5</v>
      </c>
      <c r="BC6">
        <f>IF(OR(ISBLANK($BC$111), $BC$111 = ""), 259.7000122,$BC$111)</f>
        <v>246</v>
      </c>
      <c r="BD6">
        <f>IF(OR(ISBLANK($BD$111), $BD$111 = ""), 259.7000122,$BD$111)</f>
        <v>248.7</v>
      </c>
      <c r="BE6">
        <f>IF(OR(ISBLANK($BE$111), $BE$111 = ""), 261.7000122,$BE$111)</f>
        <v>249.4</v>
      </c>
      <c r="BF6">
        <f>IF(OR(ISBLANK($BF$111), $BF$111 = ""), 266.7000122,$BF$111)</f>
        <v>253.2</v>
      </c>
      <c r="BG6">
        <f>IF(OR(ISBLANK($BG$111), $BG$111 = ""), 269.7000122,$BG$111)</f>
        <v>253.3</v>
      </c>
      <c r="BH6">
        <f>IF(OR(ISBLANK($BH$111), $BH$111 = ""), 272.5,$BH$111)</f>
        <v>253.4</v>
      </c>
      <c r="BI6">
        <f>IF(OR(ISBLANK($BI$111), $BI$111 = ""), 275.2999878,$BI$111)</f>
        <v>253.6</v>
      </c>
      <c r="BJ6">
        <f>IF(OR(ISBLANK($BJ$111), $BJ$111 = ""), 281.6000061,$BJ$111)</f>
        <v>254.1</v>
      </c>
      <c r="BK6">
        <f>IF(OR(ISBLANK($BK$111), $BK$111 = ""), 282.6000061,$BK$111)</f>
        <v>255.9</v>
      </c>
      <c r="BL6">
        <f>IF(OR(ISBLANK($BL$111), $BL$111 = ""), 283.7999878,$BL$111)</f>
        <v>257</v>
      </c>
      <c r="BM6">
        <f>IF(OR(ISBLANK($BM$111), $BM$111 = ""), 283.7999878,$BM$111)</f>
        <v>259.2</v>
      </c>
      <c r="BN6">
        <f>IF(OR(ISBLANK($BN$111), $BN$111 = ""), 285.3999939,$BN$111)</f>
        <v>259.7</v>
      </c>
      <c r="BO6">
        <f>IF(OR(ISBLANK($BO$111), $BO$111 = ""), 294.2999878,$BO$111)</f>
        <v>259.7</v>
      </c>
      <c r="BP6">
        <f>IF(OR(ISBLANK($BP$111), $BP$111 = ""), 300.8999939,$BP$111)</f>
        <v>261.7</v>
      </c>
      <c r="BQ6">
        <f>IF(OR(ISBLANK($BQ$111), $BQ$111 = ""), 305.1000061,$BQ$111)</f>
        <v>266.7</v>
      </c>
      <c r="BR6">
        <f>IF(OR(ISBLANK($BR$111), $BR$111 = ""), 308.8999939,$BR$111)</f>
        <v>269.7</v>
      </c>
      <c r="BS6">
        <f>IF(OR(ISBLANK($BS$111), $BS$111 = ""), 310.5,$BS$111)</f>
        <v>272.5</v>
      </c>
      <c r="BT6">
        <f>IF(OR(ISBLANK($BT$111), $BT$111 = ""), 310.8999939,$BT$111)</f>
        <v>275.3</v>
      </c>
      <c r="BU6">
        <f>IF(OR(ISBLANK($BU$111), $BU$111 = ""), 312.6000061,$BU$111)</f>
        <v>281.60000000000002</v>
      </c>
      <c r="BV6">
        <f>IF(OR(ISBLANK($BV$111), $BV$111 = ""), 316.7999878,$BV$111)</f>
        <v>282.60000000000002</v>
      </c>
      <c r="BW6">
        <f>IF(OR(ISBLANK($BW$111), $BW$111 = ""), 318.5,$BW$111)</f>
        <v>283.8</v>
      </c>
      <c r="BX6">
        <f>IF(OR(ISBLANK($BX$111), $BX$111 = ""), 322.2999878,$BX$111)</f>
        <v>283.8</v>
      </c>
      <c r="BY6">
        <f>IF(OR(ISBLANK($BY$111), $BY$111 = ""), 327.2999878,$BY$111)</f>
        <v>285.39999999999998</v>
      </c>
      <c r="BZ6">
        <f>IF(OR(ISBLANK($BZ$111), $BZ$111 = ""), 330.7999878,$BZ$111)</f>
        <v>294.3</v>
      </c>
      <c r="CA6">
        <f>IF(OR(ISBLANK($CA$111), $CA$111 = ""), 467.8999939,$CA$111)</f>
        <v>300.89999999999998</v>
      </c>
      <c r="CB6">
        <f>IF(OR(ISBLANK($CB$111), $CB$111 = ""), 467.8999939,$CB$111)</f>
        <v>305.10000000000002</v>
      </c>
      <c r="CC6">
        <f>IF(OR(ISBLANK($CC$111), $CC$111 = ""), "",$CC$111)</f>
        <v>308.89999999999998</v>
      </c>
      <c r="CD6">
        <f>IF(OR(ISBLANK($CD$111), $CD$111 = ""), "",$CD$111)</f>
        <v>310.5</v>
      </c>
      <c r="CE6">
        <f>IF(OR(ISBLANK($CE$111), $CE$111 = ""), "",$CE$111)</f>
        <v>310.89999999999998</v>
      </c>
      <c r="CF6">
        <f>IF(OR(ISBLANK($CF$111), $CF$111 = ""), "",$CF$111)</f>
        <v>312.60000000000002</v>
      </c>
      <c r="CG6">
        <f>IF(OR(ISBLANK($CG$111), $CG$111 = ""), "",$CG$111)</f>
        <v>316.8</v>
      </c>
    </row>
    <row r="7" spans="1:85" x14ac:dyDescent="0.25">
      <c r="A7" t="str">
        <f>"    LTRO I Outstanding % Initial Allotment"</f>
        <v xml:space="preserve">    LTRO I Outstanding % Initial Allotment</v>
      </c>
      <c r="B7" t="str">
        <f>"ECBA3YO1 Index"</f>
        <v>ECBA3YO1 Index</v>
      </c>
      <c r="C7" t="str">
        <f>""</f>
        <v/>
      </c>
      <c r="D7" t="str">
        <f>""</f>
        <v/>
      </c>
      <c r="E7" t="str">
        <f>"Expression"</f>
        <v>Expression</v>
      </c>
      <c r="F7">
        <f ca="1">IF(OR(ISBLANK(IF(ISERROR(IF(OR(ISBLANK($F$94)), "", 100*$F$94/489.2)), "", (IF(OR(ISBLANK($F$94)), "", 100*$F$94/489.2)))), IF(ISERROR(IF(OR(ISBLANK($F$94)), "", 100*$F$94/489.2)), "", (IF(OR(ISBLANK($F$94)), "", 100*$F$94/489.2))) = ""), 27.483852,IF(ISERROR(IF(OR(ISBLANK($F$94)), "", 100*$F$94/489.2)), "", (IF(OR(ISBLANK($F$94)), "", 100*$F$94/489.2))))</f>
        <v>27.483851999999999</v>
      </c>
      <c r="G7">
        <f>IF(OR(ISBLANK(IF(ISERROR(IF(OR(ISBLANK($G$94)), "", 100*$G$94/489.2)), "", (IF(OR(ISBLANK($G$94)), "", 100*$G$94/489.2)))), IF(ISERROR(IF(OR(ISBLANK($G$94)), "", 100*$G$94/489.2)), "", (IF(OR(ISBLANK($G$94)), "", 100*$G$94/489.2))) = ""), 27.483852,IF(ISERROR(IF(OR(ISBLANK($G$94)), "", 100*$G$94/489.2)), "", (IF(OR(ISBLANK($G$94)), "", 100*$G$94/489.2))))</f>
        <v>23.095666394112836</v>
      </c>
      <c r="H7">
        <f>IF(OR(ISBLANK(IF(ISERROR(IF(OR(ISBLANK($H$94)), "", 100*$H$94/489.2)), "", (IF(OR(ISBLANK($H$94)), "", 100*$H$94/489.2)))), IF(ISERROR(IF(OR(ISBLANK($H$94)), "", 100*$H$94/489.2)), "", (IF(OR(ISBLANK($H$94)), "", 100*$H$94/489.2))) = ""), 27.82972302,IF(ISERROR(IF(OR(ISBLANK($H$94)), "", 100*$H$94/489.2)), "", (IF(OR(ISBLANK($H$94)), "", 100*$H$94/489.2))))</f>
        <v>23.471381847914966</v>
      </c>
      <c r="I7">
        <f>IF(OR(ISBLANK(IF(ISERROR(IF(OR(ISBLANK($I$94)), "", 100*$I$94/489.2)), "", (IF(OR(ISBLANK($I$94)), "", 100*$I$94/489.2)))), IF(ISERROR(IF(OR(ISBLANK($I$94)), "", 100*$I$94/489.2)), "", (IF(OR(ISBLANK($I$94)), "", 100*$I$94/489.2))) = ""), 29.81132584,IF(ISERROR(IF(OR(ISBLANK($I$94)), "", 100*$I$94/489.2)), "", (IF(OR(ISBLANK($I$94)), "", 100*$I$94/489.2))))</f>
        <v>23.54783319705642</v>
      </c>
      <c r="J7">
        <f>IF(OR(ISBLANK(IF(ISERROR(IF(OR(ISBLANK($J$94)), "", 100*$J$94/489.2)), "", (IF(OR(ISBLANK($J$94)), "", 100*$J$94/489.2)))), IF(ISERROR(IF(OR(ISBLANK($J$94)), "", 100*$J$94/489.2)), "", (IF(OR(ISBLANK($J$94)), "", 100*$J$94/489.2))) = ""), 30.12816701,IF(ISERROR(IF(OR(ISBLANK($J$94)), "", 100*$J$94/489.2)), "", (IF(OR(ISBLANK($J$94)), "", 100*$J$94/489.2))))</f>
        <v>23.609157808667213</v>
      </c>
      <c r="K7">
        <f>IF(OR(ISBLANK(IF(ISERROR(IF(OR(ISBLANK($K$94)), "", 100*$K$94/489.2)), "", (IF(OR(ISBLANK($K$94)), "", 100*$K$94/489.2)))), IF(ISERROR(IF(OR(ISBLANK($K$94)), "", 100*$K$94/489.2)), "", (IF(OR(ISBLANK($K$94)), "", 100*$K$94/489.2))) = ""), 31.37980274,IF(ISERROR(IF(OR(ISBLANK($K$94)), "", 100*$K$94/489.2)), "", (IF(OR(ISBLANK($K$94)), "", 100*$K$94/489.2))))</f>
        <v>24.08340147179068</v>
      </c>
      <c r="L7">
        <f>IF(OR(ISBLANK(IF(ISERROR(IF(OR(ISBLANK($L$94)), "", 100*$L$94/489.2)), "", (IF(OR(ISBLANK($L$94)), "", 100*$L$94/489.2)))), IF(ISERROR(IF(OR(ISBLANK($L$94)), "", 100*$L$94/489.2)), "", (IF(OR(ISBLANK($L$94)), "", 100*$L$94/489.2))) = ""), 32.93622097,IF(ISERROR(IF(OR(ISBLANK($L$94)), "", 100*$L$94/489.2)), "", (IF(OR(ISBLANK($L$94)), "", 100*$L$94/489.2))))</f>
        <v>24.124284546197874</v>
      </c>
      <c r="M7">
        <f>IF(OR(ISBLANK(IF(ISERROR(IF(OR(ISBLANK($M$94)), "", 100*$M$94/489.2)), "", (IF(OR(ISBLANK($M$94)), "", 100*$M$94/489.2)))), IF(ISERROR(IF(OR(ISBLANK($M$94)), "", 100*$M$94/489.2)), "", (IF(OR(ISBLANK($M$94)), "", 100*$M$94/489.2))) = ""), 33.20196157,IF(ISERROR(IF(OR(ISBLANK($M$94)), "", 100*$M$94/489.2)), "", (IF(OR(ISBLANK($M$94)), "", 100*$M$94/489.2))))</f>
        <v>24.269419460343418</v>
      </c>
      <c r="N7">
        <f>IF(OR(ISBLANK(IF(ISERROR(IF(OR(ISBLANK($N$94)), "", 100*$N$94/489.2)), "", (IF(OR(ISBLANK($N$94)), "", 100*$N$94/489.2)))), IF(ISERROR(IF(OR(ISBLANK($N$94)), "", 100*$N$94/489.2)), "", (IF(OR(ISBLANK($N$94)), "", 100*$N$94/489.2))) = ""), 35.12346791,IF(ISERROR(IF(OR(ISBLANK($N$94)), "", 100*$N$94/489.2)), "", (IF(OR(ISBLANK($N$94)), "", 100*$N$94/489.2))))</f>
        <v>24.930294358135733</v>
      </c>
      <c r="O7">
        <f>IF(OR(ISBLANK(IF(ISERROR(IF(OR(ISBLANK($O$94)), "", 100*$O$94/489.2)), "", (IF(OR(ISBLANK($O$94)), "", 100*$O$94/489.2)))), IF(ISERROR(IF(OR(ISBLANK($O$94)), "", 100*$O$94/489.2)), "", (IF(OR(ISBLANK($O$94)), "", 100*$O$94/489.2))) = ""), 36.30539718,IF(ISERROR(IF(OR(ISBLANK($O$94)), "", 100*$O$94/489.2)), "", (IF(OR(ISBLANK($O$94)), "", 100*$O$94/489.2))))</f>
        <v>25.240392477514309</v>
      </c>
      <c r="P7">
        <f>IF(OR(ISBLANK(IF(ISERROR(IF(OR(ISBLANK($P$94)), "", 100*$P$94/489.2)), "", (IF(OR(ISBLANK($P$94)), "", 100*$P$94/489.2)))), IF(ISERROR(IF(OR(ISBLANK($P$94)), "", 100*$P$94/489.2)), "", (IF(OR(ISBLANK($P$94)), "", 100*$P$94/489.2))) = ""), 36.99734199,IF(ISERROR(IF(OR(ISBLANK($P$94)), "", 100*$P$94/489.2)), "", (IF(OR(ISBLANK($P$94)), "", 100*$P$94/489.2))))</f>
        <v>25.372240392477515</v>
      </c>
      <c r="Q7">
        <f>IF(OR(ISBLANK(IF(ISERROR(IF(OR(ISBLANK($Q$94)), "", 100*$Q$94/489.2)), "", (IF(OR(ISBLANK($Q$94)), "", 100*$Q$94/489.2)))), IF(ISERROR(IF(OR(ISBLANK($Q$94)), "", 100*$Q$94/489.2)), "", (IF(OR(ISBLANK($Q$94)), "", 100*$Q$94/489.2))) = ""), 37.51022077,IF(ISERROR(IF(OR(ISBLANK($Q$94)), "", 100*$Q$94/489.2)), "", (IF(OR(ISBLANK($Q$94)), "", 100*$Q$94/489.2))))</f>
        <v>25.378372853638595</v>
      </c>
      <c r="R7">
        <f>IF(OR(ISBLANK(IF(ISERROR(IF(OR(ISBLANK($R$94)), "", 100*$R$94/489.2)), "", (IF(OR(ISBLANK($R$94)), "", 100*$R$94/489.2)))), IF(ISERROR(IF(OR(ISBLANK($R$94)), "", 100*$R$94/489.2)), "", (IF(OR(ISBLANK($R$94)), "", 100*$R$94/489.2))) = ""), 37.55110323,IF(ISERROR(IF(OR(ISBLANK($R$94)), "", 100*$R$94/489.2)), "", (IF(OR(ISBLANK($R$94)), "", 100*$R$94/489.2))))</f>
        <v>27.483851185609154</v>
      </c>
      <c r="S7">
        <f>IF(OR(ISBLANK(IF(ISERROR(IF(OR(ISBLANK($S$94)), "", 100*$S$94/489.2)), "", (IF(OR(ISBLANK($S$94)), "", 100*$S$94/489.2)))), IF(ISERROR(IF(OR(ISBLANK($S$94)), "", 100*$S$94/489.2)), "", (IF(OR(ISBLANK($S$94)), "", 100*$S$94/489.2))) = ""), 38.85936345,IF(ISERROR(IF(OR(ISBLANK($S$94)), "", 100*$S$94/489.2)), "", (IF(OR(ISBLANK($S$94)), "", 100*$S$94/489.2))))</f>
        <v>27.82972199509403</v>
      </c>
      <c r="T7">
        <f>IF(OR(ISBLANK(IF(ISERROR(IF(OR(ISBLANK($T$94)), "", 100*$T$94/489.2)), "", (IF(OR(ISBLANK($T$94)), "", 100*$T$94/489.2)))), IF(ISERROR(IF(OR(ISBLANK($T$94)), "", 100*$T$94/489.2)), "", (IF(OR(ISBLANK($T$94)), "", 100*$T$94/489.2))) = ""), 39.88144031,IF(ISERROR(IF(OR(ISBLANK($T$94)), "", 100*$T$94/489.2)), "", (IF(OR(ISBLANK($T$94)), "", 100*$T$94/489.2))))</f>
        <v>29.811324611610793</v>
      </c>
      <c r="U7">
        <f>IF(OR(ISBLANK(IF(ISERROR(IF(OR(ISBLANK($U$94)), "", 100*$U$94/489.2)), "", (IF(OR(ISBLANK($U$94)), "", 100*$U$94/489.2)))), IF(ISERROR(IF(OR(ISBLANK($U$94)), "", 100*$U$94/489.2)), "", (IF(OR(ISBLANK($U$94)), "", 100*$U$94/489.2))) = ""), 40.51512612,IF(ISERROR(IF(OR(ISBLANK($U$94)), "", 100*$U$94/489.2)), "", (IF(OR(ISBLANK($U$94)), "", 100*$U$94/489.2))))</f>
        <v>30.12816843826656</v>
      </c>
      <c r="V7">
        <f>IF(OR(ISBLANK(IF(ISERROR(IF(OR(ISBLANK($V$94)), "", 100*$V$94/489.2)), "", (IF(OR(ISBLANK($V$94)), "", 100*$V$94/489.2)))), IF(ISERROR(IF(OR(ISBLANK($V$94)), "", 100*$V$94/489.2)), "", (IF(OR(ISBLANK($V$94)), "", 100*$V$94/489.2))) = ""), 40.61733381,IF(ISERROR(IF(OR(ISBLANK($V$94)), "", 100*$V$94/489.2)), "", (IF(OR(ISBLANK($V$94)), "", 100*$V$94/489.2))))</f>
        <v>31.379803761242847</v>
      </c>
      <c r="W7">
        <f>IF(OR(ISBLANK(IF(ISERROR(IF(OR(ISBLANK($W$94)), "", 100*$W$94/489.2)), "", (IF(OR(ISBLANK($W$94)), "", 100*$W$94/489.2)))), IF(ISERROR(IF(OR(ISBLANK($W$94)), "", 100*$W$94/489.2)), "", (IF(OR(ISBLANK($W$94)), "", 100*$W$94/489.2))) = ""), 41.12837224,IF(ISERROR(IF(OR(ISBLANK($W$94)), "", 100*$W$94/489.2)), "", (IF(OR(ISBLANK($W$94)), "", 100*$W$94/489.2))))</f>
        <v>32.936222403924774</v>
      </c>
      <c r="X7">
        <f>IF(OR(ISBLANK(IF(ISERROR(IF(OR(ISBLANK($X$94)), "", 100*$X$94/489.2)), "", (IF(OR(ISBLANK($X$94)), "", 100*$X$94/489.2)))), IF(ISERROR(IF(OR(ISBLANK($X$94)), "", 100*$X$94/489.2)), "", (IF(OR(ISBLANK($X$94)), "", 100*$X$94/489.2))) = ""), 41.29190515,IF(ISERROR(IF(OR(ISBLANK($X$94)), "", 100*$X$94/489.2)), "", (IF(OR(ISBLANK($X$94)), "", 100*$X$94/489.2))))</f>
        <v>33.201962387571548</v>
      </c>
      <c r="Y7">
        <f>IF(OR(ISBLANK(IF(ISERROR(IF(OR(ISBLANK($Y$94)), "", 100*$Y$94/489.2)), "", (IF(OR(ISBLANK($Y$94)), "", 100*$Y$94/489.2)))), IF(ISERROR(IF(OR(ISBLANK($Y$94)), "", 100*$Y$94/489.2)), "", (IF(OR(ISBLANK($Y$94)), "", 100*$Y$94/489.2))) = ""), 41.4145556,IF(ISERROR(IF(OR(ISBLANK($Y$94)), "", 100*$Y$94/489.2)), "", (IF(OR(ISBLANK($Y$94)), "", 100*$Y$94/489.2))))</f>
        <v>35.123466884709735</v>
      </c>
      <c r="Z7">
        <f>IF(OR(ISBLANK(IF(ISERROR(IF(OR(ISBLANK($Z$94)), "", 100*$Z$94/489.2)), "", (IF(OR(ISBLANK($Z$94)), "", 100*$Z$94/489.2)))), IF(ISERROR(IF(OR(ISBLANK($Z$94)), "", 100*$Z$94/489.2)), "", (IF(OR(ISBLANK($Z$94)), "", 100*$Z$94/489.2))) = ""), 41.45543806,IF(ISERROR(IF(OR(ISBLANK($Z$94)), "", 100*$Z$94/489.2)), "", (IF(OR(ISBLANK($Z$94)), "", 100*$Z$94/489.2))))</f>
        <v>36.305396565821745</v>
      </c>
      <c r="AA7">
        <f>IF(OR(ISBLANK(IF(ISERROR(IF(OR(ISBLANK($AA$94)), "", 100*$AA$94/489.2)), "", (IF(OR(ISBLANK($AA$94)), "", 100*$AA$94/489.2)))), IF(ISERROR(IF(OR(ISBLANK($AA$94)), "", 100*$AA$94/489.2)), "", (IF(OR(ISBLANK($AA$94)), "", 100*$AA$94/489.2))) = ""), 42.17089186,IF(ISERROR(IF(OR(ISBLANK($AA$94)), "", 100*$AA$94/489.2)), "", (IF(OR(ISBLANK($AA$94)), "", 100*$AA$94/489.2))))</f>
        <v>36.997342600163535</v>
      </c>
      <c r="AB7">
        <f>IF(OR(ISBLANK(IF(ISERROR(IF(OR(ISBLANK($AB$94)), "", 100*$AB$94/489.2)), "", (IF(OR(ISBLANK($AB$94)), "", 100*$AB$94/489.2)))), IF(ISERROR(IF(OR(ISBLANK($AB$94)), "", 100*$AB$94/489.2)), "", (IF(OR(ISBLANK($AB$94)), "", 100*$AB$94/489.2))) = ""), 42.29353925,IF(ISERROR(IF(OR(ISBLANK($AB$94)), "", 100*$AB$94/489.2)), "", (IF(OR(ISBLANK($AB$94)), "", 100*$AB$94/489.2))))</f>
        <v>37.510220768601798</v>
      </c>
      <c r="AC7">
        <f>IF(OR(ISBLANK(IF(ISERROR(IF(OR(ISBLANK($AC$94)), "", 100*$AC$94/489.2)), "", (IF(OR(ISBLANK($AC$94)), "", 100*$AC$94/489.2)))), IF(ISERROR(IF(OR(ISBLANK($AC$94)), "", 100*$AC$94/489.2)), "", (IF(OR(ISBLANK($AC$94)), "", 100*$AC$94/489.2))) = ""), 42.49795462,IF(ISERROR(IF(OR(ISBLANK($AC$94)), "", 100*$AC$94/489.2)), "", (IF(OR(ISBLANK($AC$94)), "", 100*$AC$94/489.2))))</f>
        <v>37.551103843008995</v>
      </c>
      <c r="AD7">
        <f>IF(OR(ISBLANK(IF(ISERROR(IF(OR(ISBLANK($AD$94)), "", 100*$AD$94/489.2)), "", (IF(OR(ISBLANK($AD$94)), "", 100*$AD$94/489.2)))), IF(ISERROR(IF(OR(ISBLANK($AD$94)), "", 100*$AD$94/489.2)), "", (IF(OR(ISBLANK($AD$94)), "", 100*$AD$94/489.2))) = ""), "",IF(ISERROR(IF(OR(ISBLANK($AD$94)), "", 100*$AD$94/489.2)), "", (IF(OR(ISBLANK($AD$94)), "", 100*$AD$94/489.2))))</f>
        <v>38.859362224039252</v>
      </c>
      <c r="AE7">
        <f>IF(OR(ISBLANK(IF(ISERROR(IF(OR(ISBLANK($AE$94)), "", 100*$AE$94/489.2)), "", (IF(OR(ISBLANK($AE$94)), "", 100*$AE$94/489.2)))), IF(ISERROR(IF(OR(ISBLANK($AE$94)), "", 100*$AE$94/489.2)), "", (IF(OR(ISBLANK($AE$94)), "", 100*$AE$94/489.2))) = ""), "",IF(ISERROR(IF(OR(ISBLANK($AE$94)), "", 100*$AE$94/489.2)), "", (IF(OR(ISBLANK($AE$94)), "", 100*$AE$94/489.2))))</f>
        <v>39.881439084219132</v>
      </c>
      <c r="AF7">
        <f>IF(OR(ISBLANK(IF(ISERROR(IF(OR(ISBLANK($AF$94)), "", 100*$AF$94/489.2)), "", (IF(OR(ISBLANK($AF$94)), "", 100*$AF$94/489.2)))), IF(ISERROR(IF(OR(ISBLANK($AF$94)), "", 100*$AF$94/489.2)), "", (IF(OR(ISBLANK($AF$94)), "", 100*$AF$94/489.2))) = ""), 43.33605887,IF(ISERROR(IF(OR(ISBLANK($AF$94)), "", 100*$AF$94/489.2)), "", (IF(OR(ISBLANK($AF$94)), "", 100*$AF$94/489.2))))</f>
        <v>40.515126737530665</v>
      </c>
      <c r="AG7">
        <f>IF(OR(ISBLANK(IF(ISERROR(IF(OR(ISBLANK($AG$94)), "", 100*$AG$94/489.2)), "", (IF(OR(ISBLANK($AG$94)), "", 100*$AG$94/489.2)))), IF(ISERROR(IF(OR(ISBLANK($AG$94)), "", 100*$AG$94/489.2)), "", (IF(OR(ISBLANK($AG$94)), "", 100*$AG$94/489.2))) = ""), 44.01063021,IF(ISERROR(IF(OR(ISBLANK($AG$94)), "", 100*$AG$94/489.2)), "", (IF(OR(ISBLANK($AG$94)), "", 100*$AG$94/489.2))))</f>
        <v>40.617334423548655</v>
      </c>
      <c r="AH7">
        <f>IF(OR(ISBLANK(IF(ISERROR(IF(OR(ISBLANK($AH$94)), "", 100*$AH$94/489.2)), "", (IF(OR(ISBLANK($AH$94)), "", 100*$AH$94/489.2)))), IF(ISERROR(IF(OR(ISBLANK($AH$94)), "", 100*$AH$94/489.2)), "", (IF(OR(ISBLANK($AH$94)), "", 100*$AH$94/489.2))) = ""), 44.64431603,IF(ISERROR(IF(OR(ISBLANK($AH$94)), "", 100*$AH$94/489.2)), "", (IF(OR(ISBLANK($AH$94)), "", 100*$AH$94/489.2))))</f>
        <v>41.128372853638595</v>
      </c>
      <c r="AI7">
        <f>IF(OR(ISBLANK(IF(ISERROR(IF(OR(ISBLANK($AI$94)), "", 100*$AI$94/489.2)), "", (IF(OR(ISBLANK($AI$94)), "", 100*$AI$94/489.2)))), IF(ISERROR(IF(OR(ISBLANK($AI$94)), "", 100*$AI$94/489.2)), "", (IF(OR(ISBLANK($AI$94)), "", 100*$AI$94/489.2))) = ""), 45.68683565,IF(ISERROR(IF(OR(ISBLANK($AI$94)), "", 100*$AI$94/489.2)), "", (IF(OR(ISBLANK($AI$94)), "", 100*$AI$94/489.2))))</f>
        <v>41.291905151267379</v>
      </c>
      <c r="AJ7">
        <f>IF(OR(ISBLANK(IF(ISERROR(IF(OR(ISBLANK($AJ$94)), "", 100*$AJ$94/489.2)), "", (IF(OR(ISBLANK($AJ$94)), "", 100*$AJ$94/489.2)))), IF(ISERROR(IF(OR(ISBLANK($AJ$94)), "", 100*$AJ$94/489.2)), "", (IF(OR(ISBLANK($AJ$94)), "", 100*$AJ$94/489.2))) = ""), 46.279639,IF(ISERROR(IF(OR(ISBLANK($AJ$94)), "", 100*$AJ$94/489.2)), "", (IF(OR(ISBLANK($AJ$94)), "", 100*$AJ$94/489.2))))</f>
        <v>41.414554374488965</v>
      </c>
      <c r="AK7">
        <f>IF(OR(ISBLANK(IF(ISERROR(IF(OR(ISBLANK($AK$94)), "", 100*$AK$94/489.2)), "", (IF(OR(ISBLANK($AK$94)), "", 100*$AK$94/489.2)))), IF(ISERROR(IF(OR(ISBLANK($AK$94)), "", 100*$AK$94/489.2)), "", (IF(OR(ISBLANK($AK$94)), "", 100*$AK$94/489.2))) = ""), 46.91332788,IF(ISERROR(IF(OR(ISBLANK($AK$94)), "", 100*$AK$94/489.2)), "", (IF(OR(ISBLANK($AK$94)), "", 100*$AK$94/489.2))))</f>
        <v>41.455437448896156</v>
      </c>
      <c r="AL7">
        <f>IF(OR(ISBLANK(IF(ISERROR(IF(OR(ISBLANK($AL$94)), "", 100*$AL$94/489.2)), "", (IF(OR(ISBLANK($AL$94)), "", 100*$AL$94/489.2)))), IF(ISERROR(IF(OR(ISBLANK($AL$94)), "", 100*$AL$94/489.2)), "", (IF(OR(ISBLANK($AL$94)), "", 100*$AL$94/489.2))) = ""), 47.50613123,IF(ISERROR(IF(OR(ISBLANK($AL$94)), "", 100*$AL$94/489.2)), "", (IF(OR(ISBLANK($AL$94)), "", 100*$AL$94/489.2))))</f>
        <v>42.170891251022077</v>
      </c>
      <c r="AM7">
        <f>IF(OR(ISBLANK(IF(ISERROR(IF(OR(ISBLANK($AM$94)), "", 100*$AM$94/489.2)), "", (IF(OR(ISBLANK($AM$94)), "", 100*$AM$94/489.2)))), IF(ISERROR(IF(OR(ISBLANK($AM$94)), "", 100*$AM$94/489.2)), "", (IF(OR(ISBLANK($AM$94)), "", 100*$AM$94/489.2))) = ""), 48.58953332,IF(ISERROR(IF(OR(ISBLANK($AM$94)), "", 100*$AM$94/489.2)), "", (IF(OR(ISBLANK($AM$94)), "", 100*$AM$94/489.2))))</f>
        <v>42.293540474243663</v>
      </c>
      <c r="AN7">
        <f>IF(OR(ISBLANK(IF(ISERROR(IF(OR(ISBLANK($AN$94)), "", 100*$AN$94/489.2)), "", (IF(OR(ISBLANK($AN$94)), "", 100*$AN$94/489.2)))), IF(ISERROR(IF(OR(ISBLANK($AN$94)), "", 100*$AN$94/489.2)), "", (IF(OR(ISBLANK($AN$94)), "", 100*$AN$94/489.2))) = ""), 48.89615638,IF(ISERROR(IF(OR(ISBLANK($AN$94)), "", 100*$AN$94/489.2)), "", (IF(OR(ISBLANK($AN$94)), "", 100*$AN$94/489.2))))</f>
        <v>42.497955846279645</v>
      </c>
      <c r="AO7">
        <f>IF(OR(ISBLANK(IF(ISERROR(IF(OR(ISBLANK($AO$94)), "", 100*$AO$94/489.2)), "", (IF(OR(ISBLANK($AO$94)), "", 100*$AO$94/489.2)))), IF(ISERROR(IF(OR(ISBLANK($AO$94)), "", 100*$AO$94/489.2)), "", (IF(OR(ISBLANK($AO$94)), "", 100*$AO$94/489.2))) = ""), 48.91659914,IF(ISERROR(IF(OR(ISBLANK($AO$94)), "", 100*$AO$94/489.2)), "", (IF(OR(ISBLANK($AO$94)), "", 100*$AO$94/489.2))))</f>
        <v>48.916599140000002</v>
      </c>
      <c r="AP7">
        <f>IF(OR(ISBLANK(IF(ISERROR(IF(OR(ISBLANK($AP$94)), "", 100*$AP$94/489.2)), "", (IF(OR(ISBLANK($AP$94)), "", 100*$AP$94/489.2)))), IF(ISERROR(IF(OR(ISBLANK($AP$94)), "", 100*$AP$94/489.2)), "", (IF(OR(ISBLANK($AP$94)), "", 100*$AP$94/489.2))) = ""), 49.03924652,IF(ISERROR(IF(OR(ISBLANK($AP$94)), "", 100*$AP$94/489.2)), "", (IF(OR(ISBLANK($AP$94)), "", 100*$AP$94/489.2))))</f>
        <v>49.039246519999999</v>
      </c>
      <c r="AQ7">
        <f>IF(OR(ISBLANK(IF(ISERROR(IF(OR(ISBLANK($AQ$94)), "", 100*$AQ$94/489.2)), "", (IF(OR(ISBLANK($AQ$94)), "", 100*$AQ$94/489.2)))), IF(ISERROR(IF(OR(ISBLANK($AQ$94)), "", 100*$AQ$94/489.2)), "", (IF(OR(ISBLANK($AQ$94)), "", 100*$AQ$94/489.2))) = ""), 49.97955846,IF(ISERROR(IF(OR(ISBLANK($AQ$94)), "", 100*$AQ$94/489.2)), "", (IF(OR(ISBLANK($AQ$94)), "", 100*$AQ$94/489.2))))</f>
        <v>43.336058871627145</v>
      </c>
      <c r="AR7">
        <f>IF(OR(ISBLANK(IF(ISERROR(IF(OR(ISBLANK($AR$94)), "", 100*$AR$94/489.2)), "", (IF(OR(ISBLANK($AR$94)), "", 100*$AR$94/489.2)))), IF(ISERROR(IF(OR(ISBLANK($AR$94)), "", 100*$AR$94/489.2)), "", (IF(OR(ISBLANK($AR$94)), "", 100*$AR$94/489.2))) = ""), 50.28618152,IF(ISERROR(IF(OR(ISBLANK($AR$94)), "", 100*$AR$94/489.2)), "", (IF(OR(ISBLANK($AR$94)), "", 100*$AR$94/489.2))))</f>
        <v>44.010629599345869</v>
      </c>
      <c r="AS7">
        <f>IF(OR(ISBLANK(IF(ISERROR(IF(OR(ISBLANK($AS$94)), "", 100*$AS$94/489.2)), "", (IF(OR(ISBLANK($AS$94)), "", 100*$AS$94/489.2)))), IF(ISERROR(IF(OR(ISBLANK($AS$94)), "", 100*$AS$94/489.2)), "", (IF(OR(ISBLANK($AS$94)), "", 100*$AS$94/489.2))) = ""), 50.83810241,IF(ISERROR(IF(OR(ISBLANK($AS$94)), "", 100*$AS$94/489.2)), "", (IF(OR(ISBLANK($AS$94)), "", 100*$AS$94/489.2))))</f>
        <v>44.644317252657402</v>
      </c>
      <c r="AT7">
        <f>IF(OR(ISBLANK(IF(ISERROR(IF(OR(ISBLANK($AT$94)), "", 100*$AT$94/489.2)), "", (IF(OR(ISBLANK($AT$94)), "", 100*$AT$94/489.2)))), IF(ISERROR(IF(OR(ISBLANK($AT$94)), "", 100*$AT$94/489.2)), "", (IF(OR(ISBLANK($AT$94)), "", 100*$AT$94/489.2))) = ""), 50.98119256,IF(ISERROR(IF(OR(ISBLANK($AT$94)), "", 100*$AT$94/489.2)), "", (IF(OR(ISBLANK($AT$94)), "", 100*$AT$94/489.2))))</f>
        <v>45.686835650040884</v>
      </c>
      <c r="AU7">
        <f>IF(OR(ISBLANK(IF(ISERROR(IF(OR(ISBLANK($AU$94)), "", 100*$AU$94/489.2)), "", (IF(OR(ISBLANK($AU$94)), "", 100*$AU$94/489.2)))), IF(ISERROR(IF(OR(ISBLANK($AU$94)), "", 100*$AU$94/489.2)), "", (IF(OR(ISBLANK($AU$94)), "", 100*$AU$94/489.2))) = ""), 51.75797159,IF(ISERROR(IF(OR(ISBLANK($AU$94)), "", 100*$AU$94/489.2)), "", (IF(OR(ISBLANK($AU$94)), "", 100*$AU$94/489.2))))</f>
        <v>46.279640228945219</v>
      </c>
      <c r="AV7">
        <f>IF(OR(ISBLANK(IF(ISERROR(IF(OR(ISBLANK($AV$94)), "", 100*$AV$94/489.2)), "", (IF(OR(ISBLANK($AV$94)), "", 100*$AV$94/489.2)))), IF(ISERROR(IF(OR(ISBLANK($AV$94)), "", 100*$AV$94/489.2)), "", (IF(OR(ISBLANK($AV$94)), "", 100*$AV$94/489.2))) = ""), 51.77841435,IF(ISERROR(IF(OR(ISBLANK($AV$94)), "", 100*$AV$94/489.2)), "", (IF(OR(ISBLANK($AV$94)), "", 100*$AV$94/489.2))))</f>
        <v>46.913327882256745</v>
      </c>
      <c r="AW7">
        <f>IF(OR(ISBLANK(IF(ISERROR(IF(OR(ISBLANK($AW$94)), "", 100*$AW$94/489.2)), "", (IF(OR(ISBLANK($AW$94)), "", 100*$AW$94/489.2)))), IF(ISERROR(IF(OR(ISBLANK($AW$94)), "", 100*$AW$94/489.2)), "", (IF(OR(ISBLANK($AW$94)), "", 100*$AW$94/489.2))) = ""), 51.79885405,IF(ISERROR(IF(OR(ISBLANK($AW$94)), "", 100*$AW$94/489.2)), "", (IF(OR(ISBLANK($AW$94)), "", 100*$AW$94/489.2))))</f>
        <v>47.50613246116108</v>
      </c>
      <c r="AX7">
        <f>IF(OR(ISBLANK(IF(ISERROR(IF(OR(ISBLANK($AX$94)), "", 100*$AX$94/489.2)), "", (IF(OR(ISBLANK($AX$94)), "", 100*$AX$94/489.2)))), IF(ISERROR(IF(OR(ISBLANK($AX$94)), "", 100*$AX$94/489.2)), "", (IF(OR(ISBLANK($AX$94)), "", 100*$AX$94/489.2))) = ""), 51.83973957,IF(ISERROR(IF(OR(ISBLANK($AX$94)), "", 100*$AX$94/489.2)), "", (IF(OR(ISBLANK($AX$94)), "", 100*$AX$94/489.2))))</f>
        <v>48.58953393295176</v>
      </c>
      <c r="AY7">
        <f>IF(OR(ISBLANK(IF(ISERROR(IF(OR(ISBLANK($AY$94)), "", 100*$AY$94/489.2)), "", (IF(OR(ISBLANK($AY$94)), "", 100*$AY$94/489.2)))), IF(ISERROR(IF(OR(ISBLANK($AY$94)), "", 100*$AY$94/489.2)), "", (IF(OR(ISBLANK($AY$94)), "", 100*$AY$94/489.2))) = ""), 51.94194726,IF(ISERROR(IF(OR(ISBLANK($AY$94)), "", 100*$AY$94/489.2)), "", (IF(OR(ISBLANK($AY$94)), "", 100*$AY$94/489.2))))</f>
        <v>48.896156991005725</v>
      </c>
      <c r="AZ7">
        <f>IF(OR(ISBLANK(IF(ISERROR(IF(OR(ISBLANK($AZ$94)), "", 100*$AZ$94/489.2)), "", (IF(OR(ISBLANK($AZ$94)), "", 100*$AZ$94/489.2)))), IF(ISERROR(IF(OR(ISBLANK($AZ$94)), "", 100*$AZ$94/489.2)), "", (IF(OR(ISBLANK($AZ$94)), "", 100*$AZ$94/489.2))) = ""), 52.30989248,IF(ISERROR(IF(OR(ISBLANK($AZ$94)), "", 100*$AZ$94/489.2)), "", (IF(OR(ISBLANK($AZ$94)), "", 100*$AZ$94/489.2))))</f>
        <v>48.91659852820932</v>
      </c>
      <c r="BA7">
        <f>IF(OR(ISBLANK(IF(ISERROR(IF(OR(ISBLANK($BA$94)), "", 100*$BA$94/489.2)), "", (IF(OR(ISBLANK($BA$94)), "", 100*$BA$94/489.2)))), IF(ISERROR(IF(OR(ISBLANK($BA$94)), "", 100*$BA$94/489.2)), "", (IF(OR(ISBLANK($BA$94)), "", 100*$BA$94/489.2))) = ""), 52.53475061,IF(ISERROR(IF(OR(ISBLANK($BA$94)), "", 100*$BA$94/489.2)), "", (IF(OR(ISBLANK($BA$94)), "", 100*$BA$94/489.2))))</f>
        <v>49.039247751430906</v>
      </c>
      <c r="BB7">
        <f>IF(OR(ISBLANK(IF(ISERROR(IF(OR(ISBLANK($BB$94)), "", 100*$BB$94/489.2)), "", (IF(OR(ISBLANK($BB$94)), "", 100*$BB$94/489.2)))), IF(ISERROR(IF(OR(ISBLANK($BB$94)), "", 100*$BB$94/489.2)), "", (IF(OR(ISBLANK($BB$94)), "", 100*$BB$94/489.2))) = ""), 52.98446688,IF(ISERROR(IF(OR(ISBLANK($BB$94)), "", 100*$BB$94/489.2)), "", (IF(OR(ISBLANK($BB$94)), "", 100*$BB$94/489.2))))</f>
        <v>49.979558462796405</v>
      </c>
      <c r="BC7">
        <f>IF(OR(ISBLANK(IF(ISERROR(IF(OR(ISBLANK($BC$94)), "", 100*$BC$94/489.2)), "", (IF(OR(ISBLANK($BC$94)), "", 100*$BC$94/489.2)))), IF(ISERROR(IF(OR(ISBLANK($BC$94)), "", 100*$BC$94/489.2)), "", (IF(OR(ISBLANK($BC$94)), "", 100*$BC$94/489.2))) = ""), 53.08667457,IF(ISERROR(IF(OR(ISBLANK($BC$94)), "", 100*$BC$94/489.2)), "", (IF(OR(ISBLANK($BC$94)), "", 100*$BC$94/489.2))))</f>
        <v>50.28618152085037</v>
      </c>
      <c r="BD7">
        <f>IF(OR(ISBLANK(IF(ISERROR(IF(OR(ISBLANK($BD$94)), "", 100*$BD$94/489.2)), "", (IF(OR(ISBLANK($BD$94)), "", 100*$BD$94/489.2)))), IF(ISERROR(IF(OR(ISBLANK($BD$94)), "", 100*$BD$94/489.2)), "", (IF(OR(ISBLANK($BD$94)), "", 100*$BD$94/489.2))) = ""), 53.08667457,IF(ISERROR(IF(OR(ISBLANK($BD$94)), "", 100*$BD$94/489.2)), "", (IF(OR(ISBLANK($BD$94)), "", 100*$BD$94/489.2))))</f>
        <v>50.838103025347507</v>
      </c>
      <c r="BE7">
        <f>IF(OR(ISBLANK(IF(ISERROR(IF(OR(ISBLANK($BE$94)), "", 100*$BE$94/489.2)), "", (IF(OR(ISBLANK($BE$94)), "", 100*$BE$94/489.2)))), IF(ISERROR(IF(OR(ISBLANK($BE$94)), "", 100*$BE$94/489.2)), "", (IF(OR(ISBLANK($BE$94)), "", 100*$BE$94/489.2))) = ""), 53.49550531,IF(ISERROR(IF(OR(ISBLANK($BE$94)), "", 100*$BE$94/489.2)), "", (IF(OR(ISBLANK($BE$94)), "", 100*$BE$94/489.2))))</f>
        <v>50.981193785772689</v>
      </c>
      <c r="BF7">
        <f>IF(OR(ISBLANK(IF(ISERROR(IF(OR(ISBLANK($BF$94)), "", 100*$BF$94/489.2)), "", (IF(OR(ISBLANK($BF$94)), "", 100*$BF$94/489.2)))), IF(ISERROR(IF(OR(ISBLANK($BF$94)), "", 100*$BF$94/489.2)), "", (IF(OR(ISBLANK($BF$94)), "", 100*$BF$94/489.2))) = ""), 54.51758217,IF(ISERROR(IF(OR(ISBLANK($BF$94)), "", 100*$BF$94/489.2)), "", (IF(OR(ISBLANK($BF$94)), "", 100*$BF$94/489.2))))</f>
        <v>51.757972199509403</v>
      </c>
      <c r="BG7">
        <f>IF(OR(ISBLANK(IF(ISERROR(IF(OR(ISBLANK($BG$94)), "", 100*$BG$94/489.2)), "", (IF(OR(ISBLANK($BG$94)), "", 100*$BG$94/489.2)))), IF(ISERROR(IF(OR(ISBLANK($BG$94)), "", 100*$BG$94/489.2)), "", (IF(OR(ISBLANK($BG$94)), "", 100*$BG$94/489.2))) = ""), 55.13082829,IF(ISERROR(IF(OR(ISBLANK($BG$94)), "", 100*$BG$94/489.2)), "", (IF(OR(ISBLANK($BG$94)), "", 100*$BG$94/489.2))))</f>
        <v>51.778413736712999</v>
      </c>
      <c r="BH7">
        <f>IF(OR(ISBLANK(IF(ISERROR(IF(OR(ISBLANK($BH$94)), "", 100*$BH$94/489.2)), "", (IF(OR(ISBLANK($BH$94)), "", 100*$BH$94/489.2)))), IF(ISERROR(IF(OR(ISBLANK($BH$94)), "", 100*$BH$94/489.2)), "", (IF(OR(ISBLANK($BH$94)), "", 100*$BH$94/489.2))) = ""), 55.70318888,IF(ISERROR(IF(OR(ISBLANK($BH$94)), "", 100*$BH$94/489.2)), "", (IF(OR(ISBLANK($BH$94)), "", 100*$BH$94/489.2))))</f>
        <v>51.798855273916601</v>
      </c>
      <c r="BI7">
        <f>IF(OR(ISBLANK(IF(ISERROR(IF(OR(ISBLANK($BI$94)), "", 100*$BI$94/489.2)), "", (IF(OR(ISBLANK($BI$94)), "", 100*$BI$94/489.2)))), IF(ISERROR(IF(OR(ISBLANK($BI$94)), "", 100*$BI$94/489.2)), "", (IF(OR(ISBLANK($BI$94)), "", 100*$BI$94/489.2))) = ""), 56.27554947,IF(ISERROR(IF(OR(ISBLANK($BI$94)), "", 100*$BI$94/489.2)), "", (IF(OR(ISBLANK($BI$94)), "", 100*$BI$94/489.2))))</f>
        <v>51.839738348323792</v>
      </c>
      <c r="BJ7">
        <f>IF(OR(ISBLANK(IF(ISERROR(IF(OR(ISBLANK($BJ$94)), "", 100*$BJ$94/489.2)), "", (IF(OR(ISBLANK($BJ$94)), "", 100*$BJ$94/489.2)))), IF(ISERROR(IF(OR(ISBLANK($BJ$94)), "", 100*$BJ$94/489.2)), "", (IF(OR(ISBLANK($BJ$94)), "", 100*$BJ$94/489.2))) = ""), 57.56336999,IF(ISERROR(IF(OR(ISBLANK($BJ$94)), "", 100*$BJ$94/489.2)), "", (IF(OR(ISBLANK($BJ$94)), "", 100*$BJ$94/489.2))))</f>
        <v>51.941946034341782</v>
      </c>
      <c r="BK7">
        <f>IF(OR(ISBLANK(IF(ISERROR(IF(OR(ISBLANK($BK$94)), "", 100*$BK$94/489.2)), "", (IF(OR(ISBLANK($BK$94)), "", 100*$BK$94/489.2)))), IF(ISERROR(IF(OR(ISBLANK($BK$94)), "", 100*$BK$94/489.2)), "", (IF(OR(ISBLANK($BK$94)), "", 100*$BK$94/489.2))) = ""), 57.76778536,IF(ISERROR(IF(OR(ISBLANK($BK$94)), "", 100*$BK$94/489.2)), "", (IF(OR(ISBLANK($BK$94)), "", 100*$BK$94/489.2))))</f>
        <v>52.309893704006541</v>
      </c>
      <c r="BL7">
        <f>IF(OR(ISBLANK(IF(ISERROR(IF(OR(ISBLANK($BL$94)), "", 100*$BL$94/489.2)), "", (IF(OR(ISBLANK($BL$94)), "", 100*$BL$94/489.2)))), IF(ISERROR(IF(OR(ISBLANK($BL$94)), "", 100*$BL$94/489.2)), "", (IF(OR(ISBLANK($BL$94)), "", 100*$BL$94/489.2))) = ""), 58.01308013,IF(ISERROR(IF(OR(ISBLANK($BL$94)), "", 100*$BL$94/489.2)), "", (IF(OR(ISBLANK($BL$94)), "", 100*$BL$94/489.2))))</f>
        <v>52.534750613246118</v>
      </c>
      <c r="BM7">
        <f>IF(OR(ISBLANK(IF(ISERROR(IF(OR(ISBLANK($BM$94)), "", 100*$BM$94/489.2)), "", (IF(OR(ISBLANK($BM$94)), "", 100*$BM$94/489.2)))), IF(ISERROR(IF(OR(ISBLANK($BM$94)), "", 100*$BM$94/489.2)), "", (IF(OR(ISBLANK($BM$94)), "", 100*$BM$94/489.2))) = ""), 58.01308013,IF(ISERROR(IF(OR(ISBLANK($BM$94)), "", 100*$BM$94/489.2)), "", (IF(OR(ISBLANK($BM$94)), "", 100*$BM$94/489.2))))</f>
        <v>52.984464431725264</v>
      </c>
      <c r="BN7">
        <f>IF(OR(ISBLANK(IF(ISERROR(IF(OR(ISBLANK($BN$94)), "", 100*$BN$94/489.2)), "", (IF(OR(ISBLANK($BN$94)), "", 100*$BN$94/489.2)))), IF(ISERROR(IF(OR(ISBLANK($BN$94)), "", 100*$BN$94/489.2)), "", (IF(OR(ISBLANK($BN$94)), "", 100*$BN$94/489.2))) = ""), 58.34014595,IF(ISERROR(IF(OR(ISBLANK($BN$94)), "", 100*$BN$94/489.2)), "", (IF(OR(ISBLANK($BN$94)), "", 100*$BN$94/489.2))))</f>
        <v>53.086672117743255</v>
      </c>
      <c r="BO7">
        <f>IF(OR(ISBLANK(IF(ISERROR(IF(OR(ISBLANK($BO$94)), "", 100*$BO$94/489.2)), "", (IF(OR(ISBLANK($BO$94)), "", 100*$BO$94/489.2)))), IF(ISERROR(IF(OR(ISBLANK($BO$94)), "", 100*$BO$94/489.2)), "", (IF(OR(ISBLANK($BO$94)), "", 100*$BO$94/489.2))) = ""), 60.15944154,IF(ISERROR(IF(OR(ISBLANK($BO$94)), "", 100*$BO$94/489.2)), "", (IF(OR(ISBLANK($BO$94)), "", 100*$BO$94/489.2))))</f>
        <v>53.086672117743255</v>
      </c>
      <c r="BP7">
        <f>IF(OR(ISBLANK(IF(ISERROR(IF(OR(ISBLANK($BP$94)), "", 100*$BP$94/489.2)), "", (IF(OR(ISBLANK($BP$94)), "", 100*$BP$94/489.2)))), IF(ISERROR(IF(OR(ISBLANK($BP$94)), "", 100*$BP$94/489.2)), "", (IF(OR(ISBLANK($BP$94)), "", 100*$BP$94/489.2))) = ""), 61.50858422,IF(ISERROR(IF(OR(ISBLANK($BP$94)), "", 100*$BP$94/489.2)), "", (IF(OR(ISBLANK($BP$94)), "", 100*$BP$94/489.2))))</f>
        <v>53.495502861815211</v>
      </c>
      <c r="BQ7">
        <f>IF(OR(ISBLANK(IF(ISERROR(IF(OR(ISBLANK($BQ$94)), "", 100*$BQ$94/489.2)), "", (IF(OR(ISBLANK($BQ$94)), "", 100*$BQ$94/489.2)))), IF(ISERROR(IF(OR(ISBLANK($BQ$94)), "", 100*$BQ$94/489.2)), "", (IF(OR(ISBLANK($BQ$94)), "", 100*$BQ$94/489.2))) = ""), 62.36713123,IF(ISERROR(IF(OR(ISBLANK($BQ$94)), "", 100*$BQ$94/489.2)), "", (IF(OR(ISBLANK($BQ$94)), "", 100*$BQ$94/489.2))))</f>
        <v>54.517579721995098</v>
      </c>
      <c r="BR7">
        <f>IF(OR(ISBLANK(IF(ISERROR(IF(OR(ISBLANK($BR$94)), "", 100*$BR$94/489.2)), "", (IF(OR(ISBLANK($BR$94)), "", 100*$BR$94/489.2)))), IF(ISERROR(IF(OR(ISBLANK($BR$94)), "", 100*$BR$94/489.2)), "", (IF(OR(ISBLANK($BR$94)), "", 100*$BR$94/489.2))) = ""), 63.1439072,IF(ISERROR(IF(OR(ISBLANK($BR$94)), "", 100*$BR$94/489.2)), "", (IF(OR(ISBLANK($BR$94)), "", 100*$BR$94/489.2))))</f>
        <v>55.130825838103029</v>
      </c>
      <c r="BS7">
        <f>IF(OR(ISBLANK(IF(ISERROR(IF(OR(ISBLANK($BS$94)), "", 100*$BS$94/489.2)), "", (IF(OR(ISBLANK($BS$94)), "", 100*$BS$94/489.2)))), IF(ISERROR(IF(OR(ISBLANK($BS$94)), "", 100*$BS$94/489.2)), "", (IF(OR(ISBLANK($BS$94)), "", 100*$BS$94/489.2))) = ""), 63.47097302,IF(ISERROR(IF(OR(ISBLANK($BS$94)), "", 100*$BS$94/489.2)), "", (IF(OR(ISBLANK($BS$94)), "", 100*$BS$94/489.2))))</f>
        <v>55.703188879803761</v>
      </c>
      <c r="BT7">
        <f>IF(OR(ISBLANK(IF(ISERROR(IF(OR(ISBLANK($BT$94)), "", 100*$BT$94/489.2)), "", (IF(OR(ISBLANK($BT$94)), "", 100*$BT$94/489.2)))), IF(ISERROR(IF(OR(ISBLANK($BT$94)), "", 100*$BT$94/489.2)), "", (IF(OR(ISBLANK($BT$94)), "", 100*$BT$94/489.2))) = ""), 63.55273794,IF(ISERROR(IF(OR(ISBLANK($BT$94)), "", 100*$BT$94/489.2)), "", (IF(OR(ISBLANK($BT$94)), "", 100*$BT$94/489.2))))</f>
        <v>56.275551921504501</v>
      </c>
      <c r="BU7">
        <f>IF(OR(ISBLANK(IF(ISERROR(IF(OR(ISBLANK($BU$94)), "", 100*$BU$94/489.2)), "", (IF(OR(ISBLANK($BU$94)), "", 100*$BU$94/489.2)))), IF(ISERROR(IF(OR(ISBLANK($BU$94)), "", 100*$BU$94/489.2)), "", (IF(OR(ISBLANK($BU$94)), "", 100*$BU$94/489.2))) = ""), 63.90024652,IF(ISERROR(IF(OR(ISBLANK($BU$94)), "", 100*$BU$94/489.2)), "", (IF(OR(ISBLANK($BU$94)), "", 100*$BU$94/489.2))))</f>
        <v>57.563368765331163</v>
      </c>
      <c r="BV7">
        <f>IF(OR(ISBLANK(IF(ISERROR(IF(OR(ISBLANK($BV$94)), "", 100*$BV$94/489.2)), "", (IF(OR(ISBLANK($BV$94)), "", 100*$BV$94/489.2)))), IF(ISERROR(IF(OR(ISBLANK($BV$94)), "", 100*$BV$94/489.2)), "", (IF(OR(ISBLANK($BV$94)), "", 100*$BV$94/489.2))) = ""), 64.75878741,IF(ISERROR(IF(OR(ISBLANK($BV$94)), "", 100*$BV$94/489.2)), "", (IF(OR(ISBLANK($BV$94)), "", 100*$BV$94/489.2))))</f>
        <v>57.767784137367137</v>
      </c>
      <c r="BW7">
        <f>IF(OR(ISBLANK(IF(ISERROR(IF(OR(ISBLANK($BW$94)), "", 100*$BW$94/489.2)), "", (IF(OR(ISBLANK($BW$94)), "", 100*$BW$94/489.2)))), IF(ISERROR(IF(OR(ISBLANK($BW$94)), "", 100*$BW$94/489.2)), "", (IF(OR(ISBLANK($BW$94)), "", 100*$BW$94/489.2))) = ""), 65.10629599,IF(ISERROR(IF(OR(ISBLANK($BW$94)), "", 100*$BW$94/489.2)), "", (IF(OR(ISBLANK($BW$94)), "", 100*$BW$94/489.2))))</f>
        <v>58.013082583810302</v>
      </c>
      <c r="BX7">
        <f>IF(OR(ISBLANK(IF(ISERROR(IF(OR(ISBLANK($BX$94)), "", 100*$BX$94/489.2)), "", (IF(OR(ISBLANK($BX$94)), "", 100*$BX$94/489.2)))), IF(ISERROR(IF(OR(ISBLANK($BX$94)), "", 100*$BX$94/489.2)), "", (IF(OR(ISBLANK($BX$94)), "", 100*$BX$94/489.2))) = ""), 65.88307195,IF(ISERROR(IF(OR(ISBLANK($BX$94)), "", 100*$BX$94/489.2)), "", (IF(OR(ISBLANK($BX$94)), "", 100*$BX$94/489.2))))</f>
        <v>58.013082583810302</v>
      </c>
      <c r="BY7">
        <f>IF(OR(ISBLANK(IF(ISERROR(IF(OR(ISBLANK($BY$94)), "", 100*$BY$94/489.2)), "", (IF(OR(ISBLANK($BY$94)), "", 100*$BY$94/489.2)))), IF(ISERROR(IF(OR(ISBLANK($BY$94)), "", 100*$BY$94/489.2)), "", (IF(OR(ISBLANK($BY$94)), "", 100*$BY$94/489.2))) = ""), 66.90514881,IF(ISERROR(IF(OR(ISBLANK($BY$94)), "", 100*$BY$94/489.2)), "", (IF(OR(ISBLANK($BY$94)), "", 100*$BY$94/489.2))))</f>
        <v>58.340147179067863</v>
      </c>
      <c r="BZ7">
        <f>IF(OR(ISBLANK(IF(ISERROR(IF(OR(ISBLANK($BZ$94)), "", 100*$BZ$94/489.2)), "", (IF(OR(ISBLANK($BZ$94)), "", 100*$BZ$94/489.2)))), IF(ISERROR(IF(OR(ISBLANK($BZ$94)), "", 100*$BZ$94/489.2)), "", (IF(OR(ISBLANK($BZ$94)), "", 100*$BZ$94/489.2))) = ""), 67.62060262,IF(ISERROR(IF(OR(ISBLANK($BZ$94)), "", 100*$BZ$94/489.2)), "", (IF(OR(ISBLANK($BZ$94)), "", 100*$BZ$94/489.2))))</f>
        <v>60.159443990188066</v>
      </c>
      <c r="CA7">
        <f>IF(OR(ISBLANK(IF(ISERROR(IF(OR(ISBLANK($CA$94)), "", 100*$CA$94/489.2)), "", (IF(OR(ISBLANK($CA$94)), "", 100*$CA$94/489.2)))), IF(ISERROR(IF(OR(ISBLANK($CA$94)), "", 100*$CA$94/489.2)), "", (IF(OR(ISBLANK($CA$94)), "", 100*$CA$94/489.2))) = ""), 95.64595135,IF(ISERROR(IF(OR(ISBLANK($CA$94)), "", 100*$CA$94/489.2)), "", (IF(OR(ISBLANK($CA$94)), "", 100*$CA$94/489.2))))</f>
        <v>61.508585445625506</v>
      </c>
      <c r="CB7">
        <f>IF(OR(ISBLANK(IF(ISERROR(IF(OR(ISBLANK($CB$94)), "", 100*$CB$94/489.2)), "", (IF(OR(ISBLANK($CB$94)), "", 100*$CB$94/489.2)))), IF(ISERROR(IF(OR(ISBLANK($CB$94)), "", 100*$CB$94/489.2)), "", (IF(OR(ISBLANK($CB$94)), "", 100*$CB$94/489.2))) = ""), 95.64595135,IF(ISERROR(IF(OR(ISBLANK($CB$94)), "", 100*$CB$94/489.2)), "", (IF(OR(ISBLANK($CB$94)), "", 100*$CB$94/489.2))))</f>
        <v>62.367130008176623</v>
      </c>
      <c r="CC7">
        <f>IF(OR(ISBLANK(IF(ISERROR(IF(OR(ISBLANK($CC$94)), "", 100*$CC$94/489.2)), "", (IF(OR(ISBLANK($CC$94)), "", 100*$CC$94/489.2)))), IF(ISERROR(IF(OR(ISBLANK($CC$94)), "", 100*$CC$94/489.2)), "", (IF(OR(ISBLANK($CC$94)), "", 100*$CC$94/489.2))) = ""), "",IF(ISERROR(IF(OR(ISBLANK($CC$94)), "", 100*$CC$94/489.2)), "", (IF(OR(ISBLANK($CC$94)), "", 100*$CC$94/489.2))))</f>
        <v>63.143908421913324</v>
      </c>
      <c r="CD7">
        <f>IF(OR(ISBLANK(IF(ISERROR(IF(OR(ISBLANK($CD$94)), "", 100*$CD$94/489.2)), "", (IF(OR(ISBLANK($CD$94)), "", 100*$CD$94/489.2)))), IF(ISERROR(IF(OR(ISBLANK($CD$94)), "", 100*$CD$94/489.2)), "", (IF(OR(ISBLANK($CD$94)), "", 100*$CD$94/489.2))) = ""), "",IF(ISERROR(IF(OR(ISBLANK($CD$94)), "", 100*$CD$94/489.2)), "", (IF(OR(ISBLANK($CD$94)), "", 100*$CD$94/489.2))))</f>
        <v>63.470973017170891</v>
      </c>
      <c r="CE7">
        <f>IF(OR(ISBLANK(IF(ISERROR(IF(OR(ISBLANK($CE$94)), "", 100*$CE$94/489.2)), "", (IF(OR(ISBLANK($CE$94)), "", 100*$CE$94/489.2)))), IF(ISERROR(IF(OR(ISBLANK($CE$94)), "", 100*$CE$94/489.2)), "", (IF(OR(ISBLANK($CE$94)), "", 100*$CE$94/489.2))) = ""), "",IF(ISERROR(IF(OR(ISBLANK($CE$94)), "", 100*$CE$94/489.2)), "", (IF(OR(ISBLANK($CE$94)), "", 100*$CE$94/489.2))))</f>
        <v>63.55273916598528</v>
      </c>
      <c r="CF7">
        <f>IF(OR(ISBLANK(IF(ISERROR(IF(OR(ISBLANK($CF$94)), "", 100*$CF$94/489.2)), "", (IF(OR(ISBLANK($CF$94)), "", 100*$CF$94/489.2)))), IF(ISERROR(IF(OR(ISBLANK($CF$94)), "", 100*$CF$94/489.2)), "", (IF(OR(ISBLANK($CF$94)), "", 100*$CF$94/489.2))) = ""), "",IF(ISERROR(IF(OR(ISBLANK($CF$94)), "", 100*$CF$94/489.2)), "", (IF(OR(ISBLANK($CF$94)), "", 100*$CF$94/489.2))))</f>
        <v>63.90024529844645</v>
      </c>
      <c r="CG7">
        <f>IF(OR(ISBLANK(IF(ISERROR(IF(OR(ISBLANK($CG$94)), "", 100*$CG$94/489.2)), "", (IF(OR(ISBLANK($CG$94)), "", 100*$CG$94/489.2)))), IF(ISERROR(IF(OR(ISBLANK($CG$94)), "", 100*$CG$94/489.2)), "", (IF(OR(ISBLANK($CG$94)), "", 100*$CG$94/489.2))) = ""), "",IF(ISERROR(IF(OR(ISBLANK($CG$94)), "", 100*$CG$94/489.2)), "", (IF(OR(ISBLANK($CG$94)), "", 100*$CG$94/489.2))))</f>
        <v>64.758789860997553</v>
      </c>
    </row>
    <row r="8" spans="1:85" x14ac:dyDescent="0.25">
      <c r="A8" t="str">
        <f>"    "</f>
        <v xml:space="preserve">    </v>
      </c>
      <c r="B8" t="str">
        <f>""</f>
        <v/>
      </c>
      <c r="C8" t="str">
        <f>""</f>
        <v/>
      </c>
      <c r="D8" t="str">
        <f>""</f>
        <v/>
      </c>
      <c r="E8" t="str">
        <f>"Static"</f>
        <v>Static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  <c r="L8" t="str">
        <f>""</f>
        <v/>
      </c>
      <c r="M8" t="str">
        <f>""</f>
        <v/>
      </c>
      <c r="N8" t="str">
        <f>""</f>
        <v/>
      </c>
      <c r="O8" t="str">
        <f>""</f>
        <v/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  <c r="AD8" t="str">
        <f>""</f>
        <v/>
      </c>
      <c r="AE8" t="str">
        <f>""</f>
        <v/>
      </c>
      <c r="AF8" t="str">
        <f>""</f>
        <v/>
      </c>
      <c r="AG8" t="str">
        <f>""</f>
        <v/>
      </c>
      <c r="AH8" t="str">
        <f>""</f>
        <v/>
      </c>
      <c r="AI8" t="str">
        <f>""</f>
        <v/>
      </c>
      <c r="AJ8" t="str">
        <f>""</f>
        <v/>
      </c>
      <c r="AK8" t="str">
        <f>""</f>
        <v/>
      </c>
      <c r="AL8" t="str">
        <f>""</f>
        <v/>
      </c>
      <c r="AM8" t="str">
        <f>""</f>
        <v/>
      </c>
      <c r="AN8" t="str">
        <f>""</f>
        <v/>
      </c>
      <c r="AO8" t="str">
        <f>""</f>
        <v/>
      </c>
      <c r="AP8" t="str">
        <f>""</f>
        <v/>
      </c>
      <c r="AQ8" t="str">
        <f>""</f>
        <v/>
      </c>
      <c r="AR8" t="str">
        <f>""</f>
        <v/>
      </c>
      <c r="AS8" t="str">
        <f>""</f>
        <v/>
      </c>
      <c r="AT8" t="str">
        <f>""</f>
        <v/>
      </c>
      <c r="AU8" t="str">
        <f>""</f>
        <v/>
      </c>
      <c r="AV8" t="str">
        <f>""</f>
        <v/>
      </c>
      <c r="AW8" t="str">
        <f>""</f>
        <v/>
      </c>
      <c r="AX8" t="str">
        <f>""</f>
        <v/>
      </c>
      <c r="AY8" t="str">
        <f>""</f>
        <v/>
      </c>
      <c r="AZ8" t="str">
        <f>""</f>
        <v/>
      </c>
      <c r="BA8" t="str">
        <f>""</f>
        <v/>
      </c>
      <c r="BB8" t="str">
        <f>""</f>
        <v/>
      </c>
      <c r="BC8" t="str">
        <f>""</f>
        <v/>
      </c>
      <c r="BD8" t="str">
        <f>""</f>
        <v/>
      </c>
      <c r="BE8" t="str">
        <f>""</f>
        <v/>
      </c>
      <c r="BF8" t="str">
        <f>""</f>
        <v/>
      </c>
      <c r="BG8" t="str">
        <f>""</f>
        <v/>
      </c>
      <c r="BH8" t="str">
        <f>""</f>
        <v/>
      </c>
      <c r="BI8" t="str">
        <f>""</f>
        <v/>
      </c>
      <c r="BJ8" t="str">
        <f>""</f>
        <v/>
      </c>
      <c r="BK8" t="str">
        <f>""</f>
        <v/>
      </c>
      <c r="BL8" t="str">
        <f>""</f>
        <v/>
      </c>
      <c r="BM8" t="str">
        <f>""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</row>
    <row r="9" spans="1:85" x14ac:dyDescent="0.25">
      <c r="A9" t="str">
        <f>"    LTRO II Weekly Repayment"</f>
        <v xml:space="preserve">    LTRO II Weekly Repayment</v>
      </c>
      <c r="B9" t="str">
        <f>"ECBA3YP2 Index"</f>
        <v>ECBA3YP2 Index</v>
      </c>
      <c r="C9" t="str">
        <f>"PR005"</f>
        <v>PR005</v>
      </c>
      <c r="D9" t="str">
        <f>"PX_LAST"</f>
        <v>PX_LAST</v>
      </c>
      <c r="E9" t="str">
        <f>"Dynamic"</f>
        <v>Dynamic</v>
      </c>
      <c r="F9" t="e">
        <f ca="1">IF(OR(ISBLANK($F$112), $F$112 = ""), 2.318000078,$F$112)</f>
        <v>#N/A</v>
      </c>
      <c r="G9">
        <f>IF(OR(ISBLANK($G$112), $G$112 = ""), 2.019999981,$G$112)</f>
        <v>1.671</v>
      </c>
      <c r="H9">
        <f>IF(OR(ISBLANK($H$112), $H$112 = ""), 0.924000025,$H$112)</f>
        <v>0.98499999999999999</v>
      </c>
      <c r="I9">
        <f>IF(OR(ISBLANK($I$112), $I$112 = ""), 0.239999995,$I$112)</f>
        <v>2.5609999999999999</v>
      </c>
      <c r="J9">
        <f>IF(OR(ISBLANK($J$112), $J$112 = ""), 0.853999972,$J$112)</f>
        <v>1.83</v>
      </c>
      <c r="K9">
        <f>IF(OR(ISBLANK($K$112), $K$112 = ""), 1.149999976,$K$112)</f>
        <v>3.01</v>
      </c>
      <c r="L9">
        <f>IF(OR(ISBLANK($L$112), $L$112 = ""), 0.755999982,$L$112)</f>
        <v>2.2679999999999998</v>
      </c>
      <c r="M9">
        <f>IF(OR(ISBLANK($M$112), $M$112 = ""), 0.449999988,$M$112)</f>
        <v>18.274999999999999</v>
      </c>
      <c r="N9">
        <f>IF(OR(ISBLANK($N$112), $N$112 = ""), 0.179000005,$N$112)</f>
        <v>2.2200000000000002</v>
      </c>
      <c r="O9">
        <f>IF(OR(ISBLANK($O$112), $O$112 = ""), 1.753999949,$O$112)</f>
        <v>3.37</v>
      </c>
      <c r="P9">
        <f>IF(OR(ISBLANK($P$112), $P$112 = ""), 4.880000114,$P$112)</f>
        <v>4.45</v>
      </c>
      <c r="Q9">
        <f>IF(OR(ISBLANK($Q$112), $Q$112 = ""), 2.351999998,$Q$112)</f>
        <v>2.3180000000000001</v>
      </c>
      <c r="R9">
        <f>IF(OR(ISBLANK($R$112), $R$112 = ""), 1.383000016,$R$112)</f>
        <v>2.02</v>
      </c>
      <c r="S9">
        <f>IF(OR(ISBLANK($S$112), $S$112 = ""), 12.49800014,$S$112)</f>
        <v>0.92400000000000004</v>
      </c>
      <c r="T9">
        <f>IF(OR(ISBLANK($T$112), $T$112 = ""), 5.079999924,$T$112)</f>
        <v>0.24</v>
      </c>
      <c r="U9">
        <f>IF(OR(ISBLANK($U$112), $U$112 = ""), 8.267999649,$U$112)</f>
        <v>0.85399999999999998</v>
      </c>
      <c r="V9">
        <f>IF(OR(ISBLANK($V$112), $V$112 = ""), 2.502000093,$V$112)</f>
        <v>1.1499999999999999</v>
      </c>
      <c r="W9">
        <f>IF(OR(ISBLANK($W$112), $W$112 = ""), 0.344999999,$W$112)</f>
        <v>0.75600000000000001</v>
      </c>
      <c r="X9">
        <f>IF(OR(ISBLANK($X$112), $X$112 = ""), 0.230000004,$X$112)</f>
        <v>0.45</v>
      </c>
      <c r="Y9">
        <f>IF(OR(ISBLANK($Y$112), $Y$112 = ""), 1.25,$Y$112)</f>
        <v>0.17899999999999999</v>
      </c>
      <c r="Z9">
        <f>IF(OR(ISBLANK($Z$112), $Z$112 = ""), 0.217999995,$Z$112)</f>
        <v>1.754</v>
      </c>
      <c r="AA9">
        <f>IF(OR(ISBLANK($AA$112), $AA$112 = ""), 0.202000007,$AA$112)</f>
        <v>4.88</v>
      </c>
      <c r="AB9">
        <f>IF(OR(ISBLANK($AB$112), $AB$112 = ""), 0.358999997,$AB$112)</f>
        <v>2.3519999999999999</v>
      </c>
      <c r="AC9">
        <f>IF(OR(ISBLANK($AC$112), $AC$112 = ""), 1.585999966,$AC$112)</f>
        <v>1.383</v>
      </c>
      <c r="AD9">
        <f>IF(OR(ISBLANK($AD$112), $AD$112 = ""), "",$AD$112)</f>
        <v>12.497999999999999</v>
      </c>
      <c r="AE9">
        <f>IF(OR(ISBLANK($AE$112), $AE$112 = ""), "",$AE$112)</f>
        <v>5.08</v>
      </c>
      <c r="AF9">
        <f>IF(OR(ISBLANK($AF$112), $AF$112 = ""), 16.67499924,$AF$112)</f>
        <v>8.2680000000000007</v>
      </c>
      <c r="AG9">
        <f>IF(OR(ISBLANK($AG$112), $AG$112 = ""), 19.32999992,$AG$112)</f>
        <v>2.5019999999999998</v>
      </c>
      <c r="AH9">
        <f>IF(OR(ISBLANK($AH$112), $AH$112 = ""), 3.931999922,$AH$112)</f>
        <v>0.34499999999999997</v>
      </c>
      <c r="AI9">
        <f>IF(OR(ISBLANK($AI$112), $AI$112 = ""), 2.130000114,$AI$112)</f>
        <v>0.23</v>
      </c>
      <c r="AJ9">
        <f>IF(OR(ISBLANK($AJ$112), $AJ$112 = ""), 5.081999779,$AJ$112)</f>
        <v>1.25</v>
      </c>
      <c r="AK9">
        <f>IF(OR(ISBLANK($AK$112), $AK$112 = ""), 0.430999994,$AK$112)</f>
        <v>0.218</v>
      </c>
      <c r="AL9">
        <f>IF(OR(ISBLANK($AL$112), $AL$112 = ""), 2.857000113,$AL$112)</f>
        <v>0.20200000000000001</v>
      </c>
      <c r="AM9">
        <f>IF(OR(ISBLANK($AM$112), $AM$112 = ""), 5.362999916,$AM$112)</f>
        <v>0.35899999999999999</v>
      </c>
      <c r="AN9">
        <f>IF(OR(ISBLANK($AN$112), $AN$112 = ""), 0.31099999,$AN$112)</f>
        <v>1.5859999999999999</v>
      </c>
      <c r="AO9">
        <f>IF(OR(ISBLANK($AO$112), $AO$112 = ""), 5.093999863,$AO$112)</f>
        <v>5.0939998629999996</v>
      </c>
      <c r="AP9">
        <f>IF(OR(ISBLANK($AP$112), $AP$112 = ""), 0.25,$AP$112)</f>
        <v>0.25</v>
      </c>
      <c r="AQ9">
        <f>IF(OR(ISBLANK($AQ$112), $AQ$112 = ""), 3.065000057,$AQ$112)</f>
        <v>16.675000000000001</v>
      </c>
      <c r="AR9">
        <f>IF(OR(ISBLANK($AR$112), $AR$112 = ""), 1.621999979,$AR$112)</f>
        <v>19.329999999999998</v>
      </c>
      <c r="AS9">
        <f>IF(OR(ISBLANK($AS$112), $AS$112 = ""), 5.260000229,$AS$112)</f>
        <v>3.9319999999999999</v>
      </c>
      <c r="AT9">
        <f>IF(OR(ISBLANK($AT$112), $AT$112 = ""), 2.375,$AT$112)</f>
        <v>2.13</v>
      </c>
      <c r="AU9">
        <f>IF(OR(ISBLANK($AU$112), $AU$112 = ""), 2.200000048,$AU$112)</f>
        <v>5.0819999999999999</v>
      </c>
      <c r="AV9">
        <f>IF(OR(ISBLANK($AV$112), $AV$112 = ""), 4.545000076,$AV$112)</f>
        <v>0.43099999999999999</v>
      </c>
      <c r="AW9">
        <f>IF(OR(ISBLANK($AW$112), $AW$112 = ""), 0.204999998,$AW$112)</f>
        <v>2.8570000000000002</v>
      </c>
      <c r="AX9">
        <f>IF(OR(ISBLANK($AX$112), $AX$112 = ""), 0.449999988,$AX$112)</f>
        <v>5.3629999999999995</v>
      </c>
      <c r="AY9">
        <f>IF(OR(ISBLANK($AY$112), $AY$112 = ""), 0.200000003,$AY$112)</f>
        <v>0.311</v>
      </c>
      <c r="AZ9">
        <f>IF(OR(ISBLANK($AZ$112), $AZ$112 = ""), 0.333000004,$AZ$112)</f>
        <v>5.0940000000000003</v>
      </c>
      <c r="BA9">
        <f>IF(OR(ISBLANK($BA$112), $BA$112 = ""), 0.451000005,$BA$112)</f>
        <v>0.25</v>
      </c>
      <c r="BB9">
        <f>IF(OR(ISBLANK($BB$112), $BB$112 = ""), 0.200000003,$BB$112)</f>
        <v>3.0649999999999999</v>
      </c>
      <c r="BC9">
        <f>IF(OR(ISBLANK($BC$112), $BC$112 = ""), 0.702000022,$BC$112)</f>
        <v>1.6219999999999999</v>
      </c>
      <c r="BD9">
        <f>IF(OR(ISBLANK($BD$112), $BD$112 = ""), 2.095000029,$BD$112)</f>
        <v>5.26</v>
      </c>
      <c r="BE9">
        <f>IF(OR(ISBLANK($BE$112), $BE$112 = ""), 0.035,$BE$112)</f>
        <v>2.375</v>
      </c>
      <c r="BF9">
        <f>IF(OR(ISBLANK($BF$112), $BF$112 = ""), 0.208000004,$BF$112)</f>
        <v>2.2000000000000002</v>
      </c>
      <c r="BG9">
        <f>IF(OR(ISBLANK($BG$112), $BG$112 = ""), 0.180000007,$BG$112)</f>
        <v>4.5449999999999999</v>
      </c>
      <c r="BH9">
        <f>IF(OR(ISBLANK($BH$112), $BH$112 = ""), 0.129999995,$BH$112)</f>
        <v>0.20499999999999999</v>
      </c>
      <c r="BI9">
        <f>IF(OR(ISBLANK($BI$112), $BI$112 = ""), 0.270999998,$BI$112)</f>
        <v>0.45</v>
      </c>
      <c r="BJ9">
        <f>IF(OR(ISBLANK($BJ$112), $BJ$112 = ""), 1.914999962,$BJ$112)</f>
        <v>0.2</v>
      </c>
      <c r="BK9">
        <f>IF(OR(ISBLANK($BK$112), $BK$112 = ""), 0.104000002,$BK$112)</f>
        <v>0.33300000000000002</v>
      </c>
      <c r="BL9">
        <f>IF(OR(ISBLANK($BL$112), $BL$112 = ""), 5.15199995,$BL$112)</f>
        <v>0.45100000000000001</v>
      </c>
      <c r="BM9">
        <f>IF(OR(ISBLANK($BM$112), $BM$112 = ""), 0.60799998,$BM$112)</f>
        <v>0.2</v>
      </c>
      <c r="BN9">
        <f>IF(OR(ISBLANK($BN$112), $BN$112 = ""), 0.61500001,$BN$112)</f>
        <v>0.70199999999999996</v>
      </c>
      <c r="BO9">
        <f>IF(OR(ISBLANK($BO$112), $BO$112 = ""), 2.066999912,$BO$112)</f>
        <v>2.0950000000000002</v>
      </c>
      <c r="BP9">
        <f>IF(OR(ISBLANK($BP$112), $BP$112 = ""), 4.237999916,$BP$112)</f>
        <v>3.5000000000000003E-2</v>
      </c>
      <c r="BQ9">
        <f>IF(OR(ISBLANK($BQ$112), $BQ$112 = ""), 3.971999884,$BQ$112)</f>
        <v>0.20799999999999999</v>
      </c>
      <c r="BR9">
        <f>IF(OR(ISBLANK($BR$112), $BR$112 = ""), 3.160000086,$BR$112)</f>
        <v>0.18</v>
      </c>
      <c r="BS9">
        <f>IF(OR(ISBLANK($BS$112), $BS$112 = ""), 0.370999992,$BS$112)</f>
        <v>0.13</v>
      </c>
      <c r="BT9">
        <f>IF(OR(ISBLANK($BT$112), $BT$112 = ""), 6.43200016,$BT$112)</f>
        <v>0.27100000000000002</v>
      </c>
      <c r="BU9">
        <f>IF(OR(ISBLANK($BU$112), $BU$112 = ""), 2.894000053,$BU$112)</f>
        <v>1.915</v>
      </c>
      <c r="BV9">
        <f>IF(OR(ISBLANK($BV$112), $BV$112 = ""), 8.319000244,$BV$112)</f>
        <v>0.104</v>
      </c>
      <c r="BW9">
        <f>IF(OR(ISBLANK($BW$112), $BW$112 = ""), 61.09199905,$BW$112)</f>
        <v>5.1520000000000001</v>
      </c>
      <c r="BX9">
        <f>IF(OR(ISBLANK($BX$112), $BX$112 = ""), 0,$BX$112)</f>
        <v>0.60799999999999998</v>
      </c>
      <c r="BY9">
        <f>IF(OR(ISBLANK($BY$112), $BY$112 = ""), "",$BY$112)</f>
        <v>0.61499999999999999</v>
      </c>
      <c r="BZ9">
        <f>IF(OR(ISBLANK($BZ$112), $BZ$112 = ""), "",$BZ$112)</f>
        <v>2.0670000000000002</v>
      </c>
      <c r="CA9">
        <f>IF(OR(ISBLANK($CA$112), $CA$112 = ""), "",$CA$112)</f>
        <v>4.2379999999999995</v>
      </c>
      <c r="CB9">
        <f>IF(OR(ISBLANK($CB$112), $CB$112 = ""), "",$CB$112)</f>
        <v>3.972</v>
      </c>
      <c r="CC9">
        <f>IF(OR(ISBLANK($CC$112), $CC$112 = ""), "",$CC$112)</f>
        <v>3.16</v>
      </c>
      <c r="CD9">
        <f>IF(OR(ISBLANK($CD$112), $CD$112 = ""), "",$CD$112)</f>
        <v>0.371</v>
      </c>
      <c r="CE9">
        <f>IF(OR(ISBLANK($CE$112), $CE$112 = ""), "",$CE$112)</f>
        <v>6.4320000000000004</v>
      </c>
      <c r="CF9">
        <f>IF(OR(ISBLANK($CF$112), $CF$112 = ""), "",$CF$112)</f>
        <v>2.8940000000000001</v>
      </c>
      <c r="CG9">
        <f>IF(OR(ISBLANK($CG$112), $CG$112 = ""), "",$CG$112)</f>
        <v>8.3190000000000008</v>
      </c>
    </row>
    <row r="10" spans="1:85" x14ac:dyDescent="0.25">
      <c r="A10" t="str">
        <f>"    LTRO II Cumulative Repayment"</f>
        <v xml:space="preserve">    LTRO II Cumulative Repayment</v>
      </c>
      <c r="B10" t="str">
        <f>"ECBA3YC2 Index"</f>
        <v>ECBA3YC2 Index</v>
      </c>
      <c r="C10" t="str">
        <f>"PR005"</f>
        <v>PR005</v>
      </c>
      <c r="D10" t="str">
        <f>"PX_LAST"</f>
        <v>PX_LAST</v>
      </c>
      <c r="E10" t="str">
        <f>"Dynamic"</f>
        <v>Dynamic</v>
      </c>
      <c r="F10" t="e">
        <f ca="1">IF(OR(ISBLANK($F$113), $F$113 = ""), "",$F$113)</f>
        <v>#N/A</v>
      </c>
      <c r="G10">
        <f>IF(OR(ISBLANK($G$113), $G$113 = ""), 236.4009857,$G$113)</f>
        <v>279.35899999999998</v>
      </c>
      <c r="H10">
        <f>IF(OR(ISBLANK($H$113), $H$113 = ""), 234.3809814,$H$113)</f>
        <v>277.68799999999999</v>
      </c>
      <c r="I10">
        <f>IF(OR(ISBLANK($I$113), $I$113 = ""), 233.4569855,$I$113)</f>
        <v>276.70299999999997</v>
      </c>
      <c r="J10">
        <f>IF(OR(ISBLANK($J$113), $J$113 = ""), 233.21698,$J$113)</f>
        <v>274.142</v>
      </c>
      <c r="K10">
        <f>IF(OR(ISBLANK($K$113), $K$113 = ""), 232.3629913,$K$113)</f>
        <v>272.31200000000001</v>
      </c>
      <c r="L10">
        <f>IF(OR(ISBLANK($L$113), $L$113 = ""), 231.2129822,$L$113)</f>
        <v>269.30200000000002</v>
      </c>
      <c r="M10">
        <f>IF(OR(ISBLANK($M$113), $M$113 = ""), 230.4569855,$M$113)</f>
        <v>267.03399999999999</v>
      </c>
      <c r="N10">
        <f>IF(OR(ISBLANK($N$113), $N$113 = ""), 230.0069885,$N$113)</f>
        <v>248.75899999999999</v>
      </c>
      <c r="O10">
        <f>IF(OR(ISBLANK($O$113), $O$113 = ""), 229.8279877,$O$113)</f>
        <v>246.53899999999999</v>
      </c>
      <c r="P10">
        <f>IF(OR(ISBLANK($P$113), $P$113 = ""), 228.0740051,$P$113)</f>
        <v>243.16900000000001</v>
      </c>
      <c r="Q10">
        <f>IF(OR(ISBLANK($Q$113), $Q$113 = ""), 223.1940155,$Q$113)</f>
        <v>238.71899999999999</v>
      </c>
      <c r="R10">
        <f>IF(OR(ISBLANK($R$113), $R$113 = ""), 220.8420105,$R$113)</f>
        <v>236.40100000000001</v>
      </c>
      <c r="S10">
        <f>IF(OR(ISBLANK($S$113), $S$113 = ""), 219.4589996,$S$113)</f>
        <v>234.381</v>
      </c>
      <c r="T10">
        <f>IF(OR(ISBLANK($T$113), $T$113 = ""), 206.9609985,$T$113)</f>
        <v>233.45699999999999</v>
      </c>
      <c r="U10">
        <f>IF(OR(ISBLANK($U$113), $U$113 = ""), 201.8809967,$U$113)</f>
        <v>233.21700000000001</v>
      </c>
      <c r="V10">
        <f>IF(OR(ISBLANK($V$113), $V$113 = ""), 193.6129913,$V$113)</f>
        <v>232.363</v>
      </c>
      <c r="W10">
        <f>IF(OR(ISBLANK($W$113), $W$113 = ""), 191.1109924,$W$113)</f>
        <v>231.21299999999999</v>
      </c>
      <c r="X10">
        <f>IF(OR(ISBLANK($X$113), $X$113 = ""), 190.7659912,$X$113)</f>
        <v>230.45699999999999</v>
      </c>
      <c r="Y10">
        <f>IF(OR(ISBLANK($Y$113), $Y$113 = ""), 190.5359955,$Y$113)</f>
        <v>230.00700000000001</v>
      </c>
      <c r="Z10">
        <f>IF(OR(ISBLANK($Z$113), $Z$113 = ""), 189.2859955,$Z$113)</f>
        <v>229.828</v>
      </c>
      <c r="AA10">
        <f>IF(OR(ISBLANK($AA$113), $AA$113 = ""), 189.0679932,$AA$113)</f>
        <v>228.07400000000001</v>
      </c>
      <c r="AB10">
        <f>IF(OR(ISBLANK($AB$113), $AB$113 = ""), 188.8659973,$AB$113)</f>
        <v>223.19399999999999</v>
      </c>
      <c r="AC10">
        <f>IF(OR(ISBLANK($AC$113), $AC$113 = ""), 188.5070038,$AC$113)</f>
        <v>220.84200000000001</v>
      </c>
      <c r="AD10">
        <f>IF(OR(ISBLANK($AD$113), $AD$113 = ""), "",$AD$113)</f>
        <v>219.459</v>
      </c>
      <c r="AE10">
        <f>IF(OR(ISBLANK($AE$113), $AE$113 = ""), "",$AE$113)</f>
        <v>206.96100000000001</v>
      </c>
      <c r="AF10">
        <f>IF(OR(ISBLANK($AF$113), $AF$113 = ""), 186.92099,$AF$113)</f>
        <v>201.881</v>
      </c>
      <c r="AG10">
        <f>IF(OR(ISBLANK($AG$113), $AG$113 = ""), 170.2460022,$AG$113)</f>
        <v>193.613</v>
      </c>
      <c r="AH10">
        <f>IF(OR(ISBLANK($AH$113), $AH$113 = ""), 150.9160156,$AH$113)</f>
        <v>191.11099999999999</v>
      </c>
      <c r="AI10">
        <f>IF(OR(ISBLANK($AI$113), $AI$113 = ""), 146.9840088,$AI$113)</f>
        <v>190.76599999999999</v>
      </c>
      <c r="AJ10">
        <f>IF(OR(ISBLANK($AJ$113), $AJ$113 = ""), 144.8540192,$AJ$113)</f>
        <v>190.536</v>
      </c>
      <c r="AK10">
        <f>IF(OR(ISBLANK($AK$113), $AK$113 = ""), 139.7720032,$AK$113)</f>
        <v>189.286</v>
      </c>
      <c r="AL10">
        <f>IF(OR(ISBLANK($AL$113), $AL$113 = ""), 139.3410034,$AL$113)</f>
        <v>189.06800000000001</v>
      </c>
      <c r="AM10">
        <f>IF(OR(ISBLANK($AM$113), $AM$113 = ""), 136.4840088,$AM$113)</f>
        <v>188.86600000000001</v>
      </c>
      <c r="AN10">
        <f>IF(OR(ISBLANK($AN$113), $AN$113 = ""), 131.1210022,$AN$113)</f>
        <v>188.50700000000001</v>
      </c>
      <c r="AO10">
        <f>IF(OR(ISBLANK($AO$113), $AO$113 = ""), 130.8099976,$AO$113)</f>
        <v>130.8099976</v>
      </c>
      <c r="AP10">
        <f>IF(OR(ISBLANK($AP$113), $AP$113 = ""), 125.7160034,$AP$113)</f>
        <v>125.71600340000001</v>
      </c>
      <c r="AQ10">
        <f>IF(OR(ISBLANK($AQ$113), $AQ$113 = ""), 125.4660034,$AQ$113)</f>
        <v>186.92099999999999</v>
      </c>
      <c r="AR10">
        <f>IF(OR(ISBLANK($AR$113), $AR$113 = ""), 122.401001,$AR$113)</f>
        <v>170.24600000000001</v>
      </c>
      <c r="AS10">
        <f>IF(OR(ISBLANK($AS$113), $AS$113 = ""), 120.7789917,$AS$113)</f>
        <v>150.916</v>
      </c>
      <c r="AT10">
        <f>IF(OR(ISBLANK($AT$113), $AT$113 = ""), 115.5189972,$AT$113)</f>
        <v>146.98400000000001</v>
      </c>
      <c r="AU10">
        <f>IF(OR(ISBLANK($AU$113), $AU$113 = ""), 113.1439972,$AU$113)</f>
        <v>144.85400000000001</v>
      </c>
      <c r="AV10">
        <f>IF(OR(ISBLANK($AV$113), $AV$113 = ""), 110.9440002,$AV$113)</f>
        <v>139.77199999999999</v>
      </c>
      <c r="AW10">
        <f>IF(OR(ISBLANK($AW$113), $AW$113 = ""), 106.3990021,$AW$113)</f>
        <v>139.34100000000001</v>
      </c>
      <c r="AX10">
        <f>IF(OR(ISBLANK($AX$113), $AX$113 = ""), 106.1940002,$AX$113)</f>
        <v>136.48400000000001</v>
      </c>
      <c r="AY10">
        <f>IF(OR(ISBLANK($AY$113), $AY$113 = ""), 105.7440033,$AY$113)</f>
        <v>131.12100000000001</v>
      </c>
      <c r="AZ10">
        <f>IF(OR(ISBLANK($AZ$113), $AZ$113 = ""), 105.5440063,$AZ$113)</f>
        <v>130.81</v>
      </c>
      <c r="BA10">
        <f>IF(OR(ISBLANK($BA$113), $BA$113 = ""), 105.2109985,$BA$113)</f>
        <v>125.71599999999999</v>
      </c>
      <c r="BB10">
        <f>IF(OR(ISBLANK($BB$113), $BB$113 = ""), 104.7600021,$BB$113)</f>
        <v>125.46599999999999</v>
      </c>
      <c r="BC10">
        <f>IF(OR(ISBLANK($BC$113), $BC$113 = ""), 104.5599976,$BC$113)</f>
        <v>122.401</v>
      </c>
      <c r="BD10">
        <f>IF(OR(ISBLANK($BD$113), $BD$113 = ""), 103.8580017,$BD$113)</f>
        <v>120.779</v>
      </c>
      <c r="BE10">
        <f>IF(OR(ISBLANK($BE$113), $BE$113 = ""), 101.7630005,$BE$113)</f>
        <v>115.51900000000001</v>
      </c>
      <c r="BF10">
        <f>IF(OR(ISBLANK($BF$113), $BF$113 = ""), 101.7279968,$BF$113)</f>
        <v>113.14400000000001</v>
      </c>
      <c r="BG10">
        <f>IF(OR(ISBLANK($BG$113), $BG$113 = ""), 101.5200043,$BG$113)</f>
        <v>110.944</v>
      </c>
      <c r="BH10">
        <f>IF(OR(ISBLANK($BH$113), $BH$113 = ""), 101.3399963,$BH$113)</f>
        <v>106.399</v>
      </c>
      <c r="BI10">
        <f>IF(OR(ISBLANK($BI$113), $BI$113 = ""), 101.2099991,$BI$113)</f>
        <v>106.194</v>
      </c>
      <c r="BJ10">
        <f>IF(OR(ISBLANK($BJ$113), $BJ$113 = ""), 100.9389954,$BJ$113)</f>
        <v>105.744</v>
      </c>
      <c r="BK10">
        <f>IF(OR(ISBLANK($BK$113), $BK$113 = ""), 99.02400208,$BK$113)</f>
        <v>105.544</v>
      </c>
      <c r="BL10">
        <f>IF(OR(ISBLANK($BL$113), $BL$113 = ""), 98.91999817,$BL$113)</f>
        <v>105.211</v>
      </c>
      <c r="BM10">
        <f>IF(OR(ISBLANK($BM$113), $BM$113 = ""), 93.76800537,$BM$113)</f>
        <v>104.76</v>
      </c>
      <c r="BN10">
        <f>IF(OR(ISBLANK($BN$113), $BN$113 = ""), 93.16000366,$BN$113)</f>
        <v>104.56</v>
      </c>
      <c r="BO10">
        <f>IF(OR(ISBLANK($BO$113), $BO$113 = ""), 92.54499817,$BO$113)</f>
        <v>103.858</v>
      </c>
      <c r="BP10">
        <f>IF(OR(ISBLANK($BP$113), $BP$113 = ""), 90.47799683,$BP$113)</f>
        <v>101.76300000000001</v>
      </c>
      <c r="BQ10">
        <f>IF(OR(ISBLANK($BQ$113), $BQ$113 = ""), 86.23999786,$BQ$113)</f>
        <v>101.72799999999999</v>
      </c>
      <c r="BR10">
        <f>IF(OR(ISBLANK($BR$113), $BR$113 = ""), 82.26799774,$BR$113)</f>
        <v>101.52</v>
      </c>
      <c r="BS10">
        <f>IF(OR(ISBLANK($BS$113), $BS$113 = ""), 79.10800171,$BS$113)</f>
        <v>101.34</v>
      </c>
      <c r="BT10">
        <f>IF(OR(ISBLANK($BT$113), $BT$113 = ""), 78.73699951,$BT$113)</f>
        <v>101.21</v>
      </c>
      <c r="BU10">
        <f>IF(OR(ISBLANK($BU$113), $BU$113 = ""), 72.30500031,$BU$113)</f>
        <v>100.93899999999999</v>
      </c>
      <c r="BV10">
        <f>IF(OR(ISBLANK($BV$113), $BV$113 = ""), 69.41099548,$BV$113)</f>
        <v>99.024000000000001</v>
      </c>
      <c r="BW10">
        <f>IF(OR(ISBLANK($BW$113), $BW$113 = ""), 61.09199905,$BW$113)</f>
        <v>98.92</v>
      </c>
      <c r="BX10">
        <f>IF(OR(ISBLANK($BX$113), $BX$113 = ""), "",$BX$113)</f>
        <v>93.768000000000001</v>
      </c>
      <c r="BY10">
        <f>IF(OR(ISBLANK($BY$113), $BY$113 = ""), "",$BY$113)</f>
        <v>93.16</v>
      </c>
      <c r="BZ10">
        <f>IF(OR(ISBLANK($BZ$113), $BZ$113 = ""), "",$BZ$113)</f>
        <v>92.545000000000002</v>
      </c>
      <c r="CA10">
        <f>IF(OR(ISBLANK($CA$113), $CA$113 = ""), "",$CA$113)</f>
        <v>90.477999999999994</v>
      </c>
      <c r="CB10">
        <f>IF(OR(ISBLANK($CB$113), $CB$113 = ""), "",$CB$113)</f>
        <v>86.24</v>
      </c>
      <c r="CC10">
        <f>IF(OR(ISBLANK($CC$113), $CC$113 = ""), "",$CC$113)</f>
        <v>82.268000000000001</v>
      </c>
      <c r="CD10">
        <f>IF(OR(ISBLANK($CD$113), $CD$113 = ""), "",$CD$113)</f>
        <v>79.108000000000004</v>
      </c>
      <c r="CE10">
        <f>IF(OR(ISBLANK($CE$113), $CE$113 = ""), "",$CE$113)</f>
        <v>78.736999999999995</v>
      </c>
      <c r="CF10">
        <f>IF(OR(ISBLANK($CF$113), $CF$113 = ""), "",$CF$113)</f>
        <v>72.305000000000007</v>
      </c>
      <c r="CG10">
        <f>IF(OR(ISBLANK($CG$113), $CG$113 = ""), "",$CG$113)</f>
        <v>69.411000000000001</v>
      </c>
    </row>
    <row r="11" spans="1:85" x14ac:dyDescent="0.25">
      <c r="A11" t="str">
        <f>"    LTRO II Outstanding"</f>
        <v xml:space="preserve">    LTRO II Outstanding</v>
      </c>
      <c r="B11" t="str">
        <f>"ECBA3YO2 Index"</f>
        <v>ECBA3YO2 Index</v>
      </c>
      <c r="C11" t="str">
        <f>"PR005"</f>
        <v>PR005</v>
      </c>
      <c r="D11" t="str">
        <f>"PX_LAST"</f>
        <v>PX_LAST</v>
      </c>
      <c r="E11" t="str">
        <f>"Dynamic"</f>
        <v>Dynamic</v>
      </c>
      <c r="F11" t="e">
        <f ca="1">IF(OR(ISBLANK($F$114), $F$114 = ""), 286.946991,$F$114)</f>
        <v>#N/A</v>
      </c>
      <c r="G11">
        <f>IF(OR(ISBLANK($G$114), $G$114 = ""), 286.946991,$G$114)</f>
        <v>243.99</v>
      </c>
      <c r="H11">
        <f>IF(OR(ISBLANK($H$114), $H$114 = ""), 288.9670105,$H$114)</f>
        <v>245.661</v>
      </c>
      <c r="I11">
        <f>IF(OR(ISBLANK($I$114), $I$114 = ""), 289.9609985,$I$114)</f>
        <v>246.64599999999999</v>
      </c>
      <c r="J11">
        <f>IF(OR(ISBLANK($J$114), $J$114 = ""), 290.2009888,$J$114)</f>
        <v>249.20699999999999</v>
      </c>
      <c r="K11">
        <f>IF(OR(ISBLANK($K$114), $K$114 = ""), 291.0549927,$K$114)</f>
        <v>251.03700000000001</v>
      </c>
      <c r="L11">
        <f>IF(OR(ISBLANK($L$114), $L$114 = ""), 292.9609985,$L$114)</f>
        <v>254.047</v>
      </c>
      <c r="M11">
        <f>IF(OR(ISBLANK($M$114), $M$114 = ""), 293.4110107,$M$114)</f>
        <v>256.315</v>
      </c>
      <c r="N11">
        <f>IF(OR(ISBLANK($N$114), $N$114 = ""), 293.5899963,$N$114)</f>
        <v>274.589</v>
      </c>
      <c r="O11">
        <f>IF(OR(ISBLANK($O$114), $O$114 = ""), 295.3439941,$O$114)</f>
        <v>276.80900000000003</v>
      </c>
      <c r="P11">
        <f>IF(OR(ISBLANK($P$114), $P$114 = ""), 300.223999,$P$114)</f>
        <v>280.17899999999997</v>
      </c>
      <c r="Q11">
        <f>IF(OR(ISBLANK($Q$114), $Q$114 = ""), 302.6000061,$Q$114)</f>
        <v>284.62900000000002</v>
      </c>
      <c r="R11">
        <f>IF(OR(ISBLANK($R$114), $R$114 = ""), 304,$R$114)</f>
        <v>286.947</v>
      </c>
      <c r="S11">
        <f>IF(OR(ISBLANK($S$114), $S$114 = ""), 316.5,$S$114)</f>
        <v>288.96699999999998</v>
      </c>
      <c r="T11">
        <f>IF(OR(ISBLANK($T$114), $T$114 = ""), 321.5,$T$114)</f>
        <v>289.96100000000001</v>
      </c>
      <c r="U11">
        <f>IF(OR(ISBLANK($U$114), $U$114 = ""), 329.7999878,$U$114)</f>
        <v>290.20100000000002</v>
      </c>
      <c r="V11">
        <f>IF(OR(ISBLANK($V$114), $V$114 = ""), 332.2999878,$V$114)</f>
        <v>291.05500000000001</v>
      </c>
      <c r="W11">
        <f>IF(OR(ISBLANK($W$114), $W$114 = ""), 332.7000122,$W$114)</f>
        <v>292.96100000000001</v>
      </c>
      <c r="X11">
        <f>IF(OR(ISBLANK($X$114), $X$114 = ""), 332.8999939,$X$114)</f>
        <v>293.411</v>
      </c>
      <c r="Y11">
        <f>IF(OR(ISBLANK($Y$114), $Y$114 = ""), 334.1000061,$Y$114)</f>
        <v>293.58999999999997</v>
      </c>
      <c r="Z11">
        <f>IF(OR(ISBLANK($Z$114), $Z$114 = ""), 334.3999939,$Z$114)</f>
        <v>295.34399999999999</v>
      </c>
      <c r="AA11">
        <f>IF(OR(ISBLANK($AA$114), $AA$114 = ""), 334.6000061,$AA$114)</f>
        <v>300.22399999999999</v>
      </c>
      <c r="AB11">
        <f>IF(OR(ISBLANK($AB$114), $AB$114 = ""), 334.8999939,$AB$114)</f>
        <v>302.60000000000002</v>
      </c>
      <c r="AC11">
        <f>IF(OR(ISBLANK($AC$114), $AC$114 = ""), 336.5,$AC$114)</f>
        <v>304</v>
      </c>
      <c r="AD11">
        <f>IF(OR(ISBLANK($AD$114), $AD$114 = ""), "",$AD$114)</f>
        <v>316.5</v>
      </c>
      <c r="AE11">
        <f>IF(OR(ISBLANK($AE$114), $AE$114 = ""), "",$AE$114)</f>
        <v>321.5</v>
      </c>
      <c r="AF11">
        <f>IF(OR(ISBLANK($AF$114), $AF$114 = ""), 353.2000122,$AF$114)</f>
        <v>329.8</v>
      </c>
      <c r="AG11">
        <f>IF(OR(ISBLANK($AG$114), $AG$114 = ""), 372.5,$AG$114)</f>
        <v>332.3</v>
      </c>
      <c r="AH11">
        <f>IF(OR(ISBLANK($AH$114), $AH$114 = ""), 376.3999939,$AH$114)</f>
        <v>332.7</v>
      </c>
      <c r="AI11">
        <f>IF(OR(ISBLANK($AI$114), $AI$114 = ""), 378.6000061,$AI$114)</f>
        <v>332.9</v>
      </c>
      <c r="AJ11">
        <f>IF(OR(ISBLANK($AJ$114), $AJ$114 = ""), 383.6000061,$AJ$114)</f>
        <v>334.1</v>
      </c>
      <c r="AK11">
        <f>IF(OR(ISBLANK($AK$114), $AK$114 = ""), 384.1000061,$AK$114)</f>
        <v>334.4</v>
      </c>
      <c r="AL11">
        <f>IF(OR(ISBLANK($AL$114), $AL$114 = ""), 386.8999939,$AL$114)</f>
        <v>334.6</v>
      </c>
      <c r="AM11">
        <f>IF(OR(ISBLANK($AM$114), $AM$114 = ""), 392.2999878,$AM$114)</f>
        <v>334.9</v>
      </c>
      <c r="AN11">
        <f>IF(OR(ISBLANK($AN$114), $AN$114 = ""), 392.6000061,$AN$114)</f>
        <v>336.5</v>
      </c>
      <c r="AO11">
        <f>IF(OR(ISBLANK($AO$114), $AO$114 = ""), 397.7000122,$AO$114)</f>
        <v>397.7000122</v>
      </c>
      <c r="AP11">
        <f>IF(OR(ISBLANK($AP$114), $AP$114 = ""), 398,$AP$114)</f>
        <v>398</v>
      </c>
      <c r="AQ11">
        <f>IF(OR(ISBLANK($AQ$114), $AQ$114 = ""), 401,$AQ$114)</f>
        <v>353.2</v>
      </c>
      <c r="AR11">
        <f>IF(OR(ISBLANK($AR$114), $AR$114 = ""), 402.6000061,$AR$114)</f>
        <v>372.5</v>
      </c>
      <c r="AS11">
        <f>IF(OR(ISBLANK($AS$114), $AS$114 = ""), 407.8999939,$AS$114)</f>
        <v>376.4</v>
      </c>
      <c r="AT11">
        <f>IF(OR(ISBLANK($AT$114), $AT$114 = ""), 410.2999878,$AT$114)</f>
        <v>378.6</v>
      </c>
      <c r="AU11">
        <f>IF(OR(ISBLANK($AU$114), $AU$114 = ""), 412.6000061,$AU$114)</f>
        <v>383.6</v>
      </c>
      <c r="AV11">
        <f>IF(OR(ISBLANK($AV$114), $AV$114 = ""), 417.1000061,$AV$114)</f>
        <v>384.1</v>
      </c>
      <c r="AW11">
        <f>IF(OR(ISBLANK($AW$114), $AW$114 = ""), 417.2999878,$AW$114)</f>
        <v>386.9</v>
      </c>
      <c r="AX11">
        <f>IF(OR(ISBLANK($AX$114), $AX$114 = ""), 417.7999878,$AX$114)</f>
        <v>392.3</v>
      </c>
      <c r="AY11">
        <f>IF(OR(ISBLANK($AY$114), $AY$114 = ""), 418,$AY$114)</f>
        <v>392.6</v>
      </c>
      <c r="AZ11">
        <f>IF(OR(ISBLANK($AZ$114), $AZ$114 = ""), 418.2999878,$AZ$114)</f>
        <v>397.7</v>
      </c>
      <c r="BA11">
        <f>IF(OR(ISBLANK($BA$114), $BA$114 = ""), 418.7000122,$BA$114)</f>
        <v>398</v>
      </c>
      <c r="BB11">
        <f>IF(OR(ISBLANK($BB$114), $BB$114 = ""), 418.8999939,$BB$114)</f>
        <v>401</v>
      </c>
      <c r="BC11">
        <f>IF(OR(ISBLANK($BC$114), $BC$114 = ""), 419.6000061,$BC$114)</f>
        <v>402.6</v>
      </c>
      <c r="BD11">
        <f>IF(OR(ISBLANK($BD$114), $BD$114 = ""), 421.7000122,$BD$114)</f>
        <v>407.9</v>
      </c>
      <c r="BE11">
        <f>IF(OR(ISBLANK($BE$114), $BE$114 = ""), 421.7999878,$BE$114)</f>
        <v>410.3</v>
      </c>
      <c r="BF11">
        <f>IF(OR(ISBLANK($BF$114), $BF$114 = ""), 422,$BF$114)</f>
        <v>412.6</v>
      </c>
      <c r="BG11">
        <f>IF(OR(ISBLANK($BG$114), $BG$114 = ""), 422.2000122,$BG$114)</f>
        <v>417.1</v>
      </c>
      <c r="BH11">
        <f>IF(OR(ISBLANK($BH$114), $BH$114 = ""), 422.2999878,$BH$114)</f>
        <v>417.3</v>
      </c>
      <c r="BI11">
        <f>IF(OR(ISBLANK($BI$114), $BI$114 = ""), 422.6000061,$BI$114)</f>
        <v>417.8</v>
      </c>
      <c r="BJ11">
        <f>IF(OR(ISBLANK($BJ$114), $BJ$114 = ""), 424.5,$BJ$114)</f>
        <v>418</v>
      </c>
      <c r="BK11">
        <f>IF(OR(ISBLANK($BK$114), $BK$114 = ""), 424.6000061,$BK$114)</f>
        <v>418.3</v>
      </c>
      <c r="BL11">
        <f>IF(OR(ISBLANK($BL$114), $BL$114 = ""), 429.7000122,$BL$114)</f>
        <v>418.7</v>
      </c>
      <c r="BM11">
        <f>IF(OR(ISBLANK($BM$114), $BM$114 = ""), 430.2999878,$BM$114)</f>
        <v>418.9</v>
      </c>
      <c r="BN11">
        <f>IF(OR(ISBLANK($BN$114), $BN$114 = ""), 431,$BN$114)</f>
        <v>419.6</v>
      </c>
      <c r="BO11">
        <f>IF(OR(ISBLANK($BO$114), $BO$114 = ""), 433,$BO$114)</f>
        <v>421.7</v>
      </c>
      <c r="BP11">
        <f>IF(OR(ISBLANK($BP$114), $BP$114 = ""), 437.2999878,$BP$114)</f>
        <v>421.8</v>
      </c>
      <c r="BQ11">
        <f>IF(OR(ISBLANK($BQ$114), $BQ$114 = ""), 441.3999939,$BQ$114)</f>
        <v>422</v>
      </c>
      <c r="BR11">
        <f>IF(OR(ISBLANK($BR$114), $BR$114 = ""), 444.6000061,$BR$114)</f>
        <v>422.2</v>
      </c>
      <c r="BS11">
        <f>IF(OR(ISBLANK($BS$114), $BS$114 = ""), 445,$BS$114)</f>
        <v>422.3</v>
      </c>
      <c r="BT11">
        <f>IF(OR(ISBLANK($BT$114), $BT$114 = ""), 451.3999939,$BT$114)</f>
        <v>422.6</v>
      </c>
      <c r="BU11">
        <f>IF(OR(ISBLANK($BU$114), $BU$114 = ""), 454.6000061,$BU$114)</f>
        <v>424.5</v>
      </c>
      <c r="BV11">
        <f>IF(OR(ISBLANK($BV$114), $BV$114 = ""), 462.8999939,$BV$114)</f>
        <v>424.6</v>
      </c>
      <c r="BW11">
        <f>IF(OR(ISBLANK($BW$114), $BW$114 = ""), 524,$BW$114)</f>
        <v>429.7</v>
      </c>
      <c r="BX11">
        <f>IF(OR(ISBLANK($BX$114), $BX$114 = ""), 524,$BX$114)</f>
        <v>430.3</v>
      </c>
      <c r="BY11">
        <f>IF(OR(ISBLANK($BY$114), $BY$114 = ""), 524,$BY$114)</f>
        <v>431</v>
      </c>
      <c r="BZ11">
        <f>IF(OR(ISBLANK($BZ$114), $BZ$114 = ""), "",$BZ$114)</f>
        <v>433</v>
      </c>
      <c r="CA11">
        <f>IF(OR(ISBLANK($CA$114), $CA$114 = ""), "",$CA$114)</f>
        <v>437.3</v>
      </c>
      <c r="CB11">
        <f>IF(OR(ISBLANK($CB$114), $CB$114 = ""), "",$CB$114)</f>
        <v>441.4</v>
      </c>
      <c r="CC11">
        <f>IF(OR(ISBLANK($CC$114), $CC$114 = ""), "",$CC$114)</f>
        <v>444.6</v>
      </c>
      <c r="CD11">
        <f>IF(OR(ISBLANK($CD$114), $CD$114 = ""), "",$CD$114)</f>
        <v>445</v>
      </c>
      <c r="CE11">
        <f>IF(OR(ISBLANK($CE$114), $CE$114 = ""), "",$CE$114)</f>
        <v>451.4</v>
      </c>
      <c r="CF11">
        <f>IF(OR(ISBLANK($CF$114), $CF$114 = ""), "",$CF$114)</f>
        <v>454.6</v>
      </c>
      <c r="CG11">
        <f>IF(OR(ISBLANK($CG$114), $CG$114 = ""), "",$CG$114)</f>
        <v>462.9</v>
      </c>
    </row>
    <row r="12" spans="1:85" x14ac:dyDescent="0.25">
      <c r="A12" t="str">
        <f>"    LTRO II Outstanding % Initial Allotment"</f>
        <v xml:space="preserve">    LTRO II Outstanding % Initial Allotment</v>
      </c>
      <c r="B12" t="str">
        <f>"ECBA3YO2 Index"</f>
        <v>ECBA3YO2 Index</v>
      </c>
      <c r="C12" t="str">
        <f>""</f>
        <v/>
      </c>
      <c r="D12" t="str">
        <f>""</f>
        <v/>
      </c>
      <c r="E12" t="str">
        <f>"Expression"</f>
        <v>Expression</v>
      </c>
      <c r="F12">
        <f ca="1">IF(OR(ISBLANK(IF(ISERROR(IF(OR(ISBLANK($F$95)), "", 100*$F$95/(529.5))), "", (IF(OR(ISBLANK($F$95)), "", 100*$F$95/(529.5))))), IF(ISERROR(IF(OR(ISBLANK($F$95)), "", 100*$F$95/(529.5))), "", (IF(OR(ISBLANK($F$95)), "", 100*$F$95/(529.5)))) = ""), 54.19206629,IF(ISERROR(IF(OR(ISBLANK($F$95)), "", 100*$F$95/(529.5))), "", (IF(OR(ISBLANK($F$95)), "", 100*$F$95/(529.5)))))</f>
        <v>54.19206629</v>
      </c>
      <c r="G12">
        <f>IF(OR(ISBLANK(IF(ISERROR(IF(OR(ISBLANK($G$95)), "", 100*$G$95/(529.5))), "", (IF(OR(ISBLANK($G$95)), "", 100*$G$95/(529.5))))), IF(ISERROR(IF(OR(ISBLANK($G$95)), "", 100*$G$95/(529.5))), "", (IF(OR(ISBLANK($G$95)), "", 100*$G$95/(529.5)))) = ""), 54.19206629,IF(ISERROR(IF(OR(ISBLANK($G$95)), "", 100*$G$95/(529.5))), "", (IF(OR(ISBLANK($G$95)), "", 100*$G$95/(529.5)))))</f>
        <v>46.079320113314445</v>
      </c>
      <c r="H12">
        <f>IF(OR(ISBLANK(IF(ISERROR(IF(OR(ISBLANK($H$95)), "", 100*$H$95/(529.5))), "", (IF(OR(ISBLANK($H$95)), "", 100*$H$95/(529.5))))), IF(ISERROR(IF(OR(ISBLANK($H$95)), "", 100*$H$95/(529.5))), "", (IF(OR(ISBLANK($H$95)), "", 100*$H$95/(529.5)))) = ""), 54.57356185,IF(ISERROR(IF(OR(ISBLANK($H$95)), "", 100*$H$95/(529.5))), "", (IF(OR(ISBLANK($H$95)), "", 100*$H$95/(529.5)))))</f>
        <v>46.394900849858352</v>
      </c>
      <c r="I12">
        <f>IF(OR(ISBLANK(IF(ISERROR(IF(OR(ISBLANK($I$95)), "", 100*$I$95/(529.5))), "", (IF(OR(ISBLANK($I$95)), "", 100*$I$95/(529.5))))), IF(ISERROR(IF(OR(ISBLANK($I$95)), "", 100*$I$95/(529.5))), "", (IF(OR(ISBLANK($I$95)), "", 100*$I$95/(529.5)))) = ""), 54.76128404,IF(ISERROR(IF(OR(ISBLANK($I$95)), "", 100*$I$95/(529.5))), "", (IF(OR(ISBLANK($I$95)), "", 100*$I$95/(529.5)))))</f>
        <v>46.580925401321998</v>
      </c>
      <c r="J12">
        <f>IF(OR(ISBLANK(IF(ISERROR(IF(OR(ISBLANK($J$95)), "", 100*$J$95/(529.5))), "", (IF(OR(ISBLANK($J$95)), "", 100*$J$95/(529.5))))), IF(ISERROR(IF(OR(ISBLANK($J$95)), "", 100*$J$95/(529.5))), "", (IF(OR(ISBLANK($J$95)), "", 100*$J$95/(529.5)))) = ""), 54.80660793,IF(ISERROR(IF(OR(ISBLANK($J$95)), "", 100*$J$95/(529.5))), "", (IF(OR(ISBLANK($J$95)), "", 100*$J$95/(529.5)))))</f>
        <v>47.064589235127478</v>
      </c>
      <c r="K12">
        <f>IF(OR(ISBLANK(IF(ISERROR(IF(OR(ISBLANK($K$95)), "", 100*$K$95/(529.5))), "", (IF(OR(ISBLANK($K$95)), "", 100*$K$95/(529.5))))), IF(ISERROR(IF(OR(ISBLANK($K$95)), "", 100*$K$95/(529.5))), "", (IF(OR(ISBLANK($K$95)), "", 100*$K$95/(529.5)))) = ""), 54.96789292,IF(ISERROR(IF(OR(ISBLANK($K$95)), "", 100*$K$95/(529.5))), "", (IF(OR(ISBLANK($K$95)), "", 100*$K$95/(529.5)))))</f>
        <v>47.410198300283291</v>
      </c>
      <c r="L12">
        <f>IF(OR(ISBLANK(IF(ISERROR(IF(OR(ISBLANK($L$95)), "", 100*$L$95/(529.5))), "", (IF(OR(ISBLANK($L$95)), "", 100*$L$95/(529.5))))), IF(ISERROR(IF(OR(ISBLANK($L$95)), "", 100*$L$95/(529.5))), "", (IF(OR(ISBLANK($L$95)), "", 100*$L$95/(529.5)))) = ""), 55.32785628,IF(ISERROR(IF(OR(ISBLANK($L$95)), "", 100*$L$95/(529.5))), "", (IF(OR(ISBLANK($L$95)), "", 100*$L$95/(529.5)))))</f>
        <v>47.97865911237016</v>
      </c>
      <c r="M12">
        <f>IF(OR(ISBLANK(IF(ISERROR(IF(OR(ISBLANK($M$95)), "", 100*$M$95/(529.5))), "", (IF(OR(ISBLANK($M$95)), "", 100*$M$95/(529.5))))), IF(ISERROR(IF(OR(ISBLANK($M$95)), "", 100*$M$95/(529.5))), "", (IF(OR(ISBLANK($M$95)), "", 100*$M$95/(529.5)))) = ""), 55.41284438,IF(ISERROR(IF(OR(ISBLANK($M$95)), "", 100*$M$95/(529.5))), "", (IF(OR(ISBLANK($M$95)), "", 100*$M$95/(529.5)))))</f>
        <v>48.406987724268177</v>
      </c>
      <c r="N12">
        <f>IF(OR(ISBLANK(IF(ISERROR(IF(OR(ISBLANK($N$95)), "", 100*$N$95/(529.5))), "", (IF(OR(ISBLANK($N$95)), "", 100*$N$95/(529.5))))), IF(ISERROR(IF(OR(ISBLANK($N$95)), "", 100*$N$95/(529.5))), "", (IF(OR(ISBLANK($N$95)), "", 100*$N$95/(529.5)))) = ""), 55.44664703,IF(ISERROR(IF(OR(ISBLANK($N$95)), "", 100*$N$95/(529.5))), "", (IF(OR(ISBLANK($N$95)), "", 100*$N$95/(529.5)))))</f>
        <v>51.858168083097262</v>
      </c>
      <c r="O12">
        <f>IF(OR(ISBLANK(IF(ISERROR(IF(OR(ISBLANK($O$95)), "", 100*$O$95/(529.5))), "", (IF(OR(ISBLANK($O$95)), "", 100*$O$95/(529.5))))), IF(ISERROR(IF(OR(ISBLANK($O$95)), "", 100*$O$95/(529.5))), "", (IF(OR(ISBLANK($O$95)), "", 100*$O$95/(529.5)))) = ""), 55.77790255,IF(ISERROR(IF(OR(ISBLANK($O$95)), "", 100*$O$95/(529.5))), "", (IF(OR(ISBLANK($O$95)), "", 100*$O$95/(529.5)))))</f>
        <v>52.277431539187916</v>
      </c>
      <c r="P12">
        <f>IF(OR(ISBLANK(IF(ISERROR(IF(OR(ISBLANK($P$95)), "", 100*$P$95/(529.5))), "", (IF(OR(ISBLANK($P$95)), "", 100*$P$95/(529.5))))), IF(ISERROR(IF(OR(ISBLANK($P$95)), "", 100*$P$95/(529.5))), "", (IF(OR(ISBLANK($P$95)), "", 100*$P$95/(529.5)))) = ""), 56.69952767,IF(ISERROR(IF(OR(ISBLANK($P$95)), "", 100*$P$95/(529.5))), "", (IF(OR(ISBLANK($P$95)), "", 100*$P$95/(529.5)))))</f>
        <v>52.913881019830022</v>
      </c>
      <c r="Q12">
        <f>IF(OR(ISBLANK(IF(ISERROR(IF(OR(ISBLANK($Q$95)), "", 100*$Q$95/(529.5))), "", (IF(OR(ISBLANK($Q$95)), "", 100*$Q$95/(529.5))))), IF(ISERROR(IF(OR(ISBLANK($Q$95)), "", 100*$Q$95/(529.5))), "", (IF(OR(ISBLANK($Q$95)), "", 100*$Q$95/(529.5)))) = ""), 57.1482542,IF(ISERROR(IF(OR(ISBLANK($Q$95)), "", 100*$Q$95/(529.5))), "", (IF(OR(ISBLANK($Q$95)), "", 100*$Q$95/(529.5)))))</f>
        <v>53.754296506137869</v>
      </c>
      <c r="R12">
        <f>IF(OR(ISBLANK(IF(ISERROR(IF(OR(ISBLANK($R$95)), "", 100*$R$95/(529.5))), "", (IF(OR(ISBLANK($R$95)), "", 100*$R$95/(529.5))))), IF(ISERROR(IF(OR(ISBLANK($R$95)), "", 100*$R$95/(529.5))), "", (IF(OR(ISBLANK($R$95)), "", 100*$R$95/(529.5)))) = ""), 57.41265345,IF(ISERROR(IF(OR(ISBLANK($R$95)), "", 100*$R$95/(529.5))), "", (IF(OR(ISBLANK($R$95)), "", 100*$R$95/(529.5)))))</f>
        <v>54.192067988668555</v>
      </c>
      <c r="S12">
        <f>IF(OR(ISBLANK(IF(ISERROR(IF(OR(ISBLANK($S$95)), "", 100*$S$95/(529.5))), "", (IF(OR(ISBLANK($S$95)), "", 100*$S$95/(529.5))))), IF(ISERROR(IF(OR(ISBLANK($S$95)), "", 100*$S$95/(529.5))), "", (IF(OR(ISBLANK($S$95)), "", 100*$S$95/(529.5)))) = ""), 59.7733711,IF(ISERROR(IF(OR(ISBLANK($S$95)), "", 100*$S$95/(529.5))), "", (IF(OR(ISBLANK($S$95)), "", 100*$S$95/(529.5)))))</f>
        <v>54.573559962228515</v>
      </c>
      <c r="T12">
        <f>IF(OR(ISBLANK(IF(ISERROR(IF(OR(ISBLANK($T$95)), "", 100*$T$95/(529.5))), "", (IF(OR(ISBLANK($T$95)), "", 100*$T$95/(529.5))))), IF(ISERROR(IF(OR(ISBLANK($T$95)), "", 100*$T$95/(529.5))), "", (IF(OR(ISBLANK($T$95)), "", 100*$T$95/(529.5)))) = ""), 60.71765817,IF(ISERROR(IF(OR(ISBLANK($T$95)), "", 100*$T$95/(529.5))), "", (IF(OR(ISBLANK($T$95)), "", 100*$T$95/(529.5)))))</f>
        <v>54.761284230406048</v>
      </c>
      <c r="U12">
        <f>IF(OR(ISBLANK(IF(ISERROR(IF(OR(ISBLANK($U$95)), "", 100*$U$95/(529.5))), "", (IF(OR(ISBLANK($U$95)), "", 100*$U$95/(529.5))))), IF(ISERROR(IF(OR(ISBLANK($U$95)), "", 100*$U$95/(529.5))), "", (IF(OR(ISBLANK($U$95)), "", 100*$U$95/(529.5)))) = ""), 62.28517243,IF(ISERROR(IF(OR(ISBLANK($U$95)), "", 100*$U$95/(529.5))), "", (IF(OR(ISBLANK($U$95)), "", 100*$U$95/(529.5)))))</f>
        <v>54.806610009442878</v>
      </c>
      <c r="V12">
        <f>IF(OR(ISBLANK(IF(ISERROR(IF(OR(ISBLANK($V$95)), "", 100*$V$95/(529.5))), "", (IF(OR(ISBLANK($V$95)), "", 100*$V$95/(529.5))))), IF(ISERROR(IF(OR(ISBLANK($V$95)), "", 100*$V$95/(529.5))), "", (IF(OR(ISBLANK($V$95)), "", 100*$V$95/(529.5)))) = ""), 62.75731596,IF(ISERROR(IF(OR(ISBLANK($V$95)), "", 100*$V$95/(529.5))), "", (IF(OR(ISBLANK($V$95)), "", 100*$V$95/(529.5)))))</f>
        <v>54.967894239848917</v>
      </c>
      <c r="W12">
        <f>IF(OR(ISBLANK(IF(ISERROR(IF(OR(ISBLANK($W$95)), "", 100*$W$95/(529.5))), "", (IF(OR(ISBLANK($W$95)), "", 100*$W$95/(529.5))))), IF(ISERROR(IF(OR(ISBLANK($W$95)), "", 100*$W$95/(529.5))), "", (IF(OR(ISBLANK($W$95)), "", 100*$W$95/(529.5)))) = ""), 62.83286346,IF(ISERROR(IF(OR(ISBLANK($W$95)), "", 100*$W$95/(529.5))), "", (IF(OR(ISBLANK($W$95)), "", 100*$W$95/(529.5)))))</f>
        <v>55.327856468366384</v>
      </c>
      <c r="X12">
        <f>IF(OR(ISBLANK(IF(ISERROR(IF(OR(ISBLANK($X$95)), "", 100*$X$95/(529.5))), "", (IF(OR(ISBLANK($X$95)), "", 100*$X$95/(529.5))))), IF(ISERROR(IF(OR(ISBLANK($X$95)), "", 100*$X$95/(529.5))), "", (IF(OR(ISBLANK($X$95)), "", 100*$X$95/(529.5)))) = ""), 62.87063154,IF(ISERROR(IF(OR(ISBLANK($X$95)), "", 100*$X$95/(529.5))), "", (IF(OR(ISBLANK($X$95)), "", 100*$X$95/(529.5)))))</f>
        <v>55.412842304060433</v>
      </c>
      <c r="Y12">
        <f>IF(OR(ISBLANK(IF(ISERROR(IF(OR(ISBLANK($Y$95)), "", 100*$Y$95/(529.5))), "", (IF(OR(ISBLANK($Y$95)), "", 100*$Y$95/(529.5))))), IF(ISERROR(IF(OR(ISBLANK($Y$95)), "", 100*$Y$95/(529.5))), "", (IF(OR(ISBLANK($Y$95)), "", 100*$Y$95/(529.5)))) = ""), 63.0972627,IF(ISERROR(IF(OR(ISBLANK($Y$95)), "", 100*$Y$95/(529.5))), "", (IF(OR(ISBLANK($Y$95)), "", 100*$Y$95/(529.5)))))</f>
        <v>55.446647780925396</v>
      </c>
      <c r="Z12">
        <f>IF(OR(ISBLANK(IF(ISERROR(IF(OR(ISBLANK($Z$95)), "", 100*$Z$95/(529.5))), "", (IF(OR(ISBLANK($Z$95)), "", 100*$Z$95/(529.5))))), IF(ISERROR(IF(OR(ISBLANK($Z$95)), "", 100*$Z$95/(529.5))), "", (IF(OR(ISBLANK($Z$95)), "", 100*$Z$95/(529.5)))) = ""), 63.15391766,IF(ISERROR(IF(OR(ISBLANK($Z$95)), "", 100*$Z$95/(529.5))), "", (IF(OR(ISBLANK($Z$95)), "", 100*$Z$95/(529.5)))))</f>
        <v>55.77790368271954</v>
      </c>
      <c r="AA12">
        <f>IF(OR(ISBLANK(IF(ISERROR(IF(OR(ISBLANK($AA$95)), "", 100*$AA$95/(529.5))), "", (IF(OR(ISBLANK($AA$95)), "", 100*$AA$95/(529.5))))), IF(ISERROR(IF(OR(ISBLANK($AA$95)), "", 100*$AA$95/(529.5))), "", (IF(OR(ISBLANK($AA$95)), "", 100*$AA$95/(529.5)))) = ""), 63.19169141,IF(ISERROR(IF(OR(ISBLANK($AA$95)), "", 100*$AA$95/(529.5))), "", (IF(OR(ISBLANK($AA$95)), "", 100*$AA$95/(529.5)))))</f>
        <v>56.699527856468364</v>
      </c>
      <c r="AB12">
        <f>IF(OR(ISBLANK(IF(ISERROR(IF(OR(ISBLANK($AB$95)), "", 100*$AB$95/(529.5))), "", (IF(OR(ISBLANK($AB$95)), "", 100*$AB$95/(529.5))))), IF(ISERROR(IF(OR(ISBLANK($AB$95)), "", 100*$AB$95/(529.5))), "", (IF(OR(ISBLANK($AB$95)), "", 100*$AB$95/(529.5)))) = ""), 63.24834636,IF(ISERROR(IF(OR(ISBLANK($AB$95)), "", 100*$AB$95/(529.5))), "", (IF(OR(ISBLANK($AB$95)), "", 100*$AB$95/(529.5)))))</f>
        <v>57.148253068932959</v>
      </c>
      <c r="AC12">
        <f>IF(OR(ISBLANK(IF(ISERROR(IF(OR(ISBLANK($AC$95)), "", 100*$AC$95/(529.5))), "", (IF(OR(ISBLANK($AC$95)), "", 100*$AC$95/(529.5))))), IF(ISERROR(IF(OR(ISBLANK($AC$95)), "", 100*$AC$95/(529.5))), "", (IF(OR(ISBLANK($AC$95)), "", 100*$AC$95/(529.5)))) = ""), 63.55051936,IF(ISERROR(IF(OR(ISBLANK($AC$95)), "", 100*$AC$95/(529.5))), "", (IF(OR(ISBLANK($AC$95)), "", 100*$AC$95/(529.5)))))</f>
        <v>57.412653446647781</v>
      </c>
      <c r="AD12">
        <f>IF(OR(ISBLANK(IF(ISERROR(IF(OR(ISBLANK($AD$95)), "", 100*$AD$95/(529.5))), "", (IF(OR(ISBLANK($AD$95)), "", 100*$AD$95/(529.5))))), IF(ISERROR(IF(OR(ISBLANK($AD$95)), "", 100*$AD$95/(529.5))), "", (IF(OR(ISBLANK($AD$95)), "", 100*$AD$95/(529.5)))) = ""), "",IF(ISERROR(IF(OR(ISBLANK($AD$95)), "", 100*$AD$95/(529.5))), "", (IF(OR(ISBLANK($AD$95)), "", 100*$AD$95/(529.5)))))</f>
        <v>59.773371104815865</v>
      </c>
      <c r="AE12">
        <f>IF(OR(ISBLANK(IF(ISERROR(IF(OR(ISBLANK($AE$95)), "", 100*$AE$95/(529.5))), "", (IF(OR(ISBLANK($AE$95)), "", 100*$AE$95/(529.5))))), IF(ISERROR(IF(OR(ISBLANK($AE$95)), "", 100*$AE$95/(529.5))), "", (IF(OR(ISBLANK($AE$95)), "", 100*$AE$95/(529.5)))) = ""), "",IF(ISERROR(IF(OR(ISBLANK($AE$95)), "", 100*$AE$95/(529.5))), "", (IF(OR(ISBLANK($AE$95)), "", 100*$AE$95/(529.5)))))</f>
        <v>60.717658168083098</v>
      </c>
      <c r="AF12">
        <f>IF(OR(ISBLANK(IF(ISERROR(IF(OR(ISBLANK($AF$95)), "", 100*$AF$95/(529.5))), "", (IF(OR(ISBLANK($AF$95)), "", 100*$AF$95/(529.5))))), IF(ISERROR(IF(OR(ISBLANK($AF$95)), "", 100*$AF$95/(529.5))), "", (IF(OR(ISBLANK($AF$95)), "", 100*$AF$95/(529.5)))) = ""), 66.70444042,IF(ISERROR(IF(OR(ISBLANK($AF$95)), "", 100*$AF$95/(529.5))), "", (IF(OR(ISBLANK($AF$95)), "", 100*$AF$95/(529.5)))))</f>
        <v>62.285174693106704</v>
      </c>
      <c r="AG12">
        <f>IF(OR(ISBLANK(IF(ISERROR(IF(OR(ISBLANK($AG$95)), "", 100*$AG$95/(529.5))), "", (IF(OR(ISBLANK($AG$95)), "", 100*$AG$95/(529.5))))), IF(ISERROR(IF(OR(ISBLANK($AG$95)), "", 100*$AG$95/(529.5))), "", (IF(OR(ISBLANK($AG$95)), "", 100*$AG$95/(529.5)))) = ""), 70.34938621,IF(ISERROR(IF(OR(ISBLANK($AG$95)), "", 100*$AG$95/(529.5))), "", (IF(OR(ISBLANK($AG$95)), "", 100*$AG$95/(529.5)))))</f>
        <v>62.757318224740324</v>
      </c>
      <c r="AH12">
        <f>IF(OR(ISBLANK(IF(ISERROR(IF(OR(ISBLANK($AH$95)), "", 100*$AH$95/(529.5))), "", (IF(OR(ISBLANK($AH$95)), "", 100*$AH$95/(529.5))))), IF(ISERROR(IF(OR(ISBLANK($AH$95)), "", 100*$AH$95/(529.5))), "", (IF(OR(ISBLANK($AH$95)), "", 100*$AH$95/(529.5)))) = ""), 71.08592899,IF(ISERROR(IF(OR(ISBLANK($AH$95)), "", 100*$AH$95/(529.5))), "", (IF(OR(ISBLANK($AH$95)), "", 100*$AH$95/(529.5)))))</f>
        <v>62.832861189801697</v>
      </c>
      <c r="AI12">
        <f>IF(OR(ISBLANK(IF(ISERROR(IF(OR(ISBLANK($AI$95)), "", 100*$AI$95/(529.5))), "", (IF(OR(ISBLANK($AI$95)), "", 100*$AI$95/(529.5))))), IF(ISERROR(IF(OR(ISBLANK($AI$95)), "", 100*$AI$95/(529.5))), "", (IF(OR(ISBLANK($AI$95)), "", 100*$AI$95/(529.5)))) = ""), 71.50141756,IF(ISERROR(IF(OR(ISBLANK($AI$95)), "", 100*$AI$95/(529.5))), "", (IF(OR(ISBLANK($AI$95)), "", 100*$AI$95/(529.5)))))</f>
        <v>62.870632672332391</v>
      </c>
      <c r="AJ12">
        <f>IF(OR(ISBLANK(IF(ISERROR(IF(OR(ISBLANK($AJ$95)), "", 100*$AJ$95/(529.5))), "", (IF(OR(ISBLANK($AJ$95)), "", 100*$AJ$95/(529.5))))), IF(ISERROR(IF(OR(ISBLANK($AJ$95)), "", 100*$AJ$95/(529.5))), "", (IF(OR(ISBLANK($AJ$95)), "", 100*$AJ$95/(529.5)))) = ""), 72.44570463,IF(ISERROR(IF(OR(ISBLANK($AJ$95)), "", 100*$AJ$95/(529.5))), "", (IF(OR(ISBLANK($AJ$95)), "", 100*$AJ$95/(529.5)))))</f>
        <v>63.097261567516526</v>
      </c>
      <c r="AK12">
        <f>IF(OR(ISBLANK(IF(ISERROR(IF(OR(ISBLANK($AK$95)), "", 100*$AK$95/(529.5))), "", (IF(OR(ISBLANK($AK$95)), "", 100*$AK$95/(529.5))))), IF(ISERROR(IF(OR(ISBLANK($AK$95)), "", 100*$AK$95/(529.5))), "", (IF(OR(ISBLANK($AK$95)), "", 100*$AK$95/(529.5)))) = ""), 72.54013333,IF(ISERROR(IF(OR(ISBLANK($AK$95)), "", 100*$AK$95/(529.5))), "", (IF(OR(ISBLANK($AK$95)), "", 100*$AK$95/(529.5)))))</f>
        <v>63.153918791312556</v>
      </c>
      <c r="AL12">
        <f>IF(OR(ISBLANK(IF(ISERROR(IF(OR(ISBLANK($AL$95)), "", 100*$AL$95/(529.5))), "", (IF(OR(ISBLANK($AL$95)), "", 100*$AL$95/(529.5))))), IF(ISERROR(IF(OR(ISBLANK($AL$95)), "", 100*$AL$95/(529.5))), "", (IF(OR(ISBLANK($AL$95)), "", 100*$AL$95/(529.5)))) = ""), 73.06893182,IF(ISERROR(IF(OR(ISBLANK($AL$95)), "", 100*$AL$95/(529.5))), "", (IF(OR(ISBLANK($AL$95)), "", 100*$AL$95/(529.5)))))</f>
        <v>63.19169027384325</v>
      </c>
      <c r="AM12">
        <f>IF(OR(ISBLANK(IF(ISERROR(IF(OR(ISBLANK($AM$95)), "", 100*$AM$95/(529.5))), "", (IF(OR(ISBLANK($AM$95)), "", 100*$AM$95/(529.5))))), IF(ISERROR(IF(OR(ISBLANK($AM$95)), "", 100*$AM$95/(529.5))), "", (IF(OR(ISBLANK($AM$95)), "", 100*$AM$95/(529.5)))) = ""), 74.08876072,IF(ISERROR(IF(OR(ISBLANK($AM$95)), "", 100*$AM$95/(529.5))), "", (IF(OR(ISBLANK($AM$95)), "", 100*$AM$95/(529.5)))))</f>
        <v>63.24834749763928</v>
      </c>
      <c r="AN12">
        <f>IF(OR(ISBLANK(IF(ISERROR(IF(OR(ISBLANK($AN$95)), "", 100*$AN$95/(529.5))), "", (IF(OR(ISBLANK($AN$95)), "", 100*$AN$95/(529.5))))), IF(ISERROR(IF(OR(ISBLANK($AN$95)), "", 100*$AN$95/(529.5))), "", (IF(OR(ISBLANK($AN$95)), "", 100*$AN$95/(529.5)))) = ""), 74.14542134,IF(ISERROR(IF(OR(ISBLANK($AN$95)), "", 100*$AN$95/(529.5))), "", (IF(OR(ISBLANK($AN$95)), "", 100*$AN$95/(529.5)))))</f>
        <v>63.550519357884795</v>
      </c>
      <c r="AO12">
        <f>IF(OR(ISBLANK(IF(ISERROR(IF(OR(ISBLANK($AO$95)), "", 100*$AO$95/(529.5))), "", (IF(OR(ISBLANK($AO$95)), "", 100*$AO$95/(529.5))))), IF(ISERROR(IF(OR(ISBLANK($AO$95)), "", 100*$AO$95/(529.5))), "", (IF(OR(ISBLANK($AO$95)), "", 100*$AO$95/(529.5)))) = ""), 75.10859528,IF(ISERROR(IF(OR(ISBLANK($AO$95)), "", 100*$AO$95/(529.5))), "", (IF(OR(ISBLANK($AO$95)), "", 100*$AO$95/(529.5)))))</f>
        <v>75.108595280000003</v>
      </c>
      <c r="AP12">
        <f>IF(OR(ISBLANK(IF(ISERROR(IF(OR(ISBLANK($AP$95)), "", 100*$AP$95/(529.5))), "", (IF(OR(ISBLANK($AP$95)), "", 100*$AP$95/(529.5))))), IF(ISERROR(IF(OR(ISBLANK($AP$95)), "", 100*$AP$95/(529.5))), "", (IF(OR(ISBLANK($AP$95)), "", 100*$AP$95/(529.5)))) = ""), 75.16525024,IF(ISERROR(IF(OR(ISBLANK($AP$95)), "", 100*$AP$95/(529.5))), "", (IF(OR(ISBLANK($AP$95)), "", 100*$AP$95/(529.5)))))</f>
        <v>75.165250240000006</v>
      </c>
      <c r="AQ12">
        <f>IF(OR(ISBLANK(IF(ISERROR(IF(OR(ISBLANK($AQ$95)), "", 100*$AQ$95/(529.5))), "", (IF(OR(ISBLANK($AQ$95)), "", 100*$AQ$95/(529.5))))), IF(ISERROR(IF(OR(ISBLANK($AQ$95)), "", 100*$AQ$95/(529.5))), "", (IF(OR(ISBLANK($AQ$95)), "", 100*$AQ$95/(529.5)))) = ""), 75.73182247,IF(ISERROR(IF(OR(ISBLANK($AQ$95)), "", 100*$AQ$95/(529.5))), "", (IF(OR(ISBLANK($AQ$95)), "", 100*$AQ$95/(529.5)))))</f>
        <v>66.704438149197358</v>
      </c>
      <c r="AR12">
        <f>IF(OR(ISBLANK(IF(ISERROR(IF(OR(ISBLANK($AR$95)), "", 100*$AR$95/(529.5))), "", (IF(OR(ISBLANK($AR$95)), "", 100*$AR$95/(529.5))))), IF(ISERROR(IF(OR(ISBLANK($AR$95)), "", 100*$AR$95/(529.5))), "", (IF(OR(ISBLANK($AR$95)), "", 100*$AR$95/(529.5)))) = ""), 76.03399547,IF(ISERROR(IF(OR(ISBLANK($AR$95)), "", 100*$AR$95/(529.5))), "", (IF(OR(ISBLANK($AR$95)), "", 100*$AR$95/(529.5)))))</f>
        <v>70.349386213408877</v>
      </c>
      <c r="AS12">
        <f>IF(OR(ISBLANK(IF(ISERROR(IF(OR(ISBLANK($AS$95)), "", 100*$AS$95/(529.5))), "", (IF(OR(ISBLANK($AS$95)), "", 100*$AS$95/(529.5))))), IF(ISERROR(IF(OR(ISBLANK($AS$95)), "", 100*$AS$95/(529.5))), "", (IF(OR(ISBLANK($AS$95)), "", 100*$AS$95/(529.5)))) = ""), 77.03493749,IF(ISERROR(IF(OR(ISBLANK($AS$95)), "", 100*$AS$95/(529.5))), "", (IF(OR(ISBLANK($AS$95)), "", 100*$AS$95/(529.5)))))</f>
        <v>71.085930122757318</v>
      </c>
      <c r="AT12">
        <f>IF(OR(ISBLANK(IF(ISERROR(IF(OR(ISBLANK($AT$95)), "", 100*$AT$95/(529.5))), "", (IF(OR(ISBLANK($AT$95)), "", 100*$AT$95/(529.5))))), IF(ISERROR(IF(OR(ISBLANK($AT$95)), "", 100*$AT$95/(529.5))), "", (IF(OR(ISBLANK($AT$95)), "", 100*$AT$95/(529.5)))) = ""), 77.48819415,IF(ISERROR(IF(OR(ISBLANK($AT$95)), "", 100*$AT$95/(529.5))), "", (IF(OR(ISBLANK($AT$95)), "", 100*$AT$95/(529.5)))))</f>
        <v>71.501416430594901</v>
      </c>
      <c r="AU12">
        <f>IF(OR(ISBLANK(IF(ISERROR(IF(OR(ISBLANK($AU$95)), "", 100*$AU$95/(529.5))), "", (IF(OR(ISBLANK($AU$95)), "", 100*$AU$95/(529.5))))), IF(ISERROR(IF(OR(ISBLANK($AU$95)), "", 100*$AU$95/(529.5))), "", (IF(OR(ISBLANK($AU$95)), "", 100*$AU$95/(529.5)))) = ""), 77.92256959,IF(ISERROR(IF(OR(ISBLANK($AU$95)), "", 100*$AU$95/(529.5))), "", (IF(OR(ISBLANK($AU$95)), "", 100*$AU$95/(529.5)))))</f>
        <v>72.44570349386214</v>
      </c>
      <c r="AV12">
        <f>IF(OR(ISBLANK(IF(ISERROR(IF(OR(ISBLANK($AV$95)), "", 100*$AV$95/(529.5))), "", (IF(OR(ISBLANK($AV$95)), "", 100*$AV$95/(529.5))))), IF(ISERROR(IF(OR(ISBLANK($AV$95)), "", 100*$AV$95/(529.5))), "", (IF(OR(ISBLANK($AV$95)), "", 100*$AV$95/(529.5)))) = ""), 78.77242795,IF(ISERROR(IF(OR(ISBLANK($AV$95)), "", 100*$AV$95/(529.5))), "", (IF(OR(ISBLANK($AV$95)), "", 100*$AV$95/(529.5)))))</f>
        <v>72.540132200188864</v>
      </c>
      <c r="AW12">
        <f>IF(OR(ISBLANK(IF(ISERROR(IF(OR(ISBLANK($AW$95)), "", 100*$AW$95/(529.5))), "", (IF(OR(ISBLANK($AW$95)), "", 100*$AW$95/(529.5))))), IF(ISERROR(IF(OR(ISBLANK($AW$95)), "", 100*$AW$95/(529.5))), "", (IF(OR(ISBLANK($AW$95)), "", 100*$AW$95/(529.5)))) = ""), 78.81019603,IF(ISERROR(IF(OR(ISBLANK($AW$95)), "", 100*$AW$95/(529.5))), "", (IF(OR(ISBLANK($AW$95)), "", 100*$AW$95/(529.5)))))</f>
        <v>73.068932955618507</v>
      </c>
      <c r="AX12">
        <f>IF(OR(ISBLANK(IF(ISERROR(IF(OR(ISBLANK($AX$95)), "", 100*$AX$95/(529.5))), "", (IF(OR(ISBLANK($AX$95)), "", 100*$AX$95/(529.5))))), IF(ISERROR(IF(OR(ISBLANK($AX$95)), "", 100*$AX$95/(529.5))), "", (IF(OR(ISBLANK($AX$95)), "", 100*$AX$95/(529.5)))) = ""), 78.90462474,IF(ISERROR(IF(OR(ISBLANK($AX$95)), "", 100*$AX$95/(529.5))), "", (IF(OR(ISBLANK($AX$95)), "", 100*$AX$95/(529.5)))))</f>
        <v>74.08876298394712</v>
      </c>
      <c r="AY12">
        <f>IF(OR(ISBLANK(IF(ISERROR(IF(OR(ISBLANK($AY$95)), "", 100*$AY$95/(529.5))), "", (IF(OR(ISBLANK($AY$95)), "", 100*$AY$95/(529.5))))), IF(ISERROR(IF(OR(ISBLANK($AY$95)), "", 100*$AY$95/(529.5))), "", (IF(OR(ISBLANK($AY$95)), "", 100*$AY$95/(529.5)))) = ""), 78.94239849,IF(ISERROR(IF(OR(ISBLANK($AY$95)), "", 100*$AY$95/(529.5))), "", (IF(OR(ISBLANK($AY$95)), "", 100*$AY$95/(529.5)))))</f>
        <v>74.145420207743157</v>
      </c>
      <c r="AZ12">
        <f>IF(OR(ISBLANK(IF(ISERROR(IF(OR(ISBLANK($AZ$95)), "", 100*$AZ$95/(529.5))), "", (IF(OR(ISBLANK($AZ$95)), "", 100*$AZ$95/(529.5))))), IF(ISERROR(IF(OR(ISBLANK($AZ$95)), "", 100*$AZ$95/(529.5))), "", (IF(OR(ISBLANK($AZ$95)), "", 100*$AZ$95/(529.5)))) = ""), 78.99905345,IF(ISERROR(IF(OR(ISBLANK($AZ$95)), "", 100*$AZ$95/(529.5))), "", (IF(OR(ISBLANK($AZ$95)), "", 100*$AZ$95/(529.5)))))</f>
        <v>75.108593012275733</v>
      </c>
      <c r="BA12">
        <f>IF(OR(ISBLANK(IF(ISERROR(IF(OR(ISBLANK($BA$95)), "", 100*$BA$95/(529.5))), "", (IF(OR(ISBLANK($BA$95)), "", 100*$BA$95/(529.5))))), IF(ISERROR(IF(OR(ISBLANK($BA$95)), "", 100*$BA$95/(529.5))), "", (IF(OR(ISBLANK($BA$95)), "", 100*$BA$95/(529.5)))) = ""), 79.07460094,IF(ISERROR(IF(OR(ISBLANK($BA$95)), "", 100*$BA$95/(529.5))), "", (IF(OR(ISBLANK($BA$95)), "", 100*$BA$95/(529.5)))))</f>
        <v>75.16525023607177</v>
      </c>
      <c r="BB12">
        <f>IF(OR(ISBLANK(IF(ISERROR(IF(OR(ISBLANK($BB$95)), "", 100*$BB$95/(529.5))), "", (IF(OR(ISBLANK($BB$95)), "", 100*$BB$95/(529.5))))), IF(ISERROR(IF(OR(ISBLANK($BB$95)), "", 100*$BB$95/(529.5))), "", (IF(OR(ISBLANK($BB$95)), "", 100*$BB$95/(529.5)))) = ""), 79.11236903,IF(ISERROR(IF(OR(ISBLANK($BB$95)), "", 100*$BB$95/(529.5))), "", (IF(OR(ISBLANK($BB$95)), "", 100*$BB$95/(529.5)))))</f>
        <v>75.7318224740321</v>
      </c>
      <c r="BC12">
        <f>IF(OR(ISBLANK(IF(ISERROR(IF(OR(ISBLANK($BC$95)), "", 100*$BC$95/(529.5))), "", (IF(OR(ISBLANK($BC$95)), "", 100*$BC$95/(529.5))))), IF(ISERROR(IF(OR(ISBLANK($BC$95)), "", 100*$BC$95/(529.5))), "", (IF(OR(ISBLANK($BC$95)), "", 100*$BC$95/(529.5)))) = ""), 79.24457148,IF(ISERROR(IF(OR(ISBLANK($BC$95)), "", 100*$BC$95/(529.5))), "", (IF(OR(ISBLANK($BC$95)), "", 100*$BC$95/(529.5)))))</f>
        <v>76.033994334277622</v>
      </c>
      <c r="BD12">
        <f>IF(OR(ISBLANK(IF(ISERROR(IF(OR(ISBLANK($BD$95)), "", 100*$BD$95/(529.5))), "", (IF(OR(ISBLANK($BD$95)), "", 100*$BD$95/(529.5))))), IF(ISERROR(IF(OR(ISBLANK($BD$95)), "", 100*$BD$95/(529.5))), "", (IF(OR(ISBLANK($BD$95)), "", 100*$BD$95/(529.5)))) = ""), 79.64117318,IF(ISERROR(IF(OR(ISBLANK($BD$95)), "", 100*$BD$95/(529.5))), "", (IF(OR(ISBLANK($BD$95)), "", 100*$BD$95/(529.5)))))</f>
        <v>77.034938621340885</v>
      </c>
      <c r="BE12">
        <f>IF(OR(ISBLANK(IF(ISERROR(IF(OR(ISBLANK($BE$95)), "", 100*$BE$95/(529.5))), "", (IF(OR(ISBLANK($BE$95)), "", 100*$BE$95/(529.5))))), IF(ISERROR(IF(OR(ISBLANK($BE$95)), "", 100*$BE$95/(529.5))), "", (IF(OR(ISBLANK($BE$95)), "", 100*$BE$95/(529.5)))) = ""), 79.66005439,IF(ISERROR(IF(OR(ISBLANK($BE$95)), "", 100*$BE$95/(529.5))), "", (IF(OR(ISBLANK($BE$95)), "", 100*$BE$95/(529.5)))))</f>
        <v>77.488196411709154</v>
      </c>
      <c r="BF12">
        <f>IF(OR(ISBLANK(IF(ISERROR(IF(OR(ISBLANK($BF$95)), "", 100*$BF$95/(529.5))), "", (IF(OR(ISBLANK($BF$95)), "", 100*$BF$95/(529.5))))), IF(ISERROR(IF(OR(ISBLANK($BF$95)), "", 100*$BF$95/(529.5))), "", (IF(OR(ISBLANK($BF$95)), "", 100*$BF$95/(529.5)))) = ""), 79.69782814,IF(ISERROR(IF(OR(ISBLANK($BF$95)), "", 100*$BF$95/(529.5))), "", (IF(OR(ISBLANK($BF$95)), "", 100*$BF$95/(529.5)))))</f>
        <v>77.922568460812087</v>
      </c>
      <c r="BG12">
        <f>IF(OR(ISBLANK(IF(ISERROR(IF(OR(ISBLANK($BG$95)), "", 100*$BG$95/(529.5))), "", (IF(OR(ISBLANK($BG$95)), "", 100*$BG$95/(529.5))))), IF(ISERROR(IF(OR(ISBLANK($BG$95)), "", 100*$BG$95/(529.5))), "", (IF(OR(ISBLANK($BG$95)), "", 100*$BG$95/(529.5)))) = ""), 79.73560189,IF(ISERROR(IF(OR(ISBLANK($BG$95)), "", 100*$BG$95/(529.5))), "", (IF(OR(ISBLANK($BG$95)), "", 100*$BG$95/(529.5)))))</f>
        <v>78.772426817752603</v>
      </c>
      <c r="BH12">
        <f>IF(OR(ISBLANK(IF(ISERROR(IF(OR(ISBLANK($BH$95)), "", 100*$BH$95/(529.5))), "", (IF(OR(ISBLANK($BH$95)), "", 100*$BH$95/(529.5))))), IF(ISERROR(IF(OR(ISBLANK($BH$95)), "", 100*$BH$95/(529.5))), "", (IF(OR(ISBLANK($BH$95)), "", 100*$BH$95/(529.5)))) = ""), 79.7544831,IF(ISERROR(IF(OR(ISBLANK($BH$95)), "", 100*$BH$95/(529.5))), "", (IF(OR(ISBLANK($BH$95)), "", 100*$BH$95/(529.5)))))</f>
        <v>78.81019830028329</v>
      </c>
      <c r="BI12">
        <f>IF(OR(ISBLANK(IF(ISERROR(IF(OR(ISBLANK($BI$95)), "", 100*$BI$95/(529.5))), "", (IF(OR(ISBLANK($BI$95)), "", 100*$BI$95/(529.5))))), IF(ISERROR(IF(OR(ISBLANK($BI$95)), "", 100*$BI$95/(529.5))), "", (IF(OR(ISBLANK($BI$95)), "", 100*$BI$95/(529.5)))) = ""), 79.81114372,IF(ISERROR(IF(OR(ISBLANK($BI$95)), "", 100*$BI$95/(529.5))), "", (IF(OR(ISBLANK($BI$95)), "", 100*$BI$95/(529.5)))))</f>
        <v>78.904627006610013</v>
      </c>
      <c r="BJ12">
        <f>IF(OR(ISBLANK(IF(ISERROR(IF(OR(ISBLANK($BJ$95)), "", 100*$BJ$95/(529.5))), "", (IF(OR(ISBLANK($BJ$95)), "", 100*$BJ$95/(529.5))))), IF(ISERROR(IF(OR(ISBLANK($BJ$95)), "", 100*$BJ$95/(529.5))), "", (IF(OR(ISBLANK($BJ$95)), "", 100*$BJ$95/(529.5)))) = ""), 80.16997167,IF(ISERROR(IF(OR(ISBLANK($BJ$95)), "", 100*$BJ$95/(529.5))), "", (IF(OR(ISBLANK($BJ$95)), "", 100*$BJ$95/(529.5)))))</f>
        <v>78.9423984891407</v>
      </c>
      <c r="BK12">
        <f>IF(OR(ISBLANK(IF(ISERROR(IF(OR(ISBLANK($BK$95)), "", 100*$BK$95/(529.5))), "", (IF(OR(ISBLANK($BK$95)), "", 100*$BK$95/(529.5))))), IF(ISERROR(IF(OR(ISBLANK($BK$95)), "", 100*$BK$95/(529.5))), "", (IF(OR(ISBLANK($BK$95)), "", 100*$BK$95/(529.5)))) = ""), 80.18885855,IF(ISERROR(IF(OR(ISBLANK($BK$95)), "", 100*$BK$95/(529.5))), "", (IF(OR(ISBLANK($BK$95)), "", 100*$BK$95/(529.5)))))</f>
        <v>78.999055712936737</v>
      </c>
      <c r="BL12">
        <f>IF(OR(ISBLANK(IF(ISERROR(IF(OR(ISBLANK($BL$95)), "", 100*$BL$95/(529.5))), "", (IF(OR(ISBLANK($BL$95)), "", 100*$BL$95/(529.5))))), IF(ISERROR(IF(OR(ISBLANK($BL$95)), "", 100*$BL$95/(529.5))), "", (IF(OR(ISBLANK($BL$95)), "", 100*$BL$95/(529.5)))) = ""), 81.15203248,IF(ISERROR(IF(OR(ISBLANK($BL$95)), "", 100*$BL$95/(529.5))), "", (IF(OR(ISBLANK($BL$95)), "", 100*$BL$95/(529.5)))))</f>
        <v>79.074598677998111</v>
      </c>
      <c r="BM12">
        <f>IF(OR(ISBLANK(IF(ISERROR(IF(OR(ISBLANK($BM$95)), "", 100*$BM$95/(529.5))), "", (IF(OR(ISBLANK($BM$95)), "", 100*$BM$95/(529.5))))), IF(ISERROR(IF(OR(ISBLANK($BM$95)), "", 100*$BM$95/(529.5))), "", (IF(OR(ISBLANK($BM$95)), "", 100*$BM$95/(529.5)))) = ""), 81.2653424,IF(ISERROR(IF(OR(ISBLANK($BM$95)), "", 100*$BM$95/(529.5))), "", (IF(OR(ISBLANK($BM$95)), "", 100*$BM$95/(529.5)))))</f>
        <v>79.112370160528798</v>
      </c>
      <c r="BN12">
        <f>IF(OR(ISBLANK(IF(ISERROR(IF(OR(ISBLANK($BN$95)), "", 100*$BN$95/(529.5))), "", (IF(OR(ISBLANK($BN$95)), "", 100*$BN$95/(529.5))))), IF(ISERROR(IF(OR(ISBLANK($BN$95)), "", 100*$BN$95/(529.5))), "", (IF(OR(ISBLANK($BN$95)), "", 100*$BN$95/(529.5)))) = ""), 81.39754485,IF(ISERROR(IF(OR(ISBLANK($BN$95)), "", 100*$BN$95/(529.5))), "", (IF(OR(ISBLANK($BN$95)), "", 100*$BN$95/(529.5)))))</f>
        <v>79.244570349386208</v>
      </c>
      <c r="BO12">
        <f>IF(OR(ISBLANK(IF(ISERROR(IF(OR(ISBLANK($BO$95)), "", 100*$BO$95/(529.5))), "", (IF(OR(ISBLANK($BO$95)), "", 100*$BO$95/(529.5))))), IF(ISERROR(IF(OR(ISBLANK($BO$95)), "", 100*$BO$95/(529.5))), "", (IF(OR(ISBLANK($BO$95)), "", 100*$BO$95/(529.5)))) = ""), 81.77525968,IF(ISERROR(IF(OR(ISBLANK($BO$95)), "", 100*$BO$95/(529.5))), "", (IF(OR(ISBLANK($BO$95)), "", 100*$BO$95/(529.5)))))</f>
        <v>79.641170915958455</v>
      </c>
      <c r="BP12">
        <f>IF(OR(ISBLANK(IF(ISERROR(IF(OR(ISBLANK($BP$95)), "", 100*$BP$95/(529.5))), "", (IF(OR(ISBLANK($BP$95)), "", 100*$BP$95/(529.5))))), IF(ISERROR(IF(OR(ISBLANK($BP$95)), "", 100*$BP$95/(529.5))), "", (IF(OR(ISBLANK($BP$95)), "", 100*$BP$95/(529.5)))) = ""), 82.58734429,IF(ISERROR(IF(OR(ISBLANK($BP$95)), "", 100*$BP$95/(529.5))), "", (IF(OR(ISBLANK($BP$95)), "", 100*$BP$95/(529.5)))))</f>
        <v>79.660056657223791</v>
      </c>
      <c r="BQ12">
        <f>IF(OR(ISBLANK(IF(ISERROR(IF(OR(ISBLANK($BQ$95)), "", 100*$BQ$95/(529.5))), "", (IF(OR(ISBLANK($BQ$95)), "", 100*$BQ$95/(529.5))))), IF(ISERROR(IF(OR(ISBLANK($BQ$95)), "", 100*$BQ$95/(529.5))), "", (IF(OR(ISBLANK($BQ$95)), "", 100*$BQ$95/(529.5)))) = ""), 83.36166081,IF(ISERROR(IF(OR(ISBLANK($BQ$95)), "", 100*$BQ$95/(529.5))), "", (IF(OR(ISBLANK($BQ$95)), "", 100*$BQ$95/(529.5)))))</f>
        <v>79.697828139754492</v>
      </c>
      <c r="BR12">
        <f>IF(OR(ISBLANK(IF(ISERROR(IF(OR(ISBLANK($BR$95)), "", 100*$BR$95/(529.5))), "", (IF(OR(ISBLANK($BR$95)), "", 100*$BR$95/(529.5))))), IF(ISERROR(IF(OR(ISBLANK($BR$95)), "", 100*$BR$95/(529.5))), "", (IF(OR(ISBLANK($BR$95)), "", 100*$BR$95/(529.5)))) = ""), 83.9660068,IF(ISERROR(IF(OR(ISBLANK($BR$95)), "", 100*$BR$95/(529.5))), "", (IF(OR(ISBLANK($BR$95)), "", 100*$BR$95/(529.5)))))</f>
        <v>79.735599622285179</v>
      </c>
      <c r="BS12">
        <f>IF(OR(ISBLANK(IF(ISERROR(IF(OR(ISBLANK($BS$95)), "", 100*$BS$95/(529.5))), "", (IF(OR(ISBLANK($BS$95)), "", 100*$BS$95/(529.5))))), IF(ISERROR(IF(OR(ISBLANK($BS$95)), "", 100*$BS$95/(529.5))), "", (IF(OR(ISBLANK($BS$95)), "", 100*$BS$95/(529.5)))) = ""), 84.04154863,IF(ISERROR(IF(OR(ISBLANK($BS$95)), "", 100*$BS$95/(529.5))), "", (IF(OR(ISBLANK($BS$95)), "", 100*$BS$95/(529.5)))))</f>
        <v>79.754485363550515</v>
      </c>
      <c r="BT12">
        <f>IF(OR(ISBLANK(IF(ISERROR(IF(OR(ISBLANK($BT$95)), "", 100*$BT$95/(529.5))), "", (IF(OR(ISBLANK($BT$95)), "", 100*$BT$95/(529.5))))), IF(ISERROR(IF(OR(ISBLANK($BT$95)), "", 100*$BT$95/(529.5))), "", (IF(OR(ISBLANK($BT$95)), "", 100*$BT$95/(529.5)))) = ""), 85.25023494,IF(ISERROR(IF(OR(ISBLANK($BT$95)), "", 100*$BT$95/(529.5))), "", (IF(OR(ISBLANK($BT$95)), "", 100*$BT$95/(529.5)))))</f>
        <v>79.811142587346552</v>
      </c>
      <c r="BU12">
        <f>IF(OR(ISBLANK(IF(ISERROR(IF(OR(ISBLANK($BU$95)), "", 100*$BU$95/(529.5))), "", (IF(OR(ISBLANK($BU$95)), "", 100*$BU$95/(529.5))))), IF(ISERROR(IF(OR(ISBLANK($BU$95)), "", 100*$BU$95/(529.5))), "", (IF(OR(ISBLANK($BU$95)), "", 100*$BU$95/(529.5)))) = ""), 85.85458093,IF(ISERROR(IF(OR(ISBLANK($BU$95)), "", 100*$BU$95/(529.5))), "", (IF(OR(ISBLANK($BU$95)), "", 100*$BU$95/(529.5)))))</f>
        <v>80.169971671388097</v>
      </c>
      <c r="BV12">
        <f>IF(OR(ISBLANK(IF(ISERROR(IF(OR(ISBLANK($BV$95)), "", 100*$BV$95/(529.5))), "", (IF(OR(ISBLANK($BV$95)), "", 100*$BV$95/(529.5))))), IF(ISERROR(IF(OR(ISBLANK($BV$95)), "", 100*$BV$95/(529.5))), "", (IF(OR(ISBLANK($BV$95)), "", 100*$BV$95/(529.5)))) = ""), 87.42209518,IF(ISERROR(IF(OR(ISBLANK($BV$95)), "", 100*$BV$95/(529.5))), "", (IF(OR(ISBLANK($BV$95)), "", 100*$BV$95/(529.5)))))</f>
        <v>80.188857412653448</v>
      </c>
      <c r="BW12">
        <f>IF(OR(ISBLANK(IF(ISERROR(IF(OR(ISBLANK($BW$95)), "", 100*$BW$95/(529.5))), "", (IF(OR(ISBLANK($BW$95)), "", 100*$BW$95/(529.5))))), IF(ISERROR(IF(OR(ISBLANK($BW$95)), "", 100*$BW$95/(529.5))), "", (IF(OR(ISBLANK($BW$95)), "", 100*$BW$95/(529.5)))) = ""), 98.96128423,IF(ISERROR(IF(OR(ISBLANK($BW$95)), "", 100*$BW$95/(529.5))), "", (IF(OR(ISBLANK($BW$95)), "", 100*$BW$95/(529.5)))))</f>
        <v>81.152030217186024</v>
      </c>
      <c r="BX12">
        <f>IF(OR(ISBLANK(IF(ISERROR(IF(OR(ISBLANK($BX$95)), "", 100*$BX$95/(529.5))), "", (IF(OR(ISBLANK($BX$95)), "", 100*$BX$95/(529.5))))), IF(ISERROR(IF(OR(ISBLANK($BX$95)), "", 100*$BX$95/(529.5))), "", (IF(OR(ISBLANK($BX$95)), "", 100*$BX$95/(529.5)))) = ""), 98.96128423,IF(ISERROR(IF(OR(ISBLANK($BX$95)), "", 100*$BX$95/(529.5))), "", (IF(OR(ISBLANK($BX$95)), "", 100*$BX$95/(529.5)))))</f>
        <v>81.265344664778098</v>
      </c>
      <c r="BY12">
        <f>IF(OR(ISBLANK(IF(ISERROR(IF(OR(ISBLANK($BY$95)), "", 100*$BY$95/(529.5))), "", (IF(OR(ISBLANK($BY$95)), "", 100*$BY$95/(529.5))))), IF(ISERROR(IF(OR(ISBLANK($BY$95)), "", 100*$BY$95/(529.5))), "", (IF(OR(ISBLANK($BY$95)), "", 100*$BY$95/(529.5)))) = ""), 98.96128423,IF(ISERROR(IF(OR(ISBLANK($BY$95)), "", 100*$BY$95/(529.5))), "", (IF(OR(ISBLANK($BY$95)), "", 100*$BY$95/(529.5)))))</f>
        <v>81.397544853635509</v>
      </c>
      <c r="BZ12">
        <f>IF(OR(ISBLANK(IF(ISERROR(IF(OR(ISBLANK($BZ$95)), "", 100*$BZ$95/(529.5))), "", (IF(OR(ISBLANK($BZ$95)), "", 100*$BZ$95/(529.5))))), IF(ISERROR(IF(OR(ISBLANK($BZ$95)), "", 100*$BZ$95/(529.5))), "", (IF(OR(ISBLANK($BZ$95)), "", 100*$BZ$95/(529.5)))) = ""), "",IF(ISERROR(IF(OR(ISBLANK($BZ$95)), "", 100*$BZ$95/(529.5))), "", (IF(OR(ISBLANK($BZ$95)), "", 100*$BZ$95/(529.5)))))</f>
        <v>81.775259678942405</v>
      </c>
      <c r="CA12">
        <f>IF(OR(ISBLANK(IF(ISERROR(IF(OR(ISBLANK($CA$95)), "", 100*$CA$95/(529.5))), "", (IF(OR(ISBLANK($CA$95)), "", 100*$CA$95/(529.5))))), IF(ISERROR(IF(OR(ISBLANK($CA$95)), "", 100*$CA$95/(529.5))), "", (IF(OR(ISBLANK($CA$95)), "", 100*$CA$95/(529.5)))) = ""), "",IF(ISERROR(IF(OR(ISBLANK($CA$95)), "", 100*$CA$95/(529.5))), "", (IF(OR(ISBLANK($CA$95)), "", 100*$CA$95/(529.5)))))</f>
        <v>82.587346553352219</v>
      </c>
      <c r="CB12">
        <f>IF(OR(ISBLANK(IF(ISERROR(IF(OR(ISBLANK($CB$95)), "", 100*$CB$95/(529.5))), "", (IF(OR(ISBLANK($CB$95)), "", 100*$CB$95/(529.5))))), IF(ISERROR(IF(OR(ISBLANK($CB$95)), "", 100*$CB$95/(529.5))), "", (IF(OR(ISBLANK($CB$95)), "", 100*$CB$95/(529.5)))) = ""), "",IF(ISERROR(IF(OR(ISBLANK($CB$95)), "", 100*$CB$95/(529.5))), "", (IF(OR(ISBLANK($CB$95)), "", 100*$CB$95/(529.5)))))</f>
        <v>83.361661945231347</v>
      </c>
      <c r="CC12">
        <f>IF(OR(ISBLANK(IF(ISERROR(IF(OR(ISBLANK($CC$95)), "", 100*$CC$95/(529.5))), "", (IF(OR(ISBLANK($CC$95)), "", 100*$CC$95/(529.5))))), IF(ISERROR(IF(OR(ISBLANK($CC$95)), "", 100*$CC$95/(529.5))), "", (IF(OR(ISBLANK($CC$95)), "", 100*$CC$95/(529.5)))) = ""), "",IF(ISERROR(IF(OR(ISBLANK($CC$95)), "", 100*$CC$95/(529.5))), "", (IF(OR(ISBLANK($CC$95)), "", 100*$CC$95/(529.5)))))</f>
        <v>83.966005665722378</v>
      </c>
      <c r="CD12">
        <f>IF(OR(ISBLANK(IF(ISERROR(IF(OR(ISBLANK($CD$95)), "", 100*$CD$95/(529.5))), "", (IF(OR(ISBLANK($CD$95)), "", 100*$CD$95/(529.5))))), IF(ISERROR(IF(OR(ISBLANK($CD$95)), "", 100*$CD$95/(529.5))), "", (IF(OR(ISBLANK($CD$95)), "", 100*$CD$95/(529.5)))) = ""), "",IF(ISERROR(IF(OR(ISBLANK($CD$95)), "", 100*$CD$95/(529.5))), "", (IF(OR(ISBLANK($CD$95)), "", 100*$CD$95/(529.5)))))</f>
        <v>84.041548630783765</v>
      </c>
      <c r="CE12">
        <f>IF(OR(ISBLANK(IF(ISERROR(IF(OR(ISBLANK($CE$95)), "", 100*$CE$95/(529.5))), "", (IF(OR(ISBLANK($CE$95)), "", 100*$CE$95/(529.5))))), IF(ISERROR(IF(OR(ISBLANK($CE$95)), "", 100*$CE$95/(529.5))), "", (IF(OR(ISBLANK($CE$95)), "", 100*$CE$95/(529.5)))) = ""), "",IF(ISERROR(IF(OR(ISBLANK($CE$95)), "", 100*$CE$95/(529.5))), "", (IF(OR(ISBLANK($CE$95)), "", 100*$CE$95/(529.5)))))</f>
        <v>85.250236071765812</v>
      </c>
      <c r="CF12">
        <f>IF(OR(ISBLANK(IF(ISERROR(IF(OR(ISBLANK($CF$95)), "", 100*$CF$95/(529.5))), "", (IF(OR(ISBLANK($CF$95)), "", 100*$CF$95/(529.5))))), IF(ISERROR(IF(OR(ISBLANK($CF$95)), "", 100*$CF$95/(529.5))), "", (IF(OR(ISBLANK($CF$95)), "", 100*$CF$95/(529.5)))) = ""), "",IF(ISERROR(IF(OR(ISBLANK($CF$95)), "", 100*$CF$95/(529.5))), "", (IF(OR(ISBLANK($CF$95)), "", 100*$CF$95/(529.5)))))</f>
        <v>85.854579792256843</v>
      </c>
      <c r="CG12">
        <f>IF(OR(ISBLANK(IF(ISERROR(IF(OR(ISBLANK($CG$95)), "", 100*$CG$95/(529.5))), "", (IF(OR(ISBLANK($CG$95)), "", 100*$CG$95/(529.5))))), IF(ISERROR(IF(OR(ISBLANK($CG$95)), "", 100*$CG$95/(529.5))), "", (IF(OR(ISBLANK($CG$95)), "", 100*$CG$95/(529.5)))) = ""), "",IF(ISERROR(IF(OR(ISBLANK($CG$95)), "", 100*$CG$95/(529.5))), "", (IF(OR(ISBLANK($CG$95)), "", 100*$CG$95/(529.5)))))</f>
        <v>87.422096317280449</v>
      </c>
    </row>
    <row r="13" spans="1:85" x14ac:dyDescent="0.25">
      <c r="A13" t="str">
        <f>"ECB NET LENDING (EUR B)"</f>
        <v>ECB NET LENDING (EUR B)</v>
      </c>
      <c r="B13" t="str">
        <f>""</f>
        <v/>
      </c>
      <c r="C13" t="str">
        <f>""</f>
        <v/>
      </c>
      <c r="D13" t="str">
        <f>""</f>
        <v/>
      </c>
      <c r="E13" t="str">
        <f>"Expression"</f>
        <v>Expression</v>
      </c>
      <c r="F13" t="str">
        <f ca="1">IF(OR(ISBLANK(IF(ISERROR(IF(OR(ISBLANK($F$14), ISBLANK($F$15)), "", $F$14-$F$15)), "", (IF(OR(ISBLANK($F$14), ISBLANK($F$15)), "", $F$14-$F$15)))), IF(ISERROR(IF(OR(ISBLANK($F$14), ISBLANK($F$15)), "", $F$14-$F$15)), "", (IF(OR(ISBLANK($F$14), ISBLANK($F$15)), "", $F$14-$F$15))) = ""), "",IF(ISERROR(IF(OR(ISBLANK($F$14), ISBLANK($F$15)), "", $F$14-$F$15)), "", (IF(OR(ISBLANK($F$14), ISBLANK($F$15)), "", $F$14-$F$15))))</f>
        <v/>
      </c>
      <c r="G13">
        <f>IF(OR(ISBLANK(IF(ISERROR(IF(OR(ISBLANK($G$14), ISBLANK($G$15)), "", $G$14-$G$15)), "", (IF(OR(ISBLANK($G$14), ISBLANK($G$15)), "", $G$14-$G$15)))), IF(ISERROR(IF(OR(ISBLANK($G$14), ISBLANK($G$15)), "", $G$14-$G$15)), "", (IF(OR(ISBLANK($G$14), ISBLANK($G$15)), "", $G$14-$G$15))) = ""), "",IF(ISERROR(IF(OR(ISBLANK($G$14), ISBLANK($G$15)), "", $G$14-$G$15)), "", (IF(OR(ISBLANK($G$14), ISBLANK($G$15)), "", $G$14-$G$15))))</f>
        <v>466.05900000000003</v>
      </c>
      <c r="H13">
        <f>IF(OR(ISBLANK(IF(ISERROR(IF(OR(ISBLANK($H$14), ISBLANK($H$15)), "", $H$14-$H$15)), "", (IF(OR(ISBLANK($H$14), ISBLANK($H$15)), "", $H$14-$H$15)))), IF(ISERROR(IF(OR(ISBLANK($H$14), ISBLANK($H$15)), "", $H$14-$H$15)), "", (IF(OR(ISBLANK($H$14), ISBLANK($H$15)), "", $H$14-$H$15))) = ""), 481.634,IF(ISERROR(IF(OR(ISBLANK($H$14), ISBLANK($H$15)), "", $H$14-$H$15)), "", (IF(OR(ISBLANK($H$14), ISBLANK($H$15)), "", $H$14-$H$15))))</f>
        <v>486.68099999999998</v>
      </c>
      <c r="I13">
        <f>IF(OR(ISBLANK(IF(ISERROR(IF(OR(ISBLANK($I$14), ISBLANK($I$15)), "", $I$14-$I$15)), "", (IF(OR(ISBLANK($I$14), ISBLANK($I$15)), "", $I$14-$I$15)))), IF(ISERROR(IF(OR(ISBLANK($I$14), ISBLANK($I$15)), "", $I$14-$I$15)), "", (IF(OR(ISBLANK($I$14), ISBLANK($I$15)), "", $I$14-$I$15))) = ""), 496.71,IF(ISERROR(IF(OR(ISBLANK($I$14), ISBLANK($I$15)), "", $I$14-$I$15)), "", (IF(OR(ISBLANK($I$14), ISBLANK($I$15)), "", $I$14-$I$15))))</f>
        <v>471.97700000000003</v>
      </c>
      <c r="J13">
        <f>IF(OR(ISBLANK(IF(ISERROR(IF(OR(ISBLANK($J$14), ISBLANK($J$15)), "", $J$14-$J$15)), "", (IF(OR(ISBLANK($J$14), ISBLANK($J$15)), "", $J$14-$J$15)))), IF(ISERROR(IF(OR(ISBLANK($J$14), ISBLANK($J$15)), "", $J$14-$J$15)), "", (IF(OR(ISBLANK($J$14), ISBLANK($J$15)), "", $J$14-$J$15))) = ""), 536.954,IF(ISERROR(IF(OR(ISBLANK($J$14), ISBLANK($J$15)), "", $J$14-$J$15)), "", (IF(OR(ISBLANK($J$14), ISBLANK($J$15)), "", $J$14-$J$15))))</f>
        <v>481.149</v>
      </c>
      <c r="K13">
        <f>IF(OR(ISBLANK(IF(ISERROR(IF(OR(ISBLANK($K$14), ISBLANK($K$15)), "", $K$14-$K$15)), "", (IF(OR(ISBLANK($K$14), ISBLANK($K$15)), "", $K$14-$K$15)))), IF(ISERROR(IF(OR(ISBLANK($K$14), ISBLANK($K$15)), "", $K$14-$K$15)), "", (IF(OR(ISBLANK($K$14), ISBLANK($K$15)), "", $K$14-$K$15))) = ""), 478.793,IF(ISERROR(IF(OR(ISBLANK($K$14), ISBLANK($K$15)), "", $K$14-$K$15)), "", (IF(OR(ISBLANK($K$14), ISBLANK($K$15)), "", $K$14-$K$15))))</f>
        <v>483.51499999999999</v>
      </c>
      <c r="L13">
        <f>IF(OR(ISBLANK(IF(ISERROR(IF(OR(ISBLANK($L$14), ISBLANK($L$15)), "", $L$14-$L$15)), "", (IF(OR(ISBLANK($L$14), ISBLANK($L$15)), "", $L$14-$L$15)))), IF(ISERROR(IF(OR(ISBLANK($L$14), ISBLANK($L$15)), "", $L$14-$L$15)), "", (IF(OR(ISBLANK($L$14), ISBLANK($L$15)), "", $L$14-$L$15))) = ""), 489.707,IF(ISERROR(IF(OR(ISBLANK($L$14), ISBLANK($L$15)), "", $L$14-$L$15)), "", (IF(OR(ISBLANK($L$14), ISBLANK($L$15)), "", $L$14-$L$15))))</f>
        <v>489.39199999999994</v>
      </c>
      <c r="M13">
        <f>IF(OR(ISBLANK(IF(ISERROR(IF(OR(ISBLANK($M$14), ISBLANK($M$15)), "", $M$14-$M$15)), "", (IF(OR(ISBLANK($M$14), ISBLANK($M$15)), "", $M$14-$M$15)))), IF(ISERROR(IF(OR(ISBLANK($M$14), ISBLANK($M$15)), "", $M$14-$M$15)), "", (IF(OR(ISBLANK($M$14), ISBLANK($M$15)), "", $M$14-$M$15))) = ""), 442.846,IF(ISERROR(IF(OR(ISBLANK($M$14), ISBLANK($M$15)), "", $M$14-$M$15)), "", (IF(OR(ISBLANK($M$14), ISBLANK($M$15)), "", $M$14-$M$15))))</f>
        <v>486.45800000000003</v>
      </c>
      <c r="N13">
        <f>IF(OR(ISBLANK(IF(ISERROR(IF(OR(ISBLANK($N$14), ISBLANK($N$15)), "", $N$14-$N$15)), "", (IF(OR(ISBLANK($N$14), ISBLANK($N$15)), "", $N$14-$N$15)))), IF(ISERROR(IF(OR(ISBLANK($N$14), ISBLANK($N$15)), "", $N$14-$N$15)), "", (IF(OR(ISBLANK($N$14), ISBLANK($N$15)), "", $N$14-$N$15))) = ""), 545.265,IF(ISERROR(IF(OR(ISBLANK($N$14), ISBLANK($N$15)), "", $N$14-$N$15)), "", (IF(OR(ISBLANK($N$14), ISBLANK($N$15)), "", $N$14-$N$15))))</f>
        <v>508.90800000000002</v>
      </c>
      <c r="O13">
        <f>IF(OR(ISBLANK(IF(ISERROR(IF(OR(ISBLANK($O$14), ISBLANK($O$15)), "", $O$14-$O$15)), "", (IF(OR(ISBLANK($O$14), ISBLANK($O$15)), "", $O$14-$O$15)))), IF(ISERROR(IF(OR(ISBLANK($O$14), ISBLANK($O$15)), "", $O$14-$O$15)), "", (IF(OR(ISBLANK($O$14), ISBLANK($O$15)), "", $O$14-$O$15))) = ""), 447.386,IF(ISERROR(IF(OR(ISBLANK($O$14), ISBLANK($O$15)), "", $O$14-$O$15)), "", (IF(OR(ISBLANK($O$14), ISBLANK($O$15)), "", $O$14-$O$15))))</f>
        <v>508.97200000000004</v>
      </c>
      <c r="P13">
        <f>IF(OR(ISBLANK(IF(ISERROR(IF(OR(ISBLANK($P$14), ISBLANK($P$15)), "", $P$14-$P$15)), "", (IF(OR(ISBLANK($P$14), ISBLANK($P$15)), "", $P$14-$P$15)))), IF(ISERROR(IF(OR(ISBLANK($P$14), ISBLANK($P$15)), "", $P$14-$P$15)), "", (IF(OR(ISBLANK($P$14), ISBLANK($P$15)), "", $P$14-$P$15))) = ""), 452.855,IF(ISERROR(IF(OR(ISBLANK($P$14), ISBLANK($P$15)), "", $P$14-$P$15)), "", (IF(OR(ISBLANK($P$14), ISBLANK($P$15)), "", $P$14-$P$15))))</f>
        <v>518.60799999999995</v>
      </c>
      <c r="Q13">
        <f>IF(OR(ISBLANK(IF(ISERROR(IF(OR(ISBLANK($Q$14), ISBLANK($Q$15)), "", $Q$14-$Q$15)), "", (IF(OR(ISBLANK($Q$14), ISBLANK($Q$15)), "", $Q$14-$Q$15)))), IF(ISERROR(IF(OR(ISBLANK($Q$14), ISBLANK($Q$15)), "", $Q$14-$Q$15)), "", (IF(OR(ISBLANK($Q$14), ISBLANK($Q$15)), "", $Q$14-$Q$15))) = ""), 442.923,IF(ISERROR(IF(OR(ISBLANK($Q$14), ISBLANK($Q$15)), "", $Q$14-$Q$15)), "", (IF(OR(ISBLANK($Q$14), ISBLANK($Q$15)), "", $Q$14-$Q$15))))</f>
        <v>542.9430000000001</v>
      </c>
      <c r="R13">
        <f>IF(OR(ISBLANK(IF(ISERROR(IF(OR(ISBLANK($R$14), ISBLANK($R$15)), "", $R$14-$R$15)), "", (IF(OR(ISBLANK($R$14), ISBLANK($R$15)), "", $R$14-$R$15)))), IF(ISERROR(IF(OR(ISBLANK($R$14), ISBLANK($R$15)), "", $R$14-$R$15)), "", (IF(OR(ISBLANK($R$14), ISBLANK($R$15)), "", $R$14-$R$15))) = ""), 426.127,IF(ISERROR(IF(OR(ISBLANK($R$14), ISBLANK($R$15)), "", $R$14-$R$15)), "", (IF(OR(ISBLANK($R$14), ISBLANK($R$15)), "", $R$14-$R$15))))</f>
        <v>538.46799999999996</v>
      </c>
      <c r="S13">
        <f>IF(OR(ISBLANK(IF(ISERROR(IF(OR(ISBLANK($S$14), ISBLANK($S$15)), "", $S$14-$S$15)), "", (IF(OR(ISBLANK($S$14), ISBLANK($S$15)), "", $S$14-$S$15)))), IF(ISERROR(IF(OR(ISBLANK($S$14), ISBLANK($S$15)), "", $S$14-$S$15)), "", (IF(OR(ISBLANK($S$14), ISBLANK($S$15)), "", $S$14-$S$15))) = ""), 437.01,IF(ISERROR(IF(OR(ISBLANK($S$14), ISBLANK($S$15)), "", $S$14-$S$15)), "", (IF(OR(ISBLANK($S$14), ISBLANK($S$15)), "", $S$14-$S$15))))</f>
        <v>481.63399999999996</v>
      </c>
      <c r="T13">
        <f>IF(OR(ISBLANK(IF(ISERROR(IF(OR(ISBLANK($T$14), ISBLANK($T$15)), "", $T$14-$T$15)), "", (IF(OR(ISBLANK($T$14), ISBLANK($T$15)), "", $T$14-$T$15)))), IF(ISERROR(IF(OR(ISBLANK($T$14), ISBLANK($T$15)), "", $T$14-$T$15)), "", (IF(OR(ISBLANK($T$14), ISBLANK($T$15)), "", $T$14-$T$15))) = ""), 434.034,IF(ISERROR(IF(OR(ISBLANK($T$14), ISBLANK($T$15)), "", $T$14-$T$15)), "", (IF(OR(ISBLANK($T$14), ISBLANK($T$15)), "", $T$14-$T$15))))</f>
        <v>496.71</v>
      </c>
      <c r="U13">
        <f>IF(OR(ISBLANK(IF(ISERROR(IF(OR(ISBLANK($U$14), ISBLANK($U$15)), "", $U$14-$U$15)), "", (IF(OR(ISBLANK($U$14), ISBLANK($U$15)), "", $U$14-$U$15)))), IF(ISERROR(IF(OR(ISBLANK($U$14), ISBLANK($U$15)), "", $U$14-$U$15)), "", (IF(OR(ISBLANK($U$14), ISBLANK($U$15)), "", $U$14-$U$15))) = ""), 449.852,IF(ISERROR(IF(OR(ISBLANK($U$14), ISBLANK($U$15)), "", $U$14-$U$15)), "", (IF(OR(ISBLANK($U$14), ISBLANK($U$15)), "", $U$14-$U$15))))</f>
        <v>536.95399999999995</v>
      </c>
      <c r="V13">
        <f>IF(OR(ISBLANK(IF(ISERROR(IF(OR(ISBLANK($V$14), ISBLANK($V$15)), "", $V$14-$V$15)), "", (IF(OR(ISBLANK($V$14), ISBLANK($V$15)), "", $V$14-$V$15)))), IF(ISERROR(IF(OR(ISBLANK($V$14), ISBLANK($V$15)), "", $V$14-$V$15)), "", (IF(OR(ISBLANK($V$14), ISBLANK($V$15)), "", $V$14-$V$15))) = ""), 447.573,IF(ISERROR(IF(OR(ISBLANK($V$14), ISBLANK($V$15)), "", $V$14-$V$15)), "", (IF(OR(ISBLANK($V$14), ISBLANK($V$15)), "", $V$14-$V$15))))</f>
        <v>478.79300000000001</v>
      </c>
      <c r="W13">
        <f>IF(OR(ISBLANK(IF(ISERROR(IF(OR(ISBLANK($W$14), ISBLANK($W$15)), "", $W$14-$W$15)), "", (IF(OR(ISBLANK($W$14), ISBLANK($W$15)), "", $W$14-$W$15)))), IF(ISERROR(IF(OR(ISBLANK($W$14), ISBLANK($W$15)), "", $W$14-$W$15)), "", (IF(OR(ISBLANK($W$14), ISBLANK($W$15)), "", $W$14-$W$15))) = ""), 459.414,IF(ISERROR(IF(OR(ISBLANK($W$14), ISBLANK($W$15)), "", $W$14-$W$15)), "", (IF(OR(ISBLANK($W$14), ISBLANK($W$15)), "", $W$14-$W$15))))</f>
        <v>489.70699999999999</v>
      </c>
      <c r="X13">
        <f>IF(OR(ISBLANK(IF(ISERROR(IF(OR(ISBLANK($X$14), ISBLANK($X$15)), "", $X$14-$X$15)), "", (IF(OR(ISBLANK($X$14), ISBLANK($X$15)), "", $X$14-$X$15)))), IF(ISERROR(IF(OR(ISBLANK($X$14), ISBLANK($X$15)), "", $X$14-$X$15)), "", (IF(OR(ISBLANK($X$14), ISBLANK($X$15)), "", $X$14-$X$15))) = ""), 457.709,IF(ISERROR(IF(OR(ISBLANK($X$14), ISBLANK($X$15)), "", $X$14-$X$15)), "", (IF(OR(ISBLANK($X$14), ISBLANK($X$15)), "", $X$14-$X$15))))</f>
        <v>442.846</v>
      </c>
      <c r="Y13">
        <f>IF(OR(ISBLANK(IF(ISERROR(IF(OR(ISBLANK($Y$14), ISBLANK($Y$15)), "", $Y$14-$Y$15)), "", (IF(OR(ISBLANK($Y$14), ISBLANK($Y$15)), "", $Y$14-$Y$15)))), IF(ISERROR(IF(OR(ISBLANK($Y$14), ISBLANK($Y$15)), "", $Y$14-$Y$15)), "", (IF(OR(ISBLANK($Y$14), ISBLANK($Y$15)), "", $Y$14-$Y$15))) = ""), 460.764,IF(ISERROR(IF(OR(ISBLANK($Y$14), ISBLANK($Y$15)), "", $Y$14-$Y$15)), "", (IF(OR(ISBLANK($Y$14), ISBLANK($Y$15)), "", $Y$14-$Y$15))))</f>
        <v>545.26499999999999</v>
      </c>
      <c r="Z13">
        <f>IF(OR(ISBLANK(IF(ISERROR(IF(OR(ISBLANK($Z$14), ISBLANK($Z$15)), "", $Z$14-$Z$15)), "", (IF(OR(ISBLANK($Z$14), ISBLANK($Z$15)), "", $Z$14-$Z$15)))), IF(ISERROR(IF(OR(ISBLANK($Z$14), ISBLANK($Z$15)), "", $Z$14-$Z$15)), "", (IF(OR(ISBLANK($Z$14), ISBLANK($Z$15)), "", $Z$14-$Z$15))) = ""), 448.547,IF(ISERROR(IF(OR(ISBLANK($Z$14), ISBLANK($Z$15)), "", $Z$14-$Z$15)), "", (IF(OR(ISBLANK($Z$14), ISBLANK($Z$15)), "", $Z$14-$Z$15))))</f>
        <v>447.38599999999997</v>
      </c>
      <c r="AA13">
        <f>IF(OR(ISBLANK(IF(ISERROR(IF(OR(ISBLANK($AA$14), ISBLANK($AA$15)), "", $AA$14-$AA$15)), "", (IF(OR(ISBLANK($AA$14), ISBLANK($AA$15)), "", $AA$14-$AA$15)))), IF(ISERROR(IF(OR(ISBLANK($AA$14), ISBLANK($AA$15)), "", $AA$14-$AA$15)), "", (IF(OR(ISBLANK($AA$14), ISBLANK($AA$15)), "", $AA$14-$AA$15))) = ""), 484.5,IF(ISERROR(IF(OR(ISBLANK($AA$14), ISBLANK($AA$15)), "", $AA$14-$AA$15)), "", (IF(OR(ISBLANK($AA$14), ISBLANK($AA$15)), "", $AA$14-$AA$15))))</f>
        <v>452.85500000000002</v>
      </c>
      <c r="AB13">
        <f>IF(OR(ISBLANK(IF(ISERROR(IF(OR(ISBLANK($AB$14), ISBLANK($AB$15)), "", $AB$14-$AB$15)), "", (IF(OR(ISBLANK($AB$14), ISBLANK($AB$15)), "", $AB$14-$AB$15)))), IF(ISERROR(IF(OR(ISBLANK($AB$14), ISBLANK($AB$15)), "", $AB$14-$AB$15)), "", (IF(OR(ISBLANK($AB$14), ISBLANK($AB$15)), "", $AB$14-$AB$15))) = ""), 497.082,IF(ISERROR(IF(OR(ISBLANK($AB$14), ISBLANK($AB$15)), "", $AB$14-$AB$15)), "", (IF(OR(ISBLANK($AB$14), ISBLANK($AB$15)), "", $AB$14-$AB$15))))</f>
        <v>442.923</v>
      </c>
      <c r="AC13">
        <f>IF(OR(ISBLANK(IF(ISERROR(IF(OR(ISBLANK($AC$14), ISBLANK($AC$15)), "", $AC$14-$AC$15)), "", (IF(OR(ISBLANK($AC$14), ISBLANK($AC$15)), "", $AC$14-$AC$15)))), IF(ISERROR(IF(OR(ISBLANK($AC$14), ISBLANK($AC$15)), "", $AC$14-$AC$15)), "", (IF(OR(ISBLANK($AC$14), ISBLANK($AC$15)), "", $AC$14-$AC$15))) = ""), 457.011,IF(ISERROR(IF(OR(ISBLANK($AC$14), ISBLANK($AC$15)), "", $AC$14-$AC$15)), "", (IF(OR(ISBLANK($AC$14), ISBLANK($AC$15)), "", $AC$14-$AC$15))))</f>
        <v>426.12699999999995</v>
      </c>
      <c r="AD13">
        <f>IF(OR(ISBLANK(IF(ISERROR(IF(OR(ISBLANK($AD$14), ISBLANK($AD$15)), "", $AD$14-$AD$15)), "", (IF(OR(ISBLANK($AD$14), ISBLANK($AD$15)), "", $AD$14-$AD$15)))), IF(ISERROR(IF(OR(ISBLANK($AD$14), ISBLANK($AD$15)), "", $AD$14-$AD$15)), "", (IF(OR(ISBLANK($AD$14), ISBLANK($AD$15)), "", $AD$14-$AD$15))) = ""), 456.952,IF(ISERROR(IF(OR(ISBLANK($AD$14), ISBLANK($AD$15)), "", $AD$14-$AD$15)), "", (IF(OR(ISBLANK($AD$14), ISBLANK($AD$15)), "", $AD$14-$AD$15))))</f>
        <v>437.01</v>
      </c>
      <c r="AE13">
        <f>IF(OR(ISBLANK(IF(ISERROR(IF(OR(ISBLANK($AE$14), ISBLANK($AE$15)), "", $AE$14-$AE$15)), "", (IF(OR(ISBLANK($AE$14), ISBLANK($AE$15)), "", $AE$14-$AE$15)))), IF(ISERROR(IF(OR(ISBLANK($AE$14), ISBLANK($AE$15)), "", $AE$14-$AE$15)), "", (IF(OR(ISBLANK($AE$14), ISBLANK($AE$15)), "", $AE$14-$AE$15))) = ""), 559.165,IF(ISERROR(IF(OR(ISBLANK($AE$14), ISBLANK($AE$15)), "", $AE$14-$AE$15)), "", (IF(OR(ISBLANK($AE$14), ISBLANK($AE$15)), "", $AE$14-$AE$15))))</f>
        <v>434.03399999999999</v>
      </c>
      <c r="AF13">
        <f>IF(OR(ISBLANK(IF(ISERROR(IF(OR(ISBLANK($AF$14), ISBLANK($AF$15)), "", $AF$14-$AF$15)), "", (IF(OR(ISBLANK($AF$14), ISBLANK($AF$15)), "", $AF$14-$AF$15)))), IF(ISERROR(IF(OR(ISBLANK($AF$14), ISBLANK($AF$15)), "", $AF$14-$AF$15)), "", (IF(OR(ISBLANK($AF$14), ISBLANK($AF$15)), "", $AF$14-$AF$15))) = ""), 517.492,IF(ISERROR(IF(OR(ISBLANK($AF$14), ISBLANK($AF$15)), "", $AF$14-$AF$15)), "", (IF(OR(ISBLANK($AF$14), ISBLANK($AF$15)), "", $AF$14-$AF$15))))</f>
        <v>449.85200000000009</v>
      </c>
      <c r="AG13">
        <f>IF(OR(ISBLANK(IF(ISERROR(IF(OR(ISBLANK($AG$14), ISBLANK($AG$15)), "", $AG$14-$AG$15)), "", (IF(OR(ISBLANK($AG$14), ISBLANK($AG$15)), "", $AG$14-$AG$15)))), IF(ISERROR(IF(OR(ISBLANK($AG$14), ISBLANK($AG$15)), "", $AG$14-$AG$15)), "", (IF(OR(ISBLANK($AG$14), ISBLANK($AG$15)), "", $AG$14-$AG$15))) = ""), 516.899,IF(ISERROR(IF(OR(ISBLANK($AG$14), ISBLANK($AG$15)), "", $AG$14-$AG$15)), "", (IF(OR(ISBLANK($AG$14), ISBLANK($AG$15)), "", $AG$14-$AG$15))))</f>
        <v>447.57299999999998</v>
      </c>
      <c r="AH13">
        <f>IF(OR(ISBLANK(IF(ISERROR(IF(OR(ISBLANK($AH$14), ISBLANK($AH$15)), "", $AH$14-$AH$15)), "", (IF(OR(ISBLANK($AH$14), ISBLANK($AH$15)), "", $AH$14-$AH$15)))), IF(ISERROR(IF(OR(ISBLANK($AH$14), ISBLANK($AH$15)), "", $AH$14-$AH$15)), "", (IF(OR(ISBLANK($AH$14), ISBLANK($AH$15)), "", $AH$14-$AH$15))) = ""), 490.599,IF(ISERROR(IF(OR(ISBLANK($AH$14), ISBLANK($AH$15)), "", $AH$14-$AH$15)), "", (IF(OR(ISBLANK($AH$14), ISBLANK($AH$15)), "", $AH$14-$AH$15))))</f>
        <v>459.41399999999999</v>
      </c>
      <c r="AI13">
        <f>IF(OR(ISBLANK(IF(ISERROR(IF(OR(ISBLANK($AI$14), ISBLANK($AI$15)), "", $AI$14-$AI$15)), "", (IF(OR(ISBLANK($AI$14), ISBLANK($AI$15)), "", $AI$14-$AI$15)))), IF(ISERROR(IF(OR(ISBLANK($AI$14), ISBLANK($AI$15)), "", $AI$14-$AI$15)), "", (IF(OR(ISBLANK($AI$14), ISBLANK($AI$15)), "", $AI$14-$AI$15))) = ""), 470.834,IF(ISERROR(IF(OR(ISBLANK($AI$14), ISBLANK($AI$15)), "", $AI$14-$AI$15)), "", (IF(OR(ISBLANK($AI$14), ISBLANK($AI$15)), "", $AI$14-$AI$15))))</f>
        <v>457.709</v>
      </c>
      <c r="AJ13">
        <f>IF(OR(ISBLANK(IF(ISERROR(IF(OR(ISBLANK($AJ$14), ISBLANK($AJ$15)), "", $AJ$14-$AJ$15)), "", (IF(OR(ISBLANK($AJ$14), ISBLANK($AJ$15)), "", $AJ$14-$AJ$15)))), IF(ISERROR(IF(OR(ISBLANK($AJ$14), ISBLANK($AJ$15)), "", $AJ$14-$AJ$15)), "", (IF(OR(ISBLANK($AJ$14), ISBLANK($AJ$15)), "", $AJ$14-$AJ$15))) = ""), 504.926,IF(ISERROR(IF(OR(ISBLANK($AJ$14), ISBLANK($AJ$15)), "", $AJ$14-$AJ$15)), "", (IF(OR(ISBLANK($AJ$14), ISBLANK($AJ$15)), "", $AJ$14-$AJ$15))))</f>
        <v>460.76399999999995</v>
      </c>
      <c r="AK13">
        <f>IF(OR(ISBLANK(IF(ISERROR(IF(OR(ISBLANK($AK$14), ISBLANK($AK$15)), "", $AK$14-$AK$15)), "", (IF(OR(ISBLANK($AK$14), ISBLANK($AK$15)), "", $AK$14-$AK$15)))), IF(ISERROR(IF(OR(ISBLANK($AK$14), ISBLANK($AK$15)), "", $AK$14-$AK$15)), "", (IF(OR(ISBLANK($AK$14), ISBLANK($AK$15)), "", $AK$14-$AK$15))) = ""), 489.468,IF(ISERROR(IF(OR(ISBLANK($AK$14), ISBLANK($AK$15)), "", $AK$14-$AK$15)), "", (IF(OR(ISBLANK($AK$14), ISBLANK($AK$15)), "", $AK$14-$AK$15))))</f>
        <v>448.54699999999997</v>
      </c>
      <c r="AL13">
        <f>IF(OR(ISBLANK(IF(ISERROR(IF(OR(ISBLANK($AL$14), ISBLANK($AL$15)), "", $AL$14-$AL$15)), "", (IF(OR(ISBLANK($AL$14), ISBLANK($AL$15)), "", $AL$14-$AL$15)))), IF(ISERROR(IF(OR(ISBLANK($AL$14), ISBLANK($AL$15)), "", $AL$14-$AL$15)), "", (IF(OR(ISBLANK($AL$14), ISBLANK($AL$15)), "", $AL$14-$AL$15))) = ""), 494.012,IF(ISERROR(IF(OR(ISBLANK($AL$14), ISBLANK($AL$15)), "", $AL$14-$AL$15)), "", (IF(OR(ISBLANK($AL$14), ISBLANK($AL$15)), "", $AL$14-$AL$15))))</f>
        <v>484.5</v>
      </c>
      <c r="AM13">
        <f>IF(OR(ISBLANK(IF(ISERROR(IF(OR(ISBLANK($AM$14), ISBLANK($AM$15)), "", $AM$14-$AM$15)), "", (IF(OR(ISBLANK($AM$14), ISBLANK($AM$15)), "", $AM$14-$AM$15)))), IF(ISERROR(IF(OR(ISBLANK($AM$14), ISBLANK($AM$15)), "", $AM$14-$AM$15)), "", (IF(OR(ISBLANK($AM$14), ISBLANK($AM$15)), "", $AM$14-$AM$15))) = ""), 483.01,IF(ISERROR(IF(OR(ISBLANK($AM$14), ISBLANK($AM$15)), "", $AM$14-$AM$15)), "", (IF(OR(ISBLANK($AM$14), ISBLANK($AM$15)), "", $AM$14-$AM$15))))</f>
        <v>497.08199999999999</v>
      </c>
      <c r="AN13">
        <f>IF(OR(ISBLANK(IF(ISERROR(IF(OR(ISBLANK($AN$14), ISBLANK($AN$15)), "", $AN$14-$AN$15)), "", (IF(OR(ISBLANK($AN$14), ISBLANK($AN$15)), "", $AN$14-$AN$15)))), IF(ISERROR(IF(OR(ISBLANK($AN$14), ISBLANK($AN$15)), "", $AN$14-$AN$15)), "", (IF(OR(ISBLANK($AN$14), ISBLANK($AN$15)), "", $AN$14-$AN$15))) = ""), 499.987,IF(ISERROR(IF(OR(ISBLANK($AN$14), ISBLANK($AN$15)), "", $AN$14-$AN$15)), "", (IF(OR(ISBLANK($AN$14), ISBLANK($AN$15)), "", $AN$14-$AN$15))))</f>
        <v>457.01099999999997</v>
      </c>
      <c r="AO13">
        <f>IF(OR(ISBLANK(IF(ISERROR(IF(OR(ISBLANK($AO$14), ISBLANK($AO$15)), "", $AO$14-$AO$15)), "", (IF(OR(ISBLANK($AO$14), ISBLANK($AO$15)), "", $AO$14-$AO$15)))), IF(ISERROR(IF(OR(ISBLANK($AO$14), ISBLANK($AO$15)), "", $AO$14-$AO$15)), "", (IF(OR(ISBLANK($AO$14), ISBLANK($AO$15)), "", $AO$14-$AO$15))) = ""), 504.396,IF(ISERROR(IF(OR(ISBLANK($AO$14), ISBLANK($AO$15)), "", $AO$14-$AO$15)), "", (IF(OR(ISBLANK($AO$14), ISBLANK($AO$15)), "", $AO$14-$AO$15))))</f>
        <v>456.952</v>
      </c>
      <c r="AP13">
        <f>IF(OR(ISBLANK(IF(ISERROR(IF(OR(ISBLANK($AP$14), ISBLANK($AP$15)), "", $AP$14-$AP$15)), "", (IF(OR(ISBLANK($AP$14), ISBLANK($AP$15)), "", $AP$14-$AP$15)))), IF(ISERROR(IF(OR(ISBLANK($AP$14), ISBLANK($AP$15)), "", $AP$14-$AP$15)), "", (IF(OR(ISBLANK($AP$14), ISBLANK($AP$15)), "", $AP$14-$AP$15))) = ""), 516.045,IF(ISERROR(IF(OR(ISBLANK($AP$14), ISBLANK($AP$15)), "", $AP$14-$AP$15)), "", (IF(OR(ISBLANK($AP$14), ISBLANK($AP$15)), "", $AP$14-$AP$15))))</f>
        <v>559.16499999999996</v>
      </c>
      <c r="AQ13">
        <f>IF(OR(ISBLANK(IF(ISERROR(IF(OR(ISBLANK($AQ$14), ISBLANK($AQ$15)), "", $AQ$14-$AQ$15)), "", (IF(OR(ISBLANK($AQ$14), ISBLANK($AQ$15)), "", $AQ$14-$AQ$15)))), IF(ISERROR(IF(OR(ISBLANK($AQ$14), ISBLANK($AQ$15)), "", $AQ$14-$AQ$15)), "", (IF(OR(ISBLANK($AQ$14), ISBLANK($AQ$15)), "", $AQ$14-$AQ$15))) = ""), 512.45,IF(ISERROR(IF(OR(ISBLANK($AQ$14), ISBLANK($AQ$15)), "", $AQ$14-$AQ$15)), "", (IF(OR(ISBLANK($AQ$14), ISBLANK($AQ$15)), "", $AQ$14-$AQ$15))))</f>
        <v>517.49200000000008</v>
      </c>
      <c r="AR13">
        <f>IF(OR(ISBLANK(IF(ISERROR(IF(OR(ISBLANK($AR$14), ISBLANK($AR$15)), "", $AR$14-$AR$15)), "", (IF(OR(ISBLANK($AR$14), ISBLANK($AR$15)), "", $AR$14-$AR$15)))), IF(ISERROR(IF(OR(ISBLANK($AR$14), ISBLANK($AR$15)), "", $AR$14-$AR$15)), "", (IF(OR(ISBLANK($AR$14), ISBLANK($AR$15)), "", $AR$14-$AR$15))) = ""), 518.711,IF(ISERROR(IF(OR(ISBLANK($AR$14), ISBLANK($AR$15)), "", $AR$14-$AR$15)), "", (IF(OR(ISBLANK($AR$14), ISBLANK($AR$15)), "", $AR$14-$AR$15))))</f>
        <v>516.899</v>
      </c>
      <c r="AS13">
        <f>IF(OR(ISBLANK(IF(ISERROR(IF(OR(ISBLANK($AS$14), ISBLANK($AS$15)), "", $AS$14-$AS$15)), "", (IF(OR(ISBLANK($AS$14), ISBLANK($AS$15)), "", $AS$14-$AS$15)))), IF(ISERROR(IF(OR(ISBLANK($AS$14), ISBLANK($AS$15)), "", $AS$14-$AS$15)), "", (IF(OR(ISBLANK($AS$14), ISBLANK($AS$15)), "", $AS$14-$AS$15))) = ""), 523.889,IF(ISERROR(IF(OR(ISBLANK($AS$14), ISBLANK($AS$15)), "", $AS$14-$AS$15)), "", (IF(OR(ISBLANK($AS$14), ISBLANK($AS$15)), "", $AS$14-$AS$15))))</f>
        <v>490.59899999999993</v>
      </c>
      <c r="AT13">
        <f>IF(OR(ISBLANK(IF(ISERROR(IF(OR(ISBLANK($AT$14), ISBLANK($AT$15)), "", $AT$14-$AT$15)), "", (IF(OR(ISBLANK($AT$14), ISBLANK($AT$15)), "", $AT$14-$AT$15)))), IF(ISERROR(IF(OR(ISBLANK($AT$14), ISBLANK($AT$15)), "", $AT$14-$AT$15)), "", (IF(OR(ISBLANK($AT$14), ISBLANK($AT$15)), "", $AT$14-$AT$15))) = ""), 534.823,IF(ISERROR(IF(OR(ISBLANK($AT$14), ISBLANK($AT$15)), "", $AT$14-$AT$15)), "", (IF(OR(ISBLANK($AT$14), ISBLANK($AT$15)), "", $AT$14-$AT$15))))</f>
        <v>470.834</v>
      </c>
      <c r="AU13">
        <f>IF(OR(ISBLANK(IF(ISERROR(IF(OR(ISBLANK($AU$14), ISBLANK($AU$15)), "", $AU$14-$AU$15)), "", (IF(OR(ISBLANK($AU$14), ISBLANK($AU$15)), "", $AU$14-$AU$15)))), IF(ISERROR(IF(OR(ISBLANK($AU$14), ISBLANK($AU$15)), "", $AU$14-$AU$15)), "", (IF(OR(ISBLANK($AU$14), ISBLANK($AU$15)), "", $AU$14-$AU$15))) = ""), 517.517,IF(ISERROR(IF(OR(ISBLANK($AU$14), ISBLANK($AU$15)), "", $AU$14-$AU$15)), "", (IF(OR(ISBLANK($AU$14), ISBLANK($AU$15)), "", $AU$14-$AU$15))))</f>
        <v>504.92600000000004</v>
      </c>
      <c r="AV13">
        <f>IF(OR(ISBLANK(IF(ISERROR(IF(OR(ISBLANK($AV$14), ISBLANK($AV$15)), "", $AV$14-$AV$15)), "", (IF(OR(ISBLANK($AV$14), ISBLANK($AV$15)), "", $AV$14-$AV$15)))), IF(ISERROR(IF(OR(ISBLANK($AV$14), ISBLANK($AV$15)), "", $AV$14-$AV$15)), "", (IF(OR(ISBLANK($AV$14), ISBLANK($AV$15)), "", $AV$14-$AV$15))) = ""), 516.054,IF(ISERROR(IF(OR(ISBLANK($AV$14), ISBLANK($AV$15)), "", $AV$14-$AV$15)), "", (IF(OR(ISBLANK($AV$14), ISBLANK($AV$15)), "", $AV$14-$AV$15))))</f>
        <v>489.46800000000002</v>
      </c>
      <c r="AW13">
        <f>IF(OR(ISBLANK(IF(ISERROR(IF(OR(ISBLANK($AW$14), ISBLANK($AW$15)), "", $AW$14-$AW$15)), "", (IF(OR(ISBLANK($AW$14), ISBLANK($AW$15)), "", $AW$14-$AW$15)))), IF(ISERROR(IF(OR(ISBLANK($AW$14), ISBLANK($AW$15)), "", $AW$14-$AW$15)), "", (IF(OR(ISBLANK($AW$14), ISBLANK($AW$15)), "", $AW$14-$AW$15))) = ""), 529.331,IF(ISERROR(IF(OR(ISBLANK($AW$14), ISBLANK($AW$15)), "", $AW$14-$AW$15)), "", (IF(OR(ISBLANK($AW$14), ISBLANK($AW$15)), "", $AW$14-$AW$15))))</f>
        <v>494.01200000000006</v>
      </c>
      <c r="AX13">
        <f>IF(OR(ISBLANK(IF(ISERROR(IF(OR(ISBLANK($AX$14), ISBLANK($AX$15)), "", $AX$14-$AX$15)), "", (IF(OR(ISBLANK($AX$14), ISBLANK($AX$15)), "", $AX$14-$AX$15)))), IF(ISERROR(IF(OR(ISBLANK($AX$14), ISBLANK($AX$15)), "", $AX$14-$AX$15)), "", (IF(OR(ISBLANK($AX$14), ISBLANK($AX$15)), "", $AX$14-$AX$15))) = ""), 510.569,IF(ISERROR(IF(OR(ISBLANK($AX$14), ISBLANK($AX$15)), "", $AX$14-$AX$15)), "", (IF(OR(ISBLANK($AX$14), ISBLANK($AX$15)), "", $AX$14-$AX$15))))</f>
        <v>483.01</v>
      </c>
      <c r="AY13">
        <f>IF(OR(ISBLANK(IF(ISERROR(IF(OR(ISBLANK($AY$14), ISBLANK($AY$15)), "", $AY$14-$AY$15)), "", (IF(OR(ISBLANK($AY$14), ISBLANK($AY$15)), "", $AY$14-$AY$15)))), IF(ISERROR(IF(OR(ISBLANK($AY$14), ISBLANK($AY$15)), "", $AY$14-$AY$15)), "", (IF(OR(ISBLANK($AY$14), ISBLANK($AY$15)), "", $AY$14-$AY$15))) = ""), 517.209,IF(ISERROR(IF(OR(ISBLANK($AY$14), ISBLANK($AY$15)), "", $AY$14-$AY$15)), "", (IF(OR(ISBLANK($AY$14), ISBLANK($AY$15)), "", $AY$14-$AY$15))))</f>
        <v>499.98700000000002</v>
      </c>
      <c r="AZ13">
        <f>IF(OR(ISBLANK(IF(ISERROR(IF(OR(ISBLANK($AZ$14), ISBLANK($AZ$15)), "", $AZ$14-$AZ$15)), "", (IF(OR(ISBLANK($AZ$14), ISBLANK($AZ$15)), "", $AZ$14-$AZ$15)))), IF(ISERROR(IF(OR(ISBLANK($AZ$14), ISBLANK($AZ$15)), "", $AZ$14-$AZ$15)), "", (IF(OR(ISBLANK($AZ$14), ISBLANK($AZ$15)), "", $AZ$14-$AZ$15))) = ""), 524.086,IF(ISERROR(IF(OR(ISBLANK($AZ$14), ISBLANK($AZ$15)), "", $AZ$14-$AZ$15)), "", (IF(OR(ISBLANK($AZ$14), ISBLANK($AZ$15)), "", $AZ$14-$AZ$15))))</f>
        <v>504.39600000000007</v>
      </c>
      <c r="BA13">
        <f>IF(OR(ISBLANK(IF(ISERROR(IF(OR(ISBLANK($BA$14), ISBLANK($BA$15)), "", $BA$14-$BA$15)), "", (IF(OR(ISBLANK($BA$14), ISBLANK($BA$15)), "", $BA$14-$BA$15)))), IF(ISERROR(IF(OR(ISBLANK($BA$14), ISBLANK($BA$15)), "", $BA$14-$BA$15)), "", (IF(OR(ISBLANK($BA$14), ISBLANK($BA$15)), "", $BA$14-$BA$15))) = ""), 521.864,IF(ISERROR(IF(OR(ISBLANK($BA$14), ISBLANK($BA$15)), "", $BA$14-$BA$15)), "", (IF(OR(ISBLANK($BA$14), ISBLANK($BA$15)), "", $BA$14-$BA$15))))</f>
        <v>516.04500000000007</v>
      </c>
      <c r="BB13">
        <f>IF(OR(ISBLANK(IF(ISERROR(IF(OR(ISBLANK($BB$14), ISBLANK($BB$15)), "", $BB$14-$BB$15)), "", (IF(OR(ISBLANK($BB$14), ISBLANK($BB$15)), "", $BB$14-$BB$15)))), IF(ISERROR(IF(OR(ISBLANK($BB$14), ISBLANK($BB$15)), "", $BB$14-$BB$15)), "", (IF(OR(ISBLANK($BB$14), ISBLANK($BB$15)), "", $BB$14-$BB$15))) = ""), 525.805,IF(ISERROR(IF(OR(ISBLANK($BB$14), ISBLANK($BB$15)), "", $BB$14-$BB$15)), "", (IF(OR(ISBLANK($BB$14), ISBLANK($BB$15)), "", $BB$14-$BB$15))))</f>
        <v>512.45000000000005</v>
      </c>
      <c r="BC13">
        <f>IF(OR(ISBLANK(IF(ISERROR(IF(OR(ISBLANK($BC$14), ISBLANK($BC$15)), "", $BC$14-$BC$15)), "", (IF(OR(ISBLANK($BC$14), ISBLANK($BC$15)), "", $BC$14-$BC$15)))), IF(ISERROR(IF(OR(ISBLANK($BC$14), ISBLANK($BC$15)), "", $BC$14-$BC$15)), "", (IF(OR(ISBLANK($BC$14), ISBLANK($BC$15)), "", $BC$14-$BC$15))) = ""), 532.392,IF(ISERROR(IF(OR(ISBLANK($BC$14), ISBLANK($BC$15)), "", $BC$14-$BC$15)), "", (IF(OR(ISBLANK($BC$14), ISBLANK($BC$15)), "", $BC$14-$BC$15))))</f>
        <v>518.71100000000001</v>
      </c>
      <c r="BD13">
        <f>IF(OR(ISBLANK(IF(ISERROR(IF(OR(ISBLANK($BD$14), ISBLANK($BD$15)), "", $BD$14-$BD$15)), "", (IF(OR(ISBLANK($BD$14), ISBLANK($BD$15)), "", $BD$14-$BD$15)))), IF(ISERROR(IF(OR(ISBLANK($BD$14), ISBLANK($BD$15)), "", $BD$14-$BD$15)), "", (IF(OR(ISBLANK($BD$14), ISBLANK($BD$15)), "", $BD$14-$BD$15))) = ""), 513.215,IF(ISERROR(IF(OR(ISBLANK($BD$14), ISBLANK($BD$15)), "", $BD$14-$BD$15)), "", (IF(OR(ISBLANK($BD$14), ISBLANK($BD$15)), "", $BD$14-$BD$15))))</f>
        <v>523.88900000000001</v>
      </c>
      <c r="BE13">
        <f>IF(OR(ISBLANK(IF(ISERROR(IF(OR(ISBLANK($BE$14), ISBLANK($BE$15)), "", $BE$14-$BE$15)), "", (IF(OR(ISBLANK($BE$14), ISBLANK($BE$15)), "", $BE$14-$BE$15)))), IF(ISERROR(IF(OR(ISBLANK($BE$14), ISBLANK($BE$15)), "", $BE$14-$BE$15)), "", (IF(OR(ISBLANK($BE$14), ISBLANK($BE$15)), "", $BE$14-$BE$15))) = ""), 512.561,IF(ISERROR(IF(OR(ISBLANK($BE$14), ISBLANK($BE$15)), "", $BE$14-$BE$15)), "", (IF(OR(ISBLANK($BE$14), ISBLANK($BE$15)), "", $BE$14-$BE$15))))</f>
        <v>534.82300000000009</v>
      </c>
      <c r="BF13">
        <f>IF(OR(ISBLANK(IF(ISERROR(IF(OR(ISBLANK($BF$14), ISBLANK($BF$15)), "", $BF$14-$BF$15)), "", (IF(OR(ISBLANK($BF$14), ISBLANK($BF$15)), "", $BF$14-$BF$15)))), IF(ISERROR(IF(OR(ISBLANK($BF$14), ISBLANK($BF$15)), "", $BF$14-$BF$15)), "", (IF(OR(ISBLANK($BF$14), ISBLANK($BF$15)), "", $BF$14-$BF$15))) = ""), 535.024,IF(ISERROR(IF(OR(ISBLANK($BF$14), ISBLANK($BF$15)), "", $BF$14-$BF$15)), "", (IF(OR(ISBLANK($BF$14), ISBLANK($BF$15)), "", $BF$14-$BF$15))))</f>
        <v>517.51700000000005</v>
      </c>
      <c r="BG13">
        <f>IF(OR(ISBLANK(IF(ISERROR(IF(OR(ISBLANK($BG$14), ISBLANK($BG$15)), "", $BG$14-$BG$15)), "", (IF(OR(ISBLANK($BG$14), ISBLANK($BG$15)), "", $BG$14-$BG$15)))), IF(ISERROR(IF(OR(ISBLANK($BG$14), ISBLANK($BG$15)), "", $BG$14-$BG$15)), "", (IF(OR(ISBLANK($BG$14), ISBLANK($BG$15)), "", $BG$14-$BG$15))) = ""), 537.676,IF(ISERROR(IF(OR(ISBLANK($BG$14), ISBLANK($BG$15)), "", $BG$14-$BG$15)), "", (IF(OR(ISBLANK($BG$14), ISBLANK($BG$15)), "", $BG$14-$BG$15))))</f>
        <v>516.05399999999997</v>
      </c>
      <c r="BH13">
        <f>IF(OR(ISBLANK(IF(ISERROR(IF(OR(ISBLANK($BH$14), ISBLANK($BH$15)), "", $BH$14-$BH$15)), "", (IF(OR(ISBLANK($BH$14), ISBLANK($BH$15)), "", $BH$14-$BH$15)))), IF(ISERROR(IF(OR(ISBLANK($BH$14), ISBLANK($BH$15)), "", $BH$14-$BH$15)), "", (IF(OR(ISBLANK($BH$14), ISBLANK($BH$15)), "", $BH$14-$BH$15))) = ""), 536.798,IF(ISERROR(IF(OR(ISBLANK($BH$14), ISBLANK($BH$15)), "", $BH$14-$BH$15)), "", (IF(OR(ISBLANK($BH$14), ISBLANK($BH$15)), "", $BH$14-$BH$15))))</f>
        <v>529.3309999999999</v>
      </c>
      <c r="BI13">
        <f>IF(OR(ISBLANK(IF(ISERROR(IF(OR(ISBLANK($BI$14), ISBLANK($BI$15)), "", $BI$14-$BI$15)), "", (IF(OR(ISBLANK($BI$14), ISBLANK($BI$15)), "", $BI$14-$BI$15)))), IF(ISERROR(IF(OR(ISBLANK($BI$14), ISBLANK($BI$15)), "", $BI$14-$BI$15)), "", (IF(OR(ISBLANK($BI$14), ISBLANK($BI$15)), "", $BI$14-$BI$15))) = ""), 523.911,IF(ISERROR(IF(OR(ISBLANK($BI$14), ISBLANK($BI$15)), "", $BI$14-$BI$15)), "", (IF(OR(ISBLANK($BI$14), ISBLANK($BI$15)), "", $BI$14-$BI$15))))</f>
        <v>510.56900000000007</v>
      </c>
      <c r="BJ13">
        <f>IF(OR(ISBLANK(IF(ISERROR(IF(OR(ISBLANK($BJ$14), ISBLANK($BJ$15)), "", $BJ$14-$BJ$15)), "", (IF(OR(ISBLANK($BJ$14), ISBLANK($BJ$15)), "", $BJ$14-$BJ$15)))), IF(ISERROR(IF(OR(ISBLANK($BJ$14), ISBLANK($BJ$15)), "", $BJ$14-$BJ$15)), "", (IF(OR(ISBLANK($BJ$14), ISBLANK($BJ$15)), "", $BJ$14-$BJ$15))) = ""), 541.401,IF(ISERROR(IF(OR(ISBLANK($BJ$14), ISBLANK($BJ$15)), "", $BJ$14-$BJ$15)), "", (IF(OR(ISBLANK($BJ$14), ISBLANK($BJ$15)), "", $BJ$14-$BJ$15))))</f>
        <v>517.20900000000006</v>
      </c>
      <c r="BK13">
        <f>IF(OR(ISBLANK(IF(ISERROR(IF(OR(ISBLANK($BK$14), ISBLANK($BK$15)), "", $BK$14-$BK$15)), "", (IF(OR(ISBLANK($BK$14), ISBLANK($BK$15)), "", $BK$14-$BK$15)))), IF(ISERROR(IF(OR(ISBLANK($BK$14), ISBLANK($BK$15)), "", $BK$14-$BK$15)), "", (IF(OR(ISBLANK($BK$14), ISBLANK($BK$15)), "", $BK$14-$BK$15))) = ""), 553.386,IF(ISERROR(IF(OR(ISBLANK($BK$14), ISBLANK($BK$15)), "", $BK$14-$BK$15)), "", (IF(OR(ISBLANK($BK$14), ISBLANK($BK$15)), "", $BK$14-$BK$15))))</f>
        <v>524.08600000000001</v>
      </c>
      <c r="BL13">
        <f>IF(OR(ISBLANK(IF(ISERROR(IF(OR(ISBLANK($BL$14), ISBLANK($BL$15)), "", $BL$14-$BL$15)), "", (IF(OR(ISBLANK($BL$14), ISBLANK($BL$15)), "", $BL$14-$BL$15)))), IF(ISERROR(IF(OR(ISBLANK($BL$14), ISBLANK($BL$15)), "", $BL$14-$BL$15)), "", (IF(OR(ISBLANK($BL$14), ISBLANK($BL$15)), "", $BL$14-$BL$15))) = ""), 552.563,IF(ISERROR(IF(OR(ISBLANK($BL$14), ISBLANK($BL$15)), "", $BL$14-$BL$15)), "", (IF(OR(ISBLANK($BL$14), ISBLANK($BL$15)), "", $BL$14-$BL$15))))</f>
        <v>521.86399999999992</v>
      </c>
      <c r="BM13">
        <f>IF(OR(ISBLANK(IF(ISERROR(IF(OR(ISBLANK($BM$14), ISBLANK($BM$15)), "", $BM$14-$BM$15)), "", (IF(OR(ISBLANK($BM$14), ISBLANK($BM$15)), "", $BM$14-$BM$15)))), IF(ISERROR(IF(OR(ISBLANK($BM$14), ISBLANK($BM$15)), "", $BM$14-$BM$15)), "", (IF(OR(ISBLANK($BM$14), ISBLANK($BM$15)), "", $BM$14-$BM$15))) = ""), 554.147,IF(ISERROR(IF(OR(ISBLANK($BM$14), ISBLANK($BM$15)), "", $BM$14-$BM$15)), "", (IF(OR(ISBLANK($BM$14), ISBLANK($BM$15)), "", $BM$14-$BM$15))))</f>
        <v>525.80499999999995</v>
      </c>
      <c r="BN13">
        <f>IF(OR(ISBLANK(IF(ISERROR(IF(OR(ISBLANK($BN$14), ISBLANK($BN$15)), "", $BN$14-$BN$15)), "", (IF(OR(ISBLANK($BN$14), ISBLANK($BN$15)), "", $BN$14-$BN$15)))), IF(ISERROR(IF(OR(ISBLANK($BN$14), ISBLANK($BN$15)), "", $BN$14-$BN$15)), "", (IF(OR(ISBLANK($BN$14), ISBLANK($BN$15)), "", $BN$14-$BN$15))) = ""), 519.511,IF(ISERROR(IF(OR(ISBLANK($BN$14), ISBLANK($BN$15)), "", $BN$14-$BN$15)), "", (IF(OR(ISBLANK($BN$14), ISBLANK($BN$15)), "", $BN$14-$BN$15))))</f>
        <v>532.39200000000005</v>
      </c>
      <c r="BO13">
        <f>IF(OR(ISBLANK(IF(ISERROR(IF(OR(ISBLANK($BO$14), ISBLANK($BO$15)), "", $BO$14-$BO$15)), "", (IF(OR(ISBLANK($BO$14), ISBLANK($BO$15)), "", $BO$14-$BO$15)))), IF(ISERROR(IF(OR(ISBLANK($BO$14), ISBLANK($BO$15)), "", $BO$14-$BO$15)), "", (IF(OR(ISBLANK($BO$14), ISBLANK($BO$15)), "", $BO$14-$BO$15))) = ""), 540.036,IF(ISERROR(IF(OR(ISBLANK($BO$14), ISBLANK($BO$15)), "", $BO$14-$BO$15)), "", (IF(OR(ISBLANK($BO$14), ISBLANK($BO$15)), "", $BO$14-$BO$15))))</f>
        <v>513.21500000000003</v>
      </c>
      <c r="BP13">
        <f>IF(OR(ISBLANK(IF(ISERROR(IF(OR(ISBLANK($BP$14), ISBLANK($BP$15)), "", $BP$14-$BP$15)), "", (IF(OR(ISBLANK($BP$14), ISBLANK($BP$15)), "", $BP$14-$BP$15)))), IF(ISERROR(IF(OR(ISBLANK($BP$14), ISBLANK($BP$15)), "", $BP$14-$BP$15)), "", (IF(OR(ISBLANK($BP$14), ISBLANK($BP$15)), "", $BP$14-$BP$15))) = ""), 558.147,IF(ISERROR(IF(OR(ISBLANK($BP$14), ISBLANK($BP$15)), "", $BP$14-$BP$15)), "", (IF(OR(ISBLANK($BP$14), ISBLANK($BP$15)), "", $BP$14-$BP$15))))</f>
        <v>512.56100000000004</v>
      </c>
      <c r="BQ13">
        <f>IF(OR(ISBLANK(IF(ISERROR(IF(OR(ISBLANK($BQ$14), ISBLANK($BQ$15)), "", $BQ$14-$BQ$15)), "", (IF(OR(ISBLANK($BQ$14), ISBLANK($BQ$15)), "", $BQ$14-$BQ$15)))), IF(ISERROR(IF(OR(ISBLANK($BQ$14), ISBLANK($BQ$15)), "", $BQ$14-$BQ$15)), "", (IF(OR(ISBLANK($BQ$14), ISBLANK($BQ$15)), "", $BQ$14-$BQ$15))) = ""), 558.196,IF(ISERROR(IF(OR(ISBLANK($BQ$14), ISBLANK($BQ$15)), "", $BQ$14-$BQ$15)), "", (IF(OR(ISBLANK($BQ$14), ISBLANK($BQ$15)), "", $BQ$14-$BQ$15))))</f>
        <v>535.02399999999989</v>
      </c>
      <c r="BR13">
        <f>IF(OR(ISBLANK(IF(ISERROR(IF(OR(ISBLANK($BR$14), ISBLANK($BR$15)), "", $BR$14-$BR$15)), "", (IF(OR(ISBLANK($BR$14), ISBLANK($BR$15)), "", $BR$14-$BR$15)))), IF(ISERROR(IF(OR(ISBLANK($BR$14), ISBLANK($BR$15)), "", $BR$14-$BR$15)), "", (IF(OR(ISBLANK($BR$14), ISBLANK($BR$15)), "", $BR$14-$BR$15))) = ""), 556.241,IF(ISERROR(IF(OR(ISBLANK($BR$14), ISBLANK($BR$15)), "", $BR$14-$BR$15)), "", (IF(OR(ISBLANK($BR$14), ISBLANK($BR$15)), "", $BR$14-$BR$15))))</f>
        <v>537.67599999999993</v>
      </c>
      <c r="BS13">
        <f>IF(OR(ISBLANK(IF(ISERROR(IF(OR(ISBLANK($BS$14), ISBLANK($BS$15)), "", $BS$14-$BS$15)), "", (IF(OR(ISBLANK($BS$14), ISBLANK($BS$15)), "", $BS$14-$BS$15)))), IF(ISERROR(IF(OR(ISBLANK($BS$14), ISBLANK($BS$15)), "", $BS$14-$BS$15)), "", (IF(OR(ISBLANK($BS$14), ISBLANK($BS$15)), "", $BS$14-$BS$15))) = ""), 553.034,IF(ISERROR(IF(OR(ISBLANK($BS$14), ISBLANK($BS$15)), "", $BS$14-$BS$15)), "", (IF(OR(ISBLANK($BS$14), ISBLANK($BS$15)), "", $BS$14-$BS$15))))</f>
        <v>536.798</v>
      </c>
      <c r="BT13">
        <f>IF(OR(ISBLANK(IF(ISERROR(IF(OR(ISBLANK($BT$14), ISBLANK($BT$15)), "", $BT$14-$BT$15)), "", (IF(OR(ISBLANK($BT$14), ISBLANK($BT$15)), "", $BT$14-$BT$15)))), IF(ISERROR(IF(OR(ISBLANK($BT$14), ISBLANK($BT$15)), "", $BT$14-$BT$15)), "", (IF(OR(ISBLANK($BT$14), ISBLANK($BT$15)), "", $BT$14-$BT$15))) = ""), 573.089,IF(ISERROR(IF(OR(ISBLANK($BT$14), ISBLANK($BT$15)), "", $BT$14-$BT$15)), "", (IF(OR(ISBLANK($BT$14), ISBLANK($BT$15)), "", $BT$14-$BT$15))))</f>
        <v>523.91100000000006</v>
      </c>
      <c r="BU13">
        <f>IF(OR(ISBLANK(IF(ISERROR(IF(OR(ISBLANK($BU$14), ISBLANK($BU$15)), "", $BU$14-$BU$15)), "", (IF(OR(ISBLANK($BU$14), ISBLANK($BU$15)), "", $BU$14-$BU$15)))), IF(ISERROR(IF(OR(ISBLANK($BU$14), ISBLANK($BU$15)), "", $BU$14-$BU$15)), "", (IF(OR(ISBLANK($BU$14), ISBLANK($BU$15)), "", $BU$14-$BU$15))) = ""), 581.536,IF(ISERROR(IF(OR(ISBLANK($BU$14), ISBLANK($BU$15)), "", $BU$14-$BU$15)), "", (IF(OR(ISBLANK($BU$14), ISBLANK($BU$15)), "", $BU$14-$BU$15))))</f>
        <v>541.40100000000007</v>
      </c>
      <c r="BV13">
        <f>IF(OR(ISBLANK(IF(ISERROR(IF(OR(ISBLANK($BV$14), ISBLANK($BV$15)), "", $BV$14-$BV$15)), "", (IF(OR(ISBLANK($BV$14), ISBLANK($BV$15)), "", $BV$14-$BV$15)))), IF(ISERROR(IF(OR(ISBLANK($BV$14), ISBLANK($BV$15)), "", $BV$14-$BV$15)), "", (IF(OR(ISBLANK($BV$14), ISBLANK($BV$15)), "", $BV$14-$BV$15))) = ""), 591.352,IF(ISERROR(IF(OR(ISBLANK($BV$14), ISBLANK($BV$15)), "", $BV$14-$BV$15)), "", (IF(OR(ISBLANK($BV$14), ISBLANK($BV$15)), "", $BV$14-$BV$15))))</f>
        <v>553.38599999999997</v>
      </c>
      <c r="BW13">
        <f>IF(OR(ISBLANK(IF(ISERROR(IF(OR(ISBLANK($BW$14), ISBLANK($BW$15)), "", $BW$14-$BW$15)), "", (IF(OR(ISBLANK($BW$14), ISBLANK($BW$15)), "", $BW$14-$BW$15)))), IF(ISERROR(IF(OR(ISBLANK($BW$14), ISBLANK($BW$15)), "", $BW$14-$BW$15)), "", (IF(OR(ISBLANK($BW$14), ISBLANK($BW$15)), "", $BW$14-$BW$15))) = ""), 595.791,IF(ISERROR(IF(OR(ISBLANK($BW$14), ISBLANK($BW$15)), "", $BW$14-$BW$15)), "", (IF(OR(ISBLANK($BW$14), ISBLANK($BW$15)), "", $BW$14-$BW$15))))</f>
        <v>552.5630000000001</v>
      </c>
      <c r="BX13">
        <f>IF(OR(ISBLANK(IF(ISERROR(IF(OR(ISBLANK($BX$14), ISBLANK($BX$15)), "", $BX$14-$BX$15)), "", (IF(OR(ISBLANK($BX$14), ISBLANK($BX$15)), "", $BX$14-$BX$15)))), IF(ISERROR(IF(OR(ISBLANK($BX$14), ISBLANK($BX$15)), "", $BX$14-$BX$15)), "", (IF(OR(ISBLANK($BX$14), ISBLANK($BX$15)), "", $BX$14-$BX$15))) = ""), 636.481,IF(ISERROR(IF(OR(ISBLANK($BX$14), ISBLANK($BX$15)), "", $BX$14-$BX$15)), "", (IF(OR(ISBLANK($BX$14), ISBLANK($BX$15)), "", $BX$14-$BX$15))))</f>
        <v>554.14699999999993</v>
      </c>
      <c r="BY13">
        <f>IF(OR(ISBLANK(IF(ISERROR(IF(OR(ISBLANK($BY$14), ISBLANK($BY$15)), "", $BY$14-$BY$15)), "", (IF(OR(ISBLANK($BY$14), ISBLANK($BY$15)), "", $BY$14-$BY$15)))), IF(ISERROR(IF(OR(ISBLANK($BY$14), ISBLANK($BY$15)), "", $BY$14-$BY$15)), "", (IF(OR(ISBLANK($BY$14), ISBLANK($BY$15)), "", $BY$14-$BY$15))) = ""), 673.217,IF(ISERROR(IF(OR(ISBLANK($BY$14), ISBLANK($BY$15)), "", $BY$14-$BY$15)), "", (IF(OR(ISBLANK($BY$14), ISBLANK($BY$15)), "", $BY$14-$BY$15))))</f>
        <v>519.51099999999997</v>
      </c>
      <c r="BZ13">
        <f>IF(OR(ISBLANK(IF(ISERROR(IF(OR(ISBLANK($BZ$14), ISBLANK($BZ$15)), "", $BZ$14-$BZ$15)), "", (IF(OR(ISBLANK($BZ$14), ISBLANK($BZ$15)), "", $BZ$14-$BZ$15)))), IF(ISERROR(IF(OR(ISBLANK($BZ$14), ISBLANK($BZ$15)), "", $BZ$14-$BZ$15)), "", (IF(OR(ISBLANK($BZ$14), ISBLANK($BZ$15)), "", $BZ$14-$BZ$15))) = ""), 653.969,IF(ISERROR(IF(OR(ISBLANK($BZ$14), ISBLANK($BZ$15)), "", $BZ$14-$BZ$15)), "", (IF(OR(ISBLANK($BZ$14), ISBLANK($BZ$15)), "", $BZ$14-$BZ$15))))</f>
        <v>540.03599999999983</v>
      </c>
      <c r="CA13">
        <f>IF(OR(ISBLANK(IF(ISERROR(IF(OR(ISBLANK($CA$14), ISBLANK($CA$15)), "", $CA$14-$CA$15)), "", (IF(OR(ISBLANK($CA$14), ISBLANK($CA$15)), "", $CA$14-$CA$15)))), IF(ISERROR(IF(OR(ISBLANK($CA$14), ISBLANK($CA$15)), "", $CA$14-$CA$15)), "", (IF(OR(ISBLANK($CA$14), ISBLANK($CA$15)), "", $CA$14-$CA$15))) = ""), 625.694,IF(ISERROR(IF(OR(ISBLANK($CA$14), ISBLANK($CA$15)), "", $CA$14-$CA$15)), "", (IF(OR(ISBLANK($CA$14), ISBLANK($CA$15)), "", $CA$14-$CA$15))))</f>
        <v>558.14700000000005</v>
      </c>
      <c r="CB13">
        <f>IF(OR(ISBLANK(IF(ISERROR(IF(OR(ISBLANK($CB$14), ISBLANK($CB$15)), "", $CB$14-$CB$15)), "", (IF(OR(ISBLANK($CB$14), ISBLANK($CB$15)), "", $CB$14-$CB$15)))), IF(ISERROR(IF(OR(ISBLANK($CB$14), ISBLANK($CB$15)), "", $CB$14-$CB$15)), "", (IF(OR(ISBLANK($CB$14), ISBLANK($CB$15)), "", $CB$14-$CB$15))) = ""), 740.159,IF(ISERROR(IF(OR(ISBLANK($CB$14), ISBLANK($CB$15)), "", $CB$14-$CB$15)), "", (IF(OR(ISBLANK($CB$14), ISBLANK($CB$15)), "", $CB$14-$CB$15))))</f>
        <v>558.19599999999991</v>
      </c>
      <c r="CC13">
        <f>IF(OR(ISBLANK(IF(ISERROR(IF(OR(ISBLANK($CC$14), ISBLANK($CC$15)), "", $CC$14-$CC$15)), "", (IF(OR(ISBLANK($CC$14), ISBLANK($CC$15)), "", $CC$14-$CC$15)))), IF(ISERROR(IF(OR(ISBLANK($CC$14), ISBLANK($CC$15)), "", $CC$14-$CC$15)), "", (IF(OR(ISBLANK($CC$14), ISBLANK($CC$15)), "", $CC$14-$CC$15))) = ""), 757.938,IF(ISERROR(IF(OR(ISBLANK($CC$14), ISBLANK($CC$15)), "", $CC$14-$CC$15)), "", (IF(OR(ISBLANK($CC$14), ISBLANK($CC$15)), "", $CC$14-$CC$15))))</f>
        <v>556.24099999999999</v>
      </c>
      <c r="CD13">
        <f>IF(OR(ISBLANK(IF(ISERROR(IF(OR(ISBLANK($CD$14), ISBLANK($CD$15)), "", $CD$14-$CD$15)), "", (IF(OR(ISBLANK($CD$14), ISBLANK($CD$15)), "", $CD$14-$CD$15)))), IF(ISERROR(IF(OR(ISBLANK($CD$14), ISBLANK($CD$15)), "", $CD$14-$CD$15)), "", (IF(OR(ISBLANK($CD$14), ISBLANK($CD$15)), "", $CD$14-$CD$15))) = ""), 681.79,IF(ISERROR(IF(OR(ISBLANK($CD$14), ISBLANK($CD$15)), "", $CD$14-$CD$15)), "", (IF(OR(ISBLANK($CD$14), ISBLANK($CD$15)), "", $CD$14-$CD$15))))</f>
        <v>553.03399999999999</v>
      </c>
      <c r="CE13">
        <f>IF(OR(ISBLANK(IF(ISERROR(IF(OR(ISBLANK($CE$14), ISBLANK($CE$15)), "", $CE$14-$CE$15)), "", (IF(OR(ISBLANK($CE$14), ISBLANK($CE$15)), "", $CE$14-$CE$15)))), IF(ISERROR(IF(OR(ISBLANK($CE$14), ISBLANK($CE$15)), "", $CE$14-$CE$15)), "", (IF(OR(ISBLANK($CE$14), ISBLANK($CE$15)), "", $CE$14-$CE$15))) = ""), 655.263,IF(ISERROR(IF(OR(ISBLANK($CE$14), ISBLANK($CE$15)), "", $CE$14-$CE$15)), "", (IF(OR(ISBLANK($CE$14), ISBLANK($CE$15)), "", $CE$14-$CE$15))))</f>
        <v>573.08900000000006</v>
      </c>
      <c r="CF13">
        <f>IF(OR(ISBLANK(IF(ISERROR(IF(OR(ISBLANK($CF$14), ISBLANK($CF$15)), "", $CF$14-$CF$15)), "", (IF(OR(ISBLANK($CF$14), ISBLANK($CF$15)), "", $CF$14-$CF$15)))), IF(ISERROR(IF(OR(ISBLANK($CF$14), ISBLANK($CF$15)), "", $CF$14-$CF$15)), "", (IF(OR(ISBLANK($CF$14), ISBLANK($CF$15)), "", $CF$14-$CF$15))) = ""), 669.046,IF(ISERROR(IF(OR(ISBLANK($CF$14), ISBLANK($CF$15)), "", $CF$14-$CF$15)), "", (IF(OR(ISBLANK($CF$14), ISBLANK($CF$15)), "", $CF$14-$CF$15))))</f>
        <v>581.53600000000006</v>
      </c>
      <c r="CG13">
        <f>IF(OR(ISBLANK(IF(ISERROR(IF(OR(ISBLANK($CG$14), ISBLANK($CG$15)), "", $CG$14-$CG$15)), "", (IF(OR(ISBLANK($CG$14), ISBLANK($CG$15)), "", $CG$14-$CG$15)))), IF(ISERROR(IF(OR(ISBLANK($CG$14), ISBLANK($CG$15)), "", $CG$14-$CG$15)), "", (IF(OR(ISBLANK($CG$14), ISBLANK($CG$15)), "", $CG$14-$CG$15))) = ""), 684.004,IF(ISERROR(IF(OR(ISBLANK($CG$14), ISBLANK($CG$15)), "", $CG$14-$CG$15)), "", (IF(OR(ISBLANK($CG$14), ISBLANK($CG$15)), "", $CG$14-$CG$15))))</f>
        <v>591.35200000000009</v>
      </c>
    </row>
    <row r="14" spans="1:85" x14ac:dyDescent="0.25">
      <c r="A14" t="str">
        <f>"    Gross Lending to Euro Area Credit Institutions"</f>
        <v xml:space="preserve">    Gross Lending to Euro Area Credit Institutions</v>
      </c>
      <c r="B14" t="str">
        <f>"EBBSA050 Index"</f>
        <v>EBBSA050 Index</v>
      </c>
      <c r="C14" t="str">
        <f>"PR005"</f>
        <v>PR005</v>
      </c>
      <c r="D14" t="str">
        <f>"PX_LAST"</f>
        <v>PX_LAST</v>
      </c>
      <c r="E14" t="str">
        <f>"Dynamic"</f>
        <v>Dynamic</v>
      </c>
      <c r="F14" t="e">
        <f ca="1">IF(OR(ISBLANK($F$115), $F$115 = ""), "",$F$115)</f>
        <v>#N/A</v>
      </c>
      <c r="G14">
        <f>IF(OR(ISBLANK($G$115), $G$115 = ""), "",$G$115)</f>
        <v>492.726</v>
      </c>
      <c r="H14">
        <f>IF(OR(ISBLANK($H$115), $H$115 = ""), 607.617,$H$115)</f>
        <v>517.57799999999997</v>
      </c>
      <c r="I14">
        <f>IF(OR(ISBLANK($I$115), $I$115 = ""), 653.28,$I$115)</f>
        <v>497.63600000000002</v>
      </c>
      <c r="J14">
        <f>IF(OR(ISBLANK($J$115), $J$115 = ""), 679.749,$J$115)</f>
        <v>501.03100000000001</v>
      </c>
      <c r="K14">
        <f>IF(OR(ISBLANK($K$115), $K$115 = ""), 640.039,$K$115)</f>
        <v>504.91199999999998</v>
      </c>
      <c r="L14">
        <f>IF(OR(ISBLANK($L$115), $L$115 = ""), 651.477,$L$115)</f>
        <v>533.53499999999997</v>
      </c>
      <c r="M14">
        <f>IF(OR(ISBLANK($M$115), $M$115 = ""), 642.356,$M$115)</f>
        <v>507.81900000000002</v>
      </c>
      <c r="N14">
        <f>IF(OR(ISBLANK($N$115), $N$115 = ""), 688.342,$N$115)</f>
        <v>531.68299999999999</v>
      </c>
      <c r="O14">
        <f>IF(OR(ISBLANK($O$115), $O$115 = ""), 638.141,$O$115)</f>
        <v>529.16200000000003</v>
      </c>
      <c r="P14">
        <f>IF(OR(ISBLANK($P$115), $P$115 = ""), 636.308,$P$115)</f>
        <v>545.9</v>
      </c>
      <c r="Q14">
        <f>IF(OR(ISBLANK($Q$115), $Q$115 = ""), 636.727,$Q$115)</f>
        <v>568.37300000000005</v>
      </c>
      <c r="R14">
        <f>IF(OR(ISBLANK($R$115), $R$115 = ""), 627.351,$R$115)</f>
        <v>565.01900000000001</v>
      </c>
      <c r="S14">
        <f>IF(OR(ISBLANK($S$115), $S$115 = ""), 640.766,$S$115)</f>
        <v>607.61699999999996</v>
      </c>
      <c r="T14">
        <f>IF(OR(ISBLANK($T$115), $T$115 = ""), 644.074,$T$115)</f>
        <v>653.28</v>
      </c>
      <c r="U14">
        <f>IF(OR(ISBLANK($U$115), $U$115 = ""), 648.892,$U$115)</f>
        <v>679.74900000000002</v>
      </c>
      <c r="V14">
        <f>IF(OR(ISBLANK($V$115), $V$115 = ""), 654.015,$V$115)</f>
        <v>640.03899999999999</v>
      </c>
      <c r="W14">
        <f>IF(OR(ISBLANK($W$115), $W$115 = ""), 664.508,$W$115)</f>
        <v>651.47699999999998</v>
      </c>
      <c r="X14">
        <f>IF(OR(ISBLANK($X$115), $X$115 = ""), 665.226,$X$115)</f>
        <v>642.35599999999999</v>
      </c>
      <c r="Y14">
        <f>IF(OR(ISBLANK($Y$115), $Y$115 = ""), 666.608,$Y$115)</f>
        <v>688.34199999999998</v>
      </c>
      <c r="Z14">
        <f>IF(OR(ISBLANK($Z$115), $Z$115 = ""), 671.271,$Z$115)</f>
        <v>638.14099999999996</v>
      </c>
      <c r="AA14">
        <f>IF(OR(ISBLANK($AA$115), $AA$115 = ""), 691.934,$AA$115)</f>
        <v>636.30799999999999</v>
      </c>
      <c r="AB14">
        <f>IF(OR(ISBLANK($AB$115), $AB$115 = ""), 693.177,$AB$115)</f>
        <v>636.72699999999998</v>
      </c>
      <c r="AC14">
        <f>IF(OR(ISBLANK($AC$115), $AC$115 = ""), 672.56,$AC$115)</f>
        <v>627.351</v>
      </c>
      <c r="AD14">
        <f>IF(OR(ISBLANK($AD$115), $AD$115 = ""), 695.884,$AD$115)</f>
        <v>640.76599999999996</v>
      </c>
      <c r="AE14">
        <f>IF(OR(ISBLANK($AE$115), $AE$115 = ""), 752.259,$AE$115)</f>
        <v>644.07399999999996</v>
      </c>
      <c r="AF14">
        <f>IF(OR(ISBLANK($AF$115), $AF$115 = ""), 717.142,$AF$115)</f>
        <v>648.89200000000005</v>
      </c>
      <c r="AG14">
        <f>IF(OR(ISBLANK($AG$115), $AG$115 = ""), 723.303,$AG$115)</f>
        <v>654.01499999999999</v>
      </c>
      <c r="AH14">
        <f>IF(OR(ISBLANK($AH$115), $AH$115 = ""), 713.016,$AH$115)</f>
        <v>664.50800000000004</v>
      </c>
      <c r="AI14">
        <f>IF(OR(ISBLANK($AI$115), $AI$115 = ""), 709.297,$AI$115)</f>
        <v>665.226</v>
      </c>
      <c r="AJ14">
        <f>IF(OR(ISBLANK($AJ$115), $AJ$115 = ""), 719.033,$AJ$115)</f>
        <v>666.60799999999995</v>
      </c>
      <c r="AK14">
        <f>IF(OR(ISBLANK($AK$115), $AK$115 = ""), 717.615,$AK$115)</f>
        <v>671.27099999999996</v>
      </c>
      <c r="AL14">
        <f>IF(OR(ISBLANK($AL$115), $AL$115 = ""), 721.884,$AL$115)</f>
        <v>691.93399999999997</v>
      </c>
      <c r="AM14">
        <f>IF(OR(ISBLANK($AM$115), $AM$115 = ""), 729.686,$AM$115)</f>
        <v>693.17700000000002</v>
      </c>
      <c r="AN14">
        <f>IF(OR(ISBLANK($AN$115), $AN$115 = ""), 740.153,$AN$115)</f>
        <v>672.56</v>
      </c>
      <c r="AO14">
        <f>IF(OR(ISBLANK($AO$115), $AO$115 = ""), 743.902,$AO$115)</f>
        <v>695.88400000000001</v>
      </c>
      <c r="AP14">
        <f>IF(OR(ISBLANK($AP$115), $AP$115 = ""), 749.73,$AP$115)</f>
        <v>752.25900000000001</v>
      </c>
      <c r="AQ14">
        <f>IF(OR(ISBLANK($AQ$115), $AQ$115 = ""), 753.023,$AQ$115)</f>
        <v>717.14200000000005</v>
      </c>
      <c r="AR14">
        <f>IF(OR(ISBLANK($AR$115), $AR$115 = ""), 761.567,$AR$115)</f>
        <v>723.303</v>
      </c>
      <c r="AS14">
        <f>IF(OR(ISBLANK($AS$115), $AS$115 = ""), 767.304,$AS$115)</f>
        <v>713.01599999999996</v>
      </c>
      <c r="AT14">
        <f>IF(OR(ISBLANK($AT$115), $AT$115 = ""), 775.417,$AT$115)</f>
        <v>709.29700000000003</v>
      </c>
      <c r="AU14">
        <f>IF(OR(ISBLANK($AU$115), $AU$115 = ""), 779.495,$AU$115)</f>
        <v>719.03300000000002</v>
      </c>
      <c r="AV14">
        <f>IF(OR(ISBLANK($AV$115), $AV$115 = ""), 786.512,$AV$115)</f>
        <v>717.61500000000001</v>
      </c>
      <c r="AW14">
        <f>IF(OR(ISBLANK($AW$115), $AW$115 = ""), 790.549,$AW$115)</f>
        <v>721.88400000000001</v>
      </c>
      <c r="AX14">
        <f>IF(OR(ISBLANK($AX$115), $AX$115 = ""), 790.349,$AX$115)</f>
        <v>729.68600000000004</v>
      </c>
      <c r="AY14">
        <f>IF(OR(ISBLANK($AY$115), $AY$115 = ""), 790.931,$AY$115)</f>
        <v>740.15300000000002</v>
      </c>
      <c r="AZ14">
        <f>IF(OR(ISBLANK($AZ$115), $AZ$115 = ""), 793.6,$AZ$115)</f>
        <v>743.90200000000004</v>
      </c>
      <c r="BA14">
        <f>IF(OR(ISBLANK($BA$115), $BA$115 = ""), 804.92,$BA$115)</f>
        <v>749.73</v>
      </c>
      <c r="BB14">
        <f>IF(OR(ISBLANK($BB$115), $BB$115 = ""), 800.574,$BB$115)</f>
        <v>753.02300000000002</v>
      </c>
      <c r="BC14">
        <f>IF(OR(ISBLANK($BC$115), $BC$115 = ""), 804.371,$BC$115)</f>
        <v>761.56700000000001</v>
      </c>
      <c r="BD14">
        <f>IF(OR(ISBLANK($BD$115), $BD$115 = ""), 803.34,$BD$115)</f>
        <v>767.30399999999997</v>
      </c>
      <c r="BE14">
        <f>IF(OR(ISBLANK($BE$115), $BE$115 = ""), 811.424,$BE$115)</f>
        <v>775.41700000000003</v>
      </c>
      <c r="BF14">
        <f>IF(OR(ISBLANK($BF$115), $BF$115 = ""), 822.689,$BF$115)</f>
        <v>779.495</v>
      </c>
      <c r="BG14">
        <f>IF(OR(ISBLANK($BG$115), $BG$115 = ""), 815.645,$BG$115)</f>
        <v>786.51199999999994</v>
      </c>
      <c r="BH14">
        <f>IF(OR(ISBLANK($BH$115), $BH$115 = ""), 821.785,$BH$115)</f>
        <v>790.54899999999998</v>
      </c>
      <c r="BI14">
        <f>IF(OR(ISBLANK($BI$115), $BI$115 = ""), 821.899,$BI$115)</f>
        <v>790.34900000000005</v>
      </c>
      <c r="BJ14">
        <f>IF(OR(ISBLANK($BJ$115), $BJ$115 = ""), 824.113,$BJ$115)</f>
        <v>790.93100000000004</v>
      </c>
      <c r="BK14">
        <f>IF(OR(ISBLANK($BK$115), $BK$115 = ""), 835.423,$BK$115)</f>
        <v>793.6</v>
      </c>
      <c r="BL14">
        <f>IF(OR(ISBLANK($BL$115), $BL$115 = ""), 836.609,$BL$115)</f>
        <v>804.92</v>
      </c>
      <c r="BM14">
        <f>IF(OR(ISBLANK($BM$115), $BM$115 = ""), 850.486,$BM$115)</f>
        <v>800.57399999999996</v>
      </c>
      <c r="BN14">
        <f>IF(OR(ISBLANK($BN$115), $BN$115 = ""), 846.437,$BN$115)</f>
        <v>804.37099999999998</v>
      </c>
      <c r="BO14">
        <f>IF(OR(ISBLANK($BO$115), $BO$115 = ""), 852.233,$BO$115)</f>
        <v>803.34</v>
      </c>
      <c r="BP14">
        <f>IF(OR(ISBLANK($BP$115), $BP$115 = ""), 869.916,$BP$115)</f>
        <v>811.42399999999998</v>
      </c>
      <c r="BQ14">
        <f>IF(OR(ISBLANK($BQ$115), $BQ$115 = ""), 884.212,$BQ$115)</f>
        <v>822.68899999999996</v>
      </c>
      <c r="BR14">
        <f>IF(OR(ISBLANK($BR$115), $BR$115 = ""), 896.763,$BR$115)</f>
        <v>815.64499999999998</v>
      </c>
      <c r="BS14">
        <f>IF(OR(ISBLANK($BS$115), $BS$115 = ""), 903.619,$BS$115)</f>
        <v>821.78499999999997</v>
      </c>
      <c r="BT14">
        <f>IF(OR(ISBLANK($BT$115), $BT$115 = ""), 906.244,$BT$115)</f>
        <v>821.899</v>
      </c>
      <c r="BU14">
        <f>IF(OR(ISBLANK($BU$115), $BU$115 = ""), 920.791,$BU$115)</f>
        <v>824.11300000000006</v>
      </c>
      <c r="BV14">
        <f>IF(OR(ISBLANK($BV$115), $BV$115 = ""), 931.808,$BV$115)</f>
        <v>835.423</v>
      </c>
      <c r="BW14">
        <f>IF(OR(ISBLANK($BW$115), $BW$115 = ""), 946.086,$BW$115)</f>
        <v>836.60900000000004</v>
      </c>
      <c r="BX14">
        <f>IF(OR(ISBLANK($BX$115), $BX$115 = ""), 1008.537,$BX$115)</f>
        <v>850.48599999999999</v>
      </c>
      <c r="BY14">
        <f>IF(OR(ISBLANK($BY$115), $BY$115 = ""), 1010.614,$BY$115)</f>
        <v>846.43700000000001</v>
      </c>
      <c r="BZ14">
        <f>IF(OR(ISBLANK($BZ$115), $BZ$115 = ""), 1017.15,$BZ$115)</f>
        <v>852.23299999999995</v>
      </c>
      <c r="CA14">
        <f>IF(OR(ISBLANK($CA$115), $CA$115 = ""), 1015.482,$CA$115)</f>
        <v>869.91600000000005</v>
      </c>
      <c r="CB14">
        <f>IF(OR(ISBLANK($CB$115), $CB$115 = ""), 1156.233,$CB$115)</f>
        <v>884.21199999999999</v>
      </c>
      <c r="CC14">
        <f>IF(OR(ISBLANK($CC$115), $CC$115 = ""), 1163.204,$CC$115)</f>
        <v>896.76300000000003</v>
      </c>
      <c r="CD14">
        <f>IF(OR(ISBLANK($CD$115), $CD$115 = ""), 1113.646,$CD$115)</f>
        <v>903.61900000000003</v>
      </c>
      <c r="CE14">
        <f>IF(OR(ISBLANK($CE$115), $CE$115 = ""), 1116.994,$CE$115)</f>
        <v>906.24400000000003</v>
      </c>
      <c r="CF14">
        <f>IF(OR(ISBLANK($CF$115), $CF$115 = ""), 1128.794,$CF$115)</f>
        <v>920.79100000000005</v>
      </c>
      <c r="CG14">
        <f>IF(OR(ISBLANK($CG$115), $CG$115 = ""), 1122.338,$CG$115)</f>
        <v>931.80799999999999</v>
      </c>
    </row>
    <row r="15" spans="1:85" x14ac:dyDescent="0.25">
      <c r="A15" t="str">
        <f>"    Liabilities to Credit Institutions"</f>
        <v xml:space="preserve">    Liabilities to Credit Institutions</v>
      </c>
      <c r="B15" t="str">
        <f>""</f>
        <v/>
      </c>
      <c r="C15" t="str">
        <f>""</f>
        <v/>
      </c>
      <c r="D15" t="str">
        <f>""</f>
        <v/>
      </c>
      <c r="E15" t="str">
        <f>"Sum"</f>
        <v>Sum</v>
      </c>
      <c r="F15" t="str">
        <f ca="1">IF(OR(ISBLANK(IF(ISERROR(IF(SUM($F$16:$F$20) = 0, "", SUM($F$16:$F$20))), "", (IF(SUM($F$16:$F$20) = 0, "", SUM($F$16:$F$20))))), IF(ISERROR(IF(SUM($F$16:$F$20) = 0, "", SUM($F$16:$F$20))), "", (IF(SUM($F$16:$F$20) = 0, "", SUM($F$16:$F$20)))) = ""), "",IF(ISERROR(IF(SUM($F$16:$F$20) = 0, "", SUM($F$16:$F$20))), "", (IF(SUM($F$16:$F$20) = 0, "", SUM($F$16:$F$20)))))</f>
        <v/>
      </c>
      <c r="G15">
        <f>IF(OR(ISBLANK(IF(ISERROR(IF(SUM($G$16:$G$20) = 0, "", SUM($G$16:$G$20))), "", (IF(SUM($G$16:$G$20) = 0, "", SUM($G$16:$G$20))))), IF(ISERROR(IF(SUM($G$16:$G$20) = 0, "", SUM($G$16:$G$20))), "", (IF(SUM($G$16:$G$20) = 0, "", SUM($G$16:$G$20)))) = ""), "",IF(ISERROR(IF(SUM($G$16:$G$20) = 0, "", SUM($G$16:$G$20))), "", (IF(SUM($G$16:$G$20) = 0, "", SUM($G$16:$G$20)))))</f>
        <v>26.666999999999998</v>
      </c>
      <c r="H15">
        <f>IF(OR(ISBLANK(IF(ISERROR(IF(SUM($H$16:$H$20) = 0, "", SUM($H$16:$H$20))), "", (IF(SUM($H$16:$H$20) = 0, "", SUM($H$16:$H$20))))), IF(ISERROR(IF(SUM($H$16:$H$20) = 0, "", SUM($H$16:$H$20))), "", (IF(SUM($H$16:$H$20) = 0, "", SUM($H$16:$H$20)))) = ""), 125.983,IF(ISERROR(IF(SUM($H$16:$H$20) = 0, "", SUM($H$16:$H$20))), "", (IF(SUM($H$16:$H$20) = 0, "", SUM($H$16:$H$20)))))</f>
        <v>30.897000000000002</v>
      </c>
      <c r="I15">
        <f>IF(OR(ISBLANK(IF(ISERROR(IF(SUM($I$16:$I$20) = 0, "", SUM($I$16:$I$20))), "", (IF(SUM($I$16:$I$20) = 0, "", SUM($I$16:$I$20))))), IF(ISERROR(IF(SUM($I$16:$I$20) = 0, "", SUM($I$16:$I$20))), "", (IF(SUM($I$16:$I$20) = 0, "", SUM($I$16:$I$20)))) = ""), 156.57,IF(ISERROR(IF(SUM($I$16:$I$20) = 0, "", SUM($I$16:$I$20))), "", (IF(SUM($I$16:$I$20) = 0, "", SUM($I$16:$I$20)))))</f>
        <v>25.659000000000002</v>
      </c>
      <c r="J15">
        <f>IF(OR(ISBLANK(IF(ISERROR(IF(SUM($J$16:$J$20) = 0, "", SUM($J$16:$J$20))), "", (IF(SUM($J$16:$J$20) = 0, "", SUM($J$16:$J$20))))), IF(ISERROR(IF(SUM($J$16:$J$20) = 0, "", SUM($J$16:$J$20))), "", (IF(SUM($J$16:$J$20) = 0, "", SUM($J$16:$J$20)))) = ""), 142.795,IF(ISERROR(IF(SUM($J$16:$J$20) = 0, "", SUM($J$16:$J$20))), "", (IF(SUM($J$16:$J$20) = 0, "", SUM($J$16:$J$20)))))</f>
        <v>19.882000000000001</v>
      </c>
      <c r="K15">
        <f>IF(OR(ISBLANK(IF(ISERROR(IF(SUM($K$16:$K$20) = 0, "", SUM($K$16:$K$20))), "", (IF(SUM($K$16:$K$20) = 0, "", SUM($K$16:$K$20))))), IF(ISERROR(IF(SUM($K$16:$K$20) = 0, "", SUM($K$16:$K$20))), "", (IF(SUM($K$16:$K$20) = 0, "", SUM($K$16:$K$20)))) = ""), 161.246,IF(ISERROR(IF(SUM($K$16:$K$20) = 0, "", SUM($K$16:$K$20))), "", (IF(SUM($K$16:$K$20) = 0, "", SUM($K$16:$K$20)))))</f>
        <v>21.397000000000002</v>
      </c>
      <c r="L15">
        <f>IF(OR(ISBLANK(IF(ISERROR(IF(SUM($L$16:$L$20) = 0, "", SUM($L$16:$L$20))), "", (IF(SUM($L$16:$L$20) = 0, "", SUM($L$16:$L$20))))), IF(ISERROR(IF(SUM($L$16:$L$20) = 0, "", SUM($L$16:$L$20))), "", (IF(SUM($L$16:$L$20) = 0, "", SUM($L$16:$L$20)))) = ""), 161.77,IF(ISERROR(IF(SUM($L$16:$L$20) = 0, "", SUM($L$16:$L$20))), "", (IF(SUM($L$16:$L$20) = 0, "", SUM($L$16:$L$20)))))</f>
        <v>44.143000000000001</v>
      </c>
      <c r="M15">
        <f>IF(OR(ISBLANK(IF(ISERROR(IF(SUM($M$16:$M$20) = 0, "", SUM($M$16:$M$20))), "", (IF(SUM($M$16:$M$20) = 0, "", SUM($M$16:$M$20))))), IF(ISERROR(IF(SUM($M$16:$M$20) = 0, "", SUM($M$16:$M$20))), "", (IF(SUM($M$16:$M$20) = 0, "", SUM($M$16:$M$20)))) = ""), 199.51,IF(ISERROR(IF(SUM($M$16:$M$20) = 0, "", SUM($M$16:$M$20))), "", (IF(SUM($M$16:$M$20) = 0, "", SUM($M$16:$M$20)))))</f>
        <v>21.361000000000001</v>
      </c>
      <c r="N15">
        <f>IF(OR(ISBLANK(IF(ISERROR(IF(SUM($N$16:$N$20) = 0, "", SUM($N$16:$N$20))), "", (IF(SUM($N$16:$N$20) = 0, "", SUM($N$16:$N$20))))), IF(ISERROR(IF(SUM($N$16:$N$20) = 0, "", SUM($N$16:$N$20))), "", (IF(SUM($N$16:$N$20) = 0, "", SUM($N$16:$N$20)))) = ""), 143.077,IF(ISERROR(IF(SUM($N$16:$N$20) = 0, "", SUM($N$16:$N$20))), "", (IF(SUM($N$16:$N$20) = 0, "", SUM($N$16:$N$20)))))</f>
        <v>22.774999999999999</v>
      </c>
      <c r="O15">
        <f>IF(OR(ISBLANK(IF(ISERROR(IF(SUM($O$16:$O$20) = 0, "", SUM($O$16:$O$20))), "", (IF(SUM($O$16:$O$20) = 0, "", SUM($O$16:$O$20))))), IF(ISERROR(IF(SUM($O$16:$O$20) = 0, "", SUM($O$16:$O$20))), "", (IF(SUM($O$16:$O$20) = 0, "", SUM($O$16:$O$20)))) = ""), 190.755,IF(ISERROR(IF(SUM($O$16:$O$20) = 0, "", SUM($O$16:$O$20))), "", (IF(SUM($O$16:$O$20) = 0, "", SUM($O$16:$O$20)))))</f>
        <v>20.190000000000001</v>
      </c>
      <c r="P15">
        <f>IF(OR(ISBLANK(IF(ISERROR(IF(SUM($P$16:$P$20) = 0, "", SUM($P$16:$P$20))), "", (IF(SUM($P$16:$P$20) = 0, "", SUM($P$16:$P$20))))), IF(ISERROR(IF(SUM($P$16:$P$20) = 0, "", SUM($P$16:$P$20))), "", (IF(SUM($P$16:$P$20) = 0, "", SUM($P$16:$P$20)))) = ""), 183.453,IF(ISERROR(IF(SUM($P$16:$P$20) = 0, "", SUM($P$16:$P$20))), "", (IF(SUM($P$16:$P$20) = 0, "", SUM($P$16:$P$20)))))</f>
        <v>27.291999999999998</v>
      </c>
      <c r="Q15">
        <f>IF(OR(ISBLANK(IF(ISERROR(IF(SUM($Q$16:$Q$20) = 0, "", SUM($Q$16:$Q$20))), "", (IF(SUM($Q$16:$Q$20) = 0, "", SUM($Q$16:$Q$20))))), IF(ISERROR(IF(SUM($Q$16:$Q$20) = 0, "", SUM($Q$16:$Q$20))), "", (IF(SUM($Q$16:$Q$20) = 0, "", SUM($Q$16:$Q$20)))) = ""), 193.804,IF(ISERROR(IF(SUM($Q$16:$Q$20) = 0, "", SUM($Q$16:$Q$20))), "", (IF(SUM($Q$16:$Q$20) = 0, "", SUM($Q$16:$Q$20)))))</f>
        <v>25.43</v>
      </c>
      <c r="R15">
        <f>IF(OR(ISBLANK(IF(ISERROR(IF(SUM($R$16:$R$20) = 0, "", SUM($R$16:$R$20))), "", (IF(SUM($R$16:$R$20) = 0, "", SUM($R$16:$R$20))))), IF(ISERROR(IF(SUM($R$16:$R$20) = 0, "", SUM($R$16:$R$20))), "", (IF(SUM($R$16:$R$20) = 0, "", SUM($R$16:$R$20)))) = ""), 201.224,IF(ISERROR(IF(SUM($R$16:$R$20) = 0, "", SUM($R$16:$R$20))), "", (IF(SUM($R$16:$R$20) = 0, "", SUM($R$16:$R$20)))))</f>
        <v>26.551000000000002</v>
      </c>
      <c r="S15">
        <f>IF(OR(ISBLANK(IF(ISERROR(IF(SUM($S$16:$S$20) = 0, "", SUM($S$16:$S$20))), "", (IF(SUM($S$16:$S$20) = 0, "", SUM($S$16:$S$20))))), IF(ISERROR(IF(SUM($S$16:$S$20) = 0, "", SUM($S$16:$S$20))), "", (IF(SUM($S$16:$S$20) = 0, "", SUM($S$16:$S$20)))) = ""), 203.756,IF(ISERROR(IF(SUM($S$16:$S$20) = 0, "", SUM($S$16:$S$20))), "", (IF(SUM($S$16:$S$20) = 0, "", SUM($S$16:$S$20)))))</f>
        <v>125.983</v>
      </c>
      <c r="T15">
        <f>IF(OR(ISBLANK(IF(ISERROR(IF(SUM($T$16:$T$20) = 0, "", SUM($T$16:$T$20))), "", (IF(SUM($T$16:$T$20) = 0, "", SUM($T$16:$T$20))))), IF(ISERROR(IF(SUM($T$16:$T$20) = 0, "", SUM($T$16:$T$20))), "", (IF(SUM($T$16:$T$20) = 0, "", SUM($T$16:$T$20)))) = ""), 210.04,IF(ISERROR(IF(SUM($T$16:$T$20) = 0, "", SUM($T$16:$T$20))), "", (IF(SUM($T$16:$T$20) = 0, "", SUM($T$16:$T$20)))))</f>
        <v>156.57</v>
      </c>
      <c r="U15">
        <f>IF(OR(ISBLANK(IF(ISERROR(IF(SUM($U$16:$U$20) = 0, "", SUM($U$16:$U$20))), "", (IF(SUM($U$16:$U$20) = 0, "", SUM($U$16:$U$20))))), IF(ISERROR(IF(SUM($U$16:$U$20) = 0, "", SUM($U$16:$U$20))), "", (IF(SUM($U$16:$U$20) = 0, "", SUM($U$16:$U$20)))) = ""), 199.04,IF(ISERROR(IF(SUM($U$16:$U$20) = 0, "", SUM($U$16:$U$20))), "", (IF(SUM($U$16:$U$20) = 0, "", SUM($U$16:$U$20)))))</f>
        <v>142.79500000000002</v>
      </c>
      <c r="V15">
        <f>IF(OR(ISBLANK(IF(ISERROR(IF(SUM($V$16:$V$20) = 0, "", SUM($V$16:$V$20))), "", (IF(SUM($V$16:$V$20) = 0, "", SUM($V$16:$V$20))))), IF(ISERROR(IF(SUM($V$16:$V$20) = 0, "", SUM($V$16:$V$20))), "", (IF(SUM($V$16:$V$20) = 0, "", SUM($V$16:$V$20)))) = ""), 206.442,IF(ISERROR(IF(SUM($V$16:$V$20) = 0, "", SUM($V$16:$V$20))), "", (IF(SUM($V$16:$V$20) = 0, "", SUM($V$16:$V$20)))))</f>
        <v>161.24600000000001</v>
      </c>
      <c r="W15">
        <f>IF(OR(ISBLANK(IF(ISERROR(IF(SUM($W$16:$W$20) = 0, "", SUM($W$16:$W$20))), "", (IF(SUM($W$16:$W$20) = 0, "", SUM($W$16:$W$20))))), IF(ISERROR(IF(SUM($W$16:$W$20) = 0, "", SUM($W$16:$W$20))), "", (IF(SUM($W$16:$W$20) = 0, "", SUM($W$16:$W$20)))) = ""), 205.094,IF(ISERROR(IF(SUM($W$16:$W$20) = 0, "", SUM($W$16:$W$20))), "", (IF(SUM($W$16:$W$20) = 0, "", SUM($W$16:$W$20)))))</f>
        <v>161.77000000000001</v>
      </c>
      <c r="X15">
        <f>IF(OR(ISBLANK(IF(ISERROR(IF(SUM($X$16:$X$20) = 0, "", SUM($X$16:$X$20))), "", (IF(SUM($X$16:$X$20) = 0, "", SUM($X$16:$X$20))))), IF(ISERROR(IF(SUM($X$16:$X$20) = 0, "", SUM($X$16:$X$20))), "", (IF(SUM($X$16:$X$20) = 0, "", SUM($X$16:$X$20)))) = ""), 207.517,IF(ISERROR(IF(SUM($X$16:$X$20) = 0, "", SUM($X$16:$X$20))), "", (IF(SUM($X$16:$X$20) = 0, "", SUM($X$16:$X$20)))))</f>
        <v>199.51</v>
      </c>
      <c r="Y15">
        <f>IF(OR(ISBLANK(IF(ISERROR(IF(SUM($Y$16:$Y$20) = 0, "", SUM($Y$16:$Y$20))), "", (IF(SUM($Y$16:$Y$20) = 0, "", SUM($Y$16:$Y$20))))), IF(ISERROR(IF(SUM($Y$16:$Y$20) = 0, "", SUM($Y$16:$Y$20))), "", (IF(SUM($Y$16:$Y$20) = 0, "", SUM($Y$16:$Y$20)))) = ""), 205.844,IF(ISERROR(IF(SUM($Y$16:$Y$20) = 0, "", SUM($Y$16:$Y$20))), "", (IF(SUM($Y$16:$Y$20) = 0, "", SUM($Y$16:$Y$20)))))</f>
        <v>143.077</v>
      </c>
      <c r="Z15">
        <f>IF(OR(ISBLANK(IF(ISERROR(IF(SUM($Z$16:$Z$20) = 0, "", SUM($Z$16:$Z$20))), "", (IF(SUM($Z$16:$Z$20) = 0, "", SUM($Z$16:$Z$20))))), IF(ISERROR(IF(SUM($Z$16:$Z$20) = 0, "", SUM($Z$16:$Z$20))), "", (IF(SUM($Z$16:$Z$20) = 0, "", SUM($Z$16:$Z$20)))) = ""), 222.724,IF(ISERROR(IF(SUM($Z$16:$Z$20) = 0, "", SUM($Z$16:$Z$20))), "", (IF(SUM($Z$16:$Z$20) = 0, "", SUM($Z$16:$Z$20)))))</f>
        <v>190.755</v>
      </c>
      <c r="AA15">
        <f>IF(OR(ISBLANK(IF(ISERROR(IF(SUM($AA$16:$AA$20) = 0, "", SUM($AA$16:$AA$20))), "", (IF(SUM($AA$16:$AA$20) = 0, "", SUM($AA$16:$AA$20))))), IF(ISERROR(IF(SUM($AA$16:$AA$20) = 0, "", SUM($AA$16:$AA$20))), "", (IF(SUM($AA$16:$AA$20) = 0, "", SUM($AA$16:$AA$20)))) = ""), 207.434,IF(ISERROR(IF(SUM($AA$16:$AA$20) = 0, "", SUM($AA$16:$AA$20))), "", (IF(SUM($AA$16:$AA$20) = 0, "", SUM($AA$16:$AA$20)))))</f>
        <v>183.453</v>
      </c>
      <c r="AB15">
        <f>IF(OR(ISBLANK(IF(ISERROR(IF(SUM($AB$16:$AB$20) = 0, "", SUM($AB$16:$AB$20))), "", (IF(SUM($AB$16:$AB$20) = 0, "", SUM($AB$16:$AB$20))))), IF(ISERROR(IF(SUM($AB$16:$AB$20) = 0, "", SUM($AB$16:$AB$20))), "", (IF(SUM($AB$16:$AB$20) = 0, "", SUM($AB$16:$AB$20)))) = ""), 196.095,IF(ISERROR(IF(SUM($AB$16:$AB$20) = 0, "", SUM($AB$16:$AB$20))), "", (IF(SUM($AB$16:$AB$20) = 0, "", SUM($AB$16:$AB$20)))))</f>
        <v>193.804</v>
      </c>
      <c r="AC15">
        <f>IF(OR(ISBLANK(IF(ISERROR(IF(SUM($AC$16:$AC$20) = 0, "", SUM($AC$16:$AC$20))), "", (IF(SUM($AC$16:$AC$20) = 0, "", SUM($AC$16:$AC$20))))), IF(ISERROR(IF(SUM($AC$16:$AC$20) = 0, "", SUM($AC$16:$AC$20))), "", (IF(SUM($AC$16:$AC$20) = 0, "", SUM($AC$16:$AC$20)))) = ""), 215.549,IF(ISERROR(IF(SUM($AC$16:$AC$20) = 0, "", SUM($AC$16:$AC$20))), "", (IF(SUM($AC$16:$AC$20) = 0, "", SUM($AC$16:$AC$20)))))</f>
        <v>201.22400000000002</v>
      </c>
      <c r="AD15">
        <f>IF(OR(ISBLANK(IF(ISERROR(IF(SUM($AD$16:$AD$20) = 0, "", SUM($AD$16:$AD$20))), "", (IF(SUM($AD$16:$AD$20) = 0, "", SUM($AD$16:$AD$20))))), IF(ISERROR(IF(SUM($AD$16:$AD$20) = 0, "", SUM($AD$16:$AD$20))), "", (IF(SUM($AD$16:$AD$20) = 0, "", SUM($AD$16:$AD$20)))) = ""), 238.932,IF(ISERROR(IF(SUM($AD$16:$AD$20) = 0, "", SUM($AD$16:$AD$20))), "", (IF(SUM($AD$16:$AD$20) = 0, "", SUM($AD$16:$AD$20)))))</f>
        <v>203.756</v>
      </c>
      <c r="AE15">
        <f>IF(OR(ISBLANK(IF(ISERROR(IF(SUM($AE$16:$AE$20) = 0, "", SUM($AE$16:$AE$20))), "", (IF(SUM($AE$16:$AE$20) = 0, "", SUM($AE$16:$AE$20))))), IF(ISERROR(IF(SUM($AE$16:$AE$20) = 0, "", SUM($AE$16:$AE$20))), "", (IF(SUM($AE$16:$AE$20) = 0, "", SUM($AE$16:$AE$20)))) = ""), 193.094,IF(ISERROR(IF(SUM($AE$16:$AE$20) = 0, "", SUM($AE$16:$AE$20))), "", (IF(SUM($AE$16:$AE$20) = 0, "", SUM($AE$16:$AE$20)))))</f>
        <v>210.04</v>
      </c>
      <c r="AF15">
        <f>IF(OR(ISBLANK(IF(ISERROR(IF(SUM($AF$16:$AF$20) = 0, "", SUM($AF$16:$AF$20))), "", (IF(SUM($AF$16:$AF$20) = 0, "", SUM($AF$16:$AF$20))))), IF(ISERROR(IF(SUM($AF$16:$AF$20) = 0, "", SUM($AF$16:$AF$20))), "", (IF(SUM($AF$16:$AF$20) = 0, "", SUM($AF$16:$AF$20)))) = ""), 199.65,IF(ISERROR(IF(SUM($AF$16:$AF$20) = 0, "", SUM($AF$16:$AF$20))), "", (IF(SUM($AF$16:$AF$20) = 0, "", SUM($AF$16:$AF$20)))))</f>
        <v>199.04</v>
      </c>
      <c r="AG15">
        <f>IF(OR(ISBLANK(IF(ISERROR(IF(SUM($AG$16:$AG$20) = 0, "", SUM($AG$16:$AG$20))), "", (IF(SUM($AG$16:$AG$20) = 0, "", SUM($AG$16:$AG$20))))), IF(ISERROR(IF(SUM($AG$16:$AG$20) = 0, "", SUM($AG$16:$AG$20))), "", (IF(SUM($AG$16:$AG$20) = 0, "", SUM($AG$16:$AG$20)))) = ""), 206.404,IF(ISERROR(IF(SUM($AG$16:$AG$20) = 0, "", SUM($AG$16:$AG$20))), "", (IF(SUM($AG$16:$AG$20) = 0, "", SUM($AG$16:$AG$20)))))</f>
        <v>206.44199999999998</v>
      </c>
      <c r="AH15">
        <f>IF(OR(ISBLANK(IF(ISERROR(IF(SUM($AH$16:$AH$20) = 0, "", SUM($AH$16:$AH$20))), "", (IF(SUM($AH$16:$AH$20) = 0, "", SUM($AH$16:$AH$20))))), IF(ISERROR(IF(SUM($AH$16:$AH$20) = 0, "", SUM($AH$16:$AH$20))), "", (IF(SUM($AH$16:$AH$20) = 0, "", SUM($AH$16:$AH$20)))) = ""), 222.417,IF(ISERROR(IF(SUM($AH$16:$AH$20) = 0, "", SUM($AH$16:$AH$20))), "", (IF(SUM($AH$16:$AH$20) = 0, "", SUM($AH$16:$AH$20)))))</f>
        <v>205.09400000000002</v>
      </c>
      <c r="AI15">
        <f>IF(OR(ISBLANK(IF(ISERROR(IF(SUM($AI$16:$AI$20) = 0, "", SUM($AI$16:$AI$20))), "", (IF(SUM($AI$16:$AI$20) = 0, "", SUM($AI$16:$AI$20))))), IF(ISERROR(IF(SUM($AI$16:$AI$20) = 0, "", SUM($AI$16:$AI$20))), "", (IF(SUM($AI$16:$AI$20) = 0, "", SUM($AI$16:$AI$20)))) = ""), 238.463,IF(ISERROR(IF(SUM($AI$16:$AI$20) = 0, "", SUM($AI$16:$AI$20))), "", (IF(SUM($AI$16:$AI$20) = 0, "", SUM($AI$16:$AI$20)))))</f>
        <v>207.517</v>
      </c>
      <c r="AJ15">
        <f>IF(OR(ISBLANK(IF(ISERROR(IF(SUM($AJ$16:$AJ$20) = 0, "", SUM($AJ$16:$AJ$20))), "", (IF(SUM($AJ$16:$AJ$20) = 0, "", SUM($AJ$16:$AJ$20))))), IF(ISERROR(IF(SUM($AJ$16:$AJ$20) = 0, "", SUM($AJ$16:$AJ$20))), "", (IF(SUM($AJ$16:$AJ$20) = 0, "", SUM($AJ$16:$AJ$20)))) = ""), 214.107,IF(ISERROR(IF(SUM($AJ$16:$AJ$20) = 0, "", SUM($AJ$16:$AJ$20))), "", (IF(SUM($AJ$16:$AJ$20) = 0, "", SUM($AJ$16:$AJ$20)))))</f>
        <v>205.84399999999999</v>
      </c>
      <c r="AK15">
        <f>IF(OR(ISBLANK(IF(ISERROR(IF(SUM($AK$16:$AK$20) = 0, "", SUM($AK$16:$AK$20))), "", (IF(SUM($AK$16:$AK$20) = 0, "", SUM($AK$16:$AK$20))))), IF(ISERROR(IF(SUM($AK$16:$AK$20) = 0, "", SUM($AK$16:$AK$20))), "", (IF(SUM($AK$16:$AK$20) = 0, "", SUM($AK$16:$AK$20)))) = ""), 228.147,IF(ISERROR(IF(SUM($AK$16:$AK$20) = 0, "", SUM($AK$16:$AK$20))), "", (IF(SUM($AK$16:$AK$20) = 0, "", SUM($AK$16:$AK$20)))))</f>
        <v>222.72399999999999</v>
      </c>
      <c r="AL15">
        <f>IF(OR(ISBLANK(IF(ISERROR(IF(SUM($AL$16:$AL$20) = 0, "", SUM($AL$16:$AL$20))), "", (IF(SUM($AL$16:$AL$20) = 0, "", SUM($AL$16:$AL$20))))), IF(ISERROR(IF(SUM($AL$16:$AL$20) = 0, "", SUM($AL$16:$AL$20))), "", (IF(SUM($AL$16:$AL$20) = 0, "", SUM($AL$16:$AL$20)))) = ""), 227.872,IF(ISERROR(IF(SUM($AL$16:$AL$20) = 0, "", SUM($AL$16:$AL$20))), "", (IF(SUM($AL$16:$AL$20) = 0, "", SUM($AL$16:$AL$20)))))</f>
        <v>207.43399999999997</v>
      </c>
      <c r="AM15">
        <f>IF(OR(ISBLANK(IF(ISERROR(IF(SUM($AM$16:$AM$20) = 0, "", SUM($AM$16:$AM$20))), "", (IF(SUM($AM$16:$AM$20) = 0, "", SUM($AM$16:$AM$20))))), IF(ISERROR(IF(SUM($AM$16:$AM$20) = 0, "", SUM($AM$16:$AM$20))), "", (IF(SUM($AM$16:$AM$20) = 0, "", SUM($AM$16:$AM$20)))) = ""), 246.676,IF(ISERROR(IF(SUM($AM$16:$AM$20) = 0, "", SUM($AM$16:$AM$20))), "", (IF(SUM($AM$16:$AM$20) = 0, "", SUM($AM$16:$AM$20)))))</f>
        <v>196.095</v>
      </c>
      <c r="AN15">
        <f>IF(OR(ISBLANK(IF(ISERROR(IF(SUM($AN$16:$AN$20) = 0, "", SUM($AN$16:$AN$20))), "", (IF(SUM($AN$16:$AN$20) = 0, "", SUM($AN$16:$AN$20))))), IF(ISERROR(IF(SUM($AN$16:$AN$20) = 0, "", SUM($AN$16:$AN$20))), "", (IF(SUM($AN$16:$AN$20) = 0, "", SUM($AN$16:$AN$20)))) = ""), 240.166,IF(ISERROR(IF(SUM($AN$16:$AN$20) = 0, "", SUM($AN$16:$AN$20))), "", (IF(SUM($AN$16:$AN$20) = 0, "", SUM($AN$16:$AN$20)))))</f>
        <v>215.54900000000001</v>
      </c>
      <c r="AO15">
        <f>IF(OR(ISBLANK(IF(ISERROR(IF(SUM($AO$16:$AO$20) = 0, "", SUM($AO$16:$AO$20))), "", (IF(SUM($AO$16:$AO$20) = 0, "", SUM($AO$16:$AO$20))))), IF(ISERROR(IF(SUM($AO$16:$AO$20) = 0, "", SUM($AO$16:$AO$20))), "", (IF(SUM($AO$16:$AO$20) = 0, "", SUM($AO$16:$AO$20)))) = ""), 239.506,IF(ISERROR(IF(SUM($AO$16:$AO$20) = 0, "", SUM($AO$16:$AO$20))), "", (IF(SUM($AO$16:$AO$20) = 0, "", SUM($AO$16:$AO$20)))))</f>
        <v>238.93199999999999</v>
      </c>
      <c r="AP15">
        <f>IF(OR(ISBLANK(IF(ISERROR(IF(SUM($AP$16:$AP$20) = 0, "", SUM($AP$16:$AP$20))), "", (IF(SUM($AP$16:$AP$20) = 0, "", SUM($AP$16:$AP$20))))), IF(ISERROR(IF(SUM($AP$16:$AP$20) = 0, "", SUM($AP$16:$AP$20))), "", (IF(SUM($AP$16:$AP$20) = 0, "", SUM($AP$16:$AP$20)))) = ""), 233.685,IF(ISERROR(IF(SUM($AP$16:$AP$20) = 0, "", SUM($AP$16:$AP$20))), "", (IF(SUM($AP$16:$AP$20) = 0, "", SUM($AP$16:$AP$20)))))</f>
        <v>193.09399999999999</v>
      </c>
      <c r="AQ15">
        <f>IF(OR(ISBLANK(IF(ISERROR(IF(SUM($AQ$16:$AQ$20) = 0, "", SUM($AQ$16:$AQ$20))), "", (IF(SUM($AQ$16:$AQ$20) = 0, "", SUM($AQ$16:$AQ$20))))), IF(ISERROR(IF(SUM($AQ$16:$AQ$20) = 0, "", SUM($AQ$16:$AQ$20))), "", (IF(SUM($AQ$16:$AQ$20) = 0, "", SUM($AQ$16:$AQ$20)))) = ""), 240.573,IF(ISERROR(IF(SUM($AQ$16:$AQ$20) = 0, "", SUM($AQ$16:$AQ$20))), "", (IF(SUM($AQ$16:$AQ$20) = 0, "", SUM($AQ$16:$AQ$20)))))</f>
        <v>199.65</v>
      </c>
      <c r="AR15">
        <f>IF(OR(ISBLANK(IF(ISERROR(IF(SUM($AR$16:$AR$20) = 0, "", SUM($AR$16:$AR$20))), "", (IF(SUM($AR$16:$AR$20) = 0, "", SUM($AR$16:$AR$20))))), IF(ISERROR(IF(SUM($AR$16:$AR$20) = 0, "", SUM($AR$16:$AR$20))), "", (IF(SUM($AR$16:$AR$20) = 0, "", SUM($AR$16:$AR$20)))) = ""), 242.856,IF(ISERROR(IF(SUM($AR$16:$AR$20) = 0, "", SUM($AR$16:$AR$20))), "", (IF(SUM($AR$16:$AR$20) = 0, "", SUM($AR$16:$AR$20)))))</f>
        <v>206.404</v>
      </c>
      <c r="AS15">
        <f>IF(OR(ISBLANK(IF(ISERROR(IF(SUM($AS$16:$AS$20) = 0, "", SUM($AS$16:$AS$20))), "", (IF(SUM($AS$16:$AS$20) = 0, "", SUM($AS$16:$AS$20))))), IF(ISERROR(IF(SUM($AS$16:$AS$20) = 0, "", SUM($AS$16:$AS$20))), "", (IF(SUM($AS$16:$AS$20) = 0, "", SUM($AS$16:$AS$20)))) = ""), 243.415,IF(ISERROR(IF(SUM($AS$16:$AS$20) = 0, "", SUM($AS$16:$AS$20))), "", (IF(SUM($AS$16:$AS$20) = 0, "", SUM($AS$16:$AS$20)))))</f>
        <v>222.417</v>
      </c>
      <c r="AT15">
        <f>IF(OR(ISBLANK(IF(ISERROR(IF(SUM($AT$16:$AT$20) = 0, "", SUM($AT$16:$AT$20))), "", (IF(SUM($AT$16:$AT$20) = 0, "", SUM($AT$16:$AT$20))))), IF(ISERROR(IF(SUM($AT$16:$AT$20) = 0, "", SUM($AT$16:$AT$20))), "", (IF(SUM($AT$16:$AT$20) = 0, "", SUM($AT$16:$AT$20)))) = ""), 240.594,IF(ISERROR(IF(SUM($AT$16:$AT$20) = 0, "", SUM($AT$16:$AT$20))), "", (IF(SUM($AT$16:$AT$20) = 0, "", SUM($AT$16:$AT$20)))))</f>
        <v>238.46300000000002</v>
      </c>
      <c r="AU15">
        <f>IF(OR(ISBLANK(IF(ISERROR(IF(SUM($AU$16:$AU$20) = 0, "", SUM($AU$16:$AU$20))), "", (IF(SUM($AU$16:$AU$20) = 0, "", SUM($AU$16:$AU$20))))), IF(ISERROR(IF(SUM($AU$16:$AU$20) = 0, "", SUM($AU$16:$AU$20))), "", (IF(SUM($AU$16:$AU$20) = 0, "", SUM($AU$16:$AU$20)))) = ""), 261.978,IF(ISERROR(IF(SUM($AU$16:$AU$20) = 0, "", SUM($AU$16:$AU$20))), "", (IF(SUM($AU$16:$AU$20) = 0, "", SUM($AU$16:$AU$20)))))</f>
        <v>214.107</v>
      </c>
      <c r="AV15">
        <f>IF(OR(ISBLANK(IF(ISERROR(IF(SUM($AV$16:$AV$20) = 0, "", SUM($AV$16:$AV$20))), "", (IF(SUM($AV$16:$AV$20) = 0, "", SUM($AV$16:$AV$20))))), IF(ISERROR(IF(SUM($AV$16:$AV$20) = 0, "", SUM($AV$16:$AV$20))), "", (IF(SUM($AV$16:$AV$20) = 0, "", SUM($AV$16:$AV$20)))) = ""), 270.458,IF(ISERROR(IF(SUM($AV$16:$AV$20) = 0, "", SUM($AV$16:$AV$20))), "", (IF(SUM($AV$16:$AV$20) = 0, "", SUM($AV$16:$AV$20)))))</f>
        <v>228.14699999999999</v>
      </c>
      <c r="AW15">
        <f>IF(OR(ISBLANK(IF(ISERROR(IF(SUM($AW$16:$AW$20) = 0, "", SUM($AW$16:$AW$20))), "", (IF(SUM($AW$16:$AW$20) = 0, "", SUM($AW$16:$AW$20))))), IF(ISERROR(IF(SUM($AW$16:$AW$20) = 0, "", SUM($AW$16:$AW$20))), "", (IF(SUM($AW$16:$AW$20) = 0, "", SUM($AW$16:$AW$20)))) = ""), 261.218,IF(ISERROR(IF(SUM($AW$16:$AW$20) = 0, "", SUM($AW$16:$AW$20))), "", (IF(SUM($AW$16:$AW$20) = 0, "", SUM($AW$16:$AW$20)))))</f>
        <v>227.87199999999999</v>
      </c>
      <c r="AX15">
        <f>IF(OR(ISBLANK(IF(ISERROR(IF(SUM($AX$16:$AX$20) = 0, "", SUM($AX$16:$AX$20))), "", (IF(SUM($AX$16:$AX$20) = 0, "", SUM($AX$16:$AX$20))))), IF(ISERROR(IF(SUM($AX$16:$AX$20) = 0, "", SUM($AX$16:$AX$20))), "", (IF(SUM($AX$16:$AX$20) = 0, "", SUM($AX$16:$AX$20)))) = ""), 279.78,IF(ISERROR(IF(SUM($AX$16:$AX$20) = 0, "", SUM($AX$16:$AX$20))), "", (IF(SUM($AX$16:$AX$20) = 0, "", SUM($AX$16:$AX$20)))))</f>
        <v>246.67600000000002</v>
      </c>
      <c r="AY15">
        <f>IF(OR(ISBLANK(IF(ISERROR(IF(SUM($AY$16:$AY$20) = 0, "", SUM($AY$16:$AY$20))), "", (IF(SUM($AY$16:$AY$20) = 0, "", SUM($AY$16:$AY$20))))), IF(ISERROR(IF(SUM($AY$16:$AY$20) = 0, "", SUM($AY$16:$AY$20))), "", (IF(SUM($AY$16:$AY$20) = 0, "", SUM($AY$16:$AY$20)))) = ""), 273.722,IF(ISERROR(IF(SUM($AY$16:$AY$20) = 0, "", SUM($AY$16:$AY$20))), "", (IF(SUM($AY$16:$AY$20) = 0, "", SUM($AY$16:$AY$20)))))</f>
        <v>240.166</v>
      </c>
      <c r="AZ15">
        <f>IF(OR(ISBLANK(IF(ISERROR(IF(SUM($AZ$16:$AZ$20) = 0, "", SUM($AZ$16:$AZ$20))), "", (IF(SUM($AZ$16:$AZ$20) = 0, "", SUM($AZ$16:$AZ$20))))), IF(ISERROR(IF(SUM($AZ$16:$AZ$20) = 0, "", SUM($AZ$16:$AZ$20))), "", (IF(SUM($AZ$16:$AZ$20) = 0, "", SUM($AZ$16:$AZ$20)))) = ""), 269.514,IF(ISERROR(IF(SUM($AZ$16:$AZ$20) = 0, "", SUM($AZ$16:$AZ$20))), "", (IF(SUM($AZ$16:$AZ$20) = 0, "", SUM($AZ$16:$AZ$20)))))</f>
        <v>239.506</v>
      </c>
      <c r="BA15">
        <f>IF(OR(ISBLANK(IF(ISERROR(IF(SUM($BA$16:$BA$20) = 0, "", SUM($BA$16:$BA$20))), "", (IF(SUM($BA$16:$BA$20) = 0, "", SUM($BA$16:$BA$20))))), IF(ISERROR(IF(SUM($BA$16:$BA$20) = 0, "", SUM($BA$16:$BA$20))), "", (IF(SUM($BA$16:$BA$20) = 0, "", SUM($BA$16:$BA$20)))) = ""), 283.056,IF(ISERROR(IF(SUM($BA$16:$BA$20) = 0, "", SUM($BA$16:$BA$20))), "", (IF(SUM($BA$16:$BA$20) = 0, "", SUM($BA$16:$BA$20)))))</f>
        <v>233.685</v>
      </c>
      <c r="BB15">
        <f>IF(OR(ISBLANK(IF(ISERROR(IF(SUM($BB$16:$BB$20) = 0, "", SUM($BB$16:$BB$20))), "", (IF(SUM($BB$16:$BB$20) = 0, "", SUM($BB$16:$BB$20))))), IF(ISERROR(IF(SUM($BB$16:$BB$20) = 0, "", SUM($BB$16:$BB$20))), "", (IF(SUM($BB$16:$BB$20) = 0, "", SUM($BB$16:$BB$20)))) = ""), 274.769,IF(ISERROR(IF(SUM($BB$16:$BB$20) = 0, "", SUM($BB$16:$BB$20))), "", (IF(SUM($BB$16:$BB$20) = 0, "", SUM($BB$16:$BB$20)))))</f>
        <v>240.57300000000001</v>
      </c>
      <c r="BC15">
        <f>IF(OR(ISBLANK(IF(ISERROR(IF(SUM($BC$16:$BC$20) = 0, "", SUM($BC$16:$BC$20))), "", (IF(SUM($BC$16:$BC$20) = 0, "", SUM($BC$16:$BC$20))))), IF(ISERROR(IF(SUM($BC$16:$BC$20) = 0, "", SUM($BC$16:$BC$20))), "", (IF(SUM($BC$16:$BC$20) = 0, "", SUM($BC$16:$BC$20)))) = ""), 271.979,IF(ISERROR(IF(SUM($BC$16:$BC$20) = 0, "", SUM($BC$16:$BC$20))), "", (IF(SUM($BC$16:$BC$20) = 0, "", SUM($BC$16:$BC$20)))))</f>
        <v>242.85600000000002</v>
      </c>
      <c r="BD15">
        <f>IF(OR(ISBLANK(IF(ISERROR(IF(SUM($BD$16:$BD$20) = 0, "", SUM($BD$16:$BD$20))), "", (IF(SUM($BD$16:$BD$20) = 0, "", SUM($BD$16:$BD$20))))), IF(ISERROR(IF(SUM($BD$16:$BD$20) = 0, "", SUM($BD$16:$BD$20))), "", (IF(SUM($BD$16:$BD$20) = 0, "", SUM($BD$16:$BD$20)))) = ""), 290.125,IF(ISERROR(IF(SUM($BD$16:$BD$20) = 0, "", SUM($BD$16:$BD$20))), "", (IF(SUM($BD$16:$BD$20) = 0, "", SUM($BD$16:$BD$20)))))</f>
        <v>243.41499999999999</v>
      </c>
      <c r="BE15">
        <f>IF(OR(ISBLANK(IF(ISERROR(IF(SUM($BE$16:$BE$20) = 0, "", SUM($BE$16:$BE$20))), "", (IF(SUM($BE$16:$BE$20) = 0, "", SUM($BE$16:$BE$20))))), IF(ISERROR(IF(SUM($BE$16:$BE$20) = 0, "", SUM($BE$16:$BE$20))), "", (IF(SUM($BE$16:$BE$20) = 0, "", SUM($BE$16:$BE$20)))) = ""), 298.863,IF(ISERROR(IF(SUM($BE$16:$BE$20) = 0, "", SUM($BE$16:$BE$20))), "", (IF(SUM($BE$16:$BE$20) = 0, "", SUM($BE$16:$BE$20)))))</f>
        <v>240.59399999999999</v>
      </c>
      <c r="BF15">
        <f>IF(OR(ISBLANK(IF(ISERROR(IF(SUM($BF$16:$BF$20) = 0, "", SUM($BF$16:$BF$20))), "", (IF(SUM($BF$16:$BF$20) = 0, "", SUM($BF$16:$BF$20))))), IF(ISERROR(IF(SUM($BF$16:$BF$20) = 0, "", SUM($BF$16:$BF$20))), "", (IF(SUM($BF$16:$BF$20) = 0, "", SUM($BF$16:$BF$20)))) = ""), 287.665,IF(ISERROR(IF(SUM($BF$16:$BF$20) = 0, "", SUM($BF$16:$BF$20))), "", (IF(SUM($BF$16:$BF$20) = 0, "", SUM($BF$16:$BF$20)))))</f>
        <v>261.97800000000001</v>
      </c>
      <c r="BG15">
        <f>IF(OR(ISBLANK(IF(ISERROR(IF(SUM($BG$16:$BG$20) = 0, "", SUM($BG$16:$BG$20))), "", (IF(SUM($BG$16:$BG$20) = 0, "", SUM($BG$16:$BG$20))))), IF(ISERROR(IF(SUM($BG$16:$BG$20) = 0, "", SUM($BG$16:$BG$20))), "", (IF(SUM($BG$16:$BG$20) = 0, "", SUM($BG$16:$BG$20)))) = ""), 277.969,IF(ISERROR(IF(SUM($BG$16:$BG$20) = 0, "", SUM($BG$16:$BG$20))), "", (IF(SUM($BG$16:$BG$20) = 0, "", SUM($BG$16:$BG$20)))))</f>
        <v>270.45799999999997</v>
      </c>
      <c r="BH15">
        <f>IF(OR(ISBLANK(IF(ISERROR(IF(SUM($BH$16:$BH$20) = 0, "", SUM($BH$16:$BH$20))), "", (IF(SUM($BH$16:$BH$20) = 0, "", SUM($BH$16:$BH$20))))), IF(ISERROR(IF(SUM($BH$16:$BH$20) = 0, "", SUM($BH$16:$BH$20))), "", (IF(SUM($BH$16:$BH$20) = 0, "", SUM($BH$16:$BH$20)))) = ""), 284.987,IF(ISERROR(IF(SUM($BH$16:$BH$20) = 0, "", SUM($BH$16:$BH$20))), "", (IF(SUM($BH$16:$BH$20) = 0, "", SUM($BH$16:$BH$20)))))</f>
        <v>261.21800000000002</v>
      </c>
      <c r="BI15">
        <f>IF(OR(ISBLANK(IF(ISERROR(IF(SUM($BI$16:$BI$20) = 0, "", SUM($BI$16:$BI$20))), "", (IF(SUM($BI$16:$BI$20) = 0, "", SUM($BI$16:$BI$20))))), IF(ISERROR(IF(SUM($BI$16:$BI$20) = 0, "", SUM($BI$16:$BI$20))), "", (IF(SUM($BI$16:$BI$20) = 0, "", SUM($BI$16:$BI$20)))) = ""), 297.988,IF(ISERROR(IF(SUM($BI$16:$BI$20) = 0, "", SUM($BI$16:$BI$20))), "", (IF(SUM($BI$16:$BI$20) = 0, "", SUM($BI$16:$BI$20)))))</f>
        <v>279.77999999999997</v>
      </c>
      <c r="BJ15">
        <f>IF(OR(ISBLANK(IF(ISERROR(IF(SUM($BJ$16:$BJ$20) = 0, "", SUM($BJ$16:$BJ$20))), "", (IF(SUM($BJ$16:$BJ$20) = 0, "", SUM($BJ$16:$BJ$20))))), IF(ISERROR(IF(SUM($BJ$16:$BJ$20) = 0, "", SUM($BJ$16:$BJ$20))), "", (IF(SUM($BJ$16:$BJ$20) = 0, "", SUM($BJ$16:$BJ$20)))) = ""), 282.712,IF(ISERROR(IF(SUM($BJ$16:$BJ$20) = 0, "", SUM($BJ$16:$BJ$20))), "", (IF(SUM($BJ$16:$BJ$20) = 0, "", SUM($BJ$16:$BJ$20)))))</f>
        <v>273.72199999999998</v>
      </c>
      <c r="BK15">
        <f>IF(OR(ISBLANK(IF(ISERROR(IF(SUM($BK$16:$BK$20) = 0, "", SUM($BK$16:$BK$20))), "", (IF(SUM($BK$16:$BK$20) = 0, "", SUM($BK$16:$BK$20))))), IF(ISERROR(IF(SUM($BK$16:$BK$20) = 0, "", SUM($BK$16:$BK$20))), "", (IF(SUM($BK$16:$BK$20) = 0, "", SUM($BK$16:$BK$20)))) = ""), 282.037,IF(ISERROR(IF(SUM($BK$16:$BK$20) = 0, "", SUM($BK$16:$BK$20))), "", (IF(SUM($BK$16:$BK$20) = 0, "", SUM($BK$16:$BK$20)))))</f>
        <v>269.51400000000001</v>
      </c>
      <c r="BL15">
        <f>IF(OR(ISBLANK(IF(ISERROR(IF(SUM($BL$16:$BL$20) = 0, "", SUM($BL$16:$BL$20))), "", (IF(SUM($BL$16:$BL$20) = 0, "", SUM($BL$16:$BL$20))))), IF(ISERROR(IF(SUM($BL$16:$BL$20) = 0, "", SUM($BL$16:$BL$20))), "", (IF(SUM($BL$16:$BL$20) = 0, "", SUM($BL$16:$BL$20)))) = ""), 284.046,IF(ISERROR(IF(SUM($BL$16:$BL$20) = 0, "", SUM($BL$16:$BL$20))), "", (IF(SUM($BL$16:$BL$20) = 0, "", SUM($BL$16:$BL$20)))))</f>
        <v>283.05600000000004</v>
      </c>
      <c r="BM15">
        <f>IF(OR(ISBLANK(IF(ISERROR(IF(SUM($BM$16:$BM$20) = 0, "", SUM($BM$16:$BM$20))), "", (IF(SUM($BM$16:$BM$20) = 0, "", SUM($BM$16:$BM$20))))), IF(ISERROR(IF(SUM($BM$16:$BM$20) = 0, "", SUM($BM$16:$BM$20))), "", (IF(SUM($BM$16:$BM$20) = 0, "", SUM($BM$16:$BM$20)))) = ""), 296.339,IF(ISERROR(IF(SUM($BM$16:$BM$20) = 0, "", SUM($BM$16:$BM$20))), "", (IF(SUM($BM$16:$BM$20) = 0, "", SUM($BM$16:$BM$20)))))</f>
        <v>274.76900000000001</v>
      </c>
      <c r="BN15">
        <f>IF(OR(ISBLANK(IF(ISERROR(IF(SUM($BN$16:$BN$20) = 0, "", SUM($BN$16:$BN$20))), "", (IF(SUM($BN$16:$BN$20) = 0, "", SUM($BN$16:$BN$20))))), IF(ISERROR(IF(SUM($BN$16:$BN$20) = 0, "", SUM($BN$16:$BN$20))), "", (IF(SUM($BN$16:$BN$20) = 0, "", SUM($BN$16:$BN$20)))) = ""), 326.926,IF(ISERROR(IF(SUM($BN$16:$BN$20) = 0, "", SUM($BN$16:$BN$20))), "", (IF(SUM($BN$16:$BN$20) = 0, "", SUM($BN$16:$BN$20)))))</f>
        <v>271.97899999999998</v>
      </c>
      <c r="BO15">
        <f>IF(OR(ISBLANK(IF(ISERROR(IF(SUM($BO$16:$BO$20) = 0, "", SUM($BO$16:$BO$20))), "", (IF(SUM($BO$16:$BO$20) = 0, "", SUM($BO$16:$BO$20))))), IF(ISERROR(IF(SUM($BO$16:$BO$20) = 0, "", SUM($BO$16:$BO$20))), "", (IF(SUM($BO$16:$BO$20) = 0, "", SUM($BO$16:$BO$20)))) = ""), 312.197,IF(ISERROR(IF(SUM($BO$16:$BO$20) = 0, "", SUM($BO$16:$BO$20))), "", (IF(SUM($BO$16:$BO$20) = 0, "", SUM($BO$16:$BO$20)))))</f>
        <v>290.125</v>
      </c>
      <c r="BP15">
        <f>IF(OR(ISBLANK(IF(ISERROR(IF(SUM($BP$16:$BP$20) = 0, "", SUM($BP$16:$BP$20))), "", (IF(SUM($BP$16:$BP$20) = 0, "", SUM($BP$16:$BP$20))))), IF(ISERROR(IF(SUM($BP$16:$BP$20) = 0, "", SUM($BP$16:$BP$20))), "", (IF(SUM($BP$16:$BP$20) = 0, "", SUM($BP$16:$BP$20)))) = ""), 311.769,IF(ISERROR(IF(SUM($BP$16:$BP$20) = 0, "", SUM($BP$16:$BP$20))), "", (IF(SUM($BP$16:$BP$20) = 0, "", SUM($BP$16:$BP$20)))))</f>
        <v>298.86299999999994</v>
      </c>
      <c r="BQ15">
        <f>IF(OR(ISBLANK(IF(ISERROR(IF(SUM($BQ$16:$BQ$20) = 0, "", SUM($BQ$16:$BQ$20))), "", (IF(SUM($BQ$16:$BQ$20) = 0, "", SUM($BQ$16:$BQ$20))))), IF(ISERROR(IF(SUM($BQ$16:$BQ$20) = 0, "", SUM($BQ$16:$BQ$20))), "", (IF(SUM($BQ$16:$BQ$20) = 0, "", SUM($BQ$16:$BQ$20)))) = ""), 326.016,IF(ISERROR(IF(SUM($BQ$16:$BQ$20) = 0, "", SUM($BQ$16:$BQ$20))), "", (IF(SUM($BQ$16:$BQ$20) = 0, "", SUM($BQ$16:$BQ$20)))))</f>
        <v>287.66500000000002</v>
      </c>
      <c r="BR15">
        <f>IF(OR(ISBLANK(IF(ISERROR(IF(SUM($BR$16:$BR$20) = 0, "", SUM($BR$16:$BR$20))), "", (IF(SUM($BR$16:$BR$20) = 0, "", SUM($BR$16:$BR$20))))), IF(ISERROR(IF(SUM($BR$16:$BR$20) = 0, "", SUM($BR$16:$BR$20))), "", (IF(SUM($BR$16:$BR$20) = 0, "", SUM($BR$16:$BR$20)))) = ""), 340.522,IF(ISERROR(IF(SUM($BR$16:$BR$20) = 0, "", SUM($BR$16:$BR$20))), "", (IF(SUM($BR$16:$BR$20) = 0, "", SUM($BR$16:$BR$20)))))</f>
        <v>277.96899999999999</v>
      </c>
      <c r="BS15">
        <f>IF(OR(ISBLANK(IF(ISERROR(IF(SUM($BS$16:$BS$20) = 0, "", SUM($BS$16:$BS$20))), "", (IF(SUM($BS$16:$BS$20) = 0, "", SUM($BS$16:$BS$20))))), IF(ISERROR(IF(SUM($BS$16:$BS$20) = 0, "", SUM($BS$16:$BS$20))), "", (IF(SUM($BS$16:$BS$20) = 0, "", SUM($BS$16:$BS$20)))) = ""), 350.585,IF(ISERROR(IF(SUM($BS$16:$BS$20) = 0, "", SUM($BS$16:$BS$20))), "", (IF(SUM($BS$16:$BS$20) = 0, "", SUM($BS$16:$BS$20)))))</f>
        <v>284.98699999999997</v>
      </c>
      <c r="BT15">
        <f>IF(OR(ISBLANK(IF(ISERROR(IF(SUM($BT$16:$BT$20) = 0, "", SUM($BT$16:$BT$20))), "", (IF(SUM($BT$16:$BT$20) = 0, "", SUM($BT$16:$BT$20))))), IF(ISERROR(IF(SUM($BT$16:$BT$20) = 0, "", SUM($BT$16:$BT$20))), "", (IF(SUM($BT$16:$BT$20) = 0, "", SUM($BT$16:$BT$20)))) = ""), 333.155,IF(ISERROR(IF(SUM($BT$16:$BT$20) = 0, "", SUM($BT$16:$BT$20))), "", (IF(SUM($BT$16:$BT$20) = 0, "", SUM($BT$16:$BT$20)))))</f>
        <v>297.988</v>
      </c>
      <c r="BU15">
        <f>IF(OR(ISBLANK(IF(ISERROR(IF(SUM($BU$16:$BU$20) = 0, "", SUM($BU$16:$BU$20))), "", (IF(SUM($BU$16:$BU$20) = 0, "", SUM($BU$16:$BU$20))))), IF(ISERROR(IF(SUM($BU$16:$BU$20) = 0, "", SUM($BU$16:$BU$20))), "", (IF(SUM($BU$16:$BU$20) = 0, "", SUM($BU$16:$BU$20)))) = ""), 339.255,IF(ISERROR(IF(SUM($BU$16:$BU$20) = 0, "", SUM($BU$16:$BU$20))), "", (IF(SUM($BU$16:$BU$20) = 0, "", SUM($BU$16:$BU$20)))))</f>
        <v>282.71199999999999</v>
      </c>
      <c r="BV15">
        <f>IF(OR(ISBLANK(IF(ISERROR(IF(SUM($BV$16:$BV$20) = 0, "", SUM($BV$16:$BV$20))), "", (IF(SUM($BV$16:$BV$20) = 0, "", SUM($BV$16:$BV$20))))), IF(ISERROR(IF(SUM($BV$16:$BV$20) = 0, "", SUM($BV$16:$BV$20))), "", (IF(SUM($BV$16:$BV$20) = 0, "", SUM($BV$16:$BV$20)))) = ""), 340.456,IF(ISERROR(IF(SUM($BV$16:$BV$20) = 0, "", SUM($BV$16:$BV$20))), "", (IF(SUM($BV$16:$BV$20) = 0, "", SUM($BV$16:$BV$20)))))</f>
        <v>282.03700000000003</v>
      </c>
      <c r="BW15">
        <f>IF(OR(ISBLANK(IF(ISERROR(IF(SUM($BW$16:$BW$20) = 0, "", SUM($BW$16:$BW$20))), "", (IF(SUM($BW$16:$BW$20) = 0, "", SUM($BW$16:$BW$20))))), IF(ISERROR(IF(SUM($BW$16:$BW$20) = 0, "", SUM($BW$16:$BW$20))), "", (IF(SUM($BW$16:$BW$20) = 0, "", SUM($BW$16:$BW$20)))) = ""), 350.295,IF(ISERROR(IF(SUM($BW$16:$BW$20) = 0, "", SUM($BW$16:$BW$20))), "", (IF(SUM($BW$16:$BW$20) = 0, "", SUM($BW$16:$BW$20)))))</f>
        <v>284.04599999999999</v>
      </c>
      <c r="BX15">
        <f>IF(OR(ISBLANK(IF(ISERROR(IF(SUM($BX$16:$BX$20) = 0, "", SUM($BX$16:$BX$20))), "", (IF(SUM($BX$16:$BX$20) = 0, "", SUM($BX$16:$BX$20))))), IF(ISERROR(IF(SUM($BX$16:$BX$20) = 0, "", SUM($BX$16:$BX$20))), "", (IF(SUM($BX$16:$BX$20) = 0, "", SUM($BX$16:$BX$20)))) = ""), 372.056,IF(ISERROR(IF(SUM($BX$16:$BX$20) = 0, "", SUM($BX$16:$BX$20))), "", (IF(SUM($BX$16:$BX$20) = 0, "", SUM($BX$16:$BX$20)))))</f>
        <v>296.339</v>
      </c>
      <c r="BY15">
        <f>IF(OR(ISBLANK(IF(ISERROR(IF(SUM($BY$16:$BY$20) = 0, "", SUM($BY$16:$BY$20))), "", (IF(SUM($BY$16:$BY$20) = 0, "", SUM($BY$16:$BY$20))))), IF(ISERROR(IF(SUM($BY$16:$BY$20) = 0, "", SUM($BY$16:$BY$20))), "", (IF(SUM($BY$16:$BY$20) = 0, "", SUM($BY$16:$BY$20)))) = ""), 337.397,IF(ISERROR(IF(SUM($BY$16:$BY$20) = 0, "", SUM($BY$16:$BY$20))), "", (IF(SUM($BY$16:$BY$20) = 0, "", SUM($BY$16:$BY$20)))))</f>
        <v>326.92599999999999</v>
      </c>
      <c r="BZ15">
        <f>IF(OR(ISBLANK(IF(ISERROR(IF(SUM($BZ$16:$BZ$20) = 0, "", SUM($BZ$16:$BZ$20))), "", (IF(SUM($BZ$16:$BZ$20) = 0, "", SUM($BZ$16:$BZ$20))))), IF(ISERROR(IF(SUM($BZ$16:$BZ$20) = 0, "", SUM($BZ$16:$BZ$20))), "", (IF(SUM($BZ$16:$BZ$20) = 0, "", SUM($BZ$16:$BZ$20)))) = ""), 363.181,IF(ISERROR(IF(SUM($BZ$16:$BZ$20) = 0, "", SUM($BZ$16:$BZ$20))), "", (IF(SUM($BZ$16:$BZ$20) = 0, "", SUM($BZ$16:$BZ$20)))))</f>
        <v>312.19700000000006</v>
      </c>
      <c r="CA15">
        <f>IF(OR(ISBLANK(IF(ISERROR(IF(SUM($CA$16:$CA$20) = 0, "", SUM($CA$16:$CA$20))), "", (IF(SUM($CA$16:$CA$20) = 0, "", SUM($CA$16:$CA$20))))), IF(ISERROR(IF(SUM($CA$16:$CA$20) = 0, "", SUM($CA$16:$CA$20))), "", (IF(SUM($CA$16:$CA$20) = 0, "", SUM($CA$16:$CA$20)))) = ""), 389.788,IF(ISERROR(IF(SUM($CA$16:$CA$20) = 0, "", SUM($CA$16:$CA$20))), "", (IF(SUM($CA$16:$CA$20) = 0, "", SUM($CA$16:$CA$20)))))</f>
        <v>311.76900000000001</v>
      </c>
      <c r="CB15">
        <f>IF(OR(ISBLANK(IF(ISERROR(IF(SUM($CB$16:$CB$20) = 0, "", SUM($CB$16:$CB$20))), "", (IF(SUM($CB$16:$CB$20) = 0, "", SUM($CB$16:$CB$20))))), IF(ISERROR(IF(SUM($CB$16:$CB$20) = 0, "", SUM($CB$16:$CB$20))), "", (IF(SUM($CB$16:$CB$20) = 0, "", SUM($CB$16:$CB$20)))) = ""), 416.074,IF(ISERROR(IF(SUM($CB$16:$CB$20) = 0, "", SUM($CB$16:$CB$20))), "", (IF(SUM($CB$16:$CB$20) = 0, "", SUM($CB$16:$CB$20)))))</f>
        <v>326.01600000000002</v>
      </c>
      <c r="CC15">
        <f>IF(OR(ISBLANK(IF(ISERROR(IF(SUM($CC$16:$CC$20) = 0, "", SUM($CC$16:$CC$20))), "", (IF(SUM($CC$16:$CC$20) = 0, "", SUM($CC$16:$CC$20))))), IF(ISERROR(IF(SUM($CC$16:$CC$20) = 0, "", SUM($CC$16:$CC$20))), "", (IF(SUM($CC$16:$CC$20) = 0, "", SUM($CC$16:$CC$20)))) = ""), 405.266,IF(ISERROR(IF(SUM($CC$16:$CC$20) = 0, "", SUM($CC$16:$CC$20))), "", (IF(SUM($CC$16:$CC$20) = 0, "", SUM($CC$16:$CC$20)))))</f>
        <v>340.52199999999999</v>
      </c>
      <c r="CD15">
        <f>IF(OR(ISBLANK(IF(ISERROR(IF(SUM($CD$16:$CD$20) = 0, "", SUM($CD$16:$CD$20))), "", (IF(SUM($CD$16:$CD$20) = 0, "", SUM($CD$16:$CD$20))))), IF(ISERROR(IF(SUM($CD$16:$CD$20) = 0, "", SUM($CD$16:$CD$20))), "", (IF(SUM($CD$16:$CD$20) = 0, "", SUM($CD$16:$CD$20)))) = ""), 431.856,IF(ISERROR(IF(SUM($CD$16:$CD$20) = 0, "", SUM($CD$16:$CD$20))), "", (IF(SUM($CD$16:$CD$20) = 0, "", SUM($CD$16:$CD$20)))))</f>
        <v>350.58500000000004</v>
      </c>
      <c r="CE15">
        <f>IF(OR(ISBLANK(IF(ISERROR(IF(SUM($CE$16:$CE$20) = 0, "", SUM($CE$16:$CE$20))), "", (IF(SUM($CE$16:$CE$20) = 0, "", SUM($CE$16:$CE$20))))), IF(ISERROR(IF(SUM($CE$16:$CE$20) = 0, "", SUM($CE$16:$CE$20))), "", (IF(SUM($CE$16:$CE$20) = 0, "", SUM($CE$16:$CE$20)))) = ""), 461.731,IF(ISERROR(IF(SUM($CE$16:$CE$20) = 0, "", SUM($CE$16:$CE$20))), "", (IF(SUM($CE$16:$CE$20) = 0, "", SUM($CE$16:$CE$20)))))</f>
        <v>333.15499999999997</v>
      </c>
      <c r="CF15">
        <f>IF(OR(ISBLANK(IF(ISERROR(IF(SUM($CF$16:$CF$20) = 0, "", SUM($CF$16:$CF$20))), "", (IF(SUM($CF$16:$CF$20) = 0, "", SUM($CF$16:$CF$20))))), IF(ISERROR(IF(SUM($CF$16:$CF$20) = 0, "", SUM($CF$16:$CF$20))), "", (IF(SUM($CF$16:$CF$20) = 0, "", SUM($CF$16:$CF$20)))) = ""), 459.748,IF(ISERROR(IF(SUM($CF$16:$CF$20) = 0, "", SUM($CF$16:$CF$20))), "", (IF(SUM($CF$16:$CF$20) = 0, "", SUM($CF$16:$CF$20)))))</f>
        <v>339.255</v>
      </c>
      <c r="CG15">
        <f>IF(OR(ISBLANK(IF(ISERROR(IF(SUM($CG$16:$CG$20) = 0, "", SUM($CG$16:$CG$20))), "", (IF(SUM($CG$16:$CG$20) = 0, "", SUM($CG$16:$CG$20))))), IF(ISERROR(IF(SUM($CG$16:$CG$20) = 0, "", SUM($CG$16:$CG$20))), "", (IF(SUM($CG$16:$CG$20) = 0, "", SUM($CG$16:$CG$20)))) = ""), 438.334,IF(ISERROR(IF(SUM($CG$16:$CG$20) = 0, "", SUM($CG$16:$CG$20))), "", (IF(SUM($CG$16:$CG$20) = 0, "", SUM($CG$16:$CG$20)))))</f>
        <v>340.45599999999996</v>
      </c>
    </row>
    <row r="16" spans="1:85" x14ac:dyDescent="0.25">
      <c r="A16" t="str">
        <f>"        Deposit Facility"</f>
        <v xml:space="preserve">        Deposit Facility</v>
      </c>
      <c r="B16" t="str">
        <f>"EBBSDEPF Index"</f>
        <v>EBBSDEPF Index</v>
      </c>
      <c r="C16" t="str">
        <f t="shared" ref="C16:C21" si="0">"PR005"</f>
        <v>PR005</v>
      </c>
      <c r="D16" t="str">
        <f t="shared" ref="D16:D21" si="1">"PX_LAST"</f>
        <v>PX_LAST</v>
      </c>
      <c r="E16" t="str">
        <f t="shared" ref="E16:E21" si="2">"Dynamic"</f>
        <v>Dynamic</v>
      </c>
      <c r="F16" t="e">
        <f ca="1">IF(OR(ISBLANK($F$116), $F$116 = ""), "",$F$116)</f>
        <v>#N/A</v>
      </c>
      <c r="G16">
        <f>IF(OR(ISBLANK($G$116), $G$116 = ""), "",$G$116)</f>
        <v>26.65</v>
      </c>
      <c r="H16">
        <f>IF(OR(ISBLANK($H$116), $H$116 = ""), 17.175,$H$116)</f>
        <v>30.864000000000001</v>
      </c>
      <c r="I16">
        <f>IF(OR(ISBLANK($I$116), $I$116 = ""), 37.312,$I$116)</f>
        <v>25.626000000000001</v>
      </c>
      <c r="J16">
        <f>IF(OR(ISBLANK($J$116), $J$116 = ""), 39.91,$J$116)</f>
        <v>19.849</v>
      </c>
      <c r="K16">
        <f>IF(OR(ISBLANK($K$116), $K$116 = ""), 23.774,$K$116)</f>
        <v>21.146000000000001</v>
      </c>
      <c r="L16">
        <f>IF(OR(ISBLANK($L$116), $L$116 = ""), 17.482,$L$116)</f>
        <v>44.118000000000002</v>
      </c>
      <c r="M16">
        <f>IF(OR(ISBLANK($M$116), $M$116 = ""), 33.844,$M$116)</f>
        <v>21.334</v>
      </c>
      <c r="N16">
        <f>IF(OR(ISBLANK($N$116), $N$116 = ""), 39.078,$N$116)</f>
        <v>22.718</v>
      </c>
      <c r="O16">
        <f>IF(OR(ISBLANK($O$116), $O$116 = ""), 23.974,$O$116)</f>
        <v>20.184000000000001</v>
      </c>
      <c r="P16">
        <f>IF(OR(ISBLANK($P$116), $P$116 = ""), 30.057,$P$116)</f>
        <v>27.274999999999999</v>
      </c>
      <c r="Q16">
        <f>IF(OR(ISBLANK($Q$116), $Q$116 = ""), 21.154,$Q$116)</f>
        <v>25.422999999999998</v>
      </c>
      <c r="R16">
        <f>IF(OR(ISBLANK($R$116), $R$116 = ""), 25.723,$R$116)</f>
        <v>26.544</v>
      </c>
      <c r="S16">
        <f>IF(OR(ISBLANK($S$116), $S$116 = ""), 28.256,$S$116)</f>
        <v>17.175000000000001</v>
      </c>
      <c r="T16">
        <f>IF(OR(ISBLANK($T$116), $T$116 = ""), 34.536,$T$116)</f>
        <v>37.311999999999998</v>
      </c>
      <c r="U16">
        <f>IF(OR(ISBLANK($U$116), $U$116 = ""), 23.495,$U$116)</f>
        <v>39.909999999999997</v>
      </c>
      <c r="V16">
        <f>IF(OR(ISBLANK($V$116), $V$116 = ""), 30.939,$V$116)</f>
        <v>23.774000000000001</v>
      </c>
      <c r="W16">
        <f>IF(OR(ISBLANK($W$116), $W$116 = ""), 29.371,$W$116)</f>
        <v>17.481999999999999</v>
      </c>
      <c r="X16">
        <f>IF(OR(ISBLANK($X$116), $X$116 = ""), 32.014,$X$116)</f>
        <v>33.844000000000001</v>
      </c>
      <c r="Y16">
        <f>IF(OR(ISBLANK($Y$116), $Y$116 = ""), 29.891,$Y$116)</f>
        <v>39.078000000000003</v>
      </c>
      <c r="Z16">
        <f>IF(OR(ISBLANK($Z$116), $Z$116 = ""), 47.221,$Z$116)</f>
        <v>23.974</v>
      </c>
      <c r="AA16">
        <f>IF(OR(ISBLANK($AA$116), $AA$116 = ""), 56.064,$AA$116)</f>
        <v>30.056999999999999</v>
      </c>
      <c r="AB16">
        <f>IF(OR(ISBLANK($AB$116), $AB$116 = ""), 44.01,$AB$116)</f>
        <v>21.154</v>
      </c>
      <c r="AC16">
        <f>IF(OR(ISBLANK($AC$116), $AC$116 = ""), 36.489,$AC$116)</f>
        <v>25.722999999999999</v>
      </c>
      <c r="AD16">
        <f>IF(OR(ISBLANK($AD$116), $AD$116 = ""), 59.753,$AD$116)</f>
        <v>28.256</v>
      </c>
      <c r="AE16">
        <f>IF(OR(ISBLANK($AE$116), $AE$116 = ""), 88.213,$AE$116)</f>
        <v>34.536000000000001</v>
      </c>
      <c r="AF16">
        <f>IF(OR(ISBLANK($AF$116), $AF$116 = ""), 59.628,$AF$116)</f>
        <v>23.495000000000001</v>
      </c>
      <c r="AG16">
        <f>IF(OR(ISBLANK($AG$116), $AG$116 = ""), 53.345,$AG$116)</f>
        <v>30.939</v>
      </c>
      <c r="AH16">
        <f>IF(OR(ISBLANK($AH$116), $AH$116 = ""), 38.341,$AH$116)</f>
        <v>29.370999999999999</v>
      </c>
      <c r="AI16">
        <f>IF(OR(ISBLANK($AI$116), $AI$116 = ""), 54.069,$AI$116)</f>
        <v>32.014000000000003</v>
      </c>
      <c r="AJ16">
        <f>IF(OR(ISBLANK($AJ$116), $AJ$116 = ""), 56.147,$AJ$116)</f>
        <v>29.890999999999998</v>
      </c>
      <c r="AK16">
        <f>IF(OR(ISBLANK($AK$116), $AK$116 = ""), 44.039,$AK$116)</f>
        <v>47.220999999999997</v>
      </c>
      <c r="AL16">
        <f>IF(OR(ISBLANK($AL$116), $AL$116 = ""), 43.861,$AL$116)</f>
        <v>56.064</v>
      </c>
      <c r="AM16">
        <f>IF(OR(ISBLANK($AM$116), $AM$116 = ""), 62.442,$AM$116)</f>
        <v>44.01</v>
      </c>
      <c r="AN16">
        <f>IF(OR(ISBLANK($AN$116), $AN$116 = ""), 52.127,$AN$116)</f>
        <v>36.488999999999997</v>
      </c>
      <c r="AO16">
        <f>IF(OR(ISBLANK($AO$116), $AO$116 = ""), 51.336,$AO$116)</f>
        <v>59.753</v>
      </c>
      <c r="AP16">
        <f>IF(OR(ISBLANK($AP$116), $AP$116 = ""), 45.667,$AP$116)</f>
        <v>88.212999999999994</v>
      </c>
      <c r="AQ16">
        <f>IF(OR(ISBLANK($AQ$116), $AQ$116 = ""), 52.553,$AQ$116)</f>
        <v>59.628</v>
      </c>
      <c r="AR16">
        <f>IF(OR(ISBLANK($AR$116), $AR$116 = ""), 55.336,$AR$116)</f>
        <v>53.344999999999999</v>
      </c>
      <c r="AS16">
        <f>IF(OR(ISBLANK($AS$116), $AS$116 = ""), 52.87,$AS$116)</f>
        <v>38.341000000000001</v>
      </c>
      <c r="AT16">
        <f>IF(OR(ISBLANK($AT$116), $AT$116 = ""), 50.06,$AT$116)</f>
        <v>54.069000000000003</v>
      </c>
      <c r="AU16">
        <f>IF(OR(ISBLANK($AU$116), $AU$116 = ""), 71.425,$AU$116)</f>
        <v>56.146999999999998</v>
      </c>
      <c r="AV16">
        <f>IF(OR(ISBLANK($AV$116), $AV$116 = ""), 79.934,$AV$116)</f>
        <v>44.039000000000001</v>
      </c>
      <c r="AW16">
        <f>IF(OR(ISBLANK($AW$116), $AW$116 = ""), 70.569,$AW$116)</f>
        <v>43.860999999999997</v>
      </c>
      <c r="AX16">
        <f>IF(OR(ISBLANK($AX$116), $AX$116 = ""), 87.224,$AX$116)</f>
        <v>62.442</v>
      </c>
      <c r="AY16">
        <f>IF(OR(ISBLANK($AY$116), $AY$116 = ""), 81.202,$AY$116)</f>
        <v>52.127000000000002</v>
      </c>
      <c r="AZ16">
        <f>IF(OR(ISBLANK($AZ$116), $AZ$116 = ""), 76.997,$AZ$116)</f>
        <v>51.335999999999999</v>
      </c>
      <c r="BA16">
        <f>IF(OR(ISBLANK($BA$116), $BA$116 = ""), 87.348,$BA$116)</f>
        <v>45.667000000000002</v>
      </c>
      <c r="BB16">
        <f>IF(OR(ISBLANK($BB$116), $BB$116 = ""), 79.242,$BB$116)</f>
        <v>52.552999999999997</v>
      </c>
      <c r="BC16">
        <f>IF(OR(ISBLANK($BC$116), $BC$116 = ""), 76.431,$BC$116)</f>
        <v>55.335999999999999</v>
      </c>
      <c r="BD16">
        <f>IF(OR(ISBLANK($BD$116), $BD$116 = ""), 94.619,$BD$116)</f>
        <v>52.87</v>
      </c>
      <c r="BE16">
        <f>IF(OR(ISBLANK($BE$116), $BE$116 = ""), 103.862,$BE$116)</f>
        <v>50.06</v>
      </c>
      <c r="BF16">
        <f>IF(OR(ISBLANK($BF$116), $BF$116 = ""), 92.18,$BF$116)</f>
        <v>71.424999999999997</v>
      </c>
      <c r="BG16">
        <f>IF(OR(ISBLANK($BG$116), $BG$116 = ""), 82.964,$BG$116)</f>
        <v>79.933999999999997</v>
      </c>
      <c r="BH16">
        <f>IF(OR(ISBLANK($BH$116), $BH$116 = ""), 89.957,$BH$116)</f>
        <v>70.569000000000003</v>
      </c>
      <c r="BI16">
        <f>IF(OR(ISBLANK($BI$116), $BI$116 = ""), 100.881,$BI$116)</f>
        <v>87.224000000000004</v>
      </c>
      <c r="BJ16">
        <f>IF(OR(ISBLANK($BJ$116), $BJ$116 = ""), 85.64,$BJ$116)</f>
        <v>81.201999999999998</v>
      </c>
      <c r="BK16">
        <f>IF(OR(ISBLANK($BK$116), $BK$116 = ""), 81.037,$BK$116)</f>
        <v>76.997</v>
      </c>
      <c r="BL16">
        <f>IF(OR(ISBLANK($BL$116), $BL$116 = ""), 83.039,$BL$116)</f>
        <v>87.347999999999999</v>
      </c>
      <c r="BM16">
        <f>IF(OR(ISBLANK($BM$116), $BM$116 = ""), 95.339,$BM$116)</f>
        <v>79.242000000000004</v>
      </c>
      <c r="BN16">
        <f>IF(OR(ISBLANK($BN$116), $BN$116 = ""), 124.102,$BN$116)</f>
        <v>76.430999999999997</v>
      </c>
      <c r="BO16">
        <f>IF(OR(ISBLANK($BO$116), $BO$116 = ""), 109.662,$BO$116)</f>
        <v>94.619</v>
      </c>
      <c r="BP16">
        <f>IF(OR(ISBLANK($BP$116), $BP$116 = ""), 105.59,$BP$116)</f>
        <v>103.86199999999999</v>
      </c>
      <c r="BQ16">
        <f>IF(OR(ISBLANK($BQ$116), $BQ$116 = ""), 119.906,$BQ$116)</f>
        <v>92.18</v>
      </c>
      <c r="BR16">
        <f>IF(OR(ISBLANK($BR$116), $BR$116 = ""), 134.902,$BR$116)</f>
        <v>82.963999999999999</v>
      </c>
      <c r="BS16">
        <f>IF(OR(ISBLANK($BS$116), $BS$116 = ""), 144.648,$BS$116)</f>
        <v>89.956999999999994</v>
      </c>
      <c r="BT16">
        <f>IF(OR(ISBLANK($BT$116), $BT$116 = ""), 126.755,$BT$116)</f>
        <v>100.881</v>
      </c>
      <c r="BU16">
        <f>IF(OR(ISBLANK($BU$116), $BU$116 = ""), 132.634,$BU$116)</f>
        <v>85.64</v>
      </c>
      <c r="BV16">
        <f>IF(OR(ISBLANK($BV$116), $BV$116 = ""), 134.083,$BV$116)</f>
        <v>81.037000000000006</v>
      </c>
      <c r="BW16">
        <f>IF(OR(ISBLANK($BW$116), $BW$116 = ""), 144.71,$BW$116)</f>
        <v>83.039000000000001</v>
      </c>
      <c r="BX16">
        <f>IF(OR(ISBLANK($BX$116), $BX$116 = ""), 166.437,$BX$116)</f>
        <v>95.338999999999999</v>
      </c>
      <c r="BY16">
        <f>IF(OR(ISBLANK($BY$116), $BY$116 = ""), 131.885,$BY$116)</f>
        <v>124.102</v>
      </c>
      <c r="BZ16">
        <f>IF(OR(ISBLANK($BZ$116), $BZ$116 = ""), 157.198,$BZ$116)</f>
        <v>109.66200000000001</v>
      </c>
      <c r="CA16">
        <f>IF(OR(ISBLANK($CA$116), $CA$116 = ""), 180.957,$CA$116)</f>
        <v>105.59</v>
      </c>
      <c r="CB16">
        <f>IF(OR(ISBLANK($CB$116), $CB$116 = ""), 207.198,$CB$116)</f>
        <v>119.90600000000001</v>
      </c>
      <c r="CC16">
        <f>IF(OR(ISBLANK($CC$116), $CC$116 = ""), 196.399,$CC$116)</f>
        <v>134.90199999999999</v>
      </c>
      <c r="CD16">
        <f>IF(OR(ISBLANK($CD$116), $CD$116 = ""), 222.608,$CD$116)</f>
        <v>144.648</v>
      </c>
      <c r="CE16">
        <f>IF(OR(ISBLANK($CE$116), $CE$116 = ""), 252.615,$CE$116)</f>
        <v>126.755</v>
      </c>
      <c r="CF16">
        <f>IF(OR(ISBLANK($CF$116), $CF$116 = ""), 261.689,$CF$116)</f>
        <v>132.63399999999999</v>
      </c>
      <c r="CG16">
        <f>IF(OR(ISBLANK($CG$116), $CG$116 = ""), 229.384,$CG$116)</f>
        <v>134.083</v>
      </c>
    </row>
    <row r="17" spans="1:85" x14ac:dyDescent="0.25">
      <c r="A17" t="str">
        <f>"        Fixed-Term Deposits"</f>
        <v xml:space="preserve">        Fixed-Term Deposits</v>
      </c>
      <c r="B17" t="str">
        <f>"EBBSFIXE Index"</f>
        <v>EBBSFIXE Index</v>
      </c>
      <c r="C17" t="str">
        <f t="shared" si="0"/>
        <v>PR005</v>
      </c>
      <c r="D17" t="str">
        <f t="shared" si="1"/>
        <v>PX_LAST</v>
      </c>
      <c r="E17" t="str">
        <f t="shared" si="2"/>
        <v>Dynamic</v>
      </c>
      <c r="F17" t="e">
        <f ca="1">IF(OR(ISBLANK($F$117), $F$117 = ""), "",$F$117)</f>
        <v>#N/A</v>
      </c>
      <c r="G17">
        <f>IF(OR(ISBLANK($G$117), $G$117 = ""), "",$G$117)</f>
        <v>0</v>
      </c>
      <c r="H17">
        <f>IF(OR(ISBLANK($H$117), $H$117 = ""), 108.65,$H$117)</f>
        <v>0</v>
      </c>
      <c r="I17">
        <f>IF(OR(ISBLANK($I$117), $I$117 = ""), 119.2,$I$117)</f>
        <v>0</v>
      </c>
      <c r="J17">
        <f>IF(OR(ISBLANK($J$117), $J$117 = ""), 102.878,$J$117)</f>
        <v>0</v>
      </c>
      <c r="K17">
        <f>IF(OR(ISBLANK($K$117), $K$117 = ""), 137.465,$K$117)</f>
        <v>0</v>
      </c>
      <c r="L17">
        <f>IF(OR(ISBLANK($L$117), $L$117 = ""), 144.281,$L$117)</f>
        <v>0</v>
      </c>
      <c r="M17">
        <f>IF(OR(ISBLANK($M$117), $M$117 = ""), 165.533,$M$117)</f>
        <v>0</v>
      </c>
      <c r="N17">
        <f>IF(OR(ISBLANK($N$117), $N$117 = ""), 103.946,$N$117)</f>
        <v>0</v>
      </c>
      <c r="O17">
        <f>IF(OR(ISBLANK($O$117), $O$117 = ""), 166.78,$O$117)</f>
        <v>0</v>
      </c>
      <c r="P17">
        <f>IF(OR(ISBLANK($P$117), $P$117 = ""), 153.364,$P$117)</f>
        <v>0</v>
      </c>
      <c r="Q17">
        <f>IF(OR(ISBLANK($Q$117), $Q$117 = ""), 172.5,$Q$117)</f>
        <v>0</v>
      </c>
      <c r="R17">
        <f>IF(OR(ISBLANK($R$117), $R$117 = ""), 175.5,$R$117)</f>
        <v>0</v>
      </c>
      <c r="S17">
        <f>IF(OR(ISBLANK($S$117), $S$117 = ""), 175.5,$S$117)</f>
        <v>108.65</v>
      </c>
      <c r="T17">
        <f>IF(OR(ISBLANK($T$117), $T$117 = ""), 175.5,$T$117)</f>
        <v>119.2</v>
      </c>
      <c r="U17">
        <f>IF(OR(ISBLANK($U$117), $U$117 = ""), 175.5,$U$117)</f>
        <v>102.878</v>
      </c>
      <c r="V17">
        <f>IF(OR(ISBLANK($V$117), $V$117 = ""), 175.5,$V$117)</f>
        <v>137.465</v>
      </c>
      <c r="W17">
        <f>IF(OR(ISBLANK($W$117), $W$117 = ""), 175.5,$W$117)</f>
        <v>144.28100000000001</v>
      </c>
      <c r="X17">
        <f>IF(OR(ISBLANK($X$117), $X$117 = ""), 175.5,$X$117)</f>
        <v>165.53299999999999</v>
      </c>
      <c r="Y17">
        <f>IF(OR(ISBLANK($Y$117), $Y$117 = ""), 175.5,$Y$117)</f>
        <v>103.946</v>
      </c>
      <c r="Z17">
        <f>IF(OR(ISBLANK($Z$117), $Z$117 = ""), 175.5,$Z$117)</f>
        <v>166.78</v>
      </c>
      <c r="AA17">
        <f>IF(OR(ISBLANK($AA$117), $AA$117 = ""), 151.206,$AA$117)</f>
        <v>153.364</v>
      </c>
      <c r="AB17">
        <f>IF(OR(ISBLANK($AB$117), $AB$117 = ""), 152.067,$AB$117)</f>
        <v>172.5</v>
      </c>
      <c r="AC17">
        <f>IF(OR(ISBLANK($AC$117), $AC$117 = ""), 179,$AC$117)</f>
        <v>175.5</v>
      </c>
      <c r="AD17">
        <f>IF(OR(ISBLANK($AD$117), $AD$117 = ""), 179,$AD$117)</f>
        <v>175.5</v>
      </c>
      <c r="AE17">
        <f>IF(OR(ISBLANK($AE$117), $AE$117 = ""), 104.842,$AE$117)</f>
        <v>175.5</v>
      </c>
      <c r="AF17">
        <f>IF(OR(ISBLANK($AF$117), $AF$117 = ""), 139.92,$AF$117)</f>
        <v>175.5</v>
      </c>
      <c r="AG17">
        <f>IF(OR(ISBLANK($AG$117), $AG$117 = ""), 152.251,$AG$117)</f>
        <v>175.5</v>
      </c>
      <c r="AH17">
        <f>IF(OR(ISBLANK($AH$117), $AH$117 = ""), 184,$AH$117)</f>
        <v>175.5</v>
      </c>
      <c r="AI17">
        <f>IF(OR(ISBLANK($AI$117), $AI$117 = ""), 184,$AI$117)</f>
        <v>175.5</v>
      </c>
      <c r="AJ17">
        <f>IF(OR(ISBLANK($AJ$117), $AJ$117 = ""), 157.764,$AJ$117)</f>
        <v>175.5</v>
      </c>
      <c r="AK17">
        <f>IF(OR(ISBLANK($AK$117), $AK$117 = ""), 184,$AK$117)</f>
        <v>175.5</v>
      </c>
      <c r="AL17">
        <f>IF(OR(ISBLANK($AL$117), $AL$117 = ""), 184,$AL$117)</f>
        <v>151.20599999999999</v>
      </c>
      <c r="AM17">
        <f>IF(OR(ISBLANK($AM$117), $AM$117 = ""), 184,$AM$117)</f>
        <v>152.06700000000001</v>
      </c>
      <c r="AN17">
        <f>IF(OR(ISBLANK($AN$117), $AN$117 = ""), 188,$AN$117)</f>
        <v>179</v>
      </c>
      <c r="AO17">
        <f>IF(OR(ISBLANK($AO$117), $AO$117 = ""), 188,$AO$117)</f>
        <v>179</v>
      </c>
      <c r="AP17">
        <f>IF(OR(ISBLANK($AP$117), $AP$117 = ""), 188,$AP$117)</f>
        <v>104.842</v>
      </c>
      <c r="AQ17">
        <f>IF(OR(ISBLANK($AQ$117), $AQ$117 = ""), 188,$AQ$117)</f>
        <v>139.91999999999999</v>
      </c>
      <c r="AR17">
        <f>IF(OR(ISBLANK($AR$117), $AR$117 = ""), 187.5,$AR$117)</f>
        <v>152.251</v>
      </c>
      <c r="AS17">
        <f>IF(OR(ISBLANK($AS$117), $AS$117 = ""), 190.5,$AS$117)</f>
        <v>184</v>
      </c>
      <c r="AT17">
        <f>IF(OR(ISBLANK($AT$117), $AT$117 = ""), 190.5,$AT$117)</f>
        <v>184</v>
      </c>
      <c r="AU17">
        <f>IF(OR(ISBLANK($AU$117), $AU$117 = ""), 190.5,$AU$117)</f>
        <v>157.76400000000001</v>
      </c>
      <c r="AV17">
        <f>IF(OR(ISBLANK($AV$117), $AV$117 = ""), 190.5,$AV$117)</f>
        <v>184</v>
      </c>
      <c r="AW17">
        <f>IF(OR(ISBLANK($AW$117), $AW$117 = ""), 190.5,$AW$117)</f>
        <v>184</v>
      </c>
      <c r="AX17">
        <f>IF(OR(ISBLANK($AX$117), $AX$117 = ""), 192.5,$AX$117)</f>
        <v>184</v>
      </c>
      <c r="AY17">
        <f>IF(OR(ISBLANK($AY$117), $AY$117 = ""), 192.5,$AY$117)</f>
        <v>188</v>
      </c>
      <c r="AZ17">
        <f>IF(OR(ISBLANK($AZ$117), $AZ$117 = ""), 192.5,$AZ$117)</f>
        <v>188</v>
      </c>
      <c r="BA17">
        <f>IF(OR(ISBLANK($BA$117), $BA$117 = ""), 195.5,$BA$117)</f>
        <v>188</v>
      </c>
      <c r="BB17">
        <f>IF(OR(ISBLANK($BB$117), $BB$117 = ""), 195.5,$BB$117)</f>
        <v>188</v>
      </c>
      <c r="BC17">
        <f>IF(OR(ISBLANK($BC$117), $BC$117 = ""), 195.5,$BC$117)</f>
        <v>187.5</v>
      </c>
      <c r="BD17">
        <f>IF(OR(ISBLANK($BD$117), $BD$117 = ""), 195.5,$BD$117)</f>
        <v>190.5</v>
      </c>
      <c r="BE17">
        <f>IF(OR(ISBLANK($BE$117), $BE$117 = ""), 195,$BE$117)</f>
        <v>190.5</v>
      </c>
      <c r="BF17">
        <f>IF(OR(ISBLANK($BF$117), $BF$117 = ""), 195,$BF$117)</f>
        <v>190.5</v>
      </c>
      <c r="BG17">
        <f>IF(OR(ISBLANK($BG$117), $BG$117 = ""), 195,$BG$117)</f>
        <v>190.5</v>
      </c>
      <c r="BH17">
        <f>IF(OR(ISBLANK($BH$117), $BH$117 = ""), 195.005,$BH$117)</f>
        <v>190.5</v>
      </c>
      <c r="BI17">
        <f>IF(OR(ISBLANK($BI$117), $BI$117 = ""), 197,$BI$117)</f>
        <v>192.5</v>
      </c>
      <c r="BJ17">
        <f>IF(OR(ISBLANK($BJ$117), $BJ$117 = ""), 197,$BJ$117)</f>
        <v>192.5</v>
      </c>
      <c r="BK17">
        <f>IF(OR(ISBLANK($BK$117), $BK$117 = ""), 201,$BK$117)</f>
        <v>192.5</v>
      </c>
      <c r="BL17">
        <f>IF(OR(ISBLANK($BL$117), $BL$117 = ""), 201,$BL$117)</f>
        <v>195.5</v>
      </c>
      <c r="BM17">
        <f>IF(OR(ISBLANK($BM$117), $BM$117 = ""), 201,$BM$117)</f>
        <v>195.5</v>
      </c>
      <c r="BN17">
        <f>IF(OR(ISBLANK($BN$117), $BN$117 = ""), 202.5,$BN$117)</f>
        <v>195.5</v>
      </c>
      <c r="BO17">
        <f>IF(OR(ISBLANK($BO$117), $BO$117 = ""), 202.5,$BO$117)</f>
        <v>195.5</v>
      </c>
      <c r="BP17">
        <f>IF(OR(ISBLANK($BP$117), $BP$117 = ""), 206,$BP$117)</f>
        <v>195</v>
      </c>
      <c r="BQ17">
        <f>IF(OR(ISBLANK($BQ$117), $BQ$117 = ""), 206,$BQ$117)</f>
        <v>195</v>
      </c>
      <c r="BR17">
        <f>IF(OR(ISBLANK($BR$117), $BR$117 = ""), 205.5,$BR$117)</f>
        <v>195</v>
      </c>
      <c r="BS17">
        <f>IF(OR(ISBLANK($BS$117), $BS$117 = ""), 205.5,$BS$117)</f>
        <v>195.005</v>
      </c>
      <c r="BT17">
        <f>IF(OR(ISBLANK($BT$117), $BT$117 = ""), 205.5,$BT$117)</f>
        <v>197</v>
      </c>
      <c r="BU17">
        <f>IF(OR(ISBLANK($BU$117), $BU$117 = ""), 205.5,$BU$117)</f>
        <v>197</v>
      </c>
      <c r="BV17">
        <f>IF(OR(ISBLANK($BV$117), $BV$117 = ""), 205.5,$BV$117)</f>
        <v>201</v>
      </c>
      <c r="BW17">
        <f>IF(OR(ISBLANK($BW$117), $BW$117 = ""), 205.5,$BW$117)</f>
        <v>201</v>
      </c>
      <c r="BX17">
        <f>IF(OR(ISBLANK($BX$117), $BX$117 = ""), 205.5,$BX$117)</f>
        <v>201</v>
      </c>
      <c r="BY17">
        <f>IF(OR(ISBLANK($BY$117), $BY$117 = ""), 205.5,$BY$117)</f>
        <v>202.5</v>
      </c>
      <c r="BZ17">
        <f>IF(OR(ISBLANK($BZ$117), $BZ$117 = ""), 205.5,$BZ$117)</f>
        <v>202.5</v>
      </c>
      <c r="CA17">
        <f>IF(OR(ISBLANK($CA$117), $CA$117 = ""), 208.5,$CA$117)</f>
        <v>206</v>
      </c>
      <c r="CB17">
        <f>IF(OR(ISBLANK($CB$117), $CB$117 = ""), 208.5,$CB$117)</f>
        <v>206</v>
      </c>
      <c r="CC17">
        <f>IF(OR(ISBLANK($CC$117), $CC$117 = ""), 208.5,$CC$117)</f>
        <v>205.5</v>
      </c>
      <c r="CD17">
        <f>IF(OR(ISBLANK($CD$117), $CD$117 = ""), 208.5,$CD$117)</f>
        <v>205.5</v>
      </c>
      <c r="CE17">
        <f>IF(OR(ISBLANK($CE$117), $CE$117 = ""), 208.5,$CE$117)</f>
        <v>205.5</v>
      </c>
      <c r="CF17">
        <f>IF(OR(ISBLANK($CF$117), $CF$117 = ""), 197.559,$CF$117)</f>
        <v>205.5</v>
      </c>
      <c r="CG17">
        <f>IF(OR(ISBLANK($CG$117), $CG$117 = ""), 208.5,$CG$117)</f>
        <v>205.5</v>
      </c>
    </row>
    <row r="18" spans="1:85" x14ac:dyDescent="0.25">
      <c r="A18" t="str">
        <f>"        Fine-tuning Reverse Operations"</f>
        <v xml:space="preserve">        Fine-tuning Reverse Operations</v>
      </c>
      <c r="B18" t="str">
        <f>"EBBSDEPO Index"</f>
        <v>EBBSDEPO Index</v>
      </c>
      <c r="C18" t="str">
        <f t="shared" si="0"/>
        <v>PR005</v>
      </c>
      <c r="D18" t="str">
        <f t="shared" si="1"/>
        <v>PX_LAST</v>
      </c>
      <c r="E18" t="str">
        <f t="shared" si="2"/>
        <v>Dynamic</v>
      </c>
      <c r="F18" t="e">
        <f ca="1">IF(OR(ISBLANK($F$118), $F$118 = ""), "",$F$118)</f>
        <v>#N/A</v>
      </c>
      <c r="G18">
        <f>IF(OR(ISBLANK($G$118), $G$118 = ""), "",$G$118)</f>
        <v>0</v>
      </c>
      <c r="H18">
        <f>IF(OR(ISBLANK($H$118), $H$118 = ""), 0,$H$118)</f>
        <v>0</v>
      </c>
      <c r="I18">
        <f>IF(OR(ISBLANK($I$118), $I$118 = ""), 0,$I$118)</f>
        <v>0</v>
      </c>
      <c r="J18">
        <f>IF(OR(ISBLANK($J$118), $J$118 = ""), 0,$J$118)</f>
        <v>0</v>
      </c>
      <c r="K18">
        <f>IF(OR(ISBLANK($K$118), $K$118 = ""), 0,$K$118)</f>
        <v>0</v>
      </c>
      <c r="L18">
        <f>IF(OR(ISBLANK($L$118), $L$118 = ""), 0,$L$118)</f>
        <v>0</v>
      </c>
      <c r="M18">
        <f>IF(OR(ISBLANK($M$118), $M$118 = ""), 0,$M$118)</f>
        <v>0</v>
      </c>
      <c r="N18">
        <f>IF(OR(ISBLANK($N$118), $N$118 = ""), 0,$N$118)</f>
        <v>0</v>
      </c>
      <c r="O18">
        <f>IF(OR(ISBLANK($O$118), $O$118 = ""), 0,$O$118)</f>
        <v>0</v>
      </c>
      <c r="P18">
        <f>IF(OR(ISBLANK($P$118), $P$118 = ""), 0,$P$118)</f>
        <v>0</v>
      </c>
      <c r="Q18">
        <f>IF(OR(ISBLANK($Q$118), $Q$118 = ""), 0,$Q$118)</f>
        <v>0</v>
      </c>
      <c r="R18">
        <f>IF(OR(ISBLANK($R$118), $R$118 = ""), 0,$R$118)</f>
        <v>0</v>
      </c>
      <c r="S18">
        <f>IF(OR(ISBLANK($S$118), $S$118 = ""), 0,$S$118)</f>
        <v>0</v>
      </c>
      <c r="T18">
        <f>IF(OR(ISBLANK($T$118), $T$118 = ""), 0,$T$118)</f>
        <v>0</v>
      </c>
      <c r="U18">
        <f>IF(OR(ISBLANK($U$118), $U$118 = ""), 0,$U$118)</f>
        <v>0</v>
      </c>
      <c r="V18">
        <f>IF(OR(ISBLANK($V$118), $V$118 = ""), 0,$V$118)</f>
        <v>0</v>
      </c>
      <c r="W18">
        <f>IF(OR(ISBLANK($W$118), $W$118 = ""), 0,$W$118)</f>
        <v>0</v>
      </c>
      <c r="X18">
        <f>IF(OR(ISBLANK($X$118), $X$118 = ""), 0,$X$118)</f>
        <v>0</v>
      </c>
      <c r="Y18">
        <f>IF(OR(ISBLANK($Y$118), $Y$118 = ""), 0,$Y$118)</f>
        <v>0</v>
      </c>
      <c r="Z18">
        <f>IF(OR(ISBLANK($Z$118), $Z$118 = ""), 0,$Z$118)</f>
        <v>0</v>
      </c>
      <c r="AA18">
        <f>IF(OR(ISBLANK($AA$118), $AA$118 = ""), 0,$AA$118)</f>
        <v>0</v>
      </c>
      <c r="AB18">
        <f>IF(OR(ISBLANK($AB$118), $AB$118 = ""), 0,$AB$118)</f>
        <v>0</v>
      </c>
      <c r="AC18">
        <f>IF(OR(ISBLANK($AC$118), $AC$118 = ""), 0,$AC$118)</f>
        <v>0</v>
      </c>
      <c r="AD18">
        <f>IF(OR(ISBLANK($AD$118), $AD$118 = ""), 0,$AD$118)</f>
        <v>0</v>
      </c>
      <c r="AE18">
        <f>IF(OR(ISBLANK($AE$118), $AE$118 = ""), 0,$AE$118)</f>
        <v>0</v>
      </c>
      <c r="AF18">
        <f>IF(OR(ISBLANK($AF$118), $AF$118 = ""), 0,$AF$118)</f>
        <v>0</v>
      </c>
      <c r="AG18">
        <f>IF(OR(ISBLANK($AG$118), $AG$118 = ""), 0,$AG$118)</f>
        <v>0</v>
      </c>
      <c r="AH18">
        <f>IF(OR(ISBLANK($AH$118), $AH$118 = ""), 0,$AH$118)</f>
        <v>0</v>
      </c>
      <c r="AI18">
        <f>IF(OR(ISBLANK($AI$118), $AI$118 = ""), 0,$AI$118)</f>
        <v>0</v>
      </c>
      <c r="AJ18">
        <f>IF(OR(ISBLANK($AJ$118), $AJ$118 = ""), 0,$AJ$118)</f>
        <v>0</v>
      </c>
      <c r="AK18">
        <f>IF(OR(ISBLANK($AK$118), $AK$118 = ""), 0,$AK$118)</f>
        <v>0</v>
      </c>
      <c r="AL18">
        <f>IF(OR(ISBLANK($AL$118), $AL$118 = ""), 0,$AL$118)</f>
        <v>0</v>
      </c>
      <c r="AM18">
        <f>IF(OR(ISBLANK($AM$118), $AM$118 = ""), 0,$AM$118)</f>
        <v>0</v>
      </c>
      <c r="AN18">
        <f>IF(OR(ISBLANK($AN$118), $AN$118 = ""), 0,$AN$118)</f>
        <v>0</v>
      </c>
      <c r="AO18">
        <f>IF(OR(ISBLANK($AO$118), $AO$118 = ""), 0,$AO$118)</f>
        <v>0</v>
      </c>
      <c r="AP18">
        <f>IF(OR(ISBLANK($AP$118), $AP$118 = ""), 0,$AP$118)</f>
        <v>0</v>
      </c>
      <c r="AQ18">
        <f>IF(OR(ISBLANK($AQ$118), $AQ$118 = ""), 0,$AQ$118)</f>
        <v>0</v>
      </c>
      <c r="AR18">
        <f>IF(OR(ISBLANK($AR$118), $AR$118 = ""), 0,$AR$118)</f>
        <v>0</v>
      </c>
      <c r="AS18">
        <f>IF(OR(ISBLANK($AS$118), $AS$118 = ""), 0,$AS$118)</f>
        <v>0</v>
      </c>
      <c r="AT18">
        <f>IF(OR(ISBLANK($AT$118), $AT$118 = ""), 0,$AT$118)</f>
        <v>0</v>
      </c>
      <c r="AU18">
        <f>IF(OR(ISBLANK($AU$118), $AU$118 = ""), 0,$AU$118)</f>
        <v>0</v>
      </c>
      <c r="AV18">
        <f>IF(OR(ISBLANK($AV$118), $AV$118 = ""), 0,$AV$118)</f>
        <v>0</v>
      </c>
      <c r="AW18">
        <f>IF(OR(ISBLANK($AW$118), $AW$118 = ""), 0,$AW$118)</f>
        <v>0</v>
      </c>
      <c r="AX18">
        <f>IF(OR(ISBLANK($AX$118), $AX$118 = ""), 0,$AX$118)</f>
        <v>0</v>
      </c>
      <c r="AY18">
        <f>IF(OR(ISBLANK($AY$118), $AY$118 = ""), 0,$AY$118)</f>
        <v>0</v>
      </c>
      <c r="AZ18">
        <f>IF(OR(ISBLANK($AZ$118), $AZ$118 = ""), 0,$AZ$118)</f>
        <v>0</v>
      </c>
      <c r="BA18">
        <f>IF(OR(ISBLANK($BA$118), $BA$118 = ""), 0,$BA$118)</f>
        <v>0</v>
      </c>
      <c r="BB18">
        <f>IF(OR(ISBLANK($BB$118), $BB$118 = ""), 0,$BB$118)</f>
        <v>0</v>
      </c>
      <c r="BC18">
        <f>IF(OR(ISBLANK($BC$118), $BC$118 = ""), 0,$BC$118)</f>
        <v>0</v>
      </c>
      <c r="BD18">
        <f>IF(OR(ISBLANK($BD$118), $BD$118 = ""), 0,$BD$118)</f>
        <v>0</v>
      </c>
      <c r="BE18">
        <f>IF(OR(ISBLANK($BE$118), $BE$118 = ""), 0,$BE$118)</f>
        <v>0</v>
      </c>
      <c r="BF18">
        <f>IF(OR(ISBLANK($BF$118), $BF$118 = ""), 0,$BF$118)</f>
        <v>0</v>
      </c>
      <c r="BG18">
        <f>IF(OR(ISBLANK($BG$118), $BG$118 = ""), 0,$BG$118)</f>
        <v>0</v>
      </c>
      <c r="BH18">
        <f>IF(OR(ISBLANK($BH$118), $BH$118 = ""), 0,$BH$118)</f>
        <v>0</v>
      </c>
      <c r="BI18">
        <f>IF(OR(ISBLANK($BI$118), $BI$118 = ""), 0,$BI$118)</f>
        <v>0</v>
      </c>
      <c r="BJ18">
        <f>IF(OR(ISBLANK($BJ$118), $BJ$118 = ""), 0,$BJ$118)</f>
        <v>0</v>
      </c>
      <c r="BK18">
        <f>IF(OR(ISBLANK($BK$118), $BK$118 = ""), 0,$BK$118)</f>
        <v>0</v>
      </c>
      <c r="BL18">
        <f>IF(OR(ISBLANK($BL$118), $BL$118 = ""), 0,$BL$118)</f>
        <v>0</v>
      </c>
      <c r="BM18">
        <f>IF(OR(ISBLANK($BM$118), $BM$118 = ""), 0,$BM$118)</f>
        <v>0</v>
      </c>
      <c r="BN18">
        <f>IF(OR(ISBLANK($BN$118), $BN$118 = ""), 0,$BN$118)</f>
        <v>0</v>
      </c>
      <c r="BO18">
        <f>IF(OR(ISBLANK($BO$118), $BO$118 = ""), 0,$BO$118)</f>
        <v>0</v>
      </c>
      <c r="BP18">
        <f>IF(OR(ISBLANK($BP$118), $BP$118 = ""), 0,$BP$118)</f>
        <v>0</v>
      </c>
      <c r="BQ18">
        <f>IF(OR(ISBLANK($BQ$118), $BQ$118 = ""), 0,$BQ$118)</f>
        <v>0</v>
      </c>
      <c r="BR18">
        <f>IF(OR(ISBLANK($BR$118), $BR$118 = ""), 0,$BR$118)</f>
        <v>0</v>
      </c>
      <c r="BS18">
        <f>IF(OR(ISBLANK($BS$118), $BS$118 = ""), 0,$BS$118)</f>
        <v>0</v>
      </c>
      <c r="BT18">
        <f>IF(OR(ISBLANK($BT$118), $BT$118 = ""), 0,$BT$118)</f>
        <v>0</v>
      </c>
      <c r="BU18">
        <f>IF(OR(ISBLANK($BU$118), $BU$118 = ""), 0,$BU$118)</f>
        <v>0</v>
      </c>
      <c r="BV18">
        <f>IF(OR(ISBLANK($BV$118), $BV$118 = ""), 0,$BV$118)</f>
        <v>0</v>
      </c>
      <c r="BW18">
        <f>IF(OR(ISBLANK($BW$118), $BW$118 = ""), 0,$BW$118)</f>
        <v>0</v>
      </c>
      <c r="BX18">
        <f>IF(OR(ISBLANK($BX$118), $BX$118 = ""), 0,$BX$118)</f>
        <v>0</v>
      </c>
      <c r="BY18">
        <f>IF(OR(ISBLANK($BY$118), $BY$118 = ""), 0,$BY$118)</f>
        <v>0</v>
      </c>
      <c r="BZ18">
        <f>IF(OR(ISBLANK($BZ$118), $BZ$118 = ""), 0,$BZ$118)</f>
        <v>0</v>
      </c>
      <c r="CA18">
        <f>IF(OR(ISBLANK($CA$118), $CA$118 = ""), 0,$CA$118)</f>
        <v>0</v>
      </c>
      <c r="CB18">
        <f>IF(OR(ISBLANK($CB$118), $CB$118 = ""), 0,$CB$118)</f>
        <v>0</v>
      </c>
      <c r="CC18">
        <f>IF(OR(ISBLANK($CC$118), $CC$118 = ""), 0,$CC$118)</f>
        <v>0</v>
      </c>
      <c r="CD18">
        <f>IF(OR(ISBLANK($CD$118), $CD$118 = ""), 0,$CD$118)</f>
        <v>0</v>
      </c>
      <c r="CE18">
        <f>IF(OR(ISBLANK($CE$118), $CE$118 = ""), 0,$CE$118)</f>
        <v>0</v>
      </c>
      <c r="CF18">
        <f>IF(OR(ISBLANK($CF$118), $CF$118 = ""), 0,$CF$118)</f>
        <v>0</v>
      </c>
      <c r="CG18">
        <f>IF(OR(ISBLANK($CG$118), $CG$118 = ""), 0,$CG$118)</f>
        <v>0</v>
      </c>
    </row>
    <row r="19" spans="1:85" x14ac:dyDescent="0.25">
      <c r="A19" t="str">
        <f>"        Deposits Related to Margin Calls"</f>
        <v xml:space="preserve">        Deposits Related to Margin Calls</v>
      </c>
      <c r="B19" t="str">
        <f>"EBBSL025 Index"</f>
        <v>EBBSL025 Index</v>
      </c>
      <c r="C19" t="str">
        <f t="shared" si="0"/>
        <v>PR005</v>
      </c>
      <c r="D19" t="str">
        <f t="shared" si="1"/>
        <v>PX_LAST</v>
      </c>
      <c r="E19" t="str">
        <f t="shared" si="2"/>
        <v>Dynamic</v>
      </c>
      <c r="F19" t="e">
        <f ca="1">IF(OR(ISBLANK($F$119), $F$119 = ""), "",$F$119)</f>
        <v>#N/A</v>
      </c>
      <c r="G19">
        <f>IF(OR(ISBLANK($G$119), $G$119 = ""), "",$G$119)</f>
        <v>1.7000000000000001E-2</v>
      </c>
      <c r="H19">
        <f>IF(OR(ISBLANK($H$119), $H$119 = ""), 0.158,$H$119)</f>
        <v>3.3000000000000002E-2</v>
      </c>
      <c r="I19">
        <f>IF(OR(ISBLANK($I$119), $I$119 = ""), 0.058,$I$119)</f>
        <v>3.3000000000000002E-2</v>
      </c>
      <c r="J19">
        <f>IF(OR(ISBLANK($J$119), $J$119 = ""), 0.007,$J$119)</f>
        <v>3.3000000000000002E-2</v>
      </c>
      <c r="K19">
        <f>IF(OR(ISBLANK($K$119), $K$119 = ""), 0.007,$K$119)</f>
        <v>0.251</v>
      </c>
      <c r="L19">
        <f>IF(OR(ISBLANK($L$119), $L$119 = ""), 0.007,$L$119)</f>
        <v>2.5000000000000001E-2</v>
      </c>
      <c r="M19">
        <f>IF(OR(ISBLANK($M$119), $M$119 = ""), 0.133,$M$119)</f>
        <v>2.7E-2</v>
      </c>
      <c r="N19">
        <f>IF(OR(ISBLANK($N$119), $N$119 = ""), 0.053,$N$119)</f>
        <v>5.7000000000000002E-2</v>
      </c>
      <c r="O19">
        <f>IF(OR(ISBLANK($O$119), $O$119 = ""), 0.001,$O$119)</f>
        <v>6.0000000000000001E-3</v>
      </c>
      <c r="P19">
        <f>IF(OR(ISBLANK($P$119), $P$119 = ""), 0.032,$P$119)</f>
        <v>1.7000000000000001E-2</v>
      </c>
      <c r="Q19">
        <f>IF(OR(ISBLANK($Q$119), $Q$119 = ""), 0.15,$Q$119)</f>
        <v>7.0000000000000001E-3</v>
      </c>
      <c r="R19">
        <f>IF(OR(ISBLANK($R$119), $R$119 = ""), 0.001,$R$119)</f>
        <v>7.0000000000000001E-3</v>
      </c>
      <c r="S19">
        <f>IF(OR(ISBLANK($S$119), $S$119 = ""), 0,$S$119)</f>
        <v>0.158</v>
      </c>
      <c r="T19">
        <f>IF(OR(ISBLANK($T$119), $T$119 = ""), 0.004,$T$119)</f>
        <v>5.8000000000000003E-2</v>
      </c>
      <c r="U19">
        <f>IF(OR(ISBLANK($U$119), $U$119 = ""), 0.045,$U$119)</f>
        <v>7.0000000000000001E-3</v>
      </c>
      <c r="V19">
        <f>IF(OR(ISBLANK($V$119), $V$119 = ""), 0.003,$V$119)</f>
        <v>7.0000000000000001E-3</v>
      </c>
      <c r="W19">
        <f>IF(OR(ISBLANK($W$119), $W$119 = ""), 0.223,$W$119)</f>
        <v>7.0000000000000001E-3</v>
      </c>
      <c r="X19">
        <f>IF(OR(ISBLANK($X$119), $X$119 = ""), 0.003,$X$119)</f>
        <v>0.13300000000000001</v>
      </c>
      <c r="Y19">
        <f>IF(OR(ISBLANK($Y$119), $Y$119 = ""), 0.453,$Y$119)</f>
        <v>5.2999999999999999E-2</v>
      </c>
      <c r="Z19">
        <f>IF(OR(ISBLANK($Z$119), $Z$119 = ""), 0.003,$Z$119)</f>
        <v>1E-3</v>
      </c>
      <c r="AA19">
        <f>IF(OR(ISBLANK($AA$119), $AA$119 = ""), 0.164,$AA$119)</f>
        <v>3.2000000000000001E-2</v>
      </c>
      <c r="AB19">
        <f>IF(OR(ISBLANK($AB$119), $AB$119 = ""), 0.018,$AB$119)</f>
        <v>0.15</v>
      </c>
      <c r="AC19">
        <f>IF(OR(ISBLANK($AC$119), $AC$119 = ""), 0.06,$AC$119)</f>
        <v>1E-3</v>
      </c>
      <c r="AD19">
        <f>IF(OR(ISBLANK($AD$119), $AD$119 = ""), 0.179,$AD$119)</f>
        <v>0</v>
      </c>
      <c r="AE19">
        <f>IF(OR(ISBLANK($AE$119), $AE$119 = ""), 0.039,$AE$119)</f>
        <v>4.0000000000000001E-3</v>
      </c>
      <c r="AF19">
        <f>IF(OR(ISBLANK($AF$119), $AF$119 = ""), 0.102,$AF$119)</f>
        <v>4.4999999999999998E-2</v>
      </c>
      <c r="AG19">
        <f>IF(OR(ISBLANK($AG$119), $AG$119 = ""), 0.808,$AG$119)</f>
        <v>3.0000000000000001E-3</v>
      </c>
      <c r="AH19">
        <f>IF(OR(ISBLANK($AH$119), $AH$119 = ""), 0.076,$AH$119)</f>
        <v>0.223</v>
      </c>
      <c r="AI19">
        <f>IF(OR(ISBLANK($AI$119), $AI$119 = ""), 0.394,$AI$119)</f>
        <v>3.0000000000000001E-3</v>
      </c>
      <c r="AJ19">
        <f>IF(OR(ISBLANK($AJ$119), $AJ$119 = ""), 0.196,$AJ$119)</f>
        <v>0.45300000000000001</v>
      </c>
      <c r="AK19">
        <f>IF(OR(ISBLANK($AK$119), $AK$119 = ""), 0.108,$AK$119)</f>
        <v>3.0000000000000001E-3</v>
      </c>
      <c r="AL19">
        <f>IF(OR(ISBLANK($AL$119), $AL$119 = ""), 0.011,$AL$119)</f>
        <v>0.16400000000000001</v>
      </c>
      <c r="AM19">
        <f>IF(OR(ISBLANK($AM$119), $AM$119 = ""), 0.234,$AM$119)</f>
        <v>1.7999999999999999E-2</v>
      </c>
      <c r="AN19">
        <f>IF(OR(ISBLANK($AN$119), $AN$119 = ""), 0.039,$AN$119)</f>
        <v>0.06</v>
      </c>
      <c r="AO19">
        <f>IF(OR(ISBLANK($AO$119), $AO$119 = ""), 0.17,$AO$119)</f>
        <v>0.17899999999999999</v>
      </c>
      <c r="AP19">
        <f>IF(OR(ISBLANK($AP$119), $AP$119 = ""), 0.018,$AP$119)</f>
        <v>3.9E-2</v>
      </c>
      <c r="AQ19">
        <f>IF(OR(ISBLANK($AQ$119), $AQ$119 = ""), 0.02,$AQ$119)</f>
        <v>0.10199999999999999</v>
      </c>
      <c r="AR19">
        <f>IF(OR(ISBLANK($AR$119), $AR$119 = ""), 0.02,$AR$119)</f>
        <v>0.80800000000000005</v>
      </c>
      <c r="AS19">
        <f>IF(OR(ISBLANK($AS$119), $AS$119 = ""), 0.045,$AS$119)</f>
        <v>7.5999999999999998E-2</v>
      </c>
      <c r="AT19">
        <f>IF(OR(ISBLANK($AT$119), $AT$119 = ""), 0.034,$AT$119)</f>
        <v>0.39400000000000002</v>
      </c>
      <c r="AU19">
        <f>IF(OR(ISBLANK($AU$119), $AU$119 = ""), 0.053,$AU$119)</f>
        <v>0.19600000000000001</v>
      </c>
      <c r="AV19">
        <f>IF(OR(ISBLANK($AV$119), $AV$119 = ""), 0.024,$AV$119)</f>
        <v>0.108</v>
      </c>
      <c r="AW19">
        <f>IF(OR(ISBLANK($AW$119), $AW$119 = ""), 0.149,$AW$119)</f>
        <v>1.0999999999999999E-2</v>
      </c>
      <c r="AX19">
        <f>IF(OR(ISBLANK($AX$119), $AX$119 = ""), 0.056,$AX$119)</f>
        <v>0.23400000000000001</v>
      </c>
      <c r="AY19">
        <f>IF(OR(ISBLANK($AY$119), $AY$119 = ""), 0.02,$AY$119)</f>
        <v>3.9E-2</v>
      </c>
      <c r="AZ19">
        <f>IF(OR(ISBLANK($AZ$119), $AZ$119 = ""), 0.017,$AZ$119)</f>
        <v>0.17</v>
      </c>
      <c r="BA19">
        <f>IF(OR(ISBLANK($BA$119), $BA$119 = ""), 0.208,$BA$119)</f>
        <v>1.7999999999999999E-2</v>
      </c>
      <c r="BB19">
        <f>IF(OR(ISBLANK($BB$119), $BB$119 = ""), 0.027,$BB$119)</f>
        <v>0.02</v>
      </c>
      <c r="BC19">
        <f>IF(OR(ISBLANK($BC$119), $BC$119 = ""), 0.048,$BC$119)</f>
        <v>0.02</v>
      </c>
      <c r="BD19">
        <f>IF(OR(ISBLANK($BD$119), $BD$119 = ""), 0.006,$BD$119)</f>
        <v>4.4999999999999998E-2</v>
      </c>
      <c r="BE19">
        <f>IF(OR(ISBLANK($BE$119), $BE$119 = ""), 0.001,$BE$119)</f>
        <v>3.4000000000000002E-2</v>
      </c>
      <c r="BF19">
        <f>IF(OR(ISBLANK($BF$119), $BF$119 = ""), 0.485,$BF$119)</f>
        <v>5.2999999999999999E-2</v>
      </c>
      <c r="BG19">
        <f>IF(OR(ISBLANK($BG$119), $BG$119 = ""), 0.005,$BG$119)</f>
        <v>2.4E-2</v>
      </c>
      <c r="BH19">
        <f>IF(OR(ISBLANK($BH$119), $BH$119 = ""), 0.025,$BH$119)</f>
        <v>0.14899999999999999</v>
      </c>
      <c r="BI19">
        <f>IF(OR(ISBLANK($BI$119), $BI$119 = ""), 0.107,$BI$119)</f>
        <v>5.6000000000000001E-2</v>
      </c>
      <c r="BJ19">
        <f>IF(OR(ISBLANK($BJ$119), $BJ$119 = ""), 0.072,$BJ$119)</f>
        <v>0.02</v>
      </c>
      <c r="BK19">
        <f>IF(OR(ISBLANK($BK$119), $BK$119 = ""), 0,$BK$119)</f>
        <v>1.7000000000000001E-2</v>
      </c>
      <c r="BL19">
        <f>IF(OR(ISBLANK($BL$119), $BL$119 = ""), 0.007,$BL$119)</f>
        <v>0.20799999999999999</v>
      </c>
      <c r="BM19">
        <f>IF(OR(ISBLANK($BM$119), $BM$119 = ""), 0,$BM$119)</f>
        <v>2.7E-2</v>
      </c>
      <c r="BN19">
        <f>IF(OR(ISBLANK($BN$119), $BN$119 = ""), 0.324,$BN$119)</f>
        <v>4.8000000000000001E-2</v>
      </c>
      <c r="BO19">
        <f>IF(OR(ISBLANK($BO$119), $BO$119 = ""), 0.035,$BO$119)</f>
        <v>6.0000000000000001E-3</v>
      </c>
      <c r="BP19">
        <f>IF(OR(ISBLANK($BP$119), $BP$119 = ""), 0.179,$BP$119)</f>
        <v>1E-3</v>
      </c>
      <c r="BQ19">
        <f>IF(OR(ISBLANK($BQ$119), $BQ$119 = ""), 0.11,$BQ$119)</f>
        <v>0.48499999999999999</v>
      </c>
      <c r="BR19">
        <f>IF(OR(ISBLANK($BR$119), $BR$119 = ""), 0.12,$BR$119)</f>
        <v>5.0000000000000001E-3</v>
      </c>
      <c r="BS19">
        <f>IF(OR(ISBLANK($BS$119), $BS$119 = ""), 0.437,$BS$119)</f>
        <v>2.5000000000000001E-2</v>
      </c>
      <c r="BT19">
        <f>IF(OR(ISBLANK($BT$119), $BT$119 = ""), 0.9,$BT$119)</f>
        <v>0.107</v>
      </c>
      <c r="BU19">
        <f>IF(OR(ISBLANK($BU$119), $BU$119 = ""), 1.121,$BU$119)</f>
        <v>7.1999999999999995E-2</v>
      </c>
      <c r="BV19">
        <f>IF(OR(ISBLANK($BV$119), $BV$119 = ""), 0.873,$BV$119)</f>
        <v>0</v>
      </c>
      <c r="BW19">
        <f>IF(OR(ISBLANK($BW$119), $BW$119 = ""), 0.085,$BW$119)</f>
        <v>7.0000000000000001E-3</v>
      </c>
      <c r="BX19">
        <f>IF(OR(ISBLANK($BX$119), $BX$119 = ""), 0.119,$BX$119)</f>
        <v>0</v>
      </c>
      <c r="BY19">
        <f>IF(OR(ISBLANK($BY$119), $BY$119 = ""), 0.012,$BY$119)</f>
        <v>0.32400000000000001</v>
      </c>
      <c r="BZ19">
        <f>IF(OR(ISBLANK($BZ$119), $BZ$119 = ""), 0.483,$BZ$119)</f>
        <v>3.5000000000000003E-2</v>
      </c>
      <c r="CA19">
        <f>IF(OR(ISBLANK($CA$119), $CA$119 = ""), 0.331,$CA$119)</f>
        <v>0.17899999999999999</v>
      </c>
      <c r="CB19">
        <f>IF(OR(ISBLANK($CB$119), $CB$119 = ""), 0.376,$CB$119)</f>
        <v>0.11</v>
      </c>
      <c r="CC19">
        <f>IF(OR(ISBLANK($CC$119), $CC$119 = ""), 0.367,$CC$119)</f>
        <v>0.12</v>
      </c>
      <c r="CD19">
        <f>IF(OR(ISBLANK($CD$119), $CD$119 = ""), 0.748,$CD$119)</f>
        <v>0.437</v>
      </c>
      <c r="CE19">
        <f>IF(OR(ISBLANK($CE$119), $CE$119 = ""), 0.616,$CE$119)</f>
        <v>0.9</v>
      </c>
      <c r="CF19">
        <f>IF(OR(ISBLANK($CF$119), $CF$119 = ""), 0.5,$CF$119)</f>
        <v>1.121</v>
      </c>
      <c r="CG19">
        <f>IF(OR(ISBLANK($CG$119), $CG$119 = ""), 0.45,$CG$119)</f>
        <v>0.873</v>
      </c>
    </row>
    <row r="20" spans="1:85" x14ac:dyDescent="0.25">
      <c r="A20" t="str">
        <f>"        Debt Certificates Issued"</f>
        <v xml:space="preserve">        Debt Certificates Issued</v>
      </c>
      <c r="B20" t="str">
        <f>"EBBSCERT Index"</f>
        <v>EBBSCERT Index</v>
      </c>
      <c r="C20" t="str">
        <f t="shared" si="0"/>
        <v>PR005</v>
      </c>
      <c r="D20" t="str">
        <f t="shared" si="1"/>
        <v>PX_LAST</v>
      </c>
      <c r="E20" t="str">
        <f t="shared" si="2"/>
        <v>Dynamic</v>
      </c>
      <c r="F20" t="e">
        <f ca="1">IF(OR(ISBLANK($F$120), $F$120 = ""), "",$F$120)</f>
        <v>#N/A</v>
      </c>
      <c r="G20">
        <f>IF(OR(ISBLANK($G$120), $G$120 = ""), "",$G$120)</f>
        <v>0</v>
      </c>
      <c r="H20">
        <f>IF(OR(ISBLANK($H$120), $H$120 = ""), 0,$H$120)</f>
        <v>0</v>
      </c>
      <c r="I20">
        <f>IF(OR(ISBLANK($I$120), $I$120 = ""), 0,$I$120)</f>
        <v>0</v>
      </c>
      <c r="J20">
        <f>IF(OR(ISBLANK($J$120), $J$120 = ""), 0,$J$120)</f>
        <v>0</v>
      </c>
      <c r="K20">
        <f>IF(OR(ISBLANK($K$120), $K$120 = ""), 0,$K$120)</f>
        <v>0</v>
      </c>
      <c r="L20">
        <f>IF(OR(ISBLANK($L$120), $L$120 = ""), 0,$L$120)</f>
        <v>0</v>
      </c>
      <c r="M20">
        <f>IF(OR(ISBLANK($M$120), $M$120 = ""), 0,$M$120)</f>
        <v>0</v>
      </c>
      <c r="N20">
        <f>IF(OR(ISBLANK($N$120), $N$120 = ""), 0,$N$120)</f>
        <v>0</v>
      </c>
      <c r="O20">
        <f>IF(OR(ISBLANK($O$120), $O$120 = ""), 0,$O$120)</f>
        <v>0</v>
      </c>
      <c r="P20">
        <f>IF(OR(ISBLANK($P$120), $P$120 = ""), 0,$P$120)</f>
        <v>0</v>
      </c>
      <c r="Q20">
        <f>IF(OR(ISBLANK($Q$120), $Q$120 = ""), 0,$Q$120)</f>
        <v>0</v>
      </c>
      <c r="R20">
        <f>IF(OR(ISBLANK($R$120), $R$120 = ""), 0,$R$120)</f>
        <v>0</v>
      </c>
      <c r="S20">
        <f>IF(OR(ISBLANK($S$120), $S$120 = ""), 0,$S$120)</f>
        <v>0</v>
      </c>
      <c r="T20">
        <f>IF(OR(ISBLANK($T$120), $T$120 = ""), 0,$T$120)</f>
        <v>0</v>
      </c>
      <c r="U20">
        <f>IF(OR(ISBLANK($U$120), $U$120 = ""), 0,$U$120)</f>
        <v>0</v>
      </c>
      <c r="V20">
        <f>IF(OR(ISBLANK($V$120), $V$120 = ""), 0,$V$120)</f>
        <v>0</v>
      </c>
      <c r="W20">
        <f>IF(OR(ISBLANK($W$120), $W$120 = ""), 0,$W$120)</f>
        <v>0</v>
      </c>
      <c r="X20">
        <f>IF(OR(ISBLANK($X$120), $X$120 = ""), 0,$X$120)</f>
        <v>0</v>
      </c>
      <c r="Y20">
        <f>IF(OR(ISBLANK($Y$120), $Y$120 = ""), 0,$Y$120)</f>
        <v>0</v>
      </c>
      <c r="Z20">
        <f>IF(OR(ISBLANK($Z$120), $Z$120 = ""), 0,$Z$120)</f>
        <v>0</v>
      </c>
      <c r="AA20">
        <f>IF(OR(ISBLANK($AA$120), $AA$120 = ""), 0,$AA$120)</f>
        <v>0</v>
      </c>
      <c r="AB20">
        <f>IF(OR(ISBLANK($AB$120), $AB$120 = ""), 0,$AB$120)</f>
        <v>0</v>
      </c>
      <c r="AC20">
        <f>IF(OR(ISBLANK($AC$120), $AC$120 = ""), 0,$AC$120)</f>
        <v>0</v>
      </c>
      <c r="AD20">
        <f>IF(OR(ISBLANK($AD$120), $AD$120 = ""), 0,$AD$120)</f>
        <v>0</v>
      </c>
      <c r="AE20">
        <f>IF(OR(ISBLANK($AE$120), $AE$120 = ""), 0,$AE$120)</f>
        <v>0</v>
      </c>
      <c r="AF20">
        <f>IF(OR(ISBLANK($AF$120), $AF$120 = ""), 0,$AF$120)</f>
        <v>0</v>
      </c>
      <c r="AG20">
        <f>IF(OR(ISBLANK($AG$120), $AG$120 = ""), 0,$AG$120)</f>
        <v>0</v>
      </c>
      <c r="AH20">
        <f>IF(OR(ISBLANK($AH$120), $AH$120 = ""), 0,$AH$120)</f>
        <v>0</v>
      </c>
      <c r="AI20">
        <f>IF(OR(ISBLANK($AI$120), $AI$120 = ""), 0,$AI$120)</f>
        <v>0</v>
      </c>
      <c r="AJ20">
        <f>IF(OR(ISBLANK($AJ$120), $AJ$120 = ""), 0,$AJ$120)</f>
        <v>0</v>
      </c>
      <c r="AK20">
        <f>IF(OR(ISBLANK($AK$120), $AK$120 = ""), 0,$AK$120)</f>
        <v>0</v>
      </c>
      <c r="AL20">
        <f>IF(OR(ISBLANK($AL$120), $AL$120 = ""), 0,$AL$120)</f>
        <v>0</v>
      </c>
      <c r="AM20">
        <f>IF(OR(ISBLANK($AM$120), $AM$120 = ""), 0,$AM$120)</f>
        <v>0</v>
      </c>
      <c r="AN20">
        <f>IF(OR(ISBLANK($AN$120), $AN$120 = ""), 0,$AN$120)</f>
        <v>0</v>
      </c>
      <c r="AO20">
        <f>IF(OR(ISBLANK($AO$120), $AO$120 = ""), 0,$AO$120)</f>
        <v>0</v>
      </c>
      <c r="AP20">
        <f>IF(OR(ISBLANK($AP$120), $AP$120 = ""), 0,$AP$120)</f>
        <v>0</v>
      </c>
      <c r="AQ20">
        <f>IF(OR(ISBLANK($AQ$120), $AQ$120 = ""), 0,$AQ$120)</f>
        <v>0</v>
      </c>
      <c r="AR20">
        <f>IF(OR(ISBLANK($AR$120), $AR$120 = ""), 0,$AR$120)</f>
        <v>0</v>
      </c>
      <c r="AS20">
        <f>IF(OR(ISBLANK($AS$120), $AS$120 = ""), 0,$AS$120)</f>
        <v>0</v>
      </c>
      <c r="AT20">
        <f>IF(OR(ISBLANK($AT$120), $AT$120 = ""), 0,$AT$120)</f>
        <v>0</v>
      </c>
      <c r="AU20">
        <f>IF(OR(ISBLANK($AU$120), $AU$120 = ""), 0,$AU$120)</f>
        <v>0</v>
      </c>
      <c r="AV20">
        <f>IF(OR(ISBLANK($AV$120), $AV$120 = ""), 0,$AV$120)</f>
        <v>0</v>
      </c>
      <c r="AW20">
        <f>IF(OR(ISBLANK($AW$120), $AW$120 = ""), 0,$AW$120)</f>
        <v>0</v>
      </c>
      <c r="AX20">
        <f>IF(OR(ISBLANK($AX$120), $AX$120 = ""), 0,$AX$120)</f>
        <v>0</v>
      </c>
      <c r="AY20">
        <f>IF(OR(ISBLANK($AY$120), $AY$120 = ""), 0,$AY$120)</f>
        <v>0</v>
      </c>
      <c r="AZ20">
        <f>IF(OR(ISBLANK($AZ$120), $AZ$120 = ""), 0,$AZ$120)</f>
        <v>0</v>
      </c>
      <c r="BA20">
        <f>IF(OR(ISBLANK($BA$120), $BA$120 = ""), 0,$BA$120)</f>
        <v>0</v>
      </c>
      <c r="BB20">
        <f>IF(OR(ISBLANK($BB$120), $BB$120 = ""), 0,$BB$120)</f>
        <v>0</v>
      </c>
      <c r="BC20">
        <f>IF(OR(ISBLANK($BC$120), $BC$120 = ""), 0,$BC$120)</f>
        <v>0</v>
      </c>
      <c r="BD20">
        <f>IF(OR(ISBLANK($BD$120), $BD$120 = ""), 0,$BD$120)</f>
        <v>0</v>
      </c>
      <c r="BE20">
        <f>IF(OR(ISBLANK($BE$120), $BE$120 = ""), 0,$BE$120)</f>
        <v>0</v>
      </c>
      <c r="BF20">
        <f>IF(OR(ISBLANK($BF$120), $BF$120 = ""), 0,$BF$120)</f>
        <v>0</v>
      </c>
      <c r="BG20">
        <f>IF(OR(ISBLANK($BG$120), $BG$120 = ""), 0,$BG$120)</f>
        <v>0</v>
      </c>
      <c r="BH20">
        <f>IF(OR(ISBLANK($BH$120), $BH$120 = ""), 0,$BH$120)</f>
        <v>0</v>
      </c>
      <c r="BI20">
        <f>IF(OR(ISBLANK($BI$120), $BI$120 = ""), 0,$BI$120)</f>
        <v>0</v>
      </c>
      <c r="BJ20">
        <f>IF(OR(ISBLANK($BJ$120), $BJ$120 = ""), 0,$BJ$120)</f>
        <v>0</v>
      </c>
      <c r="BK20">
        <f>IF(OR(ISBLANK($BK$120), $BK$120 = ""), 0,$BK$120)</f>
        <v>0</v>
      </c>
      <c r="BL20">
        <f>IF(OR(ISBLANK($BL$120), $BL$120 = ""), 0,$BL$120)</f>
        <v>0</v>
      </c>
      <c r="BM20">
        <f>IF(OR(ISBLANK($BM$120), $BM$120 = ""), 0,$BM$120)</f>
        <v>0</v>
      </c>
      <c r="BN20">
        <f>IF(OR(ISBLANK($BN$120), $BN$120 = ""), 0,$BN$120)</f>
        <v>0</v>
      </c>
      <c r="BO20">
        <f>IF(OR(ISBLANK($BO$120), $BO$120 = ""), 0,$BO$120)</f>
        <v>0</v>
      </c>
      <c r="BP20">
        <f>IF(OR(ISBLANK($BP$120), $BP$120 = ""), 0,$BP$120)</f>
        <v>0</v>
      </c>
      <c r="BQ20">
        <f>IF(OR(ISBLANK($BQ$120), $BQ$120 = ""), 0,$BQ$120)</f>
        <v>0</v>
      </c>
      <c r="BR20">
        <f>IF(OR(ISBLANK($BR$120), $BR$120 = ""), 0,$BR$120)</f>
        <v>0</v>
      </c>
      <c r="BS20">
        <f>IF(OR(ISBLANK($BS$120), $BS$120 = ""), 0,$BS$120)</f>
        <v>0</v>
      </c>
      <c r="BT20">
        <f>IF(OR(ISBLANK($BT$120), $BT$120 = ""), 0,$BT$120)</f>
        <v>0</v>
      </c>
      <c r="BU20">
        <f>IF(OR(ISBLANK($BU$120), $BU$120 = ""), 0,$BU$120)</f>
        <v>0</v>
      </c>
      <c r="BV20">
        <f>IF(OR(ISBLANK($BV$120), $BV$120 = ""), 0,$BV$120)</f>
        <v>0</v>
      </c>
      <c r="BW20">
        <f>IF(OR(ISBLANK($BW$120), $BW$120 = ""), 0,$BW$120)</f>
        <v>0</v>
      </c>
      <c r="BX20">
        <f>IF(OR(ISBLANK($BX$120), $BX$120 = ""), 0,$BX$120)</f>
        <v>0</v>
      </c>
      <c r="BY20">
        <f>IF(OR(ISBLANK($BY$120), $BY$120 = ""), 0,$BY$120)</f>
        <v>0</v>
      </c>
      <c r="BZ20">
        <f>IF(OR(ISBLANK($BZ$120), $BZ$120 = ""), 0,$BZ$120)</f>
        <v>0</v>
      </c>
      <c r="CA20">
        <f>IF(OR(ISBLANK($CA$120), $CA$120 = ""), 0,$CA$120)</f>
        <v>0</v>
      </c>
      <c r="CB20">
        <f>IF(OR(ISBLANK($CB$120), $CB$120 = ""), 0,$CB$120)</f>
        <v>0</v>
      </c>
      <c r="CC20">
        <f>IF(OR(ISBLANK($CC$120), $CC$120 = ""), 0,$CC$120)</f>
        <v>0</v>
      </c>
      <c r="CD20">
        <f>IF(OR(ISBLANK($CD$120), $CD$120 = ""), 0,$CD$120)</f>
        <v>0</v>
      </c>
      <c r="CE20">
        <f>IF(OR(ISBLANK($CE$120), $CE$120 = ""), 0,$CE$120)</f>
        <v>0</v>
      </c>
      <c r="CF20">
        <f>IF(OR(ISBLANK($CF$120), $CF$120 = ""), 0,$CF$120)</f>
        <v>0</v>
      </c>
      <c r="CG20">
        <f>IF(OR(ISBLANK($CG$120), $CG$120 = ""), 0,$CG$120)</f>
        <v>0</v>
      </c>
    </row>
    <row r="21" spans="1:85" x14ac:dyDescent="0.25">
      <c r="A21" t="str">
        <f>"    ECB Current Accounts (incl. Minimum Reserve System)"</f>
        <v xml:space="preserve">    ECB Current Accounts (incl. Minimum Reserve System)</v>
      </c>
      <c r="B21" t="str">
        <f>"EBBSCA Index"</f>
        <v>EBBSCA Index</v>
      </c>
      <c r="C21" t="str">
        <f t="shared" si="0"/>
        <v>PR005</v>
      </c>
      <c r="D21" t="str">
        <f t="shared" si="1"/>
        <v>PX_LAST</v>
      </c>
      <c r="E21" t="str">
        <f t="shared" si="2"/>
        <v>Dynamic</v>
      </c>
      <c r="F21" t="e">
        <f ca="1">IF(OR(ISBLANK($F$121), $F$121 = ""), "",$F$121)</f>
        <v>#N/A</v>
      </c>
      <c r="G21">
        <f>IF(OR(ISBLANK($G$121), $G$121 = ""), "",$G$121)</f>
        <v>193.71899999999999</v>
      </c>
      <c r="H21">
        <f>IF(OR(ISBLANK($H$121), $H$121 = ""), 199.831,$H$121)</f>
        <v>222.75700000000001</v>
      </c>
      <c r="I21">
        <f>IF(OR(ISBLANK($I$121), $I$121 = ""), 187.123,$I$121)</f>
        <v>205.21600000000001</v>
      </c>
      <c r="J21">
        <f>IF(OR(ISBLANK($J$121), $J$121 = ""), 209.392,$J$121)</f>
        <v>221.62</v>
      </c>
      <c r="K21">
        <f>IF(OR(ISBLANK($K$121), $K$121 = ""), 168.545,$K$121)</f>
        <v>214.47499999999999</v>
      </c>
      <c r="L21">
        <f>IF(OR(ISBLANK($L$121), $L$121 = ""), 201.415,$L$121)</f>
        <v>219.715</v>
      </c>
      <c r="M21">
        <f>IF(OR(ISBLANK($M$121), $M$121 = ""), 150.019,$M$121)</f>
        <v>196.36699999999999</v>
      </c>
      <c r="N21">
        <f>IF(OR(ISBLANK($N$121), $N$121 = ""), 240.192,$N$121)</f>
        <v>211.10300000000001</v>
      </c>
      <c r="O21">
        <f>IF(OR(ISBLANK($O$121), $O$121 = ""), 166.145,$O$121)</f>
        <v>206.155</v>
      </c>
      <c r="P21">
        <f>IF(OR(ISBLANK($P$121), $P$121 = ""), 202.945,$P$121)</f>
        <v>214.24600000000001</v>
      </c>
      <c r="Q21">
        <f>IF(OR(ISBLANK($Q$121), $Q$121 = ""), 198.232,$Q$121)</f>
        <v>217.727</v>
      </c>
      <c r="R21">
        <f>IF(OR(ISBLANK($R$121), $R$121 = ""), 181.145,$R$121)</f>
        <v>211.226</v>
      </c>
      <c r="S21">
        <f>IF(OR(ISBLANK($S$121), $S$121 = ""), 179.162,$S$121)</f>
        <v>199.83099999999999</v>
      </c>
      <c r="T21">
        <f>IF(OR(ISBLANK($T$121), $T$121 = ""), 195.201,$T$121)</f>
        <v>187.12299999999999</v>
      </c>
      <c r="U21">
        <f>IF(OR(ISBLANK($U$121), $U$121 = ""), 226.755,$U$121)</f>
        <v>209.392</v>
      </c>
      <c r="V21">
        <f>IF(OR(ISBLANK($V$121), $V$121 = ""), 187.112,$V$121)</f>
        <v>168.54499999999999</v>
      </c>
      <c r="W21">
        <f>IF(OR(ISBLANK($W$121), $W$121 = ""), 187.393,$W$121)</f>
        <v>201.41499999999999</v>
      </c>
      <c r="X21">
        <f>IF(OR(ISBLANK($X$121), $X$121 = ""), 196.262,$X$121)</f>
        <v>150.01900000000001</v>
      </c>
      <c r="Y21">
        <f>IF(OR(ISBLANK($Y$121), $Y$121 = ""), 223.735,$Y$121)</f>
        <v>240.19200000000001</v>
      </c>
      <c r="Z21">
        <f>IF(OR(ISBLANK($Z$121), $Z$121 = ""), 200.444,$Z$121)</f>
        <v>166.14500000000001</v>
      </c>
      <c r="AA21">
        <f>IF(OR(ISBLANK($AA$121), $AA$121 = ""), 215.69,$AA$121)</f>
        <v>202.94499999999999</v>
      </c>
      <c r="AB21">
        <f>IF(OR(ISBLANK($AB$121), $AB$121 = ""), 227.884,$AB$121)</f>
        <v>198.232</v>
      </c>
      <c r="AC21">
        <f>IF(OR(ISBLANK($AC$121), $AC$121 = ""), 202.449,$AC$121)</f>
        <v>181.14500000000001</v>
      </c>
      <c r="AD21">
        <f>IF(OR(ISBLANK($AD$121), $AD$121 = ""), 202.327,$AD$121)</f>
        <v>179.16200000000001</v>
      </c>
      <c r="AE21">
        <f>IF(OR(ISBLANK($AE$121), $AE$121 = ""), 298.943,$AE$121)</f>
        <v>195.20099999999999</v>
      </c>
      <c r="AF21">
        <f>IF(OR(ISBLANK($AF$121), $AF$121 = ""), 244.083,$AF$121)</f>
        <v>226.755</v>
      </c>
      <c r="AG21">
        <f>IF(OR(ISBLANK($AG$121), $AG$121 = ""), 256.078,$AG$121)</f>
        <v>187.11199999999999</v>
      </c>
      <c r="AH21">
        <f>IF(OR(ISBLANK($AH$121), $AH$121 = ""), 223.637,$AH$121)</f>
        <v>187.393</v>
      </c>
      <c r="AI21">
        <f>IF(OR(ISBLANK($AI$121), $AI$121 = ""), 203.674,$AI$121)</f>
        <v>196.262</v>
      </c>
      <c r="AJ21">
        <f>IF(OR(ISBLANK($AJ$121), $AJ$121 = ""), 215.501,$AJ$121)</f>
        <v>223.73500000000001</v>
      </c>
      <c r="AK21">
        <f>IF(OR(ISBLANK($AK$121), $AK$121 = ""), 217.957,$AK$121)</f>
        <v>200.44399999999999</v>
      </c>
      <c r="AL21">
        <f>IF(OR(ISBLANK($AL$121), $AL$121 = ""), 231.888,$AL$121)</f>
        <v>215.69</v>
      </c>
      <c r="AM21">
        <f>IF(OR(ISBLANK($AM$121), $AM$121 = ""), 230.569,$AM$121)</f>
        <v>227.88399999999999</v>
      </c>
      <c r="AN21">
        <f>IF(OR(ISBLANK($AN$121), $AN$121 = ""), 226.935,$AN$121)</f>
        <v>202.44900000000001</v>
      </c>
      <c r="AO21">
        <f>IF(OR(ISBLANK($AO$121), $AO$121 = ""), 230.156,$AO$121)</f>
        <v>202.327</v>
      </c>
      <c r="AP21">
        <f>IF(OR(ISBLANK($AP$121), $AP$121 = ""), 269.105,$AP$121)</f>
        <v>298.94299999999998</v>
      </c>
      <c r="AQ21">
        <f>IF(OR(ISBLANK($AQ$121), $AQ$121 = ""), 268.047,$AQ$121)</f>
        <v>244.083</v>
      </c>
      <c r="AR21">
        <f>IF(OR(ISBLANK($AR$121), $AR$121 = ""), 265.366,$AR$121)</f>
        <v>256.07799999999997</v>
      </c>
      <c r="AS21">
        <f>IF(OR(ISBLANK($AS$121), $AS$121 = ""), 258.76,$AS$121)</f>
        <v>223.637</v>
      </c>
      <c r="AT21">
        <f>IF(OR(ISBLANK($AT$121), $AT$121 = ""), 274.478,$AT$121)</f>
        <v>203.67400000000001</v>
      </c>
      <c r="AU21">
        <f>IF(OR(ISBLANK($AU$121), $AU$121 = ""), 275.819,$AU$121)</f>
        <v>215.501</v>
      </c>
      <c r="AV21">
        <f>IF(OR(ISBLANK($AV$121), $AV$121 = ""), 269.181,$AV$121)</f>
        <v>217.95699999999999</v>
      </c>
      <c r="AW21">
        <f>IF(OR(ISBLANK($AW$121), $AW$121 = ""), 272.26,$AW$121)</f>
        <v>231.88800000000001</v>
      </c>
      <c r="AX21">
        <f>IF(OR(ISBLANK($AX$121), $AX$121 = ""), 256.148,$AX$121)</f>
        <v>230.56899999999999</v>
      </c>
      <c r="AY21">
        <f>IF(OR(ISBLANK($AY$121), $AY$121 = ""), 281.539,$AY$121)</f>
        <v>226.935</v>
      </c>
      <c r="AZ21">
        <f>IF(OR(ISBLANK($AZ$121), $AZ$121 = ""), 284.035,$AZ$121)</f>
        <v>230.15600000000001</v>
      </c>
      <c r="BA21">
        <f>IF(OR(ISBLANK($BA$121), $BA$121 = ""), 272.329,$BA$121)</f>
        <v>269.10500000000002</v>
      </c>
      <c r="BB21">
        <f>IF(OR(ISBLANK($BB$121), $BB$121 = ""), 255.821,$BB$121)</f>
        <v>268.04700000000003</v>
      </c>
      <c r="BC21">
        <f>IF(OR(ISBLANK($BC$121), $BC$121 = ""), 264.662,$BC$121)</f>
        <v>265.36599999999999</v>
      </c>
      <c r="BD21">
        <f>IF(OR(ISBLANK($BD$121), $BD$121 = ""), 275.347,$BD$121)</f>
        <v>258.76</v>
      </c>
      <c r="BE21">
        <f>IF(OR(ISBLANK($BE$121), $BE$121 = ""), 271.264,$BE$121)</f>
        <v>274.47800000000001</v>
      </c>
      <c r="BF21">
        <f>IF(OR(ISBLANK($BF$121), $BF$121 = ""), 276.329,$BF$121)</f>
        <v>275.81900000000002</v>
      </c>
      <c r="BG21">
        <f>IF(OR(ISBLANK($BG$121), $BG$121 = ""), 279.536,$BG$121)</f>
        <v>269.18099999999998</v>
      </c>
      <c r="BH21">
        <f>IF(OR(ISBLANK($BH$121), $BH$121 = ""), 309.815,$BH$121)</f>
        <v>272.26</v>
      </c>
      <c r="BI21">
        <f>IF(OR(ISBLANK($BI$121), $BI$121 = ""), 280.024,$BI$121)</f>
        <v>256.14800000000002</v>
      </c>
      <c r="BJ21">
        <f>IF(OR(ISBLANK($BJ$121), $BJ$121 = ""), 273.354,$BJ$121)</f>
        <v>281.53899999999999</v>
      </c>
      <c r="BK21">
        <f>IF(OR(ISBLANK($BK$121), $BK$121 = ""), 294.646,$BK$121)</f>
        <v>284.03500000000003</v>
      </c>
      <c r="BL21">
        <f>IF(OR(ISBLANK($BL$121), $BL$121 = ""), 319.504,$BL$121)</f>
        <v>272.32900000000001</v>
      </c>
      <c r="BM21">
        <f>IF(OR(ISBLANK($BM$121), $BM$121 = ""), 333.697,$BM$121)</f>
        <v>255.821</v>
      </c>
      <c r="BN21">
        <f>IF(OR(ISBLANK($BN$121), $BN$121 = ""), 296.198,$BN$121)</f>
        <v>264.66199999999998</v>
      </c>
      <c r="BO21">
        <f>IF(OR(ISBLANK($BO$121), $BO$121 = ""), 315.952,$BO$121)</f>
        <v>275.34699999999998</v>
      </c>
      <c r="BP21">
        <f>IF(OR(ISBLANK($BP$121), $BP$121 = ""), 329.801,$BP$121)</f>
        <v>271.26400000000001</v>
      </c>
      <c r="BQ21">
        <f>IF(OR(ISBLANK($BQ$121), $BQ$121 = ""), 343.051,$BQ$121)</f>
        <v>276.32900000000001</v>
      </c>
      <c r="BR21">
        <f>IF(OR(ISBLANK($BR$121), $BR$121 = ""), 336.912,$BR$121)</f>
        <v>279.536</v>
      </c>
      <c r="BS21">
        <f>IF(OR(ISBLANK($BS$121), $BS$121 = ""), 319.275,$BS$121)</f>
        <v>309.815</v>
      </c>
      <c r="BT21">
        <f>IF(OR(ISBLANK($BT$121), $BT$121 = ""), 351.673,$BT$121)</f>
        <v>280.024</v>
      </c>
      <c r="BU21">
        <f>IF(OR(ISBLANK($BU$121), $BU$121 = ""), 366.51,$BU$121)</f>
        <v>273.35399999999998</v>
      </c>
      <c r="BV21">
        <f>IF(OR(ISBLANK($BV$121), $BV$121 = ""), 354.802,$BV$121)</f>
        <v>294.64600000000002</v>
      </c>
      <c r="BW21">
        <f>IF(OR(ISBLANK($BW$121), $BW$121 = ""), 374.205,$BW$121)</f>
        <v>319.50400000000002</v>
      </c>
      <c r="BX21">
        <f>IF(OR(ISBLANK($BX$121), $BX$121 = ""), 415.95,$BX$121)</f>
        <v>333.697</v>
      </c>
      <c r="BY21">
        <f>IF(OR(ISBLANK($BY$121), $BY$121 = ""), 466.468,$BY$121)</f>
        <v>296.19799999999998</v>
      </c>
      <c r="BZ21">
        <f>IF(OR(ISBLANK($BZ$121), $BZ$121 = ""), 443.102,$BZ$121)</f>
        <v>315.952</v>
      </c>
      <c r="CA21">
        <f>IF(OR(ISBLANK($CA$121), $CA$121 = ""), 408.15,$CA$121)</f>
        <v>329.80099999999999</v>
      </c>
      <c r="CB21">
        <f>IF(OR(ISBLANK($CB$121), $CB$121 = ""), 479.499,$CB$121)</f>
        <v>343.05099999999999</v>
      </c>
      <c r="CC21">
        <f>IF(OR(ISBLANK($CC$121), $CC$121 = ""), 540.018,$CC$121)</f>
        <v>336.91199999999998</v>
      </c>
      <c r="CD21">
        <f>IF(OR(ISBLANK($CD$121), $CD$121 = ""), 507.684,$CD$121)</f>
        <v>319.27499999999998</v>
      </c>
      <c r="CE21">
        <f>IF(OR(ISBLANK($CE$121), $CE$121 = ""), 462.287,$CE$121)</f>
        <v>351.673</v>
      </c>
      <c r="CF21">
        <f>IF(OR(ISBLANK($CF$121), $CF$121 = ""), 456.102,$CF$121)</f>
        <v>366.51</v>
      </c>
      <c r="CG21">
        <f>IF(OR(ISBLANK($CG$121), $CG$121 = ""), 489.68,$CG$121)</f>
        <v>354.80200000000002</v>
      </c>
    </row>
    <row r="22" spans="1:85" x14ac:dyDescent="0.25">
      <c r="A22" t="str">
        <f>""</f>
        <v/>
      </c>
      <c r="B22" t="str">
        <f>""</f>
        <v/>
      </c>
      <c r="C22" t="str">
        <f>""</f>
        <v/>
      </c>
      <c r="D22" t="str">
        <f>""</f>
        <v/>
      </c>
      <c r="E22" t="str">
        <f>"Static"</f>
        <v>Static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  <c r="U22" t="str">
        <f>""</f>
        <v/>
      </c>
      <c r="V22" t="str">
        <f>""</f>
        <v/>
      </c>
      <c r="W22" t="str">
        <f>""</f>
        <v/>
      </c>
      <c r="X22" t="str">
        <f>""</f>
        <v/>
      </c>
      <c r="Y22" t="str">
        <f>""</f>
        <v/>
      </c>
      <c r="Z22" t="str">
        <f>""</f>
        <v/>
      </c>
      <c r="AA22" t="str">
        <f>""</f>
        <v/>
      </c>
      <c r="AB22" t="str">
        <f>""</f>
        <v/>
      </c>
      <c r="AC22" t="str">
        <f>""</f>
        <v/>
      </c>
      <c r="AD22" t="str">
        <f>""</f>
        <v/>
      </c>
      <c r="AE22" t="str">
        <f>""</f>
        <v/>
      </c>
      <c r="AF22" t="str">
        <f>""</f>
        <v/>
      </c>
      <c r="AG22" t="str">
        <f>""</f>
        <v/>
      </c>
      <c r="AH22" t="str">
        <f>""</f>
        <v/>
      </c>
      <c r="AI22" t="str">
        <f>""</f>
        <v/>
      </c>
      <c r="AJ22" t="str">
        <f>""</f>
        <v/>
      </c>
      <c r="AK22" t="str">
        <f>""</f>
        <v/>
      </c>
      <c r="AL22" t="str">
        <f>""</f>
        <v/>
      </c>
      <c r="AM22" t="str">
        <f>""</f>
        <v/>
      </c>
      <c r="AN22" t="str">
        <f>""</f>
        <v/>
      </c>
      <c r="AO22" t="str">
        <f>""</f>
        <v/>
      </c>
      <c r="AP22" t="str">
        <f>""</f>
        <v/>
      </c>
      <c r="AQ22" t="str">
        <f>""</f>
        <v/>
      </c>
      <c r="AR22" t="str">
        <f>""</f>
        <v/>
      </c>
      <c r="AS22" t="str">
        <f>""</f>
        <v/>
      </c>
      <c r="AT22" t="str">
        <f>""</f>
        <v/>
      </c>
      <c r="AU22" t="str">
        <f>""</f>
        <v/>
      </c>
      <c r="AV22" t="str">
        <f>""</f>
        <v/>
      </c>
      <c r="AW22" t="str">
        <f>""</f>
        <v/>
      </c>
      <c r="AX22" t="str">
        <f>""</f>
        <v/>
      </c>
      <c r="AY22" t="str">
        <f>""</f>
        <v/>
      </c>
      <c r="AZ22" t="str">
        <f>""</f>
        <v/>
      </c>
      <c r="BA22" t="str">
        <f>""</f>
        <v/>
      </c>
      <c r="BB22" t="str">
        <f>""</f>
        <v/>
      </c>
      <c r="BC22" t="str">
        <f>""</f>
        <v/>
      </c>
      <c r="BD22" t="str">
        <f>""</f>
        <v/>
      </c>
      <c r="BE22" t="str">
        <f>""</f>
        <v/>
      </c>
      <c r="BF22" t="str">
        <f>""</f>
        <v/>
      </c>
      <c r="BG22" t="str">
        <f>""</f>
        <v/>
      </c>
      <c r="BH22" t="str">
        <f>""</f>
        <v/>
      </c>
      <c r="BI22" t="str">
        <f>""</f>
        <v/>
      </c>
      <c r="BJ22" t="str">
        <f>""</f>
        <v/>
      </c>
      <c r="BK22" t="str">
        <f>""</f>
        <v/>
      </c>
      <c r="BL22" t="str">
        <f>""</f>
        <v/>
      </c>
      <c r="BM22" t="str">
        <f>""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</row>
    <row r="23" spans="1:85" x14ac:dyDescent="0.25">
      <c r="A23" t="str">
        <f>"EXCESS LIQUIDITY (EUR B)"</f>
        <v>EXCESS LIQUIDITY (EUR B)</v>
      </c>
      <c r="B23" t="str">
        <f>"ECBLXLIQ Index"</f>
        <v>ECBLXLIQ Index</v>
      </c>
      <c r="C23" t="str">
        <f>""</f>
        <v/>
      </c>
      <c r="D23" t="str">
        <f>""</f>
        <v/>
      </c>
      <c r="E23" t="str">
        <f>"Expression"</f>
        <v>Expression</v>
      </c>
      <c r="F23" t="str">
        <f ca="1">IF(OR(ISBLANK(IF(ISERROR(IF(OR(ISBLANK($F$96)), "", $F$96/1000)), "", (IF(OR(ISBLANK($F$96)), "", $F$96/1000)))), IF(ISERROR(IF(OR(ISBLANK($F$96)), "", $F$96/1000)), "", (IF(OR(ISBLANK($F$96)), "", $F$96/1000))) = ""), "",IF(ISERROR(IF(OR(ISBLANK($F$96)), "", $F$96/1000)), "", (IF(OR(ISBLANK($F$96)), "", $F$96/1000))))</f>
        <v/>
      </c>
      <c r="G23">
        <f>IF(OR(ISBLANK(IF(ISERROR(IF(OR(ISBLANK($G$96)), "", $G$96/1000)), "", (IF(OR(ISBLANK($G$96)), "", $G$96/1000)))), IF(ISERROR(IF(OR(ISBLANK($G$96)), "", $G$96/1000)), "", (IF(OR(ISBLANK($G$96)), "", $G$96/1000))) = ""), 133.337,IF(ISERROR(IF(OR(ISBLANK($G$96)), "", $G$96/1000)), "", (IF(OR(ISBLANK($G$96)), "", $G$96/1000))))</f>
        <v>115.02800000000001</v>
      </c>
      <c r="H23">
        <f>IF(OR(ISBLANK(IF(ISERROR(IF(OR(ISBLANK($H$96)), "", $H$96/1000)), "", (IF(OR(ISBLANK($H$96)), "", $H$96/1000)))), IF(ISERROR(IF(OR(ISBLANK($H$96)), "", $H$96/1000)), "", (IF(OR(ISBLANK($H$96)), "", $H$96/1000))) = ""), 112.567,IF(ISERROR(IF(OR(ISBLANK($H$96)), "", $H$96/1000)), "", (IF(OR(ISBLANK($H$96)), "", $H$96/1000))))</f>
        <v>147.47900000000001</v>
      </c>
      <c r="I23">
        <f>IF(OR(ISBLANK(IF(ISERROR(IF(OR(ISBLANK($I$96)), "", $I$96/1000)), "", (IF(OR(ISBLANK($I$96)), "", $I$96/1000)))), IF(ISERROR(IF(OR(ISBLANK($I$96)), "", $I$96/1000)), "", (IF(OR(ISBLANK($I$96)), "", $I$96/1000))) = ""), 120.473,IF(ISERROR(IF(OR(ISBLANK($I$96)), "", $I$96/1000)), "", (IF(OR(ISBLANK($I$96)), "", $I$96/1000))))</f>
        <v>125.613</v>
      </c>
      <c r="J23">
        <f>IF(OR(ISBLANK(IF(ISERROR(IF(OR(ISBLANK($J$96)), "", $J$96/1000)), "", (IF(OR(ISBLANK($J$96)), "", $J$96/1000)))), IF(ISERROR(IF(OR(ISBLANK($J$96)), "", $J$96/1000)), "", (IF(OR(ISBLANK($J$96)), "", $J$96/1000))) = ""), 145.313,IF(ISERROR(IF(OR(ISBLANK($J$96)), "", $J$96/1000)), "", (IF(OR(ISBLANK($J$96)), "", $J$96/1000))))</f>
        <v>136.24</v>
      </c>
      <c r="K23">
        <f>IF(OR(ISBLANK(IF(ISERROR(IF(OR(ISBLANK($K$96)), "", $K$96/1000)), "", (IF(OR(ISBLANK($K$96)), "", $K$96/1000)))), IF(ISERROR(IF(OR(ISBLANK($K$96)), "", $K$96/1000)), "", (IF(OR(ISBLANK($K$96)), "", $K$96/1000))) = ""), 88.269,IF(ISERROR(IF(OR(ISBLANK($K$96)), "", $K$96/1000)), "", (IF(OR(ISBLANK($K$96)), "", $K$96/1000))))</f>
        <v>130.60400000000001</v>
      </c>
      <c r="L23">
        <f>IF(OR(ISBLANK(IF(ISERROR(IF(OR(ISBLANK($L$96)), "", $L$96/1000)), "", (IF(OR(ISBLANK($L$96)), "", $L$96/1000)))), IF(ISERROR(IF(OR(ISBLANK($L$96)), "", $L$96/1000)), "", (IF(OR(ISBLANK($L$96)), "", $L$96/1000))) = ""), 114.961,IF(ISERROR(IF(OR(ISBLANK($L$96)), "", $L$96/1000)), "", (IF(OR(ISBLANK($L$96)), "", $L$96/1000))))</f>
        <v>158.78800000000001</v>
      </c>
      <c r="M23">
        <f>IF(OR(ISBLANK(IF(ISERROR(IF(OR(ISBLANK($M$96)), "", $M$96/1000)), "", (IF(OR(ISBLANK($M$96)), "", $M$96/1000)))), IF(ISERROR(IF(OR(ISBLANK($M$96)), "", $M$96/1000)), "", (IF(OR(ISBLANK($M$96)), "", $M$96/1000))) = ""), 80.358,IF(ISERROR(IF(OR(ISBLANK($M$96)), "", $M$96/1000)), "", (IF(OR(ISBLANK($M$96)), "", $M$96/1000))))</f>
        <v>112.336</v>
      </c>
      <c r="N23">
        <f>IF(OR(ISBLANK(IF(ISERROR(IF(OR(ISBLANK($N$96)), "", $N$96/1000)), "", (IF(OR(ISBLANK($N$96)), "", $N$96/1000)))), IF(ISERROR(IF(OR(ISBLANK($N$96)), "", $N$96/1000)), "", (IF(OR(ISBLANK($N$96)), "", $N$96/1000))) = ""), 175.014,IF(ISERROR(IF(OR(ISBLANK($N$96)), "", $N$96/1000)), "", (IF(OR(ISBLANK($N$96)), "", $N$96/1000))))</f>
        <v>128.101</v>
      </c>
      <c r="O23">
        <f>IF(OR(ISBLANK(IF(ISERROR(IF(OR(ISBLANK($O$96)), "", $O$96/1000)), "", (IF(OR(ISBLANK($O$96)), "", $O$96/1000)))), IF(ISERROR(IF(OR(ISBLANK($O$96)), "", $O$96/1000)), "", (IF(OR(ISBLANK($O$96)), "", $O$96/1000))) = ""), 86.596,IF(ISERROR(IF(OR(ISBLANK($O$96)), "", $O$96/1000)), "", (IF(OR(ISBLANK($O$96)), "", $O$96/1000))))</f>
        <v>121.139</v>
      </c>
      <c r="P23">
        <f>IF(OR(ISBLANK(IF(ISERROR(IF(OR(ISBLANK($P$96)), "", $P$96/1000)), "", (IF(OR(ISBLANK($P$96)), "", $P$96/1000)))), IF(ISERROR(IF(OR(ISBLANK($P$96)), "", $P$96/1000)), "", (IF(OR(ISBLANK($P$96)), "", $P$96/1000))) = ""), 129.217,IF(ISERROR(IF(OR(ISBLANK($P$96)), "", $P$96/1000)), "", (IF(OR(ISBLANK($P$96)), "", $P$96/1000))))</f>
        <v>137.095</v>
      </c>
      <c r="Q23">
        <f>IF(OR(ISBLANK(IF(ISERROR(IF(OR(ISBLANK($Q$96)), "", $Q$96/1000)), "", (IF(OR(ISBLANK($Q$96)), "", $Q$96/1000)))), IF(ISERROR(IF(OR(ISBLANK($Q$96)), "", $Q$96/1000)), "", (IF(OR(ISBLANK($Q$96)), "", $Q$96/1000))) = ""), 115.879,IF(ISERROR(IF(OR(ISBLANK($Q$96)), "", $Q$96/1000)), "", (IF(OR(ISBLANK($Q$96)), "", $Q$96/1000))))</f>
        <v>138.666</v>
      </c>
      <c r="R23">
        <f>IF(OR(ISBLANK(IF(ISERROR(IF(OR(ISBLANK($R$96)), "", $R$96/1000)), "", (IF(OR(ISBLANK($R$96)), "", $R$96/1000)))), IF(ISERROR(IF(OR(ISBLANK($R$96)), "", $R$96/1000)), "", (IF(OR(ISBLANK($R$96)), "", $R$96/1000))) = ""), 103.069,IF(ISERROR(IF(OR(ISBLANK($R$96)), "", $R$96/1000)), "", (IF(OR(ISBLANK($R$96)), "", $R$96/1000))))</f>
        <v>133.33699999999999</v>
      </c>
      <c r="S23">
        <f>IF(OR(ISBLANK(IF(ISERROR(IF(OR(ISBLANK($S$96)), "", $S$96/1000)), "", (IF(OR(ISBLANK($S$96)), "", $S$96/1000)))), IF(ISERROR(IF(OR(ISBLANK($S$96)), "", $S$96/1000)), "", (IF(OR(ISBLANK($S$96)), "", $S$96/1000))) = ""), 102.431,IF(ISERROR(IF(OR(ISBLANK($S$96)), "", $S$96/1000)), "", (IF(OR(ISBLANK($S$96)), "", $S$96/1000))))</f>
        <v>112.56699999999999</v>
      </c>
      <c r="T23">
        <f>IF(OR(ISBLANK(IF(ISERROR(IF(OR(ISBLANK($T$96)), "", $T$96/1000)), "", (IF(OR(ISBLANK($T$96)), "", $T$96/1000)))), IF(ISERROR(IF(OR(ISBLANK($T$96)), "", $T$96/1000)), "", (IF(OR(ISBLANK($T$96)), "", $T$96/1000))) = ""), 125.242,IF(ISERROR(IF(OR(ISBLANK($T$96)), "", $T$96/1000)), "", (IF(OR(ISBLANK($T$96)), "", $T$96/1000))))</f>
        <v>120.473</v>
      </c>
      <c r="U23">
        <f>IF(OR(ISBLANK(IF(ISERROR(IF(OR(ISBLANK($U$96)), "", $U$96/1000)), "", (IF(OR(ISBLANK($U$96)), "", $U$96/1000)))), IF(ISERROR(IF(OR(ISBLANK($U$96)), "", $U$96/1000)), "", (IF(OR(ISBLANK($U$96)), "", $U$96/1000))) = ""), 146.67,IF(ISERROR(IF(OR(ISBLANK($U$96)), "", $U$96/1000)), "", (IF(OR(ISBLANK($U$96)), "", $U$96/1000))))</f>
        <v>145.31299999999999</v>
      </c>
      <c r="V23">
        <f>IF(OR(ISBLANK(IF(ISERROR(IF(OR(ISBLANK($V$96)), "", $V$96/1000)), "", (IF(OR(ISBLANK($V$96)), "", $V$96/1000)))), IF(ISERROR(IF(OR(ISBLANK($V$96)), "", $V$96/1000)), "", (IF(OR(ISBLANK($V$96)), "", $V$96/1000))) = ""), 114.934,IF(ISERROR(IF(OR(ISBLANK($V$96)), "", $V$96/1000)), "", (IF(OR(ISBLANK($V$96)), "", $V$96/1000))))</f>
        <v>88.269000000000005</v>
      </c>
      <c r="W23">
        <f>IF(OR(ISBLANK(IF(ISERROR(IF(OR(ISBLANK($W$96)), "", $W$96/1000)), "", (IF(OR(ISBLANK($W$96)), "", $W$96/1000)))), IF(ISERROR(IF(OR(ISBLANK($W$96)), "", $W$96/1000)), "", (IF(OR(ISBLANK($W$96)), "", $W$96/1000))) = ""), 113.155,IF(ISERROR(IF(OR(ISBLANK($W$96)), "", $W$96/1000)), "", (IF(OR(ISBLANK($W$96)), "", $W$96/1000))))</f>
        <v>114.961</v>
      </c>
      <c r="X23">
        <f>IF(OR(ISBLANK(IF(ISERROR(IF(OR(ISBLANK($X$96)), "", $X$96/1000)), "", (IF(OR(ISBLANK($X$96)), "", $X$96/1000)))), IF(ISERROR(IF(OR(ISBLANK($X$96)), "", $X$96/1000)), "", (IF(OR(ISBLANK($X$96)), "", $X$96/1000))) = ""), 125.256,IF(ISERROR(IF(OR(ISBLANK($X$96)), "", $X$96/1000)), "", (IF(OR(ISBLANK($X$96)), "", $X$96/1000))))</f>
        <v>80.358000000000004</v>
      </c>
      <c r="Y23">
        <f>IF(OR(ISBLANK(IF(ISERROR(IF(OR(ISBLANK($Y$96)), "", $Y$96/1000)), "", (IF(OR(ISBLANK($Y$96)), "", $Y$96/1000)))), IF(ISERROR(IF(OR(ISBLANK($Y$96)), "", $Y$96/1000)), "", (IF(OR(ISBLANK($Y$96)), "", $Y$96/1000))) = ""), 150.658,IF(ISERROR(IF(OR(ISBLANK($Y$96)), "", $Y$96/1000)), "", (IF(OR(ISBLANK($Y$96)), "", $Y$96/1000))))</f>
        <v>175.01400000000001</v>
      </c>
      <c r="Z23">
        <f>IF(OR(ISBLANK(IF(ISERROR(IF(OR(ISBLANK($Z$96)), "", $Z$96/1000)), "", (IF(OR(ISBLANK($Z$96)), "", $Z$96/1000)))), IF(ISERROR(IF(OR(ISBLANK($Z$96)), "", $Z$96/1000)), "", (IF(OR(ISBLANK($Z$96)), "", $Z$96/1000))) = ""), 143.507,IF(ISERROR(IF(OR(ISBLANK($Z$96)), "", $Z$96/1000)), "", (IF(OR(ISBLANK($Z$96)), "", $Z$96/1000))))</f>
        <v>86.596000000000004</v>
      </c>
      <c r="AA23">
        <f>IF(OR(ISBLANK(IF(ISERROR(IF(OR(ISBLANK($AA$96)), "", $AA$96/1000)), "", (IF(OR(ISBLANK($AA$96)), "", $AA$96/1000)))), IF(ISERROR(IF(OR(ISBLANK($AA$96)), "", $AA$96/1000)), "", (IF(OR(ISBLANK($AA$96)), "", $AA$96/1000))) = ""), 167.889,IF(ISERROR(IF(OR(ISBLANK($AA$96)), "", $AA$96/1000)), "", (IF(OR(ISBLANK($AA$96)), "", $AA$96/1000))))</f>
        <v>131.88499999999999</v>
      </c>
      <c r="AB23">
        <f>IF(OR(ISBLANK(IF(ISERROR(IF(OR(ISBLANK($AB$96)), "", $AB$96/1000)), "", (IF(OR(ISBLANK($AB$96)), "", $AB$96/1000)))), IF(ISERROR(IF(OR(ISBLANK($AB$96)), "", $AB$96/1000)), "", (IF(OR(ISBLANK($AB$96)), "", $AB$96/1000))) = ""), 168.105,IF(ISERROR(IF(OR(ISBLANK($AB$96)), "", $AB$96/1000)), "", (IF(OR(ISBLANK($AB$96)), "", $AB$96/1000))))</f>
        <v>115.879</v>
      </c>
      <c r="AC23">
        <f>IF(OR(ISBLANK(IF(ISERROR(IF(OR(ISBLANK($AC$96)), "", $AC$96/1000)), "", (IF(OR(ISBLANK($AC$96)), "", $AC$96/1000)))), IF(ISERROR(IF(OR(ISBLANK($AC$96)), "", $AC$96/1000)), "", (IF(OR(ISBLANK($AC$96)), "", $AC$96/1000))) = ""), 135.214,IF(ISERROR(IF(OR(ISBLANK($AC$96)), "", $AC$96/1000)), "", (IF(OR(ISBLANK($AC$96)), "", $AC$96/1000))))</f>
        <v>103.069</v>
      </c>
      <c r="AD23">
        <f>IF(OR(ISBLANK(IF(ISERROR(IF(OR(ISBLANK($AD$96)), "", $AD$96/1000)), "", (IF(OR(ISBLANK($AD$96)), "", $AD$96/1000)))), IF(ISERROR(IF(OR(ISBLANK($AD$96)), "", $AD$96/1000)), "", (IF(OR(ISBLANK($AD$96)), "", $AD$96/1000))) = ""), 158.777,IF(ISERROR(IF(OR(ISBLANK($AD$96)), "", $AD$96/1000)), "", (IF(OR(ISBLANK($AD$96)), "", $AD$96/1000))))</f>
        <v>102.431</v>
      </c>
      <c r="AE23">
        <f>IF(OR(ISBLANK(IF(ISERROR(IF(OR(ISBLANK($AE$96)), "", $AE$96/1000)), "", (IF(OR(ISBLANK($AE$96)), "", $AE$96/1000)))), IF(ISERROR(IF(OR(ISBLANK($AE$96)), "", $AE$96/1000)), "", (IF(OR(ISBLANK($AE$96)), "", $AE$96/1000))) = ""), 283.614,IF(ISERROR(IF(OR(ISBLANK($AE$96)), "", $AE$96/1000)), "", (IF(OR(ISBLANK($AE$96)), "", $AE$96/1000))))</f>
        <v>125.242</v>
      </c>
      <c r="AF23">
        <f>IF(OR(ISBLANK(IF(ISERROR(IF(OR(ISBLANK($AF$96)), "", $AF$96/1000)), "", (IF(OR(ISBLANK($AF$96)), "", $AF$96/1000)))), IF(ISERROR(IF(OR(ISBLANK($AF$96)), "", $AF$96/1000)), "", (IF(OR(ISBLANK($AF$96)), "", $AF$96/1000))) = ""), 200.165,IF(ISERROR(IF(OR(ISBLANK($AF$96)), "", $AF$96/1000)), "", (IF(OR(ISBLANK($AF$96)), "", $AF$96/1000))))</f>
        <v>146.66999999999999</v>
      </c>
      <c r="AG23">
        <f>IF(OR(ISBLANK(IF(ISERROR(IF(OR(ISBLANK($AG$96)), "", $AG$96/1000)), "", (IF(OR(ISBLANK($AG$96)), "", $AG$96/1000)))), IF(ISERROR(IF(OR(ISBLANK($AG$96)), "", $AG$96/1000)), "", (IF(OR(ISBLANK($AG$96)), "", $AG$96/1000))) = ""), 205.885,IF(ISERROR(IF(OR(ISBLANK($AG$96)), "", $AG$96/1000)), "", (IF(OR(ISBLANK($AG$96)), "", $AG$96/1000))))</f>
        <v>114.934</v>
      </c>
      <c r="AH23">
        <f>IF(OR(ISBLANK(IF(ISERROR(IF(OR(ISBLANK($AH$96)), "", $AH$96/1000)), "", (IF(OR(ISBLANK($AH$96)), "", $AH$96/1000)))), IF(ISERROR(IF(OR(ISBLANK($AH$96)), "", $AH$96/1000)), "", (IF(OR(ISBLANK($AH$96)), "", $AH$96/1000))) = ""), 158.653,IF(ISERROR(IF(OR(ISBLANK($AH$96)), "", $AH$96/1000)), "", (IF(OR(ISBLANK($AH$96)), "", $AH$96/1000))))</f>
        <v>113.155</v>
      </c>
      <c r="AI23">
        <f>IF(OR(ISBLANK(IF(ISERROR(IF(OR(ISBLANK($AI$96)), "", $AI$96/1000)), "", (IF(OR(ISBLANK($AI$96)), "", $AI$96/1000)))), IF(ISERROR(IF(OR(ISBLANK($AI$96)), "", $AI$96/1000)), "", (IF(OR(ISBLANK($AI$96)), "", $AI$96/1000))) = ""), 154.264,IF(ISERROR(IF(OR(ISBLANK($AI$96)), "", $AI$96/1000)), "", (IF(OR(ISBLANK($AI$96)), "", $AI$96/1000))))</f>
        <v>125.256</v>
      </c>
      <c r="AJ23">
        <f>IF(OR(ISBLANK(IF(ISERROR(IF(OR(ISBLANK($AJ$96)), "", $AJ$96/1000)), "", (IF(OR(ISBLANK($AJ$96)), "", $AJ$96/1000)))), IF(ISERROR(IF(OR(ISBLANK($AJ$96)), "", $AJ$96/1000)), "", (IF(OR(ISBLANK($AJ$96)), "", $AJ$96/1000))) = ""), 168.204,IF(ISERROR(IF(OR(ISBLANK($AJ$96)), "", $AJ$96/1000)), "", (IF(OR(ISBLANK($AJ$96)), "", $AJ$96/1000))))</f>
        <v>150.65799999999999</v>
      </c>
      <c r="AK23">
        <f>IF(OR(ISBLANK(IF(ISERROR(IF(OR(ISBLANK($AK$96)), "", $AK$96/1000)), "", (IF(OR(ISBLANK($AK$96)), "", $AK$96/1000)))), IF(ISERROR(IF(OR(ISBLANK($AK$96)), "", $AK$96/1000)), "", (IF(OR(ISBLANK($AK$96)), "", $AK$96/1000))) = ""), 158.494,IF(ISERROR(IF(OR(ISBLANK($AK$96)), "", $AK$96/1000)), "", (IF(OR(ISBLANK($AK$96)), "", $AK$96/1000))))</f>
        <v>143.50700000000001</v>
      </c>
      <c r="AL23">
        <f>IF(OR(ISBLANK(IF(ISERROR(IF(OR(ISBLANK($AL$96)), "", $AL$96/1000)), "", (IF(OR(ISBLANK($AL$96)), "", $AL$96/1000)))), IF(ISERROR(IF(OR(ISBLANK($AL$96)), "", $AL$96/1000)), "", (IF(OR(ISBLANK($AL$96)), "", $AL$96/1000))) = ""), 172.428,IF(ISERROR(IF(OR(ISBLANK($AL$96)), "", $AL$96/1000)), "", (IF(OR(ISBLANK($AL$96)), "", $AL$96/1000))))</f>
        <v>167.88900000000001</v>
      </c>
      <c r="AM23">
        <f>IF(OR(ISBLANK(IF(ISERROR(IF(OR(ISBLANK($AM$96)), "", $AM$96/1000)), "", (IF(OR(ISBLANK($AM$96)), "", $AM$96/1000)))), IF(ISERROR(IF(OR(ISBLANK($AM$96)), "", $AM$96/1000)), "", (IF(OR(ISBLANK($AM$96)), "", $AM$96/1000))) = ""), 189.249,IF(ISERROR(IF(OR(ISBLANK($AM$96)), "", $AM$96/1000)), "", (IF(OR(ISBLANK($AM$96)), "", $AM$96/1000))))</f>
        <v>168.10499999999999</v>
      </c>
      <c r="AN23">
        <f>IF(OR(ISBLANK(IF(ISERROR(IF(OR(ISBLANK($AN$96)), "", $AN$96/1000)), "", (IF(OR(ISBLANK($AN$96)), "", $AN$96/1000)))), IF(ISERROR(IF(OR(ISBLANK($AN$96)), "", $AN$96/1000)), "", (IF(OR(ISBLANK($AN$96)), "", $AN$96/1000))) = ""), 175.278,IF(ISERROR(IF(OR(ISBLANK($AN$96)), "", $AN$96/1000)), "", (IF(OR(ISBLANK($AN$96)), "", $AN$96/1000))))</f>
        <v>135.214</v>
      </c>
      <c r="AO23">
        <f>IF(OR(ISBLANK(IF(ISERROR(IF(OR(ISBLANK($AO$96)), "", $AO$96/1000)), "", (IF(OR(ISBLANK($AO$96)), "", $AO$96/1000)))), IF(ISERROR(IF(OR(ISBLANK($AO$96)), "", $AO$96/1000)), "", (IF(OR(ISBLANK($AO$96)), "", $AO$96/1000))) = ""), 177.732,IF(ISERROR(IF(OR(ISBLANK($AO$96)), "", $AO$96/1000)), "", (IF(OR(ISBLANK($AO$96)), "", $AO$96/1000))))</f>
        <v>158.77699999999999</v>
      </c>
      <c r="AP23">
        <f>IF(OR(ISBLANK(IF(ISERROR(IF(OR(ISBLANK($AP$96)), "", $AP$96/1000)), "", (IF(OR(ISBLANK($AP$96)), "", $AP$96/1000)))), IF(ISERROR(IF(OR(ISBLANK($AP$96)), "", $AP$96/1000)), "", (IF(OR(ISBLANK($AP$96)), "", $AP$96/1000))) = ""), 211.012,IF(ISERROR(IF(OR(ISBLANK($AP$96)), "", $AP$96/1000)), "", (IF(OR(ISBLANK($AP$96)), "", $AP$96/1000))))</f>
        <v>283.61399999999998</v>
      </c>
      <c r="AQ23">
        <f>IF(OR(ISBLANK(IF(ISERROR(IF(OR(ISBLANK($AQ$96)), "", $AQ$96/1000)), "", (IF(OR(ISBLANK($AQ$96)), "", $AQ$96/1000)))), IF(ISERROR(IF(OR(ISBLANK($AQ$96)), "", $AQ$96/1000)), "", (IF(OR(ISBLANK($AQ$96)), "", $AQ$96/1000))) = ""), 216.526,IF(ISERROR(IF(OR(ISBLANK($AQ$96)), "", $AQ$96/1000)), "", (IF(OR(ISBLANK($AQ$96)), "", $AQ$96/1000))))</f>
        <v>200.16499999999999</v>
      </c>
      <c r="AR23">
        <f>IF(OR(ISBLANK(IF(ISERROR(IF(OR(ISBLANK($AR$96)), "", $AR$96/1000)), "", (IF(OR(ISBLANK($AR$96)), "", $AR$96/1000)))), IF(ISERROR(IF(OR(ISBLANK($AR$96)), "", $AR$96/1000)), "", (IF(OR(ISBLANK($AR$96)), "", $AR$96/1000))) = ""), 216.848,IF(ISERROR(IF(OR(ISBLANK($AR$96)), "", $AR$96/1000)), "", (IF(OR(ISBLANK($AR$96)), "", $AR$96/1000))))</f>
        <v>205.88499999999999</v>
      </c>
      <c r="AS23">
        <f>IF(OR(ISBLANK(IF(ISERROR(IF(OR(ISBLANK($AS$96)), "", $AS$96/1000)), "", (IF(OR(ISBLANK($AS$96)), "", $AS$96/1000)))), IF(ISERROR(IF(OR(ISBLANK($AS$96)), "", $AS$96/1000)), "", (IF(OR(ISBLANK($AS$96)), "", $AS$96/1000))) = ""), 207.757,IF(ISERROR(IF(OR(ISBLANK($AS$96)), "", $AS$96/1000)), "", (IF(OR(ISBLANK($AS$96)), "", $AS$96/1000))))</f>
        <v>158.65299999999999</v>
      </c>
      <c r="AT23">
        <f>IF(OR(ISBLANK(IF(ISERROR(IF(OR(ISBLANK($AT$96)), "", $AT$96/1000)), "", (IF(OR(ISBLANK($AT$96)), "", $AT$96/1000)))), IF(ISERROR(IF(OR(ISBLANK($AT$96)), "", $AT$96/1000)), "", (IF(OR(ISBLANK($AT$96)), "", $AT$96/1000))) = ""), 220.539,IF(ISERROR(IF(OR(ISBLANK($AT$96)), "", $AT$96/1000)), "", (IF(OR(ISBLANK($AT$96)), "", $AT$96/1000))))</f>
        <v>154.26400000000001</v>
      </c>
      <c r="AU23">
        <f>IF(OR(ISBLANK(IF(ISERROR(IF(OR(ISBLANK($AU$96)), "", $AU$96/1000)), "", (IF(OR(ISBLANK($AU$96)), "", $AU$96/1000)))), IF(ISERROR(IF(OR(ISBLANK($AU$96)), "", $AU$96/1000)), "", (IF(OR(ISBLANK($AU$96)), "", $AU$96/1000))) = ""), 243.423,IF(ISERROR(IF(OR(ISBLANK($AU$96)), "", $AU$96/1000)), "", (IF(OR(ISBLANK($AU$96)), "", $AU$96/1000))))</f>
        <v>168.20400000000001</v>
      </c>
      <c r="AV23">
        <f>IF(OR(ISBLANK(IF(ISERROR(IF(OR(ISBLANK($AV$96)), "", $AV$96/1000)), "", (IF(OR(ISBLANK($AV$96)), "", $AV$96/1000)))), IF(ISERROR(IF(OR(ISBLANK($AV$96)), "", $AV$96/1000)), "", (IF(OR(ISBLANK($AV$96)), "", $AV$96/1000))) = ""), 241.927,IF(ISERROR(IF(OR(ISBLANK($AV$96)), "", $AV$96/1000)), "", (IF(OR(ISBLANK($AV$96)), "", $AV$96/1000))))</f>
        <v>158.494</v>
      </c>
      <c r="AW23">
        <f>IF(OR(ISBLANK(IF(ISERROR(IF(OR(ISBLANK($AW$96)), "", $AW$96/1000)), "", (IF(OR(ISBLANK($AW$96)), "", $AW$96/1000)))), IF(ISERROR(IF(OR(ISBLANK($AW$96)), "", $AW$96/1000)), "", (IF(OR(ISBLANK($AW$96)), "", $AW$96/1000))) = ""), 237.759,IF(ISERROR(IF(OR(ISBLANK($AW$96)), "", $AW$96/1000)), "", (IF(OR(ISBLANK($AW$96)), "", $AW$96/1000))))</f>
        <v>172.428</v>
      </c>
      <c r="AX23">
        <f>IF(OR(ISBLANK(IF(ISERROR(IF(OR(ISBLANK($AX$96)), "", $AX$96/1000)), "", (IF(OR(ISBLANK($AX$96)), "", $AX$96/1000)))), IF(ISERROR(IF(OR(ISBLANK($AX$96)), "", $AX$96/1000)), "", (IF(OR(ISBLANK($AX$96)), "", $AX$96/1000))) = ""), 238.418,IF(ISERROR(IF(OR(ISBLANK($AX$96)), "", $AX$96/1000)), "", (IF(OR(ISBLANK($AX$96)), "", $AX$96/1000))))</f>
        <v>189.249</v>
      </c>
      <c r="AY23">
        <f>IF(OR(ISBLANK(IF(ISERROR(IF(OR(ISBLANK($AY$96)), "", $AY$96/1000)), "", (IF(OR(ISBLANK($AY$96)), "", $AY$96/1000)))), IF(ISERROR(IF(OR(ISBLANK($AY$96)), "", $AY$96/1000)), "", (IF(OR(ISBLANK($AY$96)), "", $AY$96/1000))) = ""), 257.691,IF(ISERROR(IF(OR(ISBLANK($AY$96)), "", $AY$96/1000)), "", (IF(OR(ISBLANK($AY$96)), "", $AY$96/1000))))</f>
        <v>175.27799999999999</v>
      </c>
      <c r="AZ23">
        <f>IF(OR(ISBLANK(IF(ISERROR(IF(OR(ISBLANK($AZ$96)), "", $AZ$96/1000)), "", (IF(OR(ISBLANK($AZ$96)), "", $AZ$96/1000)))), IF(ISERROR(IF(OR(ISBLANK($AZ$96)), "", $AZ$96/1000)), "", (IF(OR(ISBLANK($AZ$96)), "", $AZ$96/1000))) = ""), 255.881,IF(ISERROR(IF(OR(ISBLANK($AZ$96)), "", $AZ$96/1000)), "", (IF(OR(ISBLANK($AZ$96)), "", $AZ$96/1000))))</f>
        <v>177.732</v>
      </c>
      <c r="BA23">
        <f>IF(OR(ISBLANK(IF(ISERROR(IF(OR(ISBLANK($BA$96)), "", $BA$96/1000)), "", (IF(OR(ISBLANK($BA$96)), "", $BA$96/1000)))), IF(ISERROR(IF(OR(ISBLANK($BA$96)), "", $BA$96/1000)), "", (IF(OR(ISBLANK($BA$96)), "", $BA$96/1000))) = ""), 255.185,IF(ISERROR(IF(OR(ISBLANK($BA$96)), "", $BA$96/1000)), "", (IF(OR(ISBLANK($BA$96)), "", $BA$96/1000))))</f>
        <v>211.012</v>
      </c>
      <c r="BB23">
        <f>IF(OR(ISBLANK(IF(ISERROR(IF(OR(ISBLANK($BB$96)), "", $BB$96/1000)), "", (IF(OR(ISBLANK($BB$96)), "", $BB$96/1000)))), IF(ISERROR(IF(OR(ISBLANK($BB$96)), "", $BB$96/1000)), "", (IF(OR(ISBLANK($BB$96)), "", $BB$96/1000))) = ""), 229.861,IF(ISERROR(IF(OR(ISBLANK($BB$96)), "", $BB$96/1000)), "", (IF(OR(ISBLANK($BB$96)), "", $BB$96/1000))))</f>
        <v>216.52600000000001</v>
      </c>
      <c r="BC23">
        <f>IF(OR(ISBLANK(IF(ISERROR(IF(OR(ISBLANK($BC$96)), "", $BC$96/1000)), "", (IF(OR(ISBLANK($BC$96)), "", $BC$96/1000)))), IF(ISERROR(IF(OR(ISBLANK($BC$96)), "", $BC$96/1000)), "", (IF(OR(ISBLANK($BC$96)), "", $BC$96/1000))) = ""), 236.602,IF(ISERROR(IF(OR(ISBLANK($BC$96)), "", $BC$96/1000)), "", (IF(OR(ISBLANK($BC$96)), "", $BC$96/1000))))</f>
        <v>216.84800000000001</v>
      </c>
      <c r="BD23">
        <f>IF(OR(ISBLANK(IF(ISERROR(IF(OR(ISBLANK($BD$96)), "", $BD$96/1000)), "", (IF(OR(ISBLANK($BD$96)), "", $BD$96/1000)))), IF(ISERROR(IF(OR(ISBLANK($BD$96)), "", $BD$96/1000)), "", (IF(OR(ISBLANK($BD$96)), "", $BD$96/1000))) = ""), 265.358,IF(ISERROR(IF(OR(ISBLANK($BD$96)), "", $BD$96/1000)), "", (IF(OR(ISBLANK($BD$96)), "", $BD$96/1000))))</f>
        <v>207.75700000000001</v>
      </c>
      <c r="BE23">
        <f>IF(OR(ISBLANK(IF(ISERROR(IF(OR(ISBLANK($BE$96)), "", $BE$96/1000)), "", (IF(OR(ISBLANK($BE$96)), "", $BE$96/1000)))), IF(ISERROR(IF(OR(ISBLANK($BE$96)), "", $BE$96/1000)), "", (IF(OR(ISBLANK($BE$96)), "", $BE$96/1000))) = ""), 269.622,IF(ISERROR(IF(OR(ISBLANK($BE$96)), "", $BE$96/1000)), "", (IF(OR(ISBLANK($BE$96)), "", $BE$96/1000))))</f>
        <v>220.53899999999999</v>
      </c>
      <c r="BF23">
        <f>IF(OR(ISBLANK(IF(ISERROR(IF(OR(ISBLANK($BF$96)), "", $BF$96/1000)), "", (IF(OR(ISBLANK($BF$96)), "", $BF$96/1000)))), IF(ISERROR(IF(OR(ISBLANK($BF$96)), "", $BF$96/1000)), "", (IF(OR(ISBLANK($BF$96)), "", $BF$96/1000))) = ""), 263.414,IF(ISERROR(IF(OR(ISBLANK($BF$96)), "", $BF$96/1000)), "", (IF(OR(ISBLANK($BF$96)), "", $BF$96/1000))))</f>
        <v>243.423</v>
      </c>
      <c r="BG23">
        <f>IF(OR(ISBLANK(IF(ISERROR(IF(OR(ISBLANK($BG$96)), "", $BG$96/1000)), "", (IF(OR(ISBLANK($BG$96)), "", $BG$96/1000)))), IF(ISERROR(IF(OR(ISBLANK($BG$96)), "", $BG$96/1000)), "", (IF(OR(ISBLANK($BG$96)), "", $BG$96/1000))) = ""), 253.889,IF(ISERROR(IF(OR(ISBLANK($BG$96)), "", $BG$96/1000)), "", (IF(OR(ISBLANK($BG$96)), "", $BG$96/1000))))</f>
        <v>241.92699999999999</v>
      </c>
      <c r="BH23">
        <f>IF(OR(ISBLANK(IF(ISERROR(IF(OR(ISBLANK($BH$96)), "", $BH$96/1000)), "", (IF(OR(ISBLANK($BH$96)), "", $BH$96/1000)))), IF(ISERROR(IF(OR(ISBLANK($BH$96)), "", $BH$96/1000)), "", (IF(OR(ISBLANK($BH$96)), "", $BH$96/1000))) = ""), 294.5,IF(ISERROR(IF(OR(ISBLANK($BH$96)), "", $BH$96/1000)), "", (IF(OR(ISBLANK($BH$96)), "", $BH$96/1000))))</f>
        <v>237.75899999999999</v>
      </c>
      <c r="BI23">
        <f>IF(OR(ISBLANK(IF(ISERROR(IF(OR(ISBLANK($BI$96)), "", $BI$96/1000)), "", (IF(OR(ISBLANK($BI$96)), "", $BI$96/1000)))), IF(ISERROR(IF(OR(ISBLANK($BI$96)), "", $BI$96/1000)), "", (IF(OR(ISBLANK($BI$96)), "", $BI$96/1000))) = ""), 274.54,IF(ISERROR(IF(OR(ISBLANK($BI$96)), "", $BI$96/1000)), "", (IF(OR(ISBLANK($BI$96)), "", $BI$96/1000))))</f>
        <v>238.41800000000001</v>
      </c>
      <c r="BJ23">
        <f>IF(OR(ISBLANK(IF(ISERROR(IF(OR(ISBLANK($BJ$96)), "", $BJ$96/1000)), "", (IF(OR(ISBLANK($BJ$96)), "", $BJ$96/1000)))), IF(ISERROR(IF(OR(ISBLANK($BJ$96)), "", $BJ$96/1000)), "", (IF(OR(ISBLANK($BJ$96)), "", $BJ$96/1000))) = ""), 253.668,IF(ISERROR(IF(OR(ISBLANK($BJ$96)), "", $BJ$96/1000)), "", (IF(OR(ISBLANK($BJ$96)), "", $BJ$96/1000))))</f>
        <v>257.69099999999997</v>
      </c>
      <c r="BK23">
        <f>IF(OR(ISBLANK(IF(ISERROR(IF(OR(ISBLANK($BK$96)), "", $BK$96/1000)), "", (IF(OR(ISBLANK($BK$96)), "", $BK$96/1000)))), IF(ISERROR(IF(OR(ISBLANK($BK$96)), "", $BK$96/1000)), "", (IF(OR(ISBLANK($BK$96)), "", $BK$96/1000))) = ""), 277.815,IF(ISERROR(IF(OR(ISBLANK($BK$96)), "", $BK$96/1000)), "", (IF(OR(ISBLANK($BK$96)), "", $BK$96/1000))))</f>
        <v>255.881</v>
      </c>
      <c r="BL23">
        <f>IF(OR(ISBLANK(IF(ISERROR(IF(OR(ISBLANK($BL$96)), "", $BL$96/1000)), "", (IF(OR(ISBLANK($BL$96)), "", $BL$96/1000)))), IF(ISERROR(IF(OR(ISBLANK($BL$96)), "", $BL$96/1000)), "", (IF(OR(ISBLANK($BL$96)), "", $BL$96/1000))) = ""), 297.118,IF(ISERROR(IF(OR(ISBLANK($BL$96)), "", $BL$96/1000)), "", (IF(OR(ISBLANK($BL$96)), "", $BL$96/1000))))</f>
        <v>255.185</v>
      </c>
      <c r="BM23">
        <f>IF(OR(ISBLANK(IF(ISERROR(IF(OR(ISBLANK($BM$96)), "", $BM$96/1000)), "", (IF(OR(ISBLANK($BM$96)), "", $BM$96/1000)))), IF(ISERROR(IF(OR(ISBLANK($BM$96)), "", $BM$96/1000)), "", (IF(OR(ISBLANK($BM$96)), "", $BM$96/1000))) = ""), 322.536,IF(ISERROR(IF(OR(ISBLANK($BM$96)), "", $BM$96/1000)), "", (IF(OR(ISBLANK($BM$96)), "", $BM$96/1000))))</f>
        <v>229.86099999999999</v>
      </c>
      <c r="BN23">
        <f>IF(OR(ISBLANK(IF(ISERROR(IF(OR(ISBLANK($BN$96)), "", $BN$96/1000)), "", (IF(OR(ISBLANK($BN$96)), "", $BN$96/1000)))), IF(ISERROR(IF(OR(ISBLANK($BN$96)), "", $BN$96/1000)), "", (IF(OR(ISBLANK($BN$96)), "", $BN$96/1000))) = ""), 313.548,IF(ISERROR(IF(OR(ISBLANK($BN$96)), "", $BN$96/1000)), "", (IF(OR(ISBLANK($BN$96)), "", $BN$96/1000))))</f>
        <v>236.602</v>
      </c>
      <c r="BO23">
        <f>IF(OR(ISBLANK(IF(ISERROR(IF(OR(ISBLANK($BO$96)), "", $BO$96/1000)), "", (IF(OR(ISBLANK($BO$96)), "", $BO$96/1000)))), IF(ISERROR(IF(OR(ISBLANK($BO$96)), "", $BO$96/1000)), "", (IF(OR(ISBLANK($BO$96)), "", $BO$96/1000))) = ""), 320.738,IF(ISERROR(IF(OR(ISBLANK($BO$96)), "", $BO$96/1000)), "", (IF(OR(ISBLANK($BO$96)), "", $BO$96/1000))))</f>
        <v>265.358</v>
      </c>
      <c r="BP23">
        <f>IF(OR(ISBLANK(IF(ISERROR(IF(OR(ISBLANK($BP$96)), "", $BP$96/1000)), "", (IF(OR(ISBLANK($BP$96)), "", $BP$96/1000)))), IF(ISERROR(IF(OR(ISBLANK($BP$96)), "", $BP$96/1000)), "", (IF(OR(ISBLANK($BP$96)), "", $BP$96/1000))) = ""), 330.469,IF(ISERROR(IF(OR(ISBLANK($BP$96)), "", $BP$96/1000)), "", (IF(OR(ISBLANK($BP$96)), "", $BP$96/1000))))</f>
        <v>269.62200000000001</v>
      </c>
      <c r="BQ23">
        <f>IF(OR(ISBLANK(IF(ISERROR(IF(OR(ISBLANK($BQ$96)), "", $BQ$96/1000)), "", (IF(OR(ISBLANK($BQ$96)), "", $BQ$96/1000)))), IF(ISERROR(IF(OR(ISBLANK($BQ$96)), "", $BQ$96/1000)), "", (IF(OR(ISBLANK($BQ$96)), "", $BQ$96/1000))) = ""), 357.511,IF(ISERROR(IF(OR(ISBLANK($BQ$96)), "", $BQ$96/1000)), "", (IF(OR(ISBLANK($BQ$96)), "", $BQ$96/1000))))</f>
        <v>263.41399999999999</v>
      </c>
      <c r="BR23">
        <f>IF(OR(ISBLANK(IF(ISERROR(IF(OR(ISBLANK($BR$96)), "", $BR$96/1000)), "", (IF(OR(ISBLANK($BR$96)), "", $BR$96/1000)))), IF(ISERROR(IF(OR(ISBLANK($BR$96)), "", $BR$96/1000)), "", (IF(OR(ISBLANK($BR$96)), "", $BR$96/1000))) = ""), 366.902,IF(ISERROR(IF(OR(ISBLANK($BR$96)), "", $BR$96/1000)), "", (IF(OR(ISBLANK($BR$96)), "", $BR$96/1000))))</f>
        <v>253.88900000000001</v>
      </c>
      <c r="BS23">
        <f>IF(OR(ISBLANK(IF(ISERROR(IF(OR(ISBLANK($BS$96)), "", $BS$96/1000)), "", (IF(OR(ISBLANK($BS$96)), "", $BS$96/1000)))), IF(ISERROR(IF(OR(ISBLANK($BS$96)), "", $BS$96/1000)), "", (IF(OR(ISBLANK($BS$96)), "", $BS$96/1000))) = ""), 357.523,IF(ISERROR(IF(OR(ISBLANK($BS$96)), "", $BS$96/1000)), "", (IF(OR(ISBLANK($BS$96)), "", $BS$96/1000))))</f>
        <v>294.5</v>
      </c>
      <c r="BT23">
        <f>IF(OR(ISBLANK(IF(ISERROR(IF(OR(ISBLANK($BT$96)), "", $BT$96/1000)), "", (IF(OR(ISBLANK($BT$96)), "", $BT$96/1000)))), IF(ISERROR(IF(OR(ISBLANK($BT$96)), "", $BT$96/1000)), "", (IF(OR(ISBLANK($BT$96)), "", $BT$96/1000))) = ""), 373.322,IF(ISERROR(IF(OR(ISBLANK($BT$96)), "", $BT$96/1000)), "", (IF(OR(ISBLANK($BT$96)), "", $BT$96/1000))))</f>
        <v>274.54000000000002</v>
      </c>
      <c r="BU23">
        <f>IF(OR(ISBLANK(IF(ISERROR(IF(OR(ISBLANK($BU$96)), "", $BU$96/1000)), "", (IF(OR(ISBLANK($BU$96)), "", $BU$96/1000)))), IF(ISERROR(IF(OR(ISBLANK($BU$96)), "", $BU$96/1000)), "", (IF(OR(ISBLANK($BU$96)), "", $BU$96/1000))) = ""), 394.238,IF(ISERROR(IF(OR(ISBLANK($BU$96)), "", $BU$96/1000)), "", (IF(OR(ISBLANK($BU$96)), "", $BU$96/1000))))</f>
        <v>253.66800000000001</v>
      </c>
      <c r="BV23">
        <f>IF(OR(ISBLANK(IF(ISERROR(IF(OR(ISBLANK($BV$96)), "", $BV$96/1000)), "", (IF(OR(ISBLANK($BV$96)), "", $BV$96/1000)))), IF(ISERROR(IF(OR(ISBLANK($BV$96)), "", $BV$96/1000)), "", (IF(OR(ISBLANK($BV$96)), "", $BV$96/1000))) = ""), 383.252,IF(ISERROR(IF(OR(ISBLANK($BV$96)), "", $BV$96/1000)), "", (IF(OR(ISBLANK($BV$96)), "", $BV$96/1000))))</f>
        <v>277.815</v>
      </c>
      <c r="BW23">
        <f>IF(OR(ISBLANK(IF(ISERROR(IF(OR(ISBLANK($BW$96)), "", $BW$96/1000)), "", (IF(OR(ISBLANK($BW$96)), "", $BW$96/1000)))), IF(ISERROR(IF(OR(ISBLANK($BW$96)), "", $BW$96/1000)), "", (IF(OR(ISBLANK($BW$96)), "", $BW$96/1000))) = ""), 412.811,IF(ISERROR(IF(OR(ISBLANK($BW$96)), "", $BW$96/1000)), "", (IF(OR(ISBLANK($BW$96)), "", $BW$96/1000))))</f>
        <v>297.11799999999999</v>
      </c>
      <c r="BX23">
        <f>IF(OR(ISBLANK(IF(ISERROR(IF(OR(ISBLANK($BX$96)), "", $BX$96/1000)), "", (IF(OR(ISBLANK($BX$96)), "", $BX$96/1000)))), IF(ISERROR(IF(OR(ISBLANK($BX$96)), "", $BX$96/1000)), "", (IF(OR(ISBLANK($BX$96)), "", $BX$96/1000))) = ""), 476.768,IF(ISERROR(IF(OR(ISBLANK($BX$96)), "", $BX$96/1000)), "", (IF(OR(ISBLANK($BX$96)), "", $BX$96/1000))))</f>
        <v>322.536</v>
      </c>
      <c r="BY23">
        <f>IF(OR(ISBLANK(IF(ISERROR(IF(OR(ISBLANK($BY$96)), "", $BY$96/1000)), "", (IF(OR(ISBLANK($BY$96)), "", $BY$96/1000)))), IF(ISERROR(IF(OR(ISBLANK($BY$96)), "", $BY$96/1000)), "", (IF(OR(ISBLANK($BY$96)), "", $BY$96/1000))) = ""), 490.954,IF(ISERROR(IF(OR(ISBLANK($BY$96)), "", $BY$96/1000)), "", (IF(OR(ISBLANK($BY$96)), "", $BY$96/1000))))</f>
        <v>313.548</v>
      </c>
      <c r="BZ23">
        <f>IF(OR(ISBLANK(IF(ISERROR(IF(OR(ISBLANK($BZ$96)), "", $BZ$96/1000)), "", (IF(OR(ISBLANK($BZ$96)), "", $BZ$96/1000)))), IF(ISERROR(IF(OR(ISBLANK($BZ$96)), "", $BZ$96/1000)), "", (IF(OR(ISBLANK($BZ$96)), "", $BZ$96/1000))) = ""), 494.866,IF(ISERROR(IF(OR(ISBLANK($BZ$96)), "", $BZ$96/1000)), "", (IF(OR(ISBLANK($BZ$96)), "", $BZ$96/1000))))</f>
        <v>320.738</v>
      </c>
      <c r="CA23">
        <f>IF(OR(ISBLANK(IF(ISERROR(IF(OR(ISBLANK($CA$96)), "", $CA$96/1000)), "", (IF(OR(ISBLANK($CA$96)), "", $CA$96/1000)))), IF(ISERROR(IF(OR(ISBLANK($CA$96)), "", $CA$96/1000)), "", (IF(OR(ISBLANK($CA$96)), "", $CA$96/1000))) = ""), 483.666,IF(ISERROR(IF(OR(ISBLANK($CA$96)), "", $CA$96/1000)), "", (IF(OR(ISBLANK($CA$96)), "", $CA$96/1000))))</f>
        <v>330.46899999999999</v>
      </c>
      <c r="CB23">
        <f>IF(OR(ISBLANK(IF(ISERROR(IF(OR(ISBLANK($CB$96)), "", $CB$96/1000)), "", (IF(OR(ISBLANK($CB$96)), "", $CB$96/1000)))), IF(ISERROR(IF(OR(ISBLANK($CB$96)), "", $CB$96/1000)), "", (IF(OR(ISBLANK($CB$96)), "", $CB$96/1000))) = ""), 581.261,IF(ISERROR(IF(OR(ISBLANK($CB$96)), "", $CB$96/1000)), "", (IF(OR(ISBLANK($CB$96)), "", $CB$96/1000))))</f>
        <v>357.51100000000002</v>
      </c>
      <c r="CC23">
        <f>IF(OR(ISBLANK(IF(ISERROR(IF(OR(ISBLANK($CC$96)), "", $CC$96/1000)), "", (IF(OR(ISBLANK($CC$96)), "", $CC$96/1000)))), IF(ISERROR(IF(OR(ISBLANK($CC$96)), "", $CC$96/1000)), "", (IF(OR(ISBLANK($CC$96)), "", $CC$96/1000))) = ""), 629.951,IF(ISERROR(IF(OR(ISBLANK($CC$96)), "", $CC$96/1000)), "", (IF(OR(ISBLANK($CC$96)), "", $CC$96/1000))))</f>
        <v>366.90199999999999</v>
      </c>
      <c r="CD23">
        <f>IF(OR(ISBLANK(IF(ISERROR(IF(OR(ISBLANK($CD$96)), "", $CD$96/1000)), "", (IF(OR(ISBLANK($CD$96)), "", $CD$96/1000)))), IF(ISERROR(IF(OR(ISBLANK($CD$96)), "", $CD$96/1000)), "", (IF(OR(ISBLANK($CD$96)), "", $CD$96/1000))) = ""), 624.133,IF(ISERROR(IF(OR(ISBLANK($CD$96)), "", $CD$96/1000)), "", (IF(OR(ISBLANK($CD$96)), "", $CD$96/1000))))</f>
        <v>357.52300000000002</v>
      </c>
      <c r="CE23">
        <f>IF(OR(ISBLANK(IF(ISERROR(IF(OR(ISBLANK($CE$96)), "", $CE$96/1000)), "", (IF(OR(ISBLANK($CE$96)), "", $CE$96/1000)))), IF(ISERROR(IF(OR(ISBLANK($CE$96)), "", $CE$96/1000)), "", (IF(OR(ISBLANK($CE$96)), "", $CE$96/1000))) = ""), 608.767,IF(ISERROR(IF(OR(ISBLANK($CE$96)), "", $CE$96/1000)), "", (IF(OR(ISBLANK($CE$96)), "", $CE$96/1000))))</f>
        <v>373.322</v>
      </c>
      <c r="CF23">
        <f>IF(OR(ISBLANK(IF(ISERROR(IF(OR(ISBLANK($CF$96)), "", $CF$96/1000)), "", (IF(OR(ISBLANK($CF$96)), "", $CF$96/1000)))), IF(ISERROR(IF(OR(ISBLANK($CF$96)), "", $CF$96/1000)), "", (IF(OR(ISBLANK($CF$96)), "", $CF$96/1000))) = ""), 608.421,IF(ISERROR(IF(OR(ISBLANK($CF$96)), "", $CF$96/1000)), "", (IF(OR(ISBLANK($CF$96)), "", $CF$96/1000))))</f>
        <v>394.238</v>
      </c>
      <c r="CG23">
        <f>IF(OR(ISBLANK(IF(ISERROR(IF(OR(ISBLANK($CG$96)), "", $CG$96/1000)), "", (IF(OR(ISBLANK($CG$96)), "", $CG$96/1000)))), IF(ISERROR(IF(OR(ISBLANK($CG$96)), "", $CG$96/1000)), "", (IF(OR(ISBLANK($CG$96)), "", $CG$96/1000))) = ""), 599.185,IF(ISERROR(IF(OR(ISBLANK($CG$96)), "", $CG$96/1000)), "", (IF(OR(ISBLANK($CG$96)), "", $CG$96/1000))))</f>
        <v>383.25200000000001</v>
      </c>
    </row>
    <row r="24" spans="1:85" x14ac:dyDescent="0.25">
      <c r="A24" t="str">
        <f>"(Deposit Facility-Marginal Lending"</f>
        <v>(Deposit Facility-Marginal Lending</v>
      </c>
      <c r="B24" t="str">
        <f>""</f>
        <v/>
      </c>
      <c r="C24" t="str">
        <f>""</f>
        <v/>
      </c>
      <c r="D24" t="str">
        <f>""</f>
        <v/>
      </c>
      <c r="E24" t="str">
        <f>"Static"</f>
        <v>Static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  <c r="Z24" t="str">
        <f>""</f>
        <v/>
      </c>
      <c r="AA24" t="str">
        <f>""</f>
        <v/>
      </c>
      <c r="AB24" t="str">
        <f>""</f>
        <v/>
      </c>
      <c r="AC24" t="str">
        <f>""</f>
        <v/>
      </c>
      <c r="AD24" t="str">
        <f>""</f>
        <v/>
      </c>
      <c r="AE24" t="str">
        <f>""</f>
        <v/>
      </c>
      <c r="AF24" t="str">
        <f>""</f>
        <v/>
      </c>
      <c r="AG24" t="str">
        <f>""</f>
        <v/>
      </c>
      <c r="AH24" t="str">
        <f>""</f>
        <v/>
      </c>
      <c r="AI24" t="str">
        <f>""</f>
        <v/>
      </c>
      <c r="AJ24" t="str">
        <f>""</f>
        <v/>
      </c>
      <c r="AK24" t="str">
        <f>""</f>
        <v/>
      </c>
      <c r="AL24" t="str">
        <f>""</f>
        <v/>
      </c>
      <c r="AM24" t="str">
        <f>""</f>
        <v/>
      </c>
      <c r="AN24" t="str">
        <f>""</f>
        <v/>
      </c>
      <c r="AO24" t="str">
        <f>""</f>
        <v/>
      </c>
      <c r="AP24" t="str">
        <f>""</f>
        <v/>
      </c>
      <c r="AQ24" t="str">
        <f>""</f>
        <v/>
      </c>
      <c r="AR24" t="str">
        <f>""</f>
        <v/>
      </c>
      <c r="AS24" t="str">
        <f>""</f>
        <v/>
      </c>
      <c r="AT24" t="str">
        <f>""</f>
        <v/>
      </c>
      <c r="AU24" t="str">
        <f>""</f>
        <v/>
      </c>
      <c r="AV24" t="str">
        <f>""</f>
        <v/>
      </c>
      <c r="AW24" t="str">
        <f>""</f>
        <v/>
      </c>
      <c r="AX24" t="str">
        <f>""</f>
        <v/>
      </c>
      <c r="AY24" t="str">
        <f>""</f>
        <v/>
      </c>
      <c r="AZ24" t="str">
        <f>""</f>
        <v/>
      </c>
      <c r="BA24" t="str">
        <f>""</f>
        <v/>
      </c>
      <c r="BB24" t="str">
        <f>""</f>
        <v/>
      </c>
      <c r="BC24" t="str">
        <f>""</f>
        <v/>
      </c>
      <c r="BD24" t="str">
        <f>""</f>
        <v/>
      </c>
      <c r="BE24" t="str">
        <f>""</f>
        <v/>
      </c>
      <c r="BF24" t="str">
        <f>""</f>
        <v/>
      </c>
      <c r="BG24" t="str">
        <f>""</f>
        <v/>
      </c>
      <c r="BH24" t="str">
        <f>""</f>
        <v/>
      </c>
      <c r="BI24" t="str">
        <f>""</f>
        <v/>
      </c>
      <c r="BJ24" t="str">
        <f>""</f>
        <v/>
      </c>
      <c r="BK24" t="str">
        <f>""</f>
        <v/>
      </c>
      <c r="BL24" t="str">
        <f>""</f>
        <v/>
      </c>
      <c r="BM24" t="str">
        <f>""</f>
        <v/>
      </c>
      <c r="BN24" t="str">
        <f>""</f>
        <v/>
      </c>
      <c r="BO24" t="str">
        <f>""</f>
        <v/>
      </c>
      <c r="BP24" t="str">
        <f>""</f>
        <v/>
      </c>
      <c r="BQ24" t="str">
        <f>""</f>
        <v/>
      </c>
      <c r="BR24" t="str">
        <f>""</f>
        <v/>
      </c>
      <c r="BS24" t="str">
        <f>""</f>
        <v/>
      </c>
      <c r="BT24" t="str">
        <f>""</f>
        <v/>
      </c>
      <c r="BU24" t="str">
        <f>""</f>
        <v/>
      </c>
      <c r="BV24" t="str">
        <f>""</f>
        <v/>
      </c>
      <c r="BW24" t="str">
        <f>""</f>
        <v/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</row>
    <row r="25" spans="1:85" x14ac:dyDescent="0.25">
      <c r="A25" t="str">
        <f>"+ (Current Account Holdings - Reserve Requirements)"</f>
        <v>+ (Current Account Holdings - Reserve Requirements)</v>
      </c>
      <c r="B25" t="str">
        <f>""</f>
        <v/>
      </c>
      <c r="C25" t="str">
        <f>""</f>
        <v/>
      </c>
      <c r="D25" t="str">
        <f>""</f>
        <v/>
      </c>
      <c r="E25" t="str">
        <f>"Static"</f>
        <v>Static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  <c r="AD25" t="str">
        <f>""</f>
        <v/>
      </c>
      <c r="AE25" t="str">
        <f>""</f>
        <v/>
      </c>
      <c r="AF25" t="str">
        <f>""</f>
        <v/>
      </c>
      <c r="AG25" t="str">
        <f>""</f>
        <v/>
      </c>
      <c r="AH25" t="str">
        <f>""</f>
        <v/>
      </c>
      <c r="AI25" t="str">
        <f>""</f>
        <v/>
      </c>
      <c r="AJ25" t="str">
        <f>""</f>
        <v/>
      </c>
      <c r="AK25" t="str">
        <f>""</f>
        <v/>
      </c>
      <c r="AL25" t="str">
        <f>""</f>
        <v/>
      </c>
      <c r="AM25" t="str">
        <f>""</f>
        <v/>
      </c>
      <c r="AN25" t="str">
        <f>""</f>
        <v/>
      </c>
      <c r="AO25" t="str">
        <f>""</f>
        <v/>
      </c>
      <c r="AP25" t="str">
        <f>""</f>
        <v/>
      </c>
      <c r="AQ25" t="str">
        <f>""</f>
        <v/>
      </c>
      <c r="AR25" t="str">
        <f>""</f>
        <v/>
      </c>
      <c r="AS25" t="str">
        <f>""</f>
        <v/>
      </c>
      <c r="AT25" t="str">
        <f>""</f>
        <v/>
      </c>
      <c r="AU25" t="str">
        <f>""</f>
        <v/>
      </c>
      <c r="AV25" t="str">
        <f>""</f>
        <v/>
      </c>
      <c r="AW25" t="str">
        <f>""</f>
        <v/>
      </c>
      <c r="AX25" t="str">
        <f>""</f>
        <v/>
      </c>
      <c r="AY25" t="str">
        <f>""</f>
        <v/>
      </c>
      <c r="AZ25" t="str">
        <f>""</f>
        <v/>
      </c>
      <c r="BA25" t="str">
        <f>""</f>
        <v/>
      </c>
      <c r="BB25" t="str">
        <f>""</f>
        <v/>
      </c>
      <c r="BC25" t="str">
        <f>""</f>
        <v/>
      </c>
      <c r="BD25" t="str">
        <f>""</f>
        <v/>
      </c>
      <c r="BE25" t="str">
        <f>""</f>
        <v/>
      </c>
      <c r="BF25" t="str">
        <f>""</f>
        <v/>
      </c>
      <c r="BG25" t="str">
        <f>""</f>
        <v/>
      </c>
      <c r="BH25" t="str">
        <f>""</f>
        <v/>
      </c>
      <c r="BI25" t="str">
        <f>""</f>
        <v/>
      </c>
      <c r="BJ25" t="str">
        <f>""</f>
        <v/>
      </c>
      <c r="BK25" t="str">
        <f>""</f>
        <v/>
      </c>
      <c r="BL25" t="str">
        <f>""</f>
        <v/>
      </c>
      <c r="BM25" t="str">
        <f>""</f>
        <v/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</row>
    <row r="26" spans="1:85" x14ac:dyDescent="0.25">
      <c r="A26" t="str">
        <f>""</f>
        <v/>
      </c>
      <c r="B26" t="str">
        <f>""</f>
        <v/>
      </c>
      <c r="C26" t="str">
        <f>""</f>
        <v/>
      </c>
      <c r="D26" t="str">
        <f>""</f>
        <v/>
      </c>
      <c r="E26" t="str">
        <f>"Static"</f>
        <v>Static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""</f>
        <v/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  <c r="AD26" t="str">
        <f>""</f>
        <v/>
      </c>
      <c r="AE26" t="str">
        <f>""</f>
        <v/>
      </c>
      <c r="AF26" t="str">
        <f>""</f>
        <v/>
      </c>
      <c r="AG26" t="str">
        <f>""</f>
        <v/>
      </c>
      <c r="AH26" t="str">
        <f>""</f>
        <v/>
      </c>
      <c r="AI26" t="str">
        <f>""</f>
        <v/>
      </c>
      <c r="AJ26" t="str">
        <f>""</f>
        <v/>
      </c>
      <c r="AK26" t="str">
        <f>""</f>
        <v/>
      </c>
      <c r="AL26" t="str">
        <f>""</f>
        <v/>
      </c>
      <c r="AM26" t="str">
        <f>""</f>
        <v/>
      </c>
      <c r="AN26" t="str">
        <f>""</f>
        <v/>
      </c>
      <c r="AO26" t="str">
        <f>""</f>
        <v/>
      </c>
      <c r="AP26" t="str">
        <f>""</f>
        <v/>
      </c>
      <c r="AQ26" t="str">
        <f>""</f>
        <v/>
      </c>
      <c r="AR26" t="str">
        <f>""</f>
        <v/>
      </c>
      <c r="AS26" t="str">
        <f>""</f>
        <v/>
      </c>
      <c r="AT26" t="str">
        <f>""</f>
        <v/>
      </c>
      <c r="AU26" t="str">
        <f>""</f>
        <v/>
      </c>
      <c r="AV26" t="str">
        <f>""</f>
        <v/>
      </c>
      <c r="AW26" t="str">
        <f>""</f>
        <v/>
      </c>
      <c r="AX26" t="str">
        <f>""</f>
        <v/>
      </c>
      <c r="AY26" t="str">
        <f>""</f>
        <v/>
      </c>
      <c r="AZ26" t="str">
        <f>""</f>
        <v/>
      </c>
      <c r="BA26" t="str">
        <f>""</f>
        <v/>
      </c>
      <c r="BB26" t="str">
        <f>""</f>
        <v/>
      </c>
      <c r="BC26" t="str">
        <f>""</f>
        <v/>
      </c>
      <c r="BD26" t="str">
        <f>""</f>
        <v/>
      </c>
      <c r="BE26" t="str">
        <f>""</f>
        <v/>
      </c>
      <c r="BF26" t="str">
        <f>""</f>
        <v/>
      </c>
      <c r="BG26" t="str">
        <f>""</f>
        <v/>
      </c>
      <c r="BH26" t="str">
        <f>""</f>
        <v/>
      </c>
      <c r="BI26" t="str">
        <f>""</f>
        <v/>
      </c>
      <c r="BJ26" t="str">
        <f>""</f>
        <v/>
      </c>
      <c r="BK26" t="str">
        <f>""</f>
        <v/>
      </c>
      <c r="BL26" t="str">
        <f>""</f>
        <v/>
      </c>
      <c r="BM26" t="str">
        <f>""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</row>
    <row r="27" spans="1:85" x14ac:dyDescent="0.25">
      <c r="A27" t="str">
        <f>"ECB USD Total Swap Line Currently Drawndown (USD B)"</f>
        <v>ECB USD Total Swap Line Currently Drawndown (USD B)</v>
      </c>
      <c r="B27" t="str">
        <f>"FESLECB Index"</f>
        <v>FESLECB Index</v>
      </c>
      <c r="C27" t="str">
        <f>"PR005"</f>
        <v>PR005</v>
      </c>
      <c r="D27" t="str">
        <f>"PX_LAST"</f>
        <v>PX_LAST</v>
      </c>
      <c r="E27" t="str">
        <f>"Dynamic"</f>
        <v>Dynamic</v>
      </c>
      <c r="F27" t="e">
        <f ca="1">IF(OR(ISBLANK($F$122), $F$122 = ""), "",$F$122)</f>
        <v>#N/A</v>
      </c>
      <c r="G27" t="str">
        <f>IF(OR(ISBLANK($G$122), $G$122 = ""), "",$G$122)</f>
        <v/>
      </c>
      <c r="H27" t="str">
        <f>IF(OR(ISBLANK($H$122), $H$122 = ""), "",$H$122)</f>
        <v/>
      </c>
      <c r="I27" t="str">
        <f>IF(OR(ISBLANK($I$122), $I$122 = ""), "",$I$122)</f>
        <v/>
      </c>
      <c r="J27" t="str">
        <f>IF(OR(ISBLANK($J$122), $J$122 = ""), "",$J$122)</f>
        <v/>
      </c>
      <c r="K27" t="str">
        <f>IF(OR(ISBLANK($K$122), $K$122 = ""), "",$K$122)</f>
        <v/>
      </c>
      <c r="L27" t="str">
        <f>IF(OR(ISBLANK($L$122), $L$122 = ""), "",$L$122)</f>
        <v/>
      </c>
      <c r="M27" t="str">
        <f>IF(OR(ISBLANK($M$122), $M$122 = ""), "",$M$122)</f>
        <v/>
      </c>
      <c r="N27" t="str">
        <f>IF(OR(ISBLANK($N$122), $N$122 = ""), "",$N$122)</f>
        <v/>
      </c>
      <c r="O27" t="str">
        <f>IF(OR(ISBLANK($O$122), $O$122 = ""), "",$O$122)</f>
        <v/>
      </c>
      <c r="P27" t="str">
        <f>IF(OR(ISBLANK($P$122), $P$122 = ""), "",$P$122)</f>
        <v/>
      </c>
      <c r="Q27" t="str">
        <f>IF(OR(ISBLANK($Q$122), $Q$122 = ""), "",$Q$122)</f>
        <v/>
      </c>
      <c r="R27" t="str">
        <f>IF(OR(ISBLANK($R$122), $R$122 = ""), "",$R$122)</f>
        <v/>
      </c>
      <c r="S27" t="str">
        <f>IF(OR(ISBLANK($S$122), $S$122 = ""), "",$S$122)</f>
        <v/>
      </c>
      <c r="T27" t="str">
        <f>IF(OR(ISBLANK($T$122), $T$122 = ""), "",$T$122)</f>
        <v/>
      </c>
      <c r="U27" t="str">
        <f>IF(OR(ISBLANK($U$122), $U$122 = ""), "",$U$122)</f>
        <v/>
      </c>
      <c r="V27" t="str">
        <f>IF(OR(ISBLANK($V$122), $V$122 = ""), "",$V$122)</f>
        <v/>
      </c>
      <c r="W27" t="str">
        <f>IF(OR(ISBLANK($W$122), $W$122 = ""), "",$W$122)</f>
        <v/>
      </c>
      <c r="X27" t="str">
        <f>IF(OR(ISBLANK($X$122), $X$122 = ""), "",$X$122)</f>
        <v/>
      </c>
      <c r="Y27" t="str">
        <f>IF(OR(ISBLANK($Y$122), $Y$122 = ""), "",$Y$122)</f>
        <v/>
      </c>
      <c r="Z27" t="str">
        <f>IF(OR(ISBLANK($Z$122), $Z$122 = ""), "",$Z$122)</f>
        <v/>
      </c>
      <c r="AA27" t="str">
        <f>IF(OR(ISBLANK($AA$122), $AA$122 = ""), "",$AA$122)</f>
        <v/>
      </c>
      <c r="AB27" t="str">
        <f>IF(OR(ISBLANK($AB$122), $AB$122 = ""), "",$AB$122)</f>
        <v/>
      </c>
      <c r="AC27" t="str">
        <f>IF(OR(ISBLANK($AC$122), $AC$122 = ""), "",$AC$122)</f>
        <v/>
      </c>
      <c r="AD27" t="str">
        <f>IF(OR(ISBLANK($AD$122), $AD$122 = ""), "",$AD$122)</f>
        <v/>
      </c>
      <c r="AE27" t="str">
        <f>IF(OR(ISBLANK($AE$122), $AE$122 = ""), "",$AE$122)</f>
        <v/>
      </c>
      <c r="AF27" t="str">
        <f>IF(OR(ISBLANK($AF$122), $AF$122 = ""), "",$AF$122)</f>
        <v/>
      </c>
      <c r="AG27" t="str">
        <f>IF(OR(ISBLANK($AG$122), $AG$122 = ""), "",$AG$122)</f>
        <v/>
      </c>
      <c r="AH27" t="str">
        <f>IF(OR(ISBLANK($AH$122), $AH$122 = ""), "",$AH$122)</f>
        <v/>
      </c>
      <c r="AI27" t="str">
        <f>IF(OR(ISBLANK($AI$122), $AI$122 = ""), "",$AI$122)</f>
        <v/>
      </c>
      <c r="AJ27" t="str">
        <f>IF(OR(ISBLANK($AJ$122), $AJ$122 = ""), "",$AJ$122)</f>
        <v/>
      </c>
      <c r="AK27" t="str">
        <f>IF(OR(ISBLANK($AK$122), $AK$122 = ""), "",$AK$122)</f>
        <v/>
      </c>
      <c r="AL27" t="str">
        <f>IF(OR(ISBLANK($AL$122), $AL$122 = ""), "",$AL$122)</f>
        <v/>
      </c>
      <c r="AM27" t="str">
        <f>IF(OR(ISBLANK($AM$122), $AM$122 = ""), "",$AM$122)</f>
        <v/>
      </c>
      <c r="AN27">
        <f>IF(OR(ISBLANK($AN$122), $AN$122 = ""), 0.769999981,$AN$122)</f>
        <v>0.769999981</v>
      </c>
      <c r="AO27">
        <f>IF(OR(ISBLANK($AO$122), $AO$122 = ""), 0.769999981,$AO$122)</f>
        <v>0.769999981</v>
      </c>
      <c r="AP27">
        <f>IF(OR(ISBLANK($AP$122), $AP$122 = ""), 0.769999981,$AP$122)</f>
        <v>0.769999981</v>
      </c>
      <c r="AQ27">
        <f>IF(OR(ISBLANK($AQ$122), $AQ$122 = ""), 0.769999981,$AQ$122)</f>
        <v>0.769999981</v>
      </c>
      <c r="AR27">
        <f>IF(OR(ISBLANK($AR$122), $AR$122 = ""), 0.689999998,$AR$122)</f>
        <v>0.689999998</v>
      </c>
      <c r="AS27">
        <f>IF(OR(ISBLANK($AS$122), $AS$122 = ""), 1.00999999,$AS$122)</f>
        <v>1.0099999900000001</v>
      </c>
      <c r="AT27">
        <f>IF(OR(ISBLANK($AT$122), $AT$122 = ""), 0.769999981,$AT$122)</f>
        <v>0.769999981</v>
      </c>
      <c r="AU27">
        <f>IF(OR(ISBLANK($AU$122), $AU$122 = ""), 0.769999981,$AU$122)</f>
        <v>0.769999981</v>
      </c>
      <c r="AV27">
        <f>IF(OR(ISBLANK($AV$122), $AV$122 = ""), 0.819999993,$AV$122)</f>
        <v>0.81999999300000004</v>
      </c>
      <c r="AW27">
        <f>IF(OR(ISBLANK($AW$122), $AW$122 = ""), 0.819999993,$AW$122)</f>
        <v>0.81999999300000004</v>
      </c>
      <c r="AX27">
        <f>IF(OR(ISBLANK($AX$122), $AX$122 = ""), 0.819999993,$AX$122)</f>
        <v>0.81999999300000004</v>
      </c>
      <c r="AY27">
        <f>IF(OR(ISBLANK($AY$122), $AY$122 = ""), 0.819999993,$AY$122)</f>
        <v>0.77</v>
      </c>
      <c r="AZ27">
        <f>IF(OR(ISBLANK($AZ$122), $AZ$122 = ""), 0.689999998,$AZ$122)</f>
        <v>0.77</v>
      </c>
      <c r="BA27">
        <f>IF(OR(ISBLANK($BA$122), $BA$122 = ""), 0.689999998,$BA$122)</f>
        <v>0.77</v>
      </c>
      <c r="BB27">
        <f>IF(OR(ISBLANK($BB$122), $BB$122 = ""), 0.689999998,$BB$122)</f>
        <v>0.77</v>
      </c>
      <c r="BC27">
        <f>IF(OR(ISBLANK($BC$122), $BC$122 = ""), 0.689999998,$BC$122)</f>
        <v>0.69</v>
      </c>
      <c r="BD27">
        <f>IF(OR(ISBLANK($BD$122), $BD$122 = ""), 0.660000026,$BD$122)</f>
        <v>1.01</v>
      </c>
      <c r="BE27">
        <f>IF(OR(ISBLANK($BE$122), $BE$122 = ""), 0.660000026,$BE$122)</f>
        <v>0.77</v>
      </c>
      <c r="BF27">
        <f>IF(OR(ISBLANK($BF$122), $BF$122 = ""), 0.860000014,$BF$122)</f>
        <v>0.77</v>
      </c>
      <c r="BG27">
        <f>IF(OR(ISBLANK($BG$122), $BG$122 = ""), 0.660000026,$BG$122)</f>
        <v>0.82</v>
      </c>
      <c r="BH27">
        <f>IF(OR(ISBLANK($BH$122), $BH$122 = ""), 0.5,$BH$122)</f>
        <v>0.82</v>
      </c>
      <c r="BI27">
        <f>IF(OR(ISBLANK($BI$122), $BI$122 = ""), 0.5,$BI$122)</f>
        <v>0.82</v>
      </c>
      <c r="BJ27">
        <f>IF(OR(ISBLANK($BJ$122), $BJ$122 = ""), 0.5,$BJ$122)</f>
        <v>0.82</v>
      </c>
      <c r="BK27">
        <f>IF(OR(ISBLANK($BK$122), $BK$122 = ""), 0.5,$BK$122)</f>
        <v>0.69</v>
      </c>
      <c r="BL27">
        <f>IF(OR(ISBLANK($BL$122), $BL$122 = ""), 0.5,$BL$122)</f>
        <v>0.69</v>
      </c>
      <c r="BM27">
        <f>IF(OR(ISBLANK($BM$122), $BM$122 = ""), 0.5,$BM$122)</f>
        <v>0.69</v>
      </c>
      <c r="BN27">
        <f>IF(OR(ISBLANK($BN$122), $BN$122 = ""), 0.5,$BN$122)</f>
        <v>0.69</v>
      </c>
      <c r="BO27">
        <f>IF(OR(ISBLANK($BO$122), $BO$122 = ""), 0.5,$BO$122)</f>
        <v>0.66</v>
      </c>
      <c r="BP27">
        <f>IF(OR(ISBLANK($BP$122), $BP$122 = ""), 0.5,$BP$122)</f>
        <v>0.66</v>
      </c>
      <c r="BQ27">
        <f>IF(OR(ISBLANK($BQ$122), $BQ$122 = ""), 0.5,$BQ$122)</f>
        <v>0.86</v>
      </c>
      <c r="BR27">
        <f>IF(OR(ISBLANK($BR$122), $BR$122 = ""), 0.5,$BR$122)</f>
        <v>0.66</v>
      </c>
      <c r="BS27">
        <f>IF(OR(ISBLANK($BS$122), $BS$122 = ""), 0.5,$BS$122)</f>
        <v>0.5</v>
      </c>
      <c r="BT27">
        <f>IF(OR(ISBLANK($BT$122), $BT$122 = ""), 0.5,$BT$122)</f>
        <v>0.5</v>
      </c>
      <c r="BU27">
        <f>IF(OR(ISBLANK($BU$122), $BU$122 = ""), 0.5,$BU$122)</f>
        <v>0.5</v>
      </c>
      <c r="BV27">
        <f>IF(OR(ISBLANK($BV$122), $BV$122 = ""), 0.5,$BV$122)</f>
        <v>0.5</v>
      </c>
      <c r="BW27">
        <f>IF(OR(ISBLANK($BW$122), $BW$122 = ""), 0.5,$BW$122)</f>
        <v>0.5</v>
      </c>
      <c r="BX27">
        <f>IF(OR(ISBLANK($BX$122), $BX$122 = ""), 0.5,$BX$122)</f>
        <v>0.5</v>
      </c>
      <c r="BY27">
        <f>IF(OR(ISBLANK($BY$122), $BY$122 = ""), 0.5,$BY$122)</f>
        <v>0.5</v>
      </c>
      <c r="BZ27">
        <f>IF(OR(ISBLANK($BZ$122), $BZ$122 = ""), 0.5,$BZ$122)</f>
        <v>0.5</v>
      </c>
      <c r="CA27">
        <f>IF(OR(ISBLANK($CA$122), $CA$122 = ""), 0.5,$CA$122)</f>
        <v>0.5</v>
      </c>
      <c r="CB27">
        <f>IF(OR(ISBLANK($CB$122), $CB$122 = ""), 0.5,$CB$122)</f>
        <v>0.5</v>
      </c>
      <c r="CC27">
        <f>IF(OR(ISBLANK($CC$122), $CC$122 = ""), 0.5,$CC$122)</f>
        <v>0.5</v>
      </c>
      <c r="CD27">
        <f>IF(OR(ISBLANK($CD$122), $CD$122 = ""), 0.5,$CD$122)</f>
        <v>0.5</v>
      </c>
      <c r="CE27">
        <f>IF(OR(ISBLANK($CE$122), $CE$122 = ""), 0.5,$CE$122)</f>
        <v>0.5</v>
      </c>
      <c r="CF27">
        <f>IF(OR(ISBLANK($CF$122), $CF$122 = ""), 0.5,$CF$122)</f>
        <v>0.5</v>
      </c>
      <c r="CG27">
        <f>IF(OR(ISBLANK($CG$122), $CG$122 = ""), 0.5,$CG$122)</f>
        <v>0.5</v>
      </c>
    </row>
    <row r="28" spans="1:85" x14ac:dyDescent="0.25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"Static"</f>
        <v>Static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  <c r="U28" t="str">
        <f>""</f>
        <v/>
      </c>
      <c r="V28" t="str">
        <f>""</f>
        <v/>
      </c>
      <c r="W28" t="str">
        <f>""</f>
        <v/>
      </c>
      <c r="X28" t="str">
        <f>""</f>
        <v/>
      </c>
      <c r="Y28" t="str">
        <f>""</f>
        <v/>
      </c>
      <c r="Z28" t="str">
        <f>""</f>
        <v/>
      </c>
      <c r="AA28" t="str">
        <f>""</f>
        <v/>
      </c>
      <c r="AB28" t="str">
        <f>""</f>
        <v/>
      </c>
      <c r="AC28" t="str">
        <f>""</f>
        <v/>
      </c>
      <c r="AD28" t="str">
        <f>""</f>
        <v/>
      </c>
      <c r="AE28" t="str">
        <f>""</f>
        <v/>
      </c>
      <c r="AF28" t="str">
        <f>""</f>
        <v/>
      </c>
      <c r="AG28" t="str">
        <f>""</f>
        <v/>
      </c>
      <c r="AH28" t="str">
        <f>""</f>
        <v/>
      </c>
      <c r="AI28" t="str">
        <f>""</f>
        <v/>
      </c>
      <c r="AJ28" t="str">
        <f>""</f>
        <v/>
      </c>
      <c r="AK28" t="str">
        <f>""</f>
        <v/>
      </c>
      <c r="AL28" t="str">
        <f>""</f>
        <v/>
      </c>
      <c r="AM28" t="str">
        <f>""</f>
        <v/>
      </c>
      <c r="AN28" t="str">
        <f>""</f>
        <v/>
      </c>
      <c r="AO28" t="str">
        <f>""</f>
        <v/>
      </c>
      <c r="AP28" t="str">
        <f>""</f>
        <v/>
      </c>
      <c r="AQ28" t="str">
        <f>""</f>
        <v/>
      </c>
      <c r="AR28" t="str">
        <f>""</f>
        <v/>
      </c>
      <c r="AS28" t="str">
        <f>""</f>
        <v/>
      </c>
      <c r="AT28" t="str">
        <f>""</f>
        <v/>
      </c>
      <c r="AU28" t="str">
        <f>""</f>
        <v/>
      </c>
      <c r="AV28" t="str">
        <f>""</f>
        <v/>
      </c>
      <c r="AW28" t="str">
        <f>""</f>
        <v/>
      </c>
      <c r="AX28" t="str">
        <f>""</f>
        <v/>
      </c>
      <c r="AY28" t="str">
        <f>""</f>
        <v/>
      </c>
      <c r="AZ28" t="str">
        <f>""</f>
        <v/>
      </c>
      <c r="BA28" t="str">
        <f>""</f>
        <v/>
      </c>
      <c r="BB28" t="str">
        <f>""</f>
        <v/>
      </c>
      <c r="BC28" t="str">
        <f>""</f>
        <v/>
      </c>
      <c r="BD28" t="str">
        <f>""</f>
        <v/>
      </c>
      <c r="BE28" t="str">
        <f>""</f>
        <v/>
      </c>
      <c r="BF28" t="str">
        <f>""</f>
        <v/>
      </c>
      <c r="BG28" t="str">
        <f>""</f>
        <v/>
      </c>
      <c r="BH28" t="str">
        <f>""</f>
        <v/>
      </c>
      <c r="BI28" t="str">
        <f>""</f>
        <v/>
      </c>
      <c r="BJ28" t="str">
        <f>""</f>
        <v/>
      </c>
      <c r="BK28" t="str">
        <f>""</f>
        <v/>
      </c>
      <c r="BL28" t="str">
        <f>""</f>
        <v/>
      </c>
      <c r="BM28" t="str">
        <f>""</f>
        <v/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</row>
    <row r="29" spans="1:85" x14ac:dyDescent="0.25">
      <c r="A29" t="str">
        <f>"ECB MARKET OPERATIONS (EUR B)"</f>
        <v>ECB MARKET OPERATIONS (EUR B)</v>
      </c>
      <c r="B29" t="str">
        <f>""</f>
        <v/>
      </c>
      <c r="C29" t="str">
        <f>""</f>
        <v/>
      </c>
      <c r="D29" t="str">
        <f>""</f>
        <v/>
      </c>
      <c r="E29" t="str">
        <f>"Static"</f>
        <v>Static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  <c r="U29" t="str">
        <f>""</f>
        <v/>
      </c>
      <c r="V29" t="str">
        <f>""</f>
        <v/>
      </c>
      <c r="W29" t="str">
        <f>""</f>
        <v/>
      </c>
      <c r="X29" t="str">
        <f>""</f>
        <v/>
      </c>
      <c r="Y29" t="str">
        <f>""</f>
        <v/>
      </c>
      <c r="Z29" t="str">
        <f>""</f>
        <v/>
      </c>
      <c r="AA29" t="str">
        <f>""</f>
        <v/>
      </c>
      <c r="AB29" t="str">
        <f>""</f>
        <v/>
      </c>
      <c r="AC29" t="str">
        <f>""</f>
        <v/>
      </c>
      <c r="AD29" t="str">
        <f>""</f>
        <v/>
      </c>
      <c r="AE29" t="str">
        <f>""</f>
        <v/>
      </c>
      <c r="AF29" t="str">
        <f>""</f>
        <v/>
      </c>
      <c r="AG29" t="str">
        <f>""</f>
        <v/>
      </c>
      <c r="AH29" t="str">
        <f>""</f>
        <v/>
      </c>
      <c r="AI29" t="str">
        <f>""</f>
        <v/>
      </c>
      <c r="AJ29" t="str">
        <f>""</f>
        <v/>
      </c>
      <c r="AK29" t="str">
        <f>""</f>
        <v/>
      </c>
      <c r="AL29" t="str">
        <f>""</f>
        <v/>
      </c>
      <c r="AM29" t="str">
        <f>""</f>
        <v/>
      </c>
      <c r="AN29" t="str">
        <f>""</f>
        <v/>
      </c>
      <c r="AO29" t="str">
        <f>""</f>
        <v/>
      </c>
      <c r="AP29" t="str">
        <f>""</f>
        <v/>
      </c>
      <c r="AQ29" t="str">
        <f>""</f>
        <v/>
      </c>
      <c r="AR29" t="str">
        <f>""</f>
        <v/>
      </c>
      <c r="AS29" t="str">
        <f>""</f>
        <v/>
      </c>
      <c r="AT29" t="str">
        <f>""</f>
        <v/>
      </c>
      <c r="AU29" t="str">
        <f>""</f>
        <v/>
      </c>
      <c r="AV29" t="str">
        <f>""</f>
        <v/>
      </c>
      <c r="AW29" t="str">
        <f>""</f>
        <v/>
      </c>
      <c r="AX29" t="str">
        <f>""</f>
        <v/>
      </c>
      <c r="AY29" t="str">
        <f>""</f>
        <v/>
      </c>
      <c r="AZ29" t="str">
        <f>""</f>
        <v/>
      </c>
      <c r="BA29" t="str">
        <f>""</f>
        <v/>
      </c>
      <c r="BB29" t="str">
        <f>""</f>
        <v/>
      </c>
      <c r="BC29" t="str">
        <f>""</f>
        <v/>
      </c>
      <c r="BD29" t="str">
        <f>""</f>
        <v/>
      </c>
      <c r="BE29" t="str">
        <f>""</f>
        <v/>
      </c>
      <c r="BF29" t="str">
        <f>""</f>
        <v/>
      </c>
      <c r="BG29" t="str">
        <f>""</f>
        <v/>
      </c>
      <c r="BH29" t="str">
        <f>""</f>
        <v/>
      </c>
      <c r="BI29" t="str">
        <f>""</f>
        <v/>
      </c>
      <c r="BJ29" t="str">
        <f>""</f>
        <v/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</row>
    <row r="30" spans="1:85" x14ac:dyDescent="0.25">
      <c r="A30" t="str">
        <f>"    Main Refinancing Operations"</f>
        <v xml:space="preserve">    Main Refinancing Operations</v>
      </c>
      <c r="B30" t="str">
        <f>""</f>
        <v/>
      </c>
      <c r="C30" t="str">
        <f>""</f>
        <v/>
      </c>
      <c r="D30" t="str">
        <f>""</f>
        <v/>
      </c>
      <c r="E30" t="str">
        <f>"Static"</f>
        <v>Static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""</f>
        <v/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 t="str">
        <f>""</f>
        <v/>
      </c>
      <c r="V30" t="str">
        <f>""</f>
        <v/>
      </c>
      <c r="W30" t="str">
        <f>""</f>
        <v/>
      </c>
      <c r="X30" t="str">
        <f>""</f>
        <v/>
      </c>
      <c r="Y30" t="str">
        <f>""</f>
        <v/>
      </c>
      <c r="Z30" t="str">
        <f>""</f>
        <v/>
      </c>
      <c r="AA30" t="str">
        <f>""</f>
        <v/>
      </c>
      <c r="AB30" t="str">
        <f>""</f>
        <v/>
      </c>
      <c r="AC30" t="str">
        <f>""</f>
        <v/>
      </c>
      <c r="AD30" t="str">
        <f>""</f>
        <v/>
      </c>
      <c r="AE30" t="str">
        <f>""</f>
        <v/>
      </c>
      <c r="AF30" t="str">
        <f>""</f>
        <v/>
      </c>
      <c r="AG30" t="str">
        <f>""</f>
        <v/>
      </c>
      <c r="AH30" t="str">
        <f>""</f>
        <v/>
      </c>
      <c r="AI30" t="str">
        <f>""</f>
        <v/>
      </c>
      <c r="AJ30" t="str">
        <f>""</f>
        <v/>
      </c>
      <c r="AK30" t="str">
        <f>""</f>
        <v/>
      </c>
      <c r="AL30" t="str">
        <f>""</f>
        <v/>
      </c>
      <c r="AM30" t="str">
        <f>""</f>
        <v/>
      </c>
      <c r="AN30" t="str">
        <f>""</f>
        <v/>
      </c>
      <c r="AO30" t="str">
        <f>""</f>
        <v/>
      </c>
      <c r="AP30" t="str">
        <f>""</f>
        <v/>
      </c>
      <c r="AQ30" t="str">
        <f>""</f>
        <v/>
      </c>
      <c r="AR30" t="str">
        <f>""</f>
        <v/>
      </c>
      <c r="AS30" t="str">
        <f>""</f>
        <v/>
      </c>
      <c r="AT30" t="str">
        <f>""</f>
        <v/>
      </c>
      <c r="AU30" t="str">
        <f>""</f>
        <v/>
      </c>
      <c r="AV30" t="str">
        <f>""</f>
        <v/>
      </c>
      <c r="AW30" t="str">
        <f>""</f>
        <v/>
      </c>
      <c r="AX30" t="str">
        <f>""</f>
        <v/>
      </c>
      <c r="AY30" t="str">
        <f>""</f>
        <v/>
      </c>
      <c r="AZ30" t="str">
        <f>""</f>
        <v/>
      </c>
      <c r="BA30" t="str">
        <f>""</f>
        <v/>
      </c>
      <c r="BB30" t="str">
        <f>""</f>
        <v/>
      </c>
      <c r="BC30" t="str">
        <f>""</f>
        <v/>
      </c>
      <c r="BD30" t="str">
        <f>""</f>
        <v/>
      </c>
      <c r="BE30" t="str">
        <f>""</f>
        <v/>
      </c>
      <c r="BF30" t="str">
        <f>""</f>
        <v/>
      </c>
      <c r="BG30" t="str">
        <f>""</f>
        <v/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</row>
    <row r="31" spans="1:85" x14ac:dyDescent="0.25">
      <c r="A31" t="str">
        <f>"        Net Added/Drained"</f>
        <v xml:space="preserve">        Net Added/Drained</v>
      </c>
      <c r="B31" t="str">
        <f>"ECBANET Index"</f>
        <v>ECBANET Index</v>
      </c>
      <c r="C31" t="str">
        <f>"PR005"</f>
        <v>PR005</v>
      </c>
      <c r="D31" t="str">
        <f>"PX_LAST"</f>
        <v>PX_LAST</v>
      </c>
      <c r="E31" t="str">
        <f>"Dynamic"</f>
        <v>Dynamic</v>
      </c>
      <c r="F31" t="e">
        <f ca="1">IF(OR(ISBLANK($F$123), $F$123 = ""), "",$F$123)</f>
        <v>#N/A</v>
      </c>
      <c r="G31">
        <f>IF(OR(ISBLANK($G$123), $G$123 = ""), -38.90000153,$G$123)</f>
        <v>-20.6</v>
      </c>
      <c r="H31">
        <f>IF(OR(ISBLANK($H$123), $H$123 = ""), -12.60000038,$H$123)</f>
        <v>24.1</v>
      </c>
      <c r="I31">
        <f>IF(OR(ISBLANK($I$123), $I$123 = ""), -24.70000076,$I$123)</f>
        <v>-0.6</v>
      </c>
      <c r="J31">
        <f>IF(OR(ISBLANK($J$123), $J$123 = ""), 42,$J$123)</f>
        <v>0.3</v>
      </c>
      <c r="K31">
        <f>IF(OR(ISBLANK($K$123), $K$123 = ""), -5.300000191,$K$123)</f>
        <v>-25.4</v>
      </c>
      <c r="L31">
        <f>IF(OR(ISBLANK($L$123), $L$123 = ""), 8.199999809,$L$123)</f>
        <v>35.4</v>
      </c>
      <c r="M31">
        <f>IF(OR(ISBLANK($M$123), $M$123 = ""), -43.5,$M$123)</f>
        <v>-2</v>
      </c>
      <c r="N31">
        <f>IF(OR(ISBLANK($N$123), $N$123 = ""), 50.79999924,$N$123)</f>
        <v>5.8</v>
      </c>
      <c r="O31">
        <f>IF(OR(ISBLANK($O$123), $O$123 = ""), 9.699999809,$O$123)</f>
        <v>-3</v>
      </c>
      <c r="P31">
        <f>IF(OR(ISBLANK($P$123), $P$123 = ""), 7.5,$P$123)</f>
        <v>-17.899999999999999</v>
      </c>
      <c r="Q31">
        <f>IF(OR(ISBLANK($Q$123), $Q$123 = ""), -6,$Q$123)</f>
        <v>17.2</v>
      </c>
      <c r="R31">
        <f>IF(OR(ISBLANK($R$123), $R$123 = ""), -10.69999981,$R$123)</f>
        <v>-38.9</v>
      </c>
      <c r="S31">
        <f>IF(OR(ISBLANK($S$123), $S$123 = ""), 24.39999962,$S$123)</f>
        <v>-12.6</v>
      </c>
      <c r="T31">
        <f>IF(OR(ISBLANK($T$123), $T$123 = ""), 4.300000191,$T$123)</f>
        <v>-24.7</v>
      </c>
      <c r="U31">
        <f>IF(OR(ISBLANK($U$123), $U$123 = ""), 5.5,$U$123)</f>
        <v>42</v>
      </c>
      <c r="V31">
        <f>IF(OR(ISBLANK($V$123), $V$123 = ""), -7,$V$123)</f>
        <v>-5.3</v>
      </c>
      <c r="W31">
        <f>IF(OR(ISBLANK($W$123), $W$123 = ""), 1.200000048,$W$123)</f>
        <v>8.1999999999999993</v>
      </c>
      <c r="X31">
        <f>IF(OR(ISBLANK($X$123), $X$123 = ""), -0.400000006,$X$123)</f>
        <v>-43.5</v>
      </c>
      <c r="Y31">
        <f>IF(OR(ISBLANK($Y$123), $Y$123 = ""), -1.899999976,$Y$123)</f>
        <v>50.8</v>
      </c>
      <c r="Z31">
        <f>IF(OR(ISBLANK($Z$123), $Z$123 = ""), -20.5,$Z$123)</f>
        <v>9.6999999999999993</v>
      </c>
      <c r="AA31">
        <f>IF(OR(ISBLANK($AA$123), $AA$123 = ""), -0.600000024,$AA$123)</f>
        <v>7.5</v>
      </c>
      <c r="AB31">
        <f>IF(OR(ISBLANK($AB$123), $AB$123 = ""), 21.5,$AB$123)</f>
        <v>-6</v>
      </c>
      <c r="AC31">
        <f>IF(OR(ISBLANK($AC$123), $AC$123 = ""), -17.70000076,$AC$123)</f>
        <v>-10.7</v>
      </c>
      <c r="AD31">
        <f>IF(OR(ISBLANK($AD$123), $AD$123 = ""), -56.20000076,$AD$123)</f>
        <v>24.4</v>
      </c>
      <c r="AE31">
        <f>IF(OR(ISBLANK($AE$123), $AE$123 = ""), 35.09999847,$AE$123)</f>
        <v>4.3</v>
      </c>
      <c r="AF31">
        <f>IF(OR(ISBLANK($AF$123), $AF$123 = ""), 14.69999981,$AF$123)</f>
        <v>5.5</v>
      </c>
      <c r="AG31">
        <f>IF(OR(ISBLANK($AG$123), $AG$123 = ""), 20.39999962,$AG$123)</f>
        <v>-7</v>
      </c>
      <c r="AH31">
        <f>IF(OR(ISBLANK($AH$123), $AH$123 = ""), 3.900000095,$AH$123)</f>
        <v>1.2</v>
      </c>
      <c r="AI31">
        <f>IF(OR(ISBLANK($AI$123), $AI$123 = ""), -2.599999905,$AI$123)</f>
        <v>-0.4</v>
      </c>
      <c r="AJ31">
        <f>IF(OR(ISBLANK($AJ$123), $AJ$123 = ""), 10.30000019,$AJ$123)</f>
        <v>-1.9</v>
      </c>
      <c r="AK31">
        <f>IF(OR(ISBLANK($AK$123), $AK$123 = ""), -0.899999976,$AK$123)</f>
        <v>-20.5</v>
      </c>
      <c r="AL31">
        <f>IF(OR(ISBLANK($AL$123), $AL$123 = ""), -1.799999952,$AL$123)</f>
        <v>-0.6</v>
      </c>
      <c r="AM31">
        <f>IF(OR(ISBLANK($AM$123), $AM$123 = ""), 0.200000003,$AM$123)</f>
        <v>21.5</v>
      </c>
      <c r="AN31">
        <f>IF(OR(ISBLANK($AN$123), $AN$123 = ""), -1.299999952,$AN$123)</f>
        <v>-17.7</v>
      </c>
      <c r="AO31">
        <f>IF(OR(ISBLANK($AO$123), $AO$123 = ""), -0.600000024,$AO$123)</f>
        <v>-56.2</v>
      </c>
      <c r="AP31">
        <f>IF(OR(ISBLANK($AP$123), $AP$123 = ""), -2.099999905,$AP$123)</f>
        <v>35.1</v>
      </c>
      <c r="AQ31">
        <f>IF(OR(ISBLANK($AQ$123), $AQ$123 = ""), -1.100000024,$AQ$123)</f>
        <v>14.7</v>
      </c>
      <c r="AR31">
        <f>IF(OR(ISBLANK($AR$123), $AR$123 = ""), -2.599999905,$AR$123)</f>
        <v>20.399999999999999</v>
      </c>
      <c r="AS31">
        <f>IF(OR(ISBLANK($AS$123), $AS$123 = ""), 0.800000012,$AS$123)</f>
        <v>3.9</v>
      </c>
      <c r="AT31">
        <f>IF(OR(ISBLANK($AT$123), $AT$123 = ""), -0.899999976,$AT$123)</f>
        <v>-2.6</v>
      </c>
      <c r="AU31">
        <f>IF(OR(ISBLANK($AU$123), $AU$123 = ""), 1.5,$AU$123)</f>
        <v>10.3</v>
      </c>
      <c r="AV31">
        <f>IF(OR(ISBLANK($AV$123), $AV$123 = ""), -1.5,$AV$123)</f>
        <v>-0.9</v>
      </c>
      <c r="AW31">
        <f>IF(OR(ISBLANK($AW$123), $AW$123 = ""), -0.600000024,$AW$123)</f>
        <v>-1.8</v>
      </c>
      <c r="AX31">
        <f>IF(OR(ISBLANK($AX$123), $AX$123 = ""), 0.200000003,$AX$123)</f>
        <v>0.2</v>
      </c>
      <c r="AY31">
        <f>IF(OR(ISBLANK($AY$123), $AY$123 = ""), -1.899999976,$AY$123)</f>
        <v>-1.3</v>
      </c>
      <c r="AZ31">
        <f>IF(OR(ISBLANK($AZ$123), $AZ$123 = ""), -9.800000191,$AZ$123)</f>
        <v>-0.6</v>
      </c>
      <c r="BA31">
        <f>IF(OR(ISBLANK($BA$123), $BA$123 = ""), 6.900000095,$BA$123)</f>
        <v>-2.1</v>
      </c>
      <c r="BB31">
        <f>IF(OR(ISBLANK($BB$123), $BB$123 = ""), -2.099999905,$BB$123)</f>
        <v>-1.1000000000000001</v>
      </c>
      <c r="BC31">
        <f>IF(OR(ISBLANK($BC$123), $BC$123 = ""), 2.400000095,$BC$123)</f>
        <v>-2.6</v>
      </c>
      <c r="BD31">
        <f>IF(OR(ISBLANK($BD$123), $BD$123 = ""), -5.599999905,$BD$123)</f>
        <v>0.8</v>
      </c>
      <c r="BE31">
        <f>IF(OR(ISBLANK($BE$123), $BE$123 = ""), -9.600000381,$BE$123)</f>
        <v>-0.9</v>
      </c>
      <c r="BF31">
        <f>IF(OR(ISBLANK($BF$123), $BF$123 = ""), 15.30000019,$BF$123)</f>
        <v>1.5</v>
      </c>
      <c r="BG31">
        <f>IF(OR(ISBLANK($BG$123), $BG$123 = ""), -6.300000191,$BG$123)</f>
        <v>-1.5</v>
      </c>
      <c r="BH31">
        <f>IF(OR(ISBLANK($BH$123), $BH$123 = ""), 5.300000191,$BH$123)</f>
        <v>-0.6</v>
      </c>
      <c r="BI31">
        <f>IF(OR(ISBLANK($BI$123), $BI$123 = ""), -0.200000003,$BI$123)</f>
        <v>0.2</v>
      </c>
      <c r="BJ31">
        <f>IF(OR(ISBLANK($BJ$123), $BJ$123 = ""), -0.200000003,$BJ$123)</f>
        <v>-1.9</v>
      </c>
      <c r="BK31">
        <f>IF(OR(ISBLANK($BK$123), $BK$123 = ""), -0.400000006,$BK$123)</f>
        <v>-9.8000000000000007</v>
      </c>
      <c r="BL31">
        <f>IF(OR(ISBLANK($BL$123), $BL$123 = ""), -6.400000095,$BL$123)</f>
        <v>6.9</v>
      </c>
      <c r="BM31">
        <f>IF(OR(ISBLANK($BM$123), $BM$123 = ""), 5.300000191,$BM$123)</f>
        <v>-2.1</v>
      </c>
      <c r="BN31">
        <f>IF(OR(ISBLANK($BN$123), $BN$123 = ""), -5.400000095,$BN$123)</f>
        <v>2.4</v>
      </c>
      <c r="BO31">
        <f>IF(OR(ISBLANK($BO$123), $BO$123 = ""), -6,$BO$123)</f>
        <v>-5.6</v>
      </c>
      <c r="BP31">
        <f>IF(OR(ISBLANK($BP$123), $BP$123 = ""), -3,$BP$123)</f>
        <v>-9.6</v>
      </c>
      <c r="BQ31">
        <f>IF(OR(ISBLANK($BQ$123), $BQ$123 = ""), -5.5,$BQ$123)</f>
        <v>15.3</v>
      </c>
      <c r="BR31">
        <f>IF(OR(ISBLANK($BR$123), $BR$123 = ""), 1.600000024,$BR$123)</f>
        <v>-6.3</v>
      </c>
      <c r="BS31">
        <f>IF(OR(ISBLANK($BS$123), $BS$123 = ""), 3.900000095,$BS$123)</f>
        <v>5.3</v>
      </c>
      <c r="BT31">
        <f>IF(OR(ISBLANK($BT$123), $BT$123 = ""), -7.900000095,$BT$123)</f>
        <v>-0.2</v>
      </c>
      <c r="BU31">
        <f>IF(OR(ISBLANK($BU$123), $BU$123 = ""), -2.5,$BU$123)</f>
        <v>-0.2</v>
      </c>
      <c r="BV31">
        <f>IF(OR(ISBLANK($BV$123), $BV$123 = ""), -1.299999952,$BV$123)</f>
        <v>-0.4</v>
      </c>
      <c r="BW31">
        <f>IF(OR(ISBLANK($BW$123), $BW$123 = ""), -1.100000024,$BW$123)</f>
        <v>-6.4</v>
      </c>
      <c r="BX31">
        <f>IF(OR(ISBLANK($BX$123), $BX$123 = ""), 3.5,$BX$123)</f>
        <v>5.3</v>
      </c>
      <c r="BY31">
        <f>IF(OR(ISBLANK($BY$123), $BY$123 = ""), -0.600000024,$BY$123)</f>
        <v>-5.4</v>
      </c>
      <c r="BZ31">
        <f>IF(OR(ISBLANK($BZ$123), $BZ$123 = ""), 5.199999809,$BZ$123)</f>
        <v>-6</v>
      </c>
      <c r="CA31">
        <f>IF(OR(ISBLANK($CA$123), $CA$123 = ""), -1.200000048,$CA$123)</f>
        <v>-3</v>
      </c>
      <c r="CB31">
        <f>IF(OR(ISBLANK($CB$123), $CB$123 = ""), -5.900000095,$CB$123)</f>
        <v>-5.5</v>
      </c>
      <c r="CC31">
        <f>IF(OR(ISBLANK($CC$123), $CC$123 = ""), 53.5,$CC$123)</f>
        <v>1.6</v>
      </c>
      <c r="CD31">
        <f>IF(OR(ISBLANK($CD$123), $CD$123 = ""), -3.400000095,$CD$123)</f>
        <v>3.9</v>
      </c>
      <c r="CE31">
        <f>IF(OR(ISBLANK($CE$123), $CE$123 = ""), -8.600000381,$CE$123)</f>
        <v>-7.9</v>
      </c>
      <c r="CF31">
        <f>IF(OR(ISBLANK($CF$123), $CF$123 = ""), 17,$CF$123)</f>
        <v>-2.5</v>
      </c>
      <c r="CG31">
        <f>IF(OR(ISBLANK($CG$123), $CG$123 = ""), -0.5,$CG$123)</f>
        <v>-1.3</v>
      </c>
    </row>
    <row r="32" spans="1:85" x14ac:dyDescent="0.25">
      <c r="A32" t="str">
        <f>"        Bid Cover Ratio"</f>
        <v xml:space="preserve">        Bid Cover Ratio</v>
      </c>
      <c r="B32" t="str">
        <f>""</f>
        <v/>
      </c>
      <c r="C32" t="str">
        <f>""</f>
        <v/>
      </c>
      <c r="D32" t="str">
        <f>""</f>
        <v/>
      </c>
      <c r="E32" t="str">
        <f>"Expression"</f>
        <v>Expression</v>
      </c>
      <c r="F32" t="str">
        <f ca="1">IF(OR(ISBLANK(IF(ISERROR(IF(OR(ISBLANK($F$33), ISBLANK($F$34)), "", $F$33/$F$34)), "", (IF(OR(ISBLANK($F$33), ISBLANK($F$34)), "", $F$33/$F$34)))), IF(ISERROR(IF(OR(ISBLANK($F$33), ISBLANK($F$34)), "", $F$33/$F$34)), "", (IF(OR(ISBLANK($F$33), ISBLANK($F$34)), "", $F$33/$F$34))) = ""), "",IF(ISERROR(IF(OR(ISBLANK($F$33), ISBLANK($F$34)), "", $F$33/$F$34)), "", (IF(OR(ISBLANK($F$33), ISBLANK($F$34)), "", $F$33/$F$34))))</f>
        <v/>
      </c>
      <c r="G32">
        <f>IF(OR(ISBLANK(IF(ISERROR(IF(OR(ISBLANK($G$33), ISBLANK($G$34)), "", $G$33/$G$34)), "", (IF(OR(ISBLANK($G$33), ISBLANK($G$34)), "", $G$33/$G$34)))), IF(ISERROR(IF(OR(ISBLANK($G$33), ISBLANK($G$34)), "", $G$33/$G$34)), "", (IF(OR(ISBLANK($G$33), ISBLANK($G$34)), "", $G$33/$G$34))) = ""), 1,IF(ISERROR(IF(OR(ISBLANK($G$33), ISBLANK($G$34)), "", $G$33/$G$34)), "", (IF(OR(ISBLANK($G$33), ISBLANK($G$34)), "", $G$33/$G$34))))</f>
        <v>1</v>
      </c>
      <c r="H32">
        <f>IF(OR(ISBLANK(IF(ISERROR(IF(OR(ISBLANK($H$33), ISBLANK($H$34)), "", $H$33/$H$34)), "", (IF(OR(ISBLANK($H$33), ISBLANK($H$34)), "", $H$33/$H$34)))), IF(ISERROR(IF(OR(ISBLANK($H$33), ISBLANK($H$34)), "", $H$33/$H$34)), "", (IF(OR(ISBLANK($H$33), ISBLANK($H$34)), "", $H$33/$H$34))) = ""), 1,IF(ISERROR(IF(OR(ISBLANK($H$33), ISBLANK($H$34)), "", $H$33/$H$34)), "", (IF(OR(ISBLANK($H$33), ISBLANK($H$34)), "", $H$33/$H$34))))</f>
        <v>1</v>
      </c>
      <c r="I32">
        <f>IF(OR(ISBLANK(IF(ISERROR(IF(OR(ISBLANK($I$33), ISBLANK($I$34)), "", $I$33/$I$34)), "", (IF(OR(ISBLANK($I$33), ISBLANK($I$34)), "", $I$33/$I$34)))), IF(ISERROR(IF(OR(ISBLANK($I$33), ISBLANK($I$34)), "", $I$33/$I$34)), "", (IF(OR(ISBLANK($I$33), ISBLANK($I$34)), "", $I$33/$I$34))) = ""), 1,IF(ISERROR(IF(OR(ISBLANK($I$33), ISBLANK($I$34)), "", $I$33/$I$34)), "", (IF(OR(ISBLANK($I$33), ISBLANK($I$34)), "", $I$33/$I$34))))</f>
        <v>1</v>
      </c>
      <c r="J32">
        <f>IF(OR(ISBLANK(IF(ISERROR(IF(OR(ISBLANK($J$33), ISBLANK($J$34)), "", $J$33/$J$34)), "", (IF(OR(ISBLANK($J$33), ISBLANK($J$34)), "", $J$33/$J$34)))), IF(ISERROR(IF(OR(ISBLANK($J$33), ISBLANK($J$34)), "", $J$33/$J$34)), "", (IF(OR(ISBLANK($J$33), ISBLANK($J$34)), "", $J$33/$J$34))) = ""), 1,IF(ISERROR(IF(OR(ISBLANK($J$33), ISBLANK($J$34)), "", $J$33/$J$34)), "", (IF(OR(ISBLANK($J$33), ISBLANK($J$34)), "", $J$33/$J$34))))</f>
        <v>1</v>
      </c>
      <c r="K32">
        <f>IF(OR(ISBLANK(IF(ISERROR(IF(OR(ISBLANK($K$33), ISBLANK($K$34)), "", $K$33/$K$34)), "", (IF(OR(ISBLANK($K$33), ISBLANK($K$34)), "", $K$33/$K$34)))), IF(ISERROR(IF(OR(ISBLANK($K$33), ISBLANK($K$34)), "", $K$33/$K$34)), "", (IF(OR(ISBLANK($K$33), ISBLANK($K$34)), "", $K$33/$K$34))) = ""), 1,IF(ISERROR(IF(OR(ISBLANK($K$33), ISBLANK($K$34)), "", $K$33/$K$34)), "", (IF(OR(ISBLANK($K$33), ISBLANK($K$34)), "", $K$33/$K$34))))</f>
        <v>1</v>
      </c>
      <c r="L32">
        <f>IF(OR(ISBLANK(IF(ISERROR(IF(OR(ISBLANK($L$33), ISBLANK($L$34)), "", $L$33/$L$34)), "", (IF(OR(ISBLANK($L$33), ISBLANK($L$34)), "", $L$33/$L$34)))), IF(ISERROR(IF(OR(ISBLANK($L$33), ISBLANK($L$34)), "", $L$33/$L$34)), "", (IF(OR(ISBLANK($L$33), ISBLANK($L$34)), "", $L$33/$L$34))) = ""), 1,IF(ISERROR(IF(OR(ISBLANK($L$33), ISBLANK($L$34)), "", $L$33/$L$34)), "", (IF(OR(ISBLANK($L$33), ISBLANK($L$34)), "", $L$33/$L$34))))</f>
        <v>1</v>
      </c>
      <c r="M32">
        <f>IF(OR(ISBLANK(IF(ISERROR(IF(OR(ISBLANK($M$33), ISBLANK($M$34)), "", $M$33/$M$34)), "", (IF(OR(ISBLANK($M$33), ISBLANK($M$34)), "", $M$33/$M$34)))), IF(ISERROR(IF(OR(ISBLANK($M$33), ISBLANK($M$34)), "", $M$33/$M$34)), "", (IF(OR(ISBLANK($M$33), ISBLANK($M$34)), "", $M$33/$M$34))) = ""), 1,IF(ISERROR(IF(OR(ISBLANK($M$33), ISBLANK($M$34)), "", $M$33/$M$34)), "", (IF(OR(ISBLANK($M$33), ISBLANK($M$34)), "", $M$33/$M$34))))</f>
        <v>1</v>
      </c>
      <c r="N32">
        <f>IF(OR(ISBLANK(IF(ISERROR(IF(OR(ISBLANK($N$33), ISBLANK($N$34)), "", $N$33/$N$34)), "", (IF(OR(ISBLANK($N$33), ISBLANK($N$34)), "", $N$33/$N$34)))), IF(ISERROR(IF(OR(ISBLANK($N$33), ISBLANK($N$34)), "", $N$33/$N$34)), "", (IF(OR(ISBLANK($N$33), ISBLANK($N$34)), "", $N$33/$N$34))) = ""), 1,IF(ISERROR(IF(OR(ISBLANK($N$33), ISBLANK($N$34)), "", $N$33/$N$34)), "", (IF(OR(ISBLANK($N$33), ISBLANK($N$34)), "", $N$33/$N$34))))</f>
        <v>1</v>
      </c>
      <c r="O32">
        <f>IF(OR(ISBLANK(IF(ISERROR(IF(OR(ISBLANK($O$33), ISBLANK($O$34)), "", $O$33/$O$34)), "", (IF(OR(ISBLANK($O$33), ISBLANK($O$34)), "", $O$33/$O$34)))), IF(ISERROR(IF(OR(ISBLANK($O$33), ISBLANK($O$34)), "", $O$33/$O$34)), "", (IF(OR(ISBLANK($O$33), ISBLANK($O$34)), "", $O$33/$O$34))) = ""), 1,IF(ISERROR(IF(OR(ISBLANK($O$33), ISBLANK($O$34)), "", $O$33/$O$34)), "", (IF(OR(ISBLANK($O$33), ISBLANK($O$34)), "", $O$33/$O$34))))</f>
        <v>1</v>
      </c>
      <c r="P32">
        <f>IF(OR(ISBLANK(IF(ISERROR(IF(OR(ISBLANK($P$33), ISBLANK($P$34)), "", $P$33/$P$34)), "", (IF(OR(ISBLANK($P$33), ISBLANK($P$34)), "", $P$33/$P$34)))), IF(ISERROR(IF(OR(ISBLANK($P$33), ISBLANK($P$34)), "", $P$33/$P$34)), "", (IF(OR(ISBLANK($P$33), ISBLANK($P$34)), "", $P$33/$P$34))) = ""), 1,IF(ISERROR(IF(OR(ISBLANK($P$33), ISBLANK($P$34)), "", $P$33/$P$34)), "", (IF(OR(ISBLANK($P$33), ISBLANK($P$34)), "", $P$33/$P$34))))</f>
        <v>1</v>
      </c>
      <c r="Q32">
        <f>IF(OR(ISBLANK(IF(ISERROR(IF(OR(ISBLANK($Q$33), ISBLANK($Q$34)), "", $Q$33/$Q$34)), "", (IF(OR(ISBLANK($Q$33), ISBLANK($Q$34)), "", $Q$33/$Q$34)))), IF(ISERROR(IF(OR(ISBLANK($Q$33), ISBLANK($Q$34)), "", $Q$33/$Q$34)), "", (IF(OR(ISBLANK($Q$33), ISBLANK($Q$34)), "", $Q$33/$Q$34))) = ""), 1,IF(ISERROR(IF(OR(ISBLANK($Q$33), ISBLANK($Q$34)), "", $Q$33/$Q$34)), "", (IF(OR(ISBLANK($Q$33), ISBLANK($Q$34)), "", $Q$33/$Q$34))))</f>
        <v>1</v>
      </c>
      <c r="R32">
        <f>IF(OR(ISBLANK(IF(ISERROR(IF(OR(ISBLANK($R$33), ISBLANK($R$34)), "", $R$33/$R$34)), "", (IF(OR(ISBLANK($R$33), ISBLANK($R$34)), "", $R$33/$R$34)))), IF(ISERROR(IF(OR(ISBLANK($R$33), ISBLANK($R$34)), "", $R$33/$R$34)), "", (IF(OR(ISBLANK($R$33), ISBLANK($R$34)), "", $R$33/$R$34))) = ""), 1,IF(ISERROR(IF(OR(ISBLANK($R$33), ISBLANK($R$34)), "", $R$33/$R$34)), "", (IF(OR(ISBLANK($R$33), ISBLANK($R$34)), "", $R$33/$R$34))))</f>
        <v>1</v>
      </c>
      <c r="S32">
        <f>IF(OR(ISBLANK(IF(ISERROR(IF(OR(ISBLANK($S$33), ISBLANK($S$34)), "", $S$33/$S$34)), "", (IF(OR(ISBLANK($S$33), ISBLANK($S$34)), "", $S$33/$S$34)))), IF(ISERROR(IF(OR(ISBLANK($S$33), ISBLANK($S$34)), "", $S$33/$S$34)), "", (IF(OR(ISBLANK($S$33), ISBLANK($S$34)), "", $S$33/$S$34))) = ""), 1,IF(ISERROR(IF(OR(ISBLANK($S$33), ISBLANK($S$34)), "", $S$33/$S$34)), "", (IF(OR(ISBLANK($S$33), ISBLANK($S$34)), "", $S$33/$S$34))))</f>
        <v>1</v>
      </c>
      <c r="T32">
        <f>IF(OR(ISBLANK(IF(ISERROR(IF(OR(ISBLANK($T$33), ISBLANK($T$34)), "", $T$33/$T$34)), "", (IF(OR(ISBLANK($T$33), ISBLANK($T$34)), "", $T$33/$T$34)))), IF(ISERROR(IF(OR(ISBLANK($T$33), ISBLANK($T$34)), "", $T$33/$T$34)), "", (IF(OR(ISBLANK($T$33), ISBLANK($T$34)), "", $T$33/$T$34))) = ""), 1,IF(ISERROR(IF(OR(ISBLANK($T$33), ISBLANK($T$34)), "", $T$33/$T$34)), "", (IF(OR(ISBLANK($T$33), ISBLANK($T$34)), "", $T$33/$T$34))))</f>
        <v>1</v>
      </c>
      <c r="U32">
        <f>IF(OR(ISBLANK(IF(ISERROR(IF(OR(ISBLANK($U$33), ISBLANK($U$34)), "", $U$33/$U$34)), "", (IF(OR(ISBLANK($U$33), ISBLANK($U$34)), "", $U$33/$U$34)))), IF(ISERROR(IF(OR(ISBLANK($U$33), ISBLANK($U$34)), "", $U$33/$U$34)), "", (IF(OR(ISBLANK($U$33), ISBLANK($U$34)), "", $U$33/$U$34))) = ""), 1,IF(ISERROR(IF(OR(ISBLANK($U$33), ISBLANK($U$34)), "", $U$33/$U$34)), "", (IF(OR(ISBLANK($U$33), ISBLANK($U$34)), "", $U$33/$U$34))))</f>
        <v>1</v>
      </c>
      <c r="V32">
        <f>IF(OR(ISBLANK(IF(ISERROR(IF(OR(ISBLANK($V$33), ISBLANK($V$34)), "", $V$33/$V$34)), "", (IF(OR(ISBLANK($V$33), ISBLANK($V$34)), "", $V$33/$V$34)))), IF(ISERROR(IF(OR(ISBLANK($V$33), ISBLANK($V$34)), "", $V$33/$V$34)), "", (IF(OR(ISBLANK($V$33), ISBLANK($V$34)), "", $V$33/$V$34))) = ""), 1,IF(ISERROR(IF(OR(ISBLANK($V$33), ISBLANK($V$34)), "", $V$33/$V$34)), "", (IF(OR(ISBLANK($V$33), ISBLANK($V$34)), "", $V$33/$V$34))))</f>
        <v>1</v>
      </c>
      <c r="W32">
        <f>IF(OR(ISBLANK(IF(ISERROR(IF(OR(ISBLANK($W$33), ISBLANK($W$34)), "", $W$33/$W$34)), "", (IF(OR(ISBLANK($W$33), ISBLANK($W$34)), "", $W$33/$W$34)))), IF(ISERROR(IF(OR(ISBLANK($W$33), ISBLANK($W$34)), "", $W$33/$W$34)), "", (IF(OR(ISBLANK($W$33), ISBLANK($W$34)), "", $W$33/$W$34))) = ""), 1,IF(ISERROR(IF(OR(ISBLANK($W$33), ISBLANK($W$34)), "", $W$33/$W$34)), "", (IF(OR(ISBLANK($W$33), ISBLANK($W$34)), "", $W$33/$W$34))))</f>
        <v>1</v>
      </c>
      <c r="X32">
        <f>IF(OR(ISBLANK(IF(ISERROR(IF(OR(ISBLANK($X$33), ISBLANK($X$34)), "", $X$33/$X$34)), "", (IF(OR(ISBLANK($X$33), ISBLANK($X$34)), "", $X$33/$X$34)))), IF(ISERROR(IF(OR(ISBLANK($X$33), ISBLANK($X$34)), "", $X$33/$X$34)), "", (IF(OR(ISBLANK($X$33), ISBLANK($X$34)), "", $X$33/$X$34))) = ""), 1,IF(ISERROR(IF(OR(ISBLANK($X$33), ISBLANK($X$34)), "", $X$33/$X$34)), "", (IF(OR(ISBLANK($X$33), ISBLANK($X$34)), "", $X$33/$X$34))))</f>
        <v>1</v>
      </c>
      <c r="Y32">
        <f>IF(OR(ISBLANK(IF(ISERROR(IF(OR(ISBLANK($Y$33), ISBLANK($Y$34)), "", $Y$33/$Y$34)), "", (IF(OR(ISBLANK($Y$33), ISBLANK($Y$34)), "", $Y$33/$Y$34)))), IF(ISERROR(IF(OR(ISBLANK($Y$33), ISBLANK($Y$34)), "", $Y$33/$Y$34)), "", (IF(OR(ISBLANK($Y$33), ISBLANK($Y$34)), "", $Y$33/$Y$34))) = ""), 1,IF(ISERROR(IF(OR(ISBLANK($Y$33), ISBLANK($Y$34)), "", $Y$33/$Y$34)), "", (IF(OR(ISBLANK($Y$33), ISBLANK($Y$34)), "", $Y$33/$Y$34))))</f>
        <v>1</v>
      </c>
      <c r="Z32">
        <f>IF(OR(ISBLANK(IF(ISERROR(IF(OR(ISBLANK($Z$33), ISBLANK($Z$34)), "", $Z$33/$Z$34)), "", (IF(OR(ISBLANK($Z$33), ISBLANK($Z$34)), "", $Z$33/$Z$34)))), IF(ISERROR(IF(OR(ISBLANK($Z$33), ISBLANK($Z$34)), "", $Z$33/$Z$34)), "", (IF(OR(ISBLANK($Z$33), ISBLANK($Z$34)), "", $Z$33/$Z$34))) = ""), 1,IF(ISERROR(IF(OR(ISBLANK($Z$33), ISBLANK($Z$34)), "", $Z$33/$Z$34)), "", (IF(OR(ISBLANK($Z$33), ISBLANK($Z$34)), "", $Z$33/$Z$34))))</f>
        <v>1</v>
      </c>
      <c r="AA32">
        <f>IF(OR(ISBLANK(IF(ISERROR(IF(OR(ISBLANK($AA$33), ISBLANK($AA$34)), "", $AA$33/$AA$34)), "", (IF(OR(ISBLANK($AA$33), ISBLANK($AA$34)), "", $AA$33/$AA$34)))), IF(ISERROR(IF(OR(ISBLANK($AA$33), ISBLANK($AA$34)), "", $AA$33/$AA$34)), "", (IF(OR(ISBLANK($AA$33), ISBLANK($AA$34)), "", $AA$33/$AA$34))) = ""), 1,IF(ISERROR(IF(OR(ISBLANK($AA$33), ISBLANK($AA$34)), "", $AA$33/$AA$34)), "", (IF(OR(ISBLANK($AA$33), ISBLANK($AA$34)), "", $AA$33/$AA$34))))</f>
        <v>1</v>
      </c>
      <c r="AB32">
        <f>IF(OR(ISBLANK(IF(ISERROR(IF(OR(ISBLANK($AB$33), ISBLANK($AB$34)), "", $AB$33/$AB$34)), "", (IF(OR(ISBLANK($AB$33), ISBLANK($AB$34)), "", $AB$33/$AB$34)))), IF(ISERROR(IF(OR(ISBLANK($AB$33), ISBLANK($AB$34)), "", $AB$33/$AB$34)), "", (IF(OR(ISBLANK($AB$33), ISBLANK($AB$34)), "", $AB$33/$AB$34))) = ""), 1,IF(ISERROR(IF(OR(ISBLANK($AB$33), ISBLANK($AB$34)), "", $AB$33/$AB$34)), "", (IF(OR(ISBLANK($AB$33), ISBLANK($AB$34)), "", $AB$33/$AB$34))))</f>
        <v>1</v>
      </c>
      <c r="AC32">
        <f>IF(OR(ISBLANK(IF(ISERROR(IF(OR(ISBLANK($AC$33), ISBLANK($AC$34)), "", $AC$33/$AC$34)), "", (IF(OR(ISBLANK($AC$33), ISBLANK($AC$34)), "", $AC$33/$AC$34)))), IF(ISERROR(IF(OR(ISBLANK($AC$33), ISBLANK($AC$34)), "", $AC$33/$AC$34)), "", (IF(OR(ISBLANK($AC$33), ISBLANK($AC$34)), "", $AC$33/$AC$34))) = ""), 1,IF(ISERROR(IF(OR(ISBLANK($AC$33), ISBLANK($AC$34)), "", $AC$33/$AC$34)), "", (IF(OR(ISBLANK($AC$33), ISBLANK($AC$34)), "", $AC$33/$AC$34))))</f>
        <v>1</v>
      </c>
      <c r="AD32">
        <f>IF(OR(ISBLANK(IF(ISERROR(IF(OR(ISBLANK($AD$33), ISBLANK($AD$34)), "", $AD$33/$AD$34)), "", (IF(OR(ISBLANK($AD$33), ISBLANK($AD$34)), "", $AD$33/$AD$34)))), IF(ISERROR(IF(OR(ISBLANK($AD$33), ISBLANK($AD$34)), "", $AD$33/$AD$34)), "", (IF(OR(ISBLANK($AD$33), ISBLANK($AD$34)), "", $AD$33/$AD$34))) = ""), 1,IF(ISERROR(IF(OR(ISBLANK($AD$33), ISBLANK($AD$34)), "", $AD$33/$AD$34)), "", (IF(OR(ISBLANK($AD$33), ISBLANK($AD$34)), "", $AD$33/$AD$34))))</f>
        <v>1</v>
      </c>
      <c r="AE32">
        <f>IF(OR(ISBLANK(IF(ISERROR(IF(OR(ISBLANK($AE$33), ISBLANK($AE$34)), "", $AE$33/$AE$34)), "", (IF(OR(ISBLANK($AE$33), ISBLANK($AE$34)), "", $AE$33/$AE$34)))), IF(ISERROR(IF(OR(ISBLANK($AE$33), ISBLANK($AE$34)), "", $AE$33/$AE$34)), "", (IF(OR(ISBLANK($AE$33), ISBLANK($AE$34)), "", $AE$33/$AE$34))) = ""), 1,IF(ISERROR(IF(OR(ISBLANK($AE$33), ISBLANK($AE$34)), "", $AE$33/$AE$34)), "", (IF(OR(ISBLANK($AE$33), ISBLANK($AE$34)), "", $AE$33/$AE$34))))</f>
        <v>1</v>
      </c>
      <c r="AF32">
        <f>IF(OR(ISBLANK(IF(ISERROR(IF(OR(ISBLANK($AF$33), ISBLANK($AF$34)), "", $AF$33/$AF$34)), "", (IF(OR(ISBLANK($AF$33), ISBLANK($AF$34)), "", $AF$33/$AF$34)))), IF(ISERROR(IF(OR(ISBLANK($AF$33), ISBLANK($AF$34)), "", $AF$33/$AF$34)), "", (IF(OR(ISBLANK($AF$33), ISBLANK($AF$34)), "", $AF$33/$AF$34))) = ""), 1,IF(ISERROR(IF(OR(ISBLANK($AF$33), ISBLANK($AF$34)), "", $AF$33/$AF$34)), "", (IF(OR(ISBLANK($AF$33), ISBLANK($AF$34)), "", $AF$33/$AF$34))))</f>
        <v>1</v>
      </c>
      <c r="AG32">
        <f>IF(OR(ISBLANK(IF(ISERROR(IF(OR(ISBLANK($AG$33), ISBLANK($AG$34)), "", $AG$33/$AG$34)), "", (IF(OR(ISBLANK($AG$33), ISBLANK($AG$34)), "", $AG$33/$AG$34)))), IF(ISERROR(IF(OR(ISBLANK($AG$33), ISBLANK($AG$34)), "", $AG$33/$AG$34)), "", (IF(OR(ISBLANK($AG$33), ISBLANK($AG$34)), "", $AG$33/$AG$34))) = ""), 1,IF(ISERROR(IF(OR(ISBLANK($AG$33), ISBLANK($AG$34)), "", $AG$33/$AG$34)), "", (IF(OR(ISBLANK($AG$33), ISBLANK($AG$34)), "", $AG$33/$AG$34))))</f>
        <v>1</v>
      </c>
      <c r="AH32">
        <f>IF(OR(ISBLANK(IF(ISERROR(IF(OR(ISBLANK($AH$33), ISBLANK($AH$34)), "", $AH$33/$AH$34)), "", (IF(OR(ISBLANK($AH$33), ISBLANK($AH$34)), "", $AH$33/$AH$34)))), IF(ISERROR(IF(OR(ISBLANK($AH$33), ISBLANK($AH$34)), "", $AH$33/$AH$34)), "", (IF(OR(ISBLANK($AH$33), ISBLANK($AH$34)), "", $AH$33/$AH$34))) = ""), 1,IF(ISERROR(IF(OR(ISBLANK($AH$33), ISBLANK($AH$34)), "", $AH$33/$AH$34)), "", (IF(OR(ISBLANK($AH$33), ISBLANK($AH$34)), "", $AH$33/$AH$34))))</f>
        <v>1</v>
      </c>
      <c r="AI32">
        <f>IF(OR(ISBLANK(IF(ISERROR(IF(OR(ISBLANK($AI$33), ISBLANK($AI$34)), "", $AI$33/$AI$34)), "", (IF(OR(ISBLANK($AI$33), ISBLANK($AI$34)), "", $AI$33/$AI$34)))), IF(ISERROR(IF(OR(ISBLANK($AI$33), ISBLANK($AI$34)), "", $AI$33/$AI$34)), "", (IF(OR(ISBLANK($AI$33), ISBLANK($AI$34)), "", $AI$33/$AI$34))) = ""), 1,IF(ISERROR(IF(OR(ISBLANK($AI$33), ISBLANK($AI$34)), "", $AI$33/$AI$34)), "", (IF(OR(ISBLANK($AI$33), ISBLANK($AI$34)), "", $AI$33/$AI$34))))</f>
        <v>1</v>
      </c>
      <c r="AJ32">
        <f>IF(OR(ISBLANK(IF(ISERROR(IF(OR(ISBLANK($AJ$33), ISBLANK($AJ$34)), "", $AJ$33/$AJ$34)), "", (IF(OR(ISBLANK($AJ$33), ISBLANK($AJ$34)), "", $AJ$33/$AJ$34)))), IF(ISERROR(IF(OR(ISBLANK($AJ$33), ISBLANK($AJ$34)), "", $AJ$33/$AJ$34)), "", (IF(OR(ISBLANK($AJ$33), ISBLANK($AJ$34)), "", $AJ$33/$AJ$34))) = ""), 1,IF(ISERROR(IF(OR(ISBLANK($AJ$33), ISBLANK($AJ$34)), "", $AJ$33/$AJ$34)), "", (IF(OR(ISBLANK($AJ$33), ISBLANK($AJ$34)), "", $AJ$33/$AJ$34))))</f>
        <v>1</v>
      </c>
      <c r="AK32">
        <f>IF(OR(ISBLANK(IF(ISERROR(IF(OR(ISBLANK($AK$33), ISBLANK($AK$34)), "", $AK$33/$AK$34)), "", (IF(OR(ISBLANK($AK$33), ISBLANK($AK$34)), "", $AK$33/$AK$34)))), IF(ISERROR(IF(OR(ISBLANK($AK$33), ISBLANK($AK$34)), "", $AK$33/$AK$34)), "", (IF(OR(ISBLANK($AK$33), ISBLANK($AK$34)), "", $AK$33/$AK$34))) = ""), 1,IF(ISERROR(IF(OR(ISBLANK($AK$33), ISBLANK($AK$34)), "", $AK$33/$AK$34)), "", (IF(OR(ISBLANK($AK$33), ISBLANK($AK$34)), "", $AK$33/$AK$34))))</f>
        <v>1</v>
      </c>
      <c r="AL32">
        <f>IF(OR(ISBLANK(IF(ISERROR(IF(OR(ISBLANK($AL$33), ISBLANK($AL$34)), "", $AL$33/$AL$34)), "", (IF(OR(ISBLANK($AL$33), ISBLANK($AL$34)), "", $AL$33/$AL$34)))), IF(ISERROR(IF(OR(ISBLANK($AL$33), ISBLANK($AL$34)), "", $AL$33/$AL$34)), "", (IF(OR(ISBLANK($AL$33), ISBLANK($AL$34)), "", $AL$33/$AL$34))) = ""), 1,IF(ISERROR(IF(OR(ISBLANK($AL$33), ISBLANK($AL$34)), "", $AL$33/$AL$34)), "", (IF(OR(ISBLANK($AL$33), ISBLANK($AL$34)), "", $AL$33/$AL$34))))</f>
        <v>1</v>
      </c>
      <c r="AM32">
        <f>IF(OR(ISBLANK(IF(ISERROR(IF(OR(ISBLANK($AM$33), ISBLANK($AM$34)), "", $AM$33/$AM$34)), "", (IF(OR(ISBLANK($AM$33), ISBLANK($AM$34)), "", $AM$33/$AM$34)))), IF(ISERROR(IF(OR(ISBLANK($AM$33), ISBLANK($AM$34)), "", $AM$33/$AM$34)), "", (IF(OR(ISBLANK($AM$33), ISBLANK($AM$34)), "", $AM$33/$AM$34))) = ""), 1,IF(ISERROR(IF(OR(ISBLANK($AM$33), ISBLANK($AM$34)), "", $AM$33/$AM$34)), "", (IF(OR(ISBLANK($AM$33), ISBLANK($AM$34)), "", $AM$33/$AM$34))))</f>
        <v>1</v>
      </c>
      <c r="AN32">
        <f>IF(OR(ISBLANK(IF(ISERROR(IF(OR(ISBLANK($AN$33), ISBLANK($AN$34)), "", $AN$33/$AN$34)), "", (IF(OR(ISBLANK($AN$33), ISBLANK($AN$34)), "", $AN$33/$AN$34)))), IF(ISERROR(IF(OR(ISBLANK($AN$33), ISBLANK($AN$34)), "", $AN$33/$AN$34)), "", (IF(OR(ISBLANK($AN$33), ISBLANK($AN$34)), "", $AN$33/$AN$34))) = ""), 1,IF(ISERROR(IF(OR(ISBLANK($AN$33), ISBLANK($AN$34)), "", $AN$33/$AN$34)), "", (IF(OR(ISBLANK($AN$33), ISBLANK($AN$34)), "", $AN$33/$AN$34))))</f>
        <v>1</v>
      </c>
      <c r="AO32">
        <f>IF(OR(ISBLANK(IF(ISERROR(IF(OR(ISBLANK($AO$33), ISBLANK($AO$34)), "", $AO$33/$AO$34)), "", (IF(OR(ISBLANK($AO$33), ISBLANK($AO$34)), "", $AO$33/$AO$34)))), IF(ISERROR(IF(OR(ISBLANK($AO$33), ISBLANK($AO$34)), "", $AO$33/$AO$34)), "", (IF(OR(ISBLANK($AO$33), ISBLANK($AO$34)), "", $AO$33/$AO$34))) = ""), 1,IF(ISERROR(IF(OR(ISBLANK($AO$33), ISBLANK($AO$34)), "", $AO$33/$AO$34)), "", (IF(OR(ISBLANK($AO$33), ISBLANK($AO$34)), "", $AO$33/$AO$34))))</f>
        <v>1</v>
      </c>
      <c r="AP32">
        <f>IF(OR(ISBLANK(IF(ISERROR(IF(OR(ISBLANK($AP$33), ISBLANK($AP$34)), "", $AP$33/$AP$34)), "", (IF(OR(ISBLANK($AP$33), ISBLANK($AP$34)), "", $AP$33/$AP$34)))), IF(ISERROR(IF(OR(ISBLANK($AP$33), ISBLANK($AP$34)), "", $AP$33/$AP$34)), "", (IF(OR(ISBLANK($AP$33), ISBLANK($AP$34)), "", $AP$33/$AP$34))) = ""), 1,IF(ISERROR(IF(OR(ISBLANK($AP$33), ISBLANK($AP$34)), "", $AP$33/$AP$34)), "", (IF(OR(ISBLANK($AP$33), ISBLANK($AP$34)), "", $AP$33/$AP$34))))</f>
        <v>1</v>
      </c>
      <c r="AQ32">
        <f>IF(OR(ISBLANK(IF(ISERROR(IF(OR(ISBLANK($AQ$33), ISBLANK($AQ$34)), "", $AQ$33/$AQ$34)), "", (IF(OR(ISBLANK($AQ$33), ISBLANK($AQ$34)), "", $AQ$33/$AQ$34)))), IF(ISERROR(IF(OR(ISBLANK($AQ$33), ISBLANK($AQ$34)), "", $AQ$33/$AQ$34)), "", (IF(OR(ISBLANK($AQ$33), ISBLANK($AQ$34)), "", $AQ$33/$AQ$34))) = ""), 1,IF(ISERROR(IF(OR(ISBLANK($AQ$33), ISBLANK($AQ$34)), "", $AQ$33/$AQ$34)), "", (IF(OR(ISBLANK($AQ$33), ISBLANK($AQ$34)), "", $AQ$33/$AQ$34))))</f>
        <v>1</v>
      </c>
      <c r="AR32">
        <f>IF(OR(ISBLANK(IF(ISERROR(IF(OR(ISBLANK($AR$33), ISBLANK($AR$34)), "", $AR$33/$AR$34)), "", (IF(OR(ISBLANK($AR$33), ISBLANK($AR$34)), "", $AR$33/$AR$34)))), IF(ISERROR(IF(OR(ISBLANK($AR$33), ISBLANK($AR$34)), "", $AR$33/$AR$34)), "", (IF(OR(ISBLANK($AR$33), ISBLANK($AR$34)), "", $AR$33/$AR$34))) = ""), 1,IF(ISERROR(IF(OR(ISBLANK($AR$33), ISBLANK($AR$34)), "", $AR$33/$AR$34)), "", (IF(OR(ISBLANK($AR$33), ISBLANK($AR$34)), "", $AR$33/$AR$34))))</f>
        <v>1</v>
      </c>
      <c r="AS32">
        <f>IF(OR(ISBLANK(IF(ISERROR(IF(OR(ISBLANK($AS$33), ISBLANK($AS$34)), "", $AS$33/$AS$34)), "", (IF(OR(ISBLANK($AS$33), ISBLANK($AS$34)), "", $AS$33/$AS$34)))), IF(ISERROR(IF(OR(ISBLANK($AS$33), ISBLANK($AS$34)), "", $AS$33/$AS$34)), "", (IF(OR(ISBLANK($AS$33), ISBLANK($AS$34)), "", $AS$33/$AS$34))) = ""), 1,IF(ISERROR(IF(OR(ISBLANK($AS$33), ISBLANK($AS$34)), "", $AS$33/$AS$34)), "", (IF(OR(ISBLANK($AS$33), ISBLANK($AS$34)), "", $AS$33/$AS$34))))</f>
        <v>1</v>
      </c>
      <c r="AT32">
        <f>IF(OR(ISBLANK(IF(ISERROR(IF(OR(ISBLANK($AT$33), ISBLANK($AT$34)), "", $AT$33/$AT$34)), "", (IF(OR(ISBLANK($AT$33), ISBLANK($AT$34)), "", $AT$33/$AT$34)))), IF(ISERROR(IF(OR(ISBLANK($AT$33), ISBLANK($AT$34)), "", $AT$33/$AT$34)), "", (IF(OR(ISBLANK($AT$33), ISBLANK($AT$34)), "", $AT$33/$AT$34))) = ""), 1,IF(ISERROR(IF(OR(ISBLANK($AT$33), ISBLANK($AT$34)), "", $AT$33/$AT$34)), "", (IF(OR(ISBLANK($AT$33), ISBLANK($AT$34)), "", $AT$33/$AT$34))))</f>
        <v>1</v>
      </c>
      <c r="AU32">
        <f>IF(OR(ISBLANK(IF(ISERROR(IF(OR(ISBLANK($AU$33), ISBLANK($AU$34)), "", $AU$33/$AU$34)), "", (IF(OR(ISBLANK($AU$33), ISBLANK($AU$34)), "", $AU$33/$AU$34)))), IF(ISERROR(IF(OR(ISBLANK($AU$33), ISBLANK($AU$34)), "", $AU$33/$AU$34)), "", (IF(OR(ISBLANK($AU$33), ISBLANK($AU$34)), "", $AU$33/$AU$34))) = ""), 1,IF(ISERROR(IF(OR(ISBLANK($AU$33), ISBLANK($AU$34)), "", $AU$33/$AU$34)), "", (IF(OR(ISBLANK($AU$33), ISBLANK($AU$34)), "", $AU$33/$AU$34))))</f>
        <v>1</v>
      </c>
      <c r="AV32">
        <f>IF(OR(ISBLANK(IF(ISERROR(IF(OR(ISBLANK($AV$33), ISBLANK($AV$34)), "", $AV$33/$AV$34)), "", (IF(OR(ISBLANK($AV$33), ISBLANK($AV$34)), "", $AV$33/$AV$34)))), IF(ISERROR(IF(OR(ISBLANK($AV$33), ISBLANK($AV$34)), "", $AV$33/$AV$34)), "", (IF(OR(ISBLANK($AV$33), ISBLANK($AV$34)), "", $AV$33/$AV$34))) = ""), 1,IF(ISERROR(IF(OR(ISBLANK($AV$33), ISBLANK($AV$34)), "", $AV$33/$AV$34)), "", (IF(OR(ISBLANK($AV$33), ISBLANK($AV$34)), "", $AV$33/$AV$34))))</f>
        <v>1</v>
      </c>
      <c r="AW32">
        <f>IF(OR(ISBLANK(IF(ISERROR(IF(OR(ISBLANK($AW$33), ISBLANK($AW$34)), "", $AW$33/$AW$34)), "", (IF(OR(ISBLANK($AW$33), ISBLANK($AW$34)), "", $AW$33/$AW$34)))), IF(ISERROR(IF(OR(ISBLANK($AW$33), ISBLANK($AW$34)), "", $AW$33/$AW$34)), "", (IF(OR(ISBLANK($AW$33), ISBLANK($AW$34)), "", $AW$33/$AW$34))) = ""), 1,IF(ISERROR(IF(OR(ISBLANK($AW$33), ISBLANK($AW$34)), "", $AW$33/$AW$34)), "", (IF(OR(ISBLANK($AW$33), ISBLANK($AW$34)), "", $AW$33/$AW$34))))</f>
        <v>1</v>
      </c>
      <c r="AX32">
        <f>IF(OR(ISBLANK(IF(ISERROR(IF(OR(ISBLANK($AX$33), ISBLANK($AX$34)), "", $AX$33/$AX$34)), "", (IF(OR(ISBLANK($AX$33), ISBLANK($AX$34)), "", $AX$33/$AX$34)))), IF(ISERROR(IF(OR(ISBLANK($AX$33), ISBLANK($AX$34)), "", $AX$33/$AX$34)), "", (IF(OR(ISBLANK($AX$33), ISBLANK($AX$34)), "", $AX$33/$AX$34))) = ""), 1,IF(ISERROR(IF(OR(ISBLANK($AX$33), ISBLANK($AX$34)), "", $AX$33/$AX$34)), "", (IF(OR(ISBLANK($AX$33), ISBLANK($AX$34)), "", $AX$33/$AX$34))))</f>
        <v>1</v>
      </c>
      <c r="AY32">
        <f>IF(OR(ISBLANK(IF(ISERROR(IF(OR(ISBLANK($AY$33), ISBLANK($AY$34)), "", $AY$33/$AY$34)), "", (IF(OR(ISBLANK($AY$33), ISBLANK($AY$34)), "", $AY$33/$AY$34)))), IF(ISERROR(IF(OR(ISBLANK($AY$33), ISBLANK($AY$34)), "", $AY$33/$AY$34)), "", (IF(OR(ISBLANK($AY$33), ISBLANK($AY$34)), "", $AY$33/$AY$34))) = ""), 1,IF(ISERROR(IF(OR(ISBLANK($AY$33), ISBLANK($AY$34)), "", $AY$33/$AY$34)), "", (IF(OR(ISBLANK($AY$33), ISBLANK($AY$34)), "", $AY$33/$AY$34))))</f>
        <v>1</v>
      </c>
      <c r="AZ32">
        <f>IF(OR(ISBLANK(IF(ISERROR(IF(OR(ISBLANK($AZ$33), ISBLANK($AZ$34)), "", $AZ$33/$AZ$34)), "", (IF(OR(ISBLANK($AZ$33), ISBLANK($AZ$34)), "", $AZ$33/$AZ$34)))), IF(ISERROR(IF(OR(ISBLANK($AZ$33), ISBLANK($AZ$34)), "", $AZ$33/$AZ$34)), "", (IF(OR(ISBLANK($AZ$33), ISBLANK($AZ$34)), "", $AZ$33/$AZ$34))) = ""), 1,IF(ISERROR(IF(OR(ISBLANK($AZ$33), ISBLANK($AZ$34)), "", $AZ$33/$AZ$34)), "", (IF(OR(ISBLANK($AZ$33), ISBLANK($AZ$34)), "", $AZ$33/$AZ$34))))</f>
        <v>1</v>
      </c>
      <c r="BA32">
        <f>IF(OR(ISBLANK(IF(ISERROR(IF(OR(ISBLANK($BA$33), ISBLANK($BA$34)), "", $BA$33/$BA$34)), "", (IF(OR(ISBLANK($BA$33), ISBLANK($BA$34)), "", $BA$33/$BA$34)))), IF(ISERROR(IF(OR(ISBLANK($BA$33), ISBLANK($BA$34)), "", $BA$33/$BA$34)), "", (IF(OR(ISBLANK($BA$33), ISBLANK($BA$34)), "", $BA$33/$BA$34))) = ""), 1,IF(ISERROR(IF(OR(ISBLANK($BA$33), ISBLANK($BA$34)), "", $BA$33/$BA$34)), "", (IF(OR(ISBLANK($BA$33), ISBLANK($BA$34)), "", $BA$33/$BA$34))))</f>
        <v>1</v>
      </c>
      <c r="BB32">
        <f>IF(OR(ISBLANK(IF(ISERROR(IF(OR(ISBLANK($BB$33), ISBLANK($BB$34)), "", $BB$33/$BB$34)), "", (IF(OR(ISBLANK($BB$33), ISBLANK($BB$34)), "", $BB$33/$BB$34)))), IF(ISERROR(IF(OR(ISBLANK($BB$33), ISBLANK($BB$34)), "", $BB$33/$BB$34)), "", (IF(OR(ISBLANK($BB$33), ISBLANK($BB$34)), "", $BB$33/$BB$34))) = ""), 1,IF(ISERROR(IF(OR(ISBLANK($BB$33), ISBLANK($BB$34)), "", $BB$33/$BB$34)), "", (IF(OR(ISBLANK($BB$33), ISBLANK($BB$34)), "", $BB$33/$BB$34))))</f>
        <v>1</v>
      </c>
      <c r="BC32">
        <f>IF(OR(ISBLANK(IF(ISERROR(IF(OR(ISBLANK($BC$33), ISBLANK($BC$34)), "", $BC$33/$BC$34)), "", (IF(OR(ISBLANK($BC$33), ISBLANK($BC$34)), "", $BC$33/$BC$34)))), IF(ISERROR(IF(OR(ISBLANK($BC$33), ISBLANK($BC$34)), "", $BC$33/$BC$34)), "", (IF(OR(ISBLANK($BC$33), ISBLANK($BC$34)), "", $BC$33/$BC$34))) = ""), 1,IF(ISERROR(IF(OR(ISBLANK($BC$33), ISBLANK($BC$34)), "", $BC$33/$BC$34)), "", (IF(OR(ISBLANK($BC$33), ISBLANK($BC$34)), "", $BC$33/$BC$34))))</f>
        <v>1</v>
      </c>
      <c r="BD32">
        <f>IF(OR(ISBLANK(IF(ISERROR(IF(OR(ISBLANK($BD$33), ISBLANK($BD$34)), "", $BD$33/$BD$34)), "", (IF(OR(ISBLANK($BD$33), ISBLANK($BD$34)), "", $BD$33/$BD$34)))), IF(ISERROR(IF(OR(ISBLANK($BD$33), ISBLANK($BD$34)), "", $BD$33/$BD$34)), "", (IF(OR(ISBLANK($BD$33), ISBLANK($BD$34)), "", $BD$33/$BD$34))) = ""), 1,IF(ISERROR(IF(OR(ISBLANK($BD$33), ISBLANK($BD$34)), "", $BD$33/$BD$34)), "", (IF(OR(ISBLANK($BD$33), ISBLANK($BD$34)), "", $BD$33/$BD$34))))</f>
        <v>1</v>
      </c>
      <c r="BE32">
        <f>IF(OR(ISBLANK(IF(ISERROR(IF(OR(ISBLANK($BE$33), ISBLANK($BE$34)), "", $BE$33/$BE$34)), "", (IF(OR(ISBLANK($BE$33), ISBLANK($BE$34)), "", $BE$33/$BE$34)))), IF(ISERROR(IF(OR(ISBLANK($BE$33), ISBLANK($BE$34)), "", $BE$33/$BE$34)), "", (IF(OR(ISBLANK($BE$33), ISBLANK($BE$34)), "", $BE$33/$BE$34))) = ""), 1,IF(ISERROR(IF(OR(ISBLANK($BE$33), ISBLANK($BE$34)), "", $BE$33/$BE$34)), "", (IF(OR(ISBLANK($BE$33), ISBLANK($BE$34)), "", $BE$33/$BE$34))))</f>
        <v>1</v>
      </c>
      <c r="BF32">
        <f>IF(OR(ISBLANK(IF(ISERROR(IF(OR(ISBLANK($BF$33), ISBLANK($BF$34)), "", $BF$33/$BF$34)), "", (IF(OR(ISBLANK($BF$33), ISBLANK($BF$34)), "", $BF$33/$BF$34)))), IF(ISERROR(IF(OR(ISBLANK($BF$33), ISBLANK($BF$34)), "", $BF$33/$BF$34)), "", (IF(OR(ISBLANK($BF$33), ISBLANK($BF$34)), "", $BF$33/$BF$34))) = ""), 1,IF(ISERROR(IF(OR(ISBLANK($BF$33), ISBLANK($BF$34)), "", $BF$33/$BF$34)), "", (IF(OR(ISBLANK($BF$33), ISBLANK($BF$34)), "", $BF$33/$BF$34))))</f>
        <v>1</v>
      </c>
      <c r="BG32">
        <f>IF(OR(ISBLANK(IF(ISERROR(IF(OR(ISBLANK($BG$33), ISBLANK($BG$34)), "", $BG$33/$BG$34)), "", (IF(OR(ISBLANK($BG$33), ISBLANK($BG$34)), "", $BG$33/$BG$34)))), IF(ISERROR(IF(OR(ISBLANK($BG$33), ISBLANK($BG$34)), "", $BG$33/$BG$34)), "", (IF(OR(ISBLANK($BG$33), ISBLANK($BG$34)), "", $BG$33/$BG$34))) = ""), 1,IF(ISERROR(IF(OR(ISBLANK($BG$33), ISBLANK($BG$34)), "", $BG$33/$BG$34)), "", (IF(OR(ISBLANK($BG$33), ISBLANK($BG$34)), "", $BG$33/$BG$34))))</f>
        <v>1</v>
      </c>
      <c r="BH32">
        <f>IF(OR(ISBLANK(IF(ISERROR(IF(OR(ISBLANK($BH$33), ISBLANK($BH$34)), "", $BH$33/$BH$34)), "", (IF(OR(ISBLANK($BH$33), ISBLANK($BH$34)), "", $BH$33/$BH$34)))), IF(ISERROR(IF(OR(ISBLANK($BH$33), ISBLANK($BH$34)), "", $BH$33/$BH$34)), "", (IF(OR(ISBLANK($BH$33), ISBLANK($BH$34)), "", $BH$33/$BH$34))) = ""), 1,IF(ISERROR(IF(OR(ISBLANK($BH$33), ISBLANK($BH$34)), "", $BH$33/$BH$34)), "", (IF(OR(ISBLANK($BH$33), ISBLANK($BH$34)), "", $BH$33/$BH$34))))</f>
        <v>1</v>
      </c>
      <c r="BI32">
        <f>IF(OR(ISBLANK(IF(ISERROR(IF(OR(ISBLANK($BI$33), ISBLANK($BI$34)), "", $BI$33/$BI$34)), "", (IF(OR(ISBLANK($BI$33), ISBLANK($BI$34)), "", $BI$33/$BI$34)))), IF(ISERROR(IF(OR(ISBLANK($BI$33), ISBLANK($BI$34)), "", $BI$33/$BI$34)), "", (IF(OR(ISBLANK($BI$33), ISBLANK($BI$34)), "", $BI$33/$BI$34))) = ""), 1,IF(ISERROR(IF(OR(ISBLANK($BI$33), ISBLANK($BI$34)), "", $BI$33/$BI$34)), "", (IF(OR(ISBLANK($BI$33), ISBLANK($BI$34)), "", $BI$33/$BI$34))))</f>
        <v>1</v>
      </c>
      <c r="BJ32">
        <f>IF(OR(ISBLANK(IF(ISERROR(IF(OR(ISBLANK($BJ$33), ISBLANK($BJ$34)), "", $BJ$33/$BJ$34)), "", (IF(OR(ISBLANK($BJ$33), ISBLANK($BJ$34)), "", $BJ$33/$BJ$34)))), IF(ISERROR(IF(OR(ISBLANK($BJ$33), ISBLANK($BJ$34)), "", $BJ$33/$BJ$34)), "", (IF(OR(ISBLANK($BJ$33), ISBLANK($BJ$34)), "", $BJ$33/$BJ$34))) = ""), 1,IF(ISERROR(IF(OR(ISBLANK($BJ$33), ISBLANK($BJ$34)), "", $BJ$33/$BJ$34)), "", (IF(OR(ISBLANK($BJ$33), ISBLANK($BJ$34)), "", $BJ$33/$BJ$34))))</f>
        <v>1</v>
      </c>
      <c r="BK32">
        <f>IF(OR(ISBLANK(IF(ISERROR(IF(OR(ISBLANK($BK$33), ISBLANK($BK$34)), "", $BK$33/$BK$34)), "", (IF(OR(ISBLANK($BK$33), ISBLANK($BK$34)), "", $BK$33/$BK$34)))), IF(ISERROR(IF(OR(ISBLANK($BK$33), ISBLANK($BK$34)), "", $BK$33/$BK$34)), "", (IF(OR(ISBLANK($BK$33), ISBLANK($BK$34)), "", $BK$33/$BK$34))) = ""), 1,IF(ISERROR(IF(OR(ISBLANK($BK$33), ISBLANK($BK$34)), "", $BK$33/$BK$34)), "", (IF(OR(ISBLANK($BK$33), ISBLANK($BK$34)), "", $BK$33/$BK$34))))</f>
        <v>1</v>
      </c>
      <c r="BL32">
        <f>IF(OR(ISBLANK(IF(ISERROR(IF(OR(ISBLANK($BL$33), ISBLANK($BL$34)), "", $BL$33/$BL$34)), "", (IF(OR(ISBLANK($BL$33), ISBLANK($BL$34)), "", $BL$33/$BL$34)))), IF(ISERROR(IF(OR(ISBLANK($BL$33), ISBLANK($BL$34)), "", $BL$33/$BL$34)), "", (IF(OR(ISBLANK($BL$33), ISBLANK($BL$34)), "", $BL$33/$BL$34))) = ""), 1,IF(ISERROR(IF(OR(ISBLANK($BL$33), ISBLANK($BL$34)), "", $BL$33/$BL$34)), "", (IF(OR(ISBLANK($BL$33), ISBLANK($BL$34)), "", $BL$33/$BL$34))))</f>
        <v>1</v>
      </c>
      <c r="BM32">
        <f>IF(OR(ISBLANK(IF(ISERROR(IF(OR(ISBLANK($BM$33), ISBLANK($BM$34)), "", $BM$33/$BM$34)), "", (IF(OR(ISBLANK($BM$33), ISBLANK($BM$34)), "", $BM$33/$BM$34)))), IF(ISERROR(IF(OR(ISBLANK($BM$33), ISBLANK($BM$34)), "", $BM$33/$BM$34)), "", (IF(OR(ISBLANK($BM$33), ISBLANK($BM$34)), "", $BM$33/$BM$34))) = ""), 1,IF(ISERROR(IF(OR(ISBLANK($BM$33), ISBLANK($BM$34)), "", $BM$33/$BM$34)), "", (IF(OR(ISBLANK($BM$33), ISBLANK($BM$34)), "", $BM$33/$BM$34))))</f>
        <v>1</v>
      </c>
      <c r="BN32">
        <f>IF(OR(ISBLANK(IF(ISERROR(IF(OR(ISBLANK($BN$33), ISBLANK($BN$34)), "", $BN$33/$BN$34)), "", (IF(OR(ISBLANK($BN$33), ISBLANK($BN$34)), "", $BN$33/$BN$34)))), IF(ISERROR(IF(OR(ISBLANK($BN$33), ISBLANK($BN$34)), "", $BN$33/$BN$34)), "", (IF(OR(ISBLANK($BN$33), ISBLANK($BN$34)), "", $BN$33/$BN$34))) = ""), 1,IF(ISERROR(IF(OR(ISBLANK($BN$33), ISBLANK($BN$34)), "", $BN$33/$BN$34)), "", (IF(OR(ISBLANK($BN$33), ISBLANK($BN$34)), "", $BN$33/$BN$34))))</f>
        <v>1</v>
      </c>
      <c r="BO32">
        <f>IF(OR(ISBLANK(IF(ISERROR(IF(OR(ISBLANK($BO$33), ISBLANK($BO$34)), "", $BO$33/$BO$34)), "", (IF(OR(ISBLANK($BO$33), ISBLANK($BO$34)), "", $BO$33/$BO$34)))), IF(ISERROR(IF(OR(ISBLANK($BO$33), ISBLANK($BO$34)), "", $BO$33/$BO$34)), "", (IF(OR(ISBLANK($BO$33), ISBLANK($BO$34)), "", $BO$33/$BO$34))) = ""), 1,IF(ISERROR(IF(OR(ISBLANK($BO$33), ISBLANK($BO$34)), "", $BO$33/$BO$34)), "", (IF(OR(ISBLANK($BO$33), ISBLANK($BO$34)), "", $BO$33/$BO$34))))</f>
        <v>1</v>
      </c>
      <c r="BP32">
        <f>IF(OR(ISBLANK(IF(ISERROR(IF(OR(ISBLANK($BP$33), ISBLANK($BP$34)), "", $BP$33/$BP$34)), "", (IF(OR(ISBLANK($BP$33), ISBLANK($BP$34)), "", $BP$33/$BP$34)))), IF(ISERROR(IF(OR(ISBLANK($BP$33), ISBLANK($BP$34)), "", $BP$33/$BP$34)), "", (IF(OR(ISBLANK($BP$33), ISBLANK($BP$34)), "", $BP$33/$BP$34))) = ""), 1,IF(ISERROR(IF(OR(ISBLANK($BP$33), ISBLANK($BP$34)), "", $BP$33/$BP$34)), "", (IF(OR(ISBLANK($BP$33), ISBLANK($BP$34)), "", $BP$33/$BP$34))))</f>
        <v>1</v>
      </c>
      <c r="BQ32">
        <f>IF(OR(ISBLANK(IF(ISERROR(IF(OR(ISBLANK($BQ$33), ISBLANK($BQ$34)), "", $BQ$33/$BQ$34)), "", (IF(OR(ISBLANK($BQ$33), ISBLANK($BQ$34)), "", $BQ$33/$BQ$34)))), IF(ISERROR(IF(OR(ISBLANK($BQ$33), ISBLANK($BQ$34)), "", $BQ$33/$BQ$34)), "", (IF(OR(ISBLANK($BQ$33), ISBLANK($BQ$34)), "", $BQ$33/$BQ$34))) = ""), 1,IF(ISERROR(IF(OR(ISBLANK($BQ$33), ISBLANK($BQ$34)), "", $BQ$33/$BQ$34)), "", (IF(OR(ISBLANK($BQ$33), ISBLANK($BQ$34)), "", $BQ$33/$BQ$34))))</f>
        <v>1</v>
      </c>
      <c r="BR32">
        <f>IF(OR(ISBLANK(IF(ISERROR(IF(OR(ISBLANK($BR$33), ISBLANK($BR$34)), "", $BR$33/$BR$34)), "", (IF(OR(ISBLANK($BR$33), ISBLANK($BR$34)), "", $BR$33/$BR$34)))), IF(ISERROR(IF(OR(ISBLANK($BR$33), ISBLANK($BR$34)), "", $BR$33/$BR$34)), "", (IF(OR(ISBLANK($BR$33), ISBLANK($BR$34)), "", $BR$33/$BR$34))) = ""), 1,IF(ISERROR(IF(OR(ISBLANK($BR$33), ISBLANK($BR$34)), "", $BR$33/$BR$34)), "", (IF(OR(ISBLANK($BR$33), ISBLANK($BR$34)), "", $BR$33/$BR$34))))</f>
        <v>1</v>
      </c>
      <c r="BS32">
        <f>IF(OR(ISBLANK(IF(ISERROR(IF(OR(ISBLANK($BS$33), ISBLANK($BS$34)), "", $BS$33/$BS$34)), "", (IF(OR(ISBLANK($BS$33), ISBLANK($BS$34)), "", $BS$33/$BS$34)))), IF(ISERROR(IF(OR(ISBLANK($BS$33), ISBLANK($BS$34)), "", $BS$33/$BS$34)), "", (IF(OR(ISBLANK($BS$33), ISBLANK($BS$34)), "", $BS$33/$BS$34))) = ""), 1,IF(ISERROR(IF(OR(ISBLANK($BS$33), ISBLANK($BS$34)), "", $BS$33/$BS$34)), "", (IF(OR(ISBLANK($BS$33), ISBLANK($BS$34)), "", $BS$33/$BS$34))))</f>
        <v>1</v>
      </c>
      <c r="BT32">
        <f>IF(OR(ISBLANK(IF(ISERROR(IF(OR(ISBLANK($BT$33), ISBLANK($BT$34)), "", $BT$33/$BT$34)), "", (IF(OR(ISBLANK($BT$33), ISBLANK($BT$34)), "", $BT$33/$BT$34)))), IF(ISERROR(IF(OR(ISBLANK($BT$33), ISBLANK($BT$34)), "", $BT$33/$BT$34)), "", (IF(OR(ISBLANK($BT$33), ISBLANK($BT$34)), "", $BT$33/$BT$34))) = ""), 1,IF(ISERROR(IF(OR(ISBLANK($BT$33), ISBLANK($BT$34)), "", $BT$33/$BT$34)), "", (IF(OR(ISBLANK($BT$33), ISBLANK($BT$34)), "", $BT$33/$BT$34))))</f>
        <v>1</v>
      </c>
      <c r="BU32">
        <f>IF(OR(ISBLANK(IF(ISERROR(IF(OR(ISBLANK($BU$33), ISBLANK($BU$34)), "", $BU$33/$BU$34)), "", (IF(OR(ISBLANK($BU$33), ISBLANK($BU$34)), "", $BU$33/$BU$34)))), IF(ISERROR(IF(OR(ISBLANK($BU$33), ISBLANK($BU$34)), "", $BU$33/$BU$34)), "", (IF(OR(ISBLANK($BU$33), ISBLANK($BU$34)), "", $BU$33/$BU$34))) = ""), 1,IF(ISERROR(IF(OR(ISBLANK($BU$33), ISBLANK($BU$34)), "", $BU$33/$BU$34)), "", (IF(OR(ISBLANK($BU$33), ISBLANK($BU$34)), "", $BU$33/$BU$34))))</f>
        <v>1</v>
      </c>
      <c r="BV32">
        <f>IF(OR(ISBLANK(IF(ISERROR(IF(OR(ISBLANK($BV$33), ISBLANK($BV$34)), "", $BV$33/$BV$34)), "", (IF(OR(ISBLANK($BV$33), ISBLANK($BV$34)), "", $BV$33/$BV$34)))), IF(ISERROR(IF(OR(ISBLANK($BV$33), ISBLANK($BV$34)), "", $BV$33/$BV$34)), "", (IF(OR(ISBLANK($BV$33), ISBLANK($BV$34)), "", $BV$33/$BV$34))) = ""), 1,IF(ISERROR(IF(OR(ISBLANK($BV$33), ISBLANK($BV$34)), "", $BV$33/$BV$34)), "", (IF(OR(ISBLANK($BV$33), ISBLANK($BV$34)), "", $BV$33/$BV$34))))</f>
        <v>1</v>
      </c>
      <c r="BW32">
        <f>IF(OR(ISBLANK(IF(ISERROR(IF(OR(ISBLANK($BW$33), ISBLANK($BW$34)), "", $BW$33/$BW$34)), "", (IF(OR(ISBLANK($BW$33), ISBLANK($BW$34)), "", $BW$33/$BW$34)))), IF(ISERROR(IF(OR(ISBLANK($BW$33), ISBLANK($BW$34)), "", $BW$33/$BW$34)), "", (IF(OR(ISBLANK($BW$33), ISBLANK($BW$34)), "", $BW$33/$BW$34))) = ""), 1,IF(ISERROR(IF(OR(ISBLANK($BW$33), ISBLANK($BW$34)), "", $BW$33/$BW$34)), "", (IF(OR(ISBLANK($BW$33), ISBLANK($BW$34)), "", $BW$33/$BW$34))))</f>
        <v>1</v>
      </c>
      <c r="BX32">
        <f>IF(OR(ISBLANK(IF(ISERROR(IF(OR(ISBLANK($BX$33), ISBLANK($BX$34)), "", $BX$33/$BX$34)), "", (IF(OR(ISBLANK($BX$33), ISBLANK($BX$34)), "", $BX$33/$BX$34)))), IF(ISERROR(IF(OR(ISBLANK($BX$33), ISBLANK($BX$34)), "", $BX$33/$BX$34)), "", (IF(OR(ISBLANK($BX$33), ISBLANK($BX$34)), "", $BX$33/$BX$34))) = ""), 1,IF(ISERROR(IF(OR(ISBLANK($BX$33), ISBLANK($BX$34)), "", $BX$33/$BX$34)), "", (IF(OR(ISBLANK($BX$33), ISBLANK($BX$34)), "", $BX$33/$BX$34))))</f>
        <v>1</v>
      </c>
      <c r="BY32">
        <f>IF(OR(ISBLANK(IF(ISERROR(IF(OR(ISBLANK($BY$33), ISBLANK($BY$34)), "", $BY$33/$BY$34)), "", (IF(OR(ISBLANK($BY$33), ISBLANK($BY$34)), "", $BY$33/$BY$34)))), IF(ISERROR(IF(OR(ISBLANK($BY$33), ISBLANK($BY$34)), "", $BY$33/$BY$34)), "", (IF(OR(ISBLANK($BY$33), ISBLANK($BY$34)), "", $BY$33/$BY$34))) = ""), 1,IF(ISERROR(IF(OR(ISBLANK($BY$33), ISBLANK($BY$34)), "", $BY$33/$BY$34)), "", (IF(OR(ISBLANK($BY$33), ISBLANK($BY$34)), "", $BY$33/$BY$34))))</f>
        <v>1</v>
      </c>
      <c r="BZ32">
        <f>IF(OR(ISBLANK(IF(ISERROR(IF(OR(ISBLANK($BZ$33), ISBLANK($BZ$34)), "", $BZ$33/$BZ$34)), "", (IF(OR(ISBLANK($BZ$33), ISBLANK($BZ$34)), "", $BZ$33/$BZ$34)))), IF(ISERROR(IF(OR(ISBLANK($BZ$33), ISBLANK($BZ$34)), "", $BZ$33/$BZ$34)), "", (IF(OR(ISBLANK($BZ$33), ISBLANK($BZ$34)), "", $BZ$33/$BZ$34))) = ""), 1,IF(ISERROR(IF(OR(ISBLANK($BZ$33), ISBLANK($BZ$34)), "", $BZ$33/$BZ$34)), "", (IF(OR(ISBLANK($BZ$33), ISBLANK($BZ$34)), "", $BZ$33/$BZ$34))))</f>
        <v>1</v>
      </c>
      <c r="CA32">
        <f>IF(OR(ISBLANK(IF(ISERROR(IF(OR(ISBLANK($CA$33), ISBLANK($CA$34)), "", $CA$33/$CA$34)), "", (IF(OR(ISBLANK($CA$33), ISBLANK($CA$34)), "", $CA$33/$CA$34)))), IF(ISERROR(IF(OR(ISBLANK($CA$33), ISBLANK($CA$34)), "", $CA$33/$CA$34)), "", (IF(OR(ISBLANK($CA$33), ISBLANK($CA$34)), "", $CA$33/$CA$34))) = ""), 1,IF(ISERROR(IF(OR(ISBLANK($CA$33), ISBLANK($CA$34)), "", $CA$33/$CA$34)), "", (IF(OR(ISBLANK($CA$33), ISBLANK($CA$34)), "", $CA$33/$CA$34))))</f>
        <v>1</v>
      </c>
      <c r="CB32">
        <f>IF(OR(ISBLANK(IF(ISERROR(IF(OR(ISBLANK($CB$33), ISBLANK($CB$34)), "", $CB$33/$CB$34)), "", (IF(OR(ISBLANK($CB$33), ISBLANK($CB$34)), "", $CB$33/$CB$34)))), IF(ISERROR(IF(OR(ISBLANK($CB$33), ISBLANK($CB$34)), "", $CB$33/$CB$34)), "", (IF(OR(ISBLANK($CB$33), ISBLANK($CB$34)), "", $CB$33/$CB$34))) = ""), 1,IF(ISERROR(IF(OR(ISBLANK($CB$33), ISBLANK($CB$34)), "", $CB$33/$CB$34)), "", (IF(OR(ISBLANK($CB$33), ISBLANK($CB$34)), "", $CB$33/$CB$34))))</f>
        <v>1</v>
      </c>
      <c r="CC32">
        <f>IF(OR(ISBLANK(IF(ISERROR(IF(OR(ISBLANK($CC$33), ISBLANK($CC$34)), "", $CC$33/$CC$34)), "", (IF(OR(ISBLANK($CC$33), ISBLANK($CC$34)), "", $CC$33/$CC$34)))), IF(ISERROR(IF(OR(ISBLANK($CC$33), ISBLANK($CC$34)), "", $CC$33/$CC$34)), "", (IF(OR(ISBLANK($CC$33), ISBLANK($CC$34)), "", $CC$33/$CC$34))) = ""), 1,IF(ISERROR(IF(OR(ISBLANK($CC$33), ISBLANK($CC$34)), "", $CC$33/$CC$34)), "", (IF(OR(ISBLANK($CC$33), ISBLANK($CC$34)), "", $CC$33/$CC$34))))</f>
        <v>1</v>
      </c>
      <c r="CD32">
        <f>IF(OR(ISBLANK(IF(ISERROR(IF(OR(ISBLANK($CD$33), ISBLANK($CD$34)), "", $CD$33/$CD$34)), "", (IF(OR(ISBLANK($CD$33), ISBLANK($CD$34)), "", $CD$33/$CD$34)))), IF(ISERROR(IF(OR(ISBLANK($CD$33), ISBLANK($CD$34)), "", $CD$33/$CD$34)), "", (IF(OR(ISBLANK($CD$33), ISBLANK($CD$34)), "", $CD$33/$CD$34))) = ""), 1,IF(ISERROR(IF(OR(ISBLANK($CD$33), ISBLANK($CD$34)), "", $CD$33/$CD$34)), "", (IF(OR(ISBLANK($CD$33), ISBLANK($CD$34)), "", $CD$33/$CD$34))))</f>
        <v>1</v>
      </c>
      <c r="CE32">
        <f>IF(OR(ISBLANK(IF(ISERROR(IF(OR(ISBLANK($CE$33), ISBLANK($CE$34)), "", $CE$33/$CE$34)), "", (IF(OR(ISBLANK($CE$33), ISBLANK($CE$34)), "", $CE$33/$CE$34)))), IF(ISERROR(IF(OR(ISBLANK($CE$33), ISBLANK($CE$34)), "", $CE$33/$CE$34)), "", (IF(OR(ISBLANK($CE$33), ISBLANK($CE$34)), "", $CE$33/$CE$34))) = ""), 1,IF(ISERROR(IF(OR(ISBLANK($CE$33), ISBLANK($CE$34)), "", $CE$33/$CE$34)), "", (IF(OR(ISBLANK($CE$33), ISBLANK($CE$34)), "", $CE$33/$CE$34))))</f>
        <v>1</v>
      </c>
      <c r="CF32">
        <f>IF(OR(ISBLANK(IF(ISERROR(IF(OR(ISBLANK($CF$33), ISBLANK($CF$34)), "", $CF$33/$CF$34)), "", (IF(OR(ISBLANK($CF$33), ISBLANK($CF$34)), "", $CF$33/$CF$34)))), IF(ISERROR(IF(OR(ISBLANK($CF$33), ISBLANK($CF$34)), "", $CF$33/$CF$34)), "", (IF(OR(ISBLANK($CF$33), ISBLANK($CF$34)), "", $CF$33/$CF$34))) = ""), 1,IF(ISERROR(IF(OR(ISBLANK($CF$33), ISBLANK($CF$34)), "", $CF$33/$CF$34)), "", (IF(OR(ISBLANK($CF$33), ISBLANK($CF$34)), "", $CF$33/$CF$34))))</f>
        <v>1</v>
      </c>
      <c r="CG32">
        <f>IF(OR(ISBLANK(IF(ISERROR(IF(OR(ISBLANK($CG$33), ISBLANK($CG$34)), "", $CG$33/$CG$34)), "", (IF(OR(ISBLANK($CG$33), ISBLANK($CG$34)), "", $CG$33/$CG$34)))), IF(ISERROR(IF(OR(ISBLANK($CG$33), ISBLANK($CG$34)), "", $CG$33/$CG$34)), "", (IF(OR(ISBLANK($CG$33), ISBLANK($CG$34)), "", $CG$33/$CG$34))) = ""), 1,IF(ISERROR(IF(OR(ISBLANK($CG$33), ISBLANK($CG$34)), "", $CG$33/$CG$34)), "", (IF(OR(ISBLANK($CG$33), ISBLANK($CG$34)), "", $CG$33/$CG$34))))</f>
        <v>1</v>
      </c>
    </row>
    <row r="33" spans="1:85" x14ac:dyDescent="0.25">
      <c r="A33" t="str">
        <f>"            Bid Amount"</f>
        <v xml:space="preserve">            Bid Amount</v>
      </c>
      <c r="B33" t="str">
        <f>"ECBATBID Index"</f>
        <v>ECBATBID Index</v>
      </c>
      <c r="C33" t="str">
        <f>"PR005"</f>
        <v>PR005</v>
      </c>
      <c r="D33" t="str">
        <f>"PX_LAST"</f>
        <v>PX_LAST</v>
      </c>
      <c r="E33" t="str">
        <f>"Dynamic"</f>
        <v>Dynamic</v>
      </c>
      <c r="F33" t="e">
        <f ca="1">IF(OR(ISBLANK($F$124), $F$124 = ""), "",$F$124)</f>
        <v>#N/A</v>
      </c>
      <c r="G33">
        <f>IF(OR(ISBLANK($G$124), $G$124 = ""), 97.88729858,$G$124)</f>
        <v>111.2</v>
      </c>
      <c r="H33">
        <f>IF(OR(ISBLANK($H$124), $H$124 = ""), 136.7658997,$H$124)</f>
        <v>131.76</v>
      </c>
      <c r="I33">
        <f>IF(OR(ISBLANK($I$124), $I$124 = ""), 149.3504944,$I$124)</f>
        <v>107.61</v>
      </c>
      <c r="J33">
        <f>IF(OR(ISBLANK($J$124), $J$124 = ""), 174.0019073,$J$124)</f>
        <v>108.2</v>
      </c>
      <c r="K33">
        <f>IF(OR(ISBLANK($K$124), $K$124 = ""), 131.9566956,$K$124)</f>
        <v>107.92</v>
      </c>
      <c r="L33">
        <f>IF(OR(ISBLANK($L$124), $L$124 = ""), 137.3016968,$L$124)</f>
        <v>133.30000000000001</v>
      </c>
      <c r="M33">
        <f>IF(OR(ISBLANK($M$124), $M$124 = ""), 129.1401978,$M$124)</f>
        <v>97.89</v>
      </c>
      <c r="N33">
        <f>IF(OR(ISBLANK($N$124), $N$124 = ""), 172.6210938,$N$124)</f>
        <v>99.91</v>
      </c>
      <c r="O33">
        <f>IF(OR(ISBLANK($O$124), $O$124 = ""), 121.8155975,$O$124)</f>
        <v>94.15</v>
      </c>
      <c r="P33">
        <f>IF(OR(ISBLANK($P$124), $P$124 = ""), 112.1651001,$P$124)</f>
        <v>97.1</v>
      </c>
      <c r="Q33">
        <f>IF(OR(ISBLANK($Q$124), $Q$124 = ""), 104.6188965,$Q$124)</f>
        <v>115.04</v>
      </c>
      <c r="R33">
        <f>IF(OR(ISBLANK($R$124), $R$124 = ""), 110.6434021,$R$124)</f>
        <v>97.89</v>
      </c>
      <c r="S33">
        <f>IF(OR(ISBLANK($S$124), $S$124 = ""), 121.305397,$S$124)</f>
        <v>136.77000000000001</v>
      </c>
      <c r="T33">
        <f>IF(OR(ISBLANK($T$124), $T$124 = ""), 96.90640259,$T$124)</f>
        <v>149.35</v>
      </c>
      <c r="U33">
        <f>IF(OR(ISBLANK($U$124), $U$124 = ""), 92.56520081,$U$124)</f>
        <v>174</v>
      </c>
      <c r="V33">
        <f>IF(OR(ISBLANK($V$124), $V$124 = ""), 87.04699707,$V$124)</f>
        <v>131.96</v>
      </c>
      <c r="W33">
        <f>IF(OR(ISBLANK($W$124), $W$124 = ""), 94.03559875,$W$124)</f>
        <v>137.30000000000001</v>
      </c>
      <c r="X33">
        <f>IF(OR(ISBLANK($X$124), $X$124 = ""), 92.86820221,$X$124)</f>
        <v>129.13999999999999</v>
      </c>
      <c r="Y33">
        <f>IF(OR(ISBLANK($Y$124), $Y$124 = ""), 93.28240204,$Y$124)</f>
        <v>172.62</v>
      </c>
      <c r="Z33">
        <f>IF(OR(ISBLANK($Z$124), $Z$124 = ""), 95.14630127,$Z$124)</f>
        <v>121.82</v>
      </c>
      <c r="AA33">
        <f>IF(OR(ISBLANK($AA$124), $AA$124 = ""), 115.6348038,$AA$124)</f>
        <v>112.17</v>
      </c>
      <c r="AB33">
        <f>IF(OR(ISBLANK($AB$124), $AB$124 = ""), 116.2807007,$AB$124)</f>
        <v>104.62</v>
      </c>
      <c r="AC33">
        <f>IF(OR(ISBLANK($AC$124), $AC$124 = ""), 94.73739624,$AC$124)</f>
        <v>110.64</v>
      </c>
      <c r="AD33">
        <f>IF(OR(ISBLANK($AD$124), $AD$124 = ""), 112.457901,$AD$124)</f>
        <v>121.31</v>
      </c>
      <c r="AE33">
        <f>IF(OR(ISBLANK($AE$124), $AE$124 = ""), 168.6620026,$AE$124)</f>
        <v>96.91</v>
      </c>
      <c r="AF33">
        <f>IF(OR(ISBLANK($AF$124), $AF$124 = ""), 133.5847931,$AF$124)</f>
        <v>92.57</v>
      </c>
      <c r="AG33">
        <f>IF(OR(ISBLANK($AG$124), $AG$124 = ""), 118.9113998,$AG$124)</f>
        <v>87.05</v>
      </c>
      <c r="AH33">
        <f>IF(OR(ISBLANK($AH$124), $AH$124 = ""), 98.49459839,$AH$124)</f>
        <v>94.04</v>
      </c>
      <c r="AI33">
        <f>IF(OR(ISBLANK($AI$124), $AI$124 = ""), 94.62519836,$AI$124)</f>
        <v>92.87</v>
      </c>
      <c r="AJ33">
        <f>IF(OR(ISBLANK($AJ$124), $AJ$124 = ""), 97.20960236,$AJ$124)</f>
        <v>93.28</v>
      </c>
      <c r="AK33">
        <f>IF(OR(ISBLANK($AK$124), $AK$124 = ""), 86.88110352,$AK$124)</f>
        <v>95.15</v>
      </c>
      <c r="AL33">
        <f>IF(OR(ISBLANK($AL$124), $AL$124 = ""), 87.74430084,$AL$124)</f>
        <v>115.63</v>
      </c>
      <c r="AM33">
        <f>IF(OR(ISBLANK($AM$124), $AM$124 = ""), 89.52400208,$AM$124)</f>
        <v>116.28</v>
      </c>
      <c r="AN33">
        <f>IF(OR(ISBLANK($AN$124), $AN$124 = ""), 89.31909943,$AN$124)</f>
        <v>94.74</v>
      </c>
      <c r="AO33">
        <f>IF(OR(ISBLANK($AO$124), $AO$124 = ""), 90.60510254,$AO$124)</f>
        <v>112.46</v>
      </c>
      <c r="AP33">
        <f>IF(OR(ISBLANK($AP$124), $AP$124 = ""), 91.23400116,$AP$124)</f>
        <v>168.66</v>
      </c>
      <c r="AQ33">
        <f>IF(OR(ISBLANK($AQ$124), $AQ$124 = ""), 93.36630249,$AQ$124)</f>
        <v>133.58000000000001</v>
      </c>
      <c r="AR33">
        <f>IF(OR(ISBLANK($AR$124), $AR$124 = ""), 94.46589661,$AR$124)</f>
        <v>118.91</v>
      </c>
      <c r="AS33">
        <f>IF(OR(ISBLANK($AS$124), $AS$124 = ""), 97.02729797,$AS$124)</f>
        <v>98.49</v>
      </c>
      <c r="AT33">
        <f>IF(OR(ISBLANK($AT$124), $AT$124 = ""), 96.24880219,$AT$124)</f>
        <v>94.63</v>
      </c>
      <c r="AU33">
        <f>IF(OR(ISBLANK($AU$124), $AU$124 = ""), 97.17030334,$AU$124)</f>
        <v>97.21</v>
      </c>
      <c r="AV33">
        <f>IF(OR(ISBLANK($AV$124), $AV$124 = ""), 95.62110138,$AV$124)</f>
        <v>86.88</v>
      </c>
      <c r="AW33">
        <f>IF(OR(ISBLANK($AW$124), $AW$124 = ""), 97.1257019,$AW$124)</f>
        <v>87.74</v>
      </c>
      <c r="AX33">
        <f>IF(OR(ISBLANK($AX$124), $AX$124 = ""), 97.72940063,$AX$124)</f>
        <v>89.52</v>
      </c>
      <c r="AY33">
        <f>IF(OR(ISBLANK($AY$124), $AY$124 = ""), 97.56109619,$AY$124)</f>
        <v>89.32</v>
      </c>
      <c r="AZ33">
        <f>IF(OR(ISBLANK($AZ$124), $AZ$124 = ""), 99.41329956,$AZ$124)</f>
        <v>90.61</v>
      </c>
      <c r="BA33">
        <f>IF(OR(ISBLANK($BA$124), $BA$124 = ""), 109.1633987,$BA$124)</f>
        <v>91.23</v>
      </c>
      <c r="BB33">
        <f>IF(OR(ISBLANK($BB$124), $BB$124 = ""), 102.3015976,$BB$124)</f>
        <v>93.37</v>
      </c>
      <c r="BC33">
        <f>IF(OR(ISBLANK($BC$124), $BC$124 = ""), 104.4269028,$BC$124)</f>
        <v>94.47</v>
      </c>
      <c r="BD33">
        <f>IF(OR(ISBLANK($BD$124), $BD$124 = ""), 102.0642014,$BD$124)</f>
        <v>97.03</v>
      </c>
      <c r="BE33">
        <f>IF(OR(ISBLANK($BE$124), $BE$124 = ""), 107.6957016,$BE$124)</f>
        <v>96.25</v>
      </c>
      <c r="BF33">
        <f>IF(OR(ISBLANK($BF$124), $BF$124 = ""), 117.3097992,$BF$124)</f>
        <v>97.17</v>
      </c>
      <c r="BG33">
        <f>IF(OR(ISBLANK($BG$124), $BG$124 = ""), 102.0402985,$BG$124)</f>
        <v>95.62</v>
      </c>
      <c r="BH33">
        <f>IF(OR(ISBLANK($BH$124), $BH$124 = ""), 108.3320999,$BH$124)</f>
        <v>97.13</v>
      </c>
      <c r="BI33">
        <f>IF(OR(ISBLANK($BI$124), $BI$124 = ""), 103.0195007,$BI$124)</f>
        <v>97.73</v>
      </c>
      <c r="BJ33">
        <f>IF(OR(ISBLANK($BJ$124), $BJ$124 = ""), 103.1914978,$BJ$124)</f>
        <v>97.56</v>
      </c>
      <c r="BK33">
        <f>IF(OR(ISBLANK($BK$124), $BK$124 = ""), 103.3992004,$BK$124)</f>
        <v>99.41</v>
      </c>
      <c r="BL33">
        <f>IF(OR(ISBLANK($BL$124), $BL$124 = ""), 103.844101,$BL$124)</f>
        <v>109.16</v>
      </c>
      <c r="BM33">
        <f>IF(OR(ISBLANK($BM$124), $BM$124 = ""), 110.2895966,$BM$124)</f>
        <v>102.3</v>
      </c>
      <c r="BN33">
        <f>IF(OR(ISBLANK($BN$124), $BN$124 = ""), 105.0113983,$BN$124)</f>
        <v>104.43</v>
      </c>
      <c r="BO33">
        <f>IF(OR(ISBLANK($BO$124), $BO$124 = ""), 110.4068985,$BO$124)</f>
        <v>102.06</v>
      </c>
      <c r="BP33">
        <f>IF(OR(ISBLANK($BP$124), $BP$124 = ""), 116.367897,$BP$124)</f>
        <v>107.7</v>
      </c>
      <c r="BQ33">
        <f>IF(OR(ISBLANK($BQ$124), $BQ$124 = ""), 119.3468018,$BQ$124)</f>
        <v>117.31</v>
      </c>
      <c r="BR33">
        <f>IF(OR(ISBLANK($BR$124), $BR$124 = ""), 124.8764038,$BR$124)</f>
        <v>102.04</v>
      </c>
      <c r="BS33">
        <f>IF(OR(ISBLANK($BS$124), $BS$124 = ""), 123.2391968,$BS$124)</f>
        <v>108.33</v>
      </c>
      <c r="BT33">
        <f>IF(OR(ISBLANK($BT$124), $BT$124 = ""), 119.3747025,$BT$124)</f>
        <v>103.02</v>
      </c>
      <c r="BU33">
        <f>IF(OR(ISBLANK($BU$124), $BU$124 = ""), 127.3048019,$BU$124)</f>
        <v>103.19</v>
      </c>
      <c r="BV33">
        <f>IF(OR(ISBLANK($BV$124), $BV$124 = ""), 129.8034973,$BV$124)</f>
        <v>103.4</v>
      </c>
      <c r="BW33">
        <f>IF(OR(ISBLANK($BW$124), $BW$124 = ""), 131.115799,$BW$124)</f>
        <v>103.84</v>
      </c>
      <c r="BX33">
        <f>IF(OR(ISBLANK($BX$124), $BX$124 = ""), 132.1723022,$BX$124)</f>
        <v>110.29</v>
      </c>
      <c r="BY33">
        <f>IF(OR(ISBLANK($BY$124), $BY$124 = ""), 128.6797943,$BY$124)</f>
        <v>105.01</v>
      </c>
      <c r="BZ33">
        <f>IF(OR(ISBLANK($BZ$124), $BZ$124 = ""), 129.3078003,$BZ$124)</f>
        <v>110.41</v>
      </c>
      <c r="CA33">
        <f>IF(OR(ISBLANK($CA$124), $CA$124 = ""), 124.1484985,$CA$124)</f>
        <v>116.37</v>
      </c>
      <c r="CB33">
        <f>IF(OR(ISBLANK($CB$124), $CB$124 = ""), 125.302002,$CB$124)</f>
        <v>119.35</v>
      </c>
      <c r="CC33">
        <f>IF(OR(ISBLANK($CC$124), $CC$124 = ""), 131.2422943,$CC$124)</f>
        <v>124.88</v>
      </c>
      <c r="CD33">
        <f>IF(OR(ISBLANK($CD$124), $CD$124 = ""), 77.72489929,$CD$124)</f>
        <v>123.24</v>
      </c>
      <c r="CE33">
        <f>IF(OR(ISBLANK($CE$124), $CE$124 = ""), 81.09739685,$CE$124)</f>
        <v>119.37</v>
      </c>
      <c r="CF33">
        <f>IF(OR(ISBLANK($CF$124), $CF$124 = ""), 89.66100311,$CF$124)</f>
        <v>127.3</v>
      </c>
      <c r="CG33">
        <f>IF(OR(ISBLANK($CG$124), $CG$124 = ""), 72.68250275,$CG$124)</f>
        <v>129.80000000000001</v>
      </c>
    </row>
    <row r="34" spans="1:85" x14ac:dyDescent="0.25">
      <c r="A34" t="str">
        <f>"            Alloted Amount"</f>
        <v xml:space="preserve">            Alloted Amount</v>
      </c>
      <c r="B34" t="str">
        <f>"ECBATOT Index"</f>
        <v>ECBATOT Index</v>
      </c>
      <c r="C34" t="str">
        <f>"PR005"</f>
        <v>PR005</v>
      </c>
      <c r="D34" t="str">
        <f>"PX_LAST"</f>
        <v>PX_LAST</v>
      </c>
      <c r="E34" t="str">
        <f>"Dynamic"</f>
        <v>Dynamic</v>
      </c>
      <c r="F34" t="e">
        <f ca="1">IF(OR(ISBLANK($F$125), $F$125 = ""), "",$F$125)</f>
        <v>#N/A</v>
      </c>
      <c r="G34">
        <f>IF(OR(ISBLANK($G$125), $G$125 = ""), 97.88729858,$G$125)</f>
        <v>111.2</v>
      </c>
      <c r="H34">
        <f>IF(OR(ISBLANK($H$125), $H$125 = ""), 136.7658997,$H$125)</f>
        <v>131.76</v>
      </c>
      <c r="I34">
        <f>IF(OR(ISBLANK($I$125), $I$125 = ""), 149.3504944,$I$125)</f>
        <v>107.61</v>
      </c>
      <c r="J34">
        <f>IF(OR(ISBLANK($J$125), $J$125 = ""), 174.0019073,$J$125)</f>
        <v>108.2</v>
      </c>
      <c r="K34">
        <f>IF(OR(ISBLANK($K$125), $K$125 = ""), 131.9566956,$K$125)</f>
        <v>107.92</v>
      </c>
      <c r="L34">
        <f>IF(OR(ISBLANK($L$125), $L$125 = ""), 137.3016968,$L$125)</f>
        <v>133.30000000000001</v>
      </c>
      <c r="M34">
        <f>IF(OR(ISBLANK($M$125), $M$125 = ""), 129.1401978,$M$125)</f>
        <v>97.89</v>
      </c>
      <c r="N34">
        <f>IF(OR(ISBLANK($N$125), $N$125 = ""), 172.6210938,$N$125)</f>
        <v>99.91</v>
      </c>
      <c r="O34">
        <f>IF(OR(ISBLANK($O$125), $O$125 = ""), 121.8155975,$O$125)</f>
        <v>94.15</v>
      </c>
      <c r="P34">
        <f>IF(OR(ISBLANK($P$125), $P$125 = ""), 112.1651001,$P$125)</f>
        <v>97.1</v>
      </c>
      <c r="Q34">
        <f>IF(OR(ISBLANK($Q$125), $Q$125 = ""), 104.6188965,$Q$125)</f>
        <v>115.04</v>
      </c>
      <c r="R34">
        <f>IF(OR(ISBLANK($R$125), $R$125 = ""), 110.6434021,$R$125)</f>
        <v>97.89</v>
      </c>
      <c r="S34">
        <f>IF(OR(ISBLANK($S$125), $S$125 = ""), 121.305397,$S$125)</f>
        <v>136.77000000000001</v>
      </c>
      <c r="T34">
        <f>IF(OR(ISBLANK($T$125), $T$125 = ""), 96.90640259,$T$125)</f>
        <v>149.35</v>
      </c>
      <c r="U34">
        <f>IF(OR(ISBLANK($U$125), $U$125 = ""), 92.56520081,$U$125)</f>
        <v>174</v>
      </c>
      <c r="V34">
        <f>IF(OR(ISBLANK($V$125), $V$125 = ""), 87.04699707,$V$125)</f>
        <v>131.96</v>
      </c>
      <c r="W34">
        <f>IF(OR(ISBLANK($W$125), $W$125 = ""), 94.03559875,$W$125)</f>
        <v>137.30000000000001</v>
      </c>
      <c r="X34">
        <f>IF(OR(ISBLANK($X$125), $X$125 = ""), 92.86820221,$X$125)</f>
        <v>129.13999999999999</v>
      </c>
      <c r="Y34">
        <f>IF(OR(ISBLANK($Y$125), $Y$125 = ""), 93.28240204,$Y$125)</f>
        <v>172.62</v>
      </c>
      <c r="Z34">
        <f>IF(OR(ISBLANK($Z$125), $Z$125 = ""), 95.14630127,$Z$125)</f>
        <v>121.82</v>
      </c>
      <c r="AA34">
        <f>IF(OR(ISBLANK($AA$125), $AA$125 = ""), 115.6348038,$AA$125)</f>
        <v>112.17</v>
      </c>
      <c r="AB34">
        <f>IF(OR(ISBLANK($AB$125), $AB$125 = ""), 116.2807007,$AB$125)</f>
        <v>104.62</v>
      </c>
      <c r="AC34">
        <f>IF(OR(ISBLANK($AC$125), $AC$125 = ""), 94.73739624,$AC$125)</f>
        <v>110.64</v>
      </c>
      <c r="AD34">
        <f>IF(OR(ISBLANK($AD$125), $AD$125 = ""), 112.457901,$AD$125)</f>
        <v>121.31</v>
      </c>
      <c r="AE34">
        <f>IF(OR(ISBLANK($AE$125), $AE$125 = ""), 168.6620026,$AE$125)</f>
        <v>96.91</v>
      </c>
      <c r="AF34">
        <f>IF(OR(ISBLANK($AF$125), $AF$125 = ""), 133.5847931,$AF$125)</f>
        <v>92.57</v>
      </c>
      <c r="AG34">
        <f>IF(OR(ISBLANK($AG$125), $AG$125 = ""), 118.9113998,$AG$125)</f>
        <v>87.05</v>
      </c>
      <c r="AH34">
        <f>IF(OR(ISBLANK($AH$125), $AH$125 = ""), 98.49459839,$AH$125)</f>
        <v>94.04</v>
      </c>
      <c r="AI34">
        <f>IF(OR(ISBLANK($AI$125), $AI$125 = ""), 94.62519836,$AI$125)</f>
        <v>92.87</v>
      </c>
      <c r="AJ34">
        <f>IF(OR(ISBLANK($AJ$125), $AJ$125 = ""), 97.20960236,$AJ$125)</f>
        <v>93.28</v>
      </c>
      <c r="AK34">
        <f>IF(OR(ISBLANK($AK$125), $AK$125 = ""), 86.88110352,$AK$125)</f>
        <v>95.15</v>
      </c>
      <c r="AL34">
        <f>IF(OR(ISBLANK($AL$125), $AL$125 = ""), 87.74430084,$AL$125)</f>
        <v>115.63</v>
      </c>
      <c r="AM34">
        <f>IF(OR(ISBLANK($AM$125), $AM$125 = ""), 89.52400208,$AM$125)</f>
        <v>116.28</v>
      </c>
      <c r="AN34">
        <f>IF(OR(ISBLANK($AN$125), $AN$125 = ""), 89.31909943,$AN$125)</f>
        <v>94.74</v>
      </c>
      <c r="AO34">
        <f>IF(OR(ISBLANK($AO$125), $AO$125 = ""), 90.60510254,$AO$125)</f>
        <v>112.46</v>
      </c>
      <c r="AP34">
        <f>IF(OR(ISBLANK($AP$125), $AP$125 = ""), 91.23400116,$AP$125)</f>
        <v>168.66</v>
      </c>
      <c r="AQ34">
        <f>IF(OR(ISBLANK($AQ$125), $AQ$125 = ""), 93.36630249,$AQ$125)</f>
        <v>133.58000000000001</v>
      </c>
      <c r="AR34">
        <f>IF(OR(ISBLANK($AR$125), $AR$125 = ""), 94.46589661,$AR$125)</f>
        <v>118.91</v>
      </c>
      <c r="AS34">
        <f>IF(OR(ISBLANK($AS$125), $AS$125 = ""), 97.02729797,$AS$125)</f>
        <v>98.49</v>
      </c>
      <c r="AT34">
        <f>IF(OR(ISBLANK($AT$125), $AT$125 = ""), 96.24880219,$AT$125)</f>
        <v>94.63</v>
      </c>
      <c r="AU34">
        <f>IF(OR(ISBLANK($AU$125), $AU$125 = ""), 97.17030334,$AU$125)</f>
        <v>97.21</v>
      </c>
      <c r="AV34">
        <f>IF(OR(ISBLANK($AV$125), $AV$125 = ""), 95.62110138,$AV$125)</f>
        <v>86.88</v>
      </c>
      <c r="AW34">
        <f>IF(OR(ISBLANK($AW$125), $AW$125 = ""), 97.1257019,$AW$125)</f>
        <v>87.74</v>
      </c>
      <c r="AX34">
        <f>IF(OR(ISBLANK($AX$125), $AX$125 = ""), 97.72940063,$AX$125)</f>
        <v>89.52</v>
      </c>
      <c r="AY34">
        <f>IF(OR(ISBLANK($AY$125), $AY$125 = ""), 97.56109619,$AY$125)</f>
        <v>89.32</v>
      </c>
      <c r="AZ34">
        <f>IF(OR(ISBLANK($AZ$125), $AZ$125 = ""), 99.41329956,$AZ$125)</f>
        <v>90.61</v>
      </c>
      <c r="BA34">
        <f>IF(OR(ISBLANK($BA$125), $BA$125 = ""), 109.1633987,$BA$125)</f>
        <v>91.23</v>
      </c>
      <c r="BB34">
        <f>IF(OR(ISBLANK($BB$125), $BB$125 = ""), 102.3015976,$BB$125)</f>
        <v>93.37</v>
      </c>
      <c r="BC34">
        <f>IF(OR(ISBLANK($BC$125), $BC$125 = ""), 104.4269028,$BC$125)</f>
        <v>94.47</v>
      </c>
      <c r="BD34">
        <f>IF(OR(ISBLANK($BD$125), $BD$125 = ""), 102.0642014,$BD$125)</f>
        <v>97.03</v>
      </c>
      <c r="BE34">
        <f>IF(OR(ISBLANK($BE$125), $BE$125 = ""), 107.6957016,$BE$125)</f>
        <v>96.25</v>
      </c>
      <c r="BF34">
        <f>IF(OR(ISBLANK($BF$125), $BF$125 = ""), 117.3097992,$BF$125)</f>
        <v>97.17</v>
      </c>
      <c r="BG34">
        <f>IF(OR(ISBLANK($BG$125), $BG$125 = ""), 102.0402985,$BG$125)</f>
        <v>95.62</v>
      </c>
      <c r="BH34">
        <f>IF(OR(ISBLANK($BH$125), $BH$125 = ""), 108.3320999,$BH$125)</f>
        <v>97.13</v>
      </c>
      <c r="BI34">
        <f>IF(OR(ISBLANK($BI$125), $BI$125 = ""), 103.0195007,$BI$125)</f>
        <v>97.73</v>
      </c>
      <c r="BJ34">
        <f>IF(OR(ISBLANK($BJ$125), $BJ$125 = ""), 103.1914978,$BJ$125)</f>
        <v>97.56</v>
      </c>
      <c r="BK34">
        <f>IF(OR(ISBLANK($BK$125), $BK$125 = ""), 103.3992004,$BK$125)</f>
        <v>99.41</v>
      </c>
      <c r="BL34">
        <f>IF(OR(ISBLANK($BL$125), $BL$125 = ""), 103.844101,$BL$125)</f>
        <v>109.16</v>
      </c>
      <c r="BM34">
        <f>IF(OR(ISBLANK($BM$125), $BM$125 = ""), 110.2895966,$BM$125)</f>
        <v>102.3</v>
      </c>
      <c r="BN34">
        <f>IF(OR(ISBLANK($BN$125), $BN$125 = ""), 105.0113983,$BN$125)</f>
        <v>104.43</v>
      </c>
      <c r="BO34">
        <f>IF(OR(ISBLANK($BO$125), $BO$125 = ""), 110.4068985,$BO$125)</f>
        <v>102.06</v>
      </c>
      <c r="BP34">
        <f>IF(OR(ISBLANK($BP$125), $BP$125 = ""), 116.367897,$BP$125)</f>
        <v>107.7</v>
      </c>
      <c r="BQ34">
        <f>IF(OR(ISBLANK($BQ$125), $BQ$125 = ""), 119.3468018,$BQ$125)</f>
        <v>117.31</v>
      </c>
      <c r="BR34">
        <f>IF(OR(ISBLANK($BR$125), $BR$125 = ""), 124.8764038,$BR$125)</f>
        <v>102.04</v>
      </c>
      <c r="BS34">
        <f>IF(OR(ISBLANK($BS$125), $BS$125 = ""), 123.2391968,$BS$125)</f>
        <v>108.33</v>
      </c>
      <c r="BT34">
        <f>IF(OR(ISBLANK($BT$125), $BT$125 = ""), 119.3747025,$BT$125)</f>
        <v>103.02</v>
      </c>
      <c r="BU34">
        <f>IF(OR(ISBLANK($BU$125), $BU$125 = ""), 127.3048019,$BU$125)</f>
        <v>103.19</v>
      </c>
      <c r="BV34">
        <f>IF(OR(ISBLANK($BV$125), $BV$125 = ""), 129.8034973,$BV$125)</f>
        <v>103.4</v>
      </c>
      <c r="BW34">
        <f>IF(OR(ISBLANK($BW$125), $BW$125 = ""), 131.115799,$BW$125)</f>
        <v>103.84</v>
      </c>
      <c r="BX34">
        <f>IF(OR(ISBLANK($BX$125), $BX$125 = ""), 132.1723022,$BX$125)</f>
        <v>110.29</v>
      </c>
      <c r="BY34">
        <f>IF(OR(ISBLANK($BY$125), $BY$125 = ""), 128.6797943,$BY$125)</f>
        <v>105.01</v>
      </c>
      <c r="BZ34">
        <f>IF(OR(ISBLANK($BZ$125), $BZ$125 = ""), 129.3078003,$BZ$125)</f>
        <v>110.41</v>
      </c>
      <c r="CA34">
        <f>IF(OR(ISBLANK($CA$125), $CA$125 = ""), 124.1484985,$CA$125)</f>
        <v>116.37</v>
      </c>
      <c r="CB34">
        <f>IF(OR(ISBLANK($CB$125), $CB$125 = ""), 125.302002,$CB$125)</f>
        <v>119.35</v>
      </c>
      <c r="CC34">
        <f>IF(OR(ISBLANK($CC$125), $CC$125 = ""), 131.2422943,$CC$125)</f>
        <v>124.88</v>
      </c>
      <c r="CD34">
        <f>IF(OR(ISBLANK($CD$125), $CD$125 = ""), 77.72489929,$CD$125)</f>
        <v>123.24</v>
      </c>
      <c r="CE34">
        <f>IF(OR(ISBLANK($CE$125), $CE$125 = ""), 81.09739685,$CE$125)</f>
        <v>119.37</v>
      </c>
      <c r="CF34">
        <f>IF(OR(ISBLANK($CF$125), $CF$125 = ""), 89.66100311,$CF$125)</f>
        <v>127.3</v>
      </c>
      <c r="CG34">
        <f>IF(OR(ISBLANK($CG$125), $CG$125 = ""), 72.68250275,$CG$125)</f>
        <v>129.80000000000001</v>
      </c>
    </row>
    <row r="35" spans="1:85" x14ac:dyDescent="0.25">
      <c r="A35" t="str">
        <f>"        Marginal Rate (%)"</f>
        <v xml:space="preserve">        Marginal Rate (%)</v>
      </c>
      <c r="B35" t="str">
        <f>"ECBAMARG Index"</f>
        <v>ECBAMARG Index</v>
      </c>
      <c r="C35" t="str">
        <f>"PR005"</f>
        <v>PR005</v>
      </c>
      <c r="D35" t="str">
        <f>"PX_LAST"</f>
        <v>PX_LAST</v>
      </c>
      <c r="E35" t="str">
        <f>"Dynamic"</f>
        <v>Dynamic</v>
      </c>
      <c r="F35" t="e">
        <f ca="1">IF(OR(ISBLANK($F$126), $F$126 = ""), "",$F$126)</f>
        <v>#N/A</v>
      </c>
      <c r="G35">
        <f>IF(OR(ISBLANK($G$126), $G$126 = ""), 0.150000006,$G$126)</f>
        <v>0.15</v>
      </c>
      <c r="H35">
        <f>IF(OR(ISBLANK($H$126), $H$126 = ""), 0.150000006,$H$126)</f>
        <v>0.15</v>
      </c>
      <c r="I35">
        <f>IF(OR(ISBLANK($I$126), $I$126 = ""), 0.25,$I$126)</f>
        <v>0.15</v>
      </c>
      <c r="J35">
        <f>IF(OR(ISBLANK($J$126), $J$126 = ""), 0.25,$J$126)</f>
        <v>0.15</v>
      </c>
      <c r="K35">
        <f>IF(OR(ISBLANK($K$126), $K$126 = ""), 0.25,$K$126)</f>
        <v>0.15</v>
      </c>
      <c r="L35">
        <f>IF(OR(ISBLANK($L$126), $L$126 = ""), 0.25,$L$126)</f>
        <v>0.15</v>
      </c>
      <c r="M35">
        <f>IF(OR(ISBLANK($M$126), $M$126 = ""), 0.25,$M$126)</f>
        <v>0.15</v>
      </c>
      <c r="N35">
        <f>IF(OR(ISBLANK($N$126), $N$126 = ""), 0.25,$N$126)</f>
        <v>0.15</v>
      </c>
      <c r="O35">
        <f>IF(OR(ISBLANK($O$126), $O$126 = ""), 0.25,$O$126)</f>
        <v>0.15</v>
      </c>
      <c r="P35">
        <f>IF(OR(ISBLANK($P$126), $P$126 = ""), 0.25,$P$126)</f>
        <v>0.15</v>
      </c>
      <c r="Q35">
        <f>IF(OR(ISBLANK($Q$126), $Q$126 = ""), 0.25,$Q$126)</f>
        <v>0.15</v>
      </c>
      <c r="R35">
        <f>IF(OR(ISBLANK($R$126), $R$126 = ""), 0.25,$R$126)</f>
        <v>0.15</v>
      </c>
      <c r="S35">
        <f>IF(OR(ISBLANK($S$126), $S$126 = ""), 0.25,$S$126)</f>
        <v>0.15</v>
      </c>
      <c r="T35">
        <f>IF(OR(ISBLANK($T$126), $T$126 = ""), 0.25,$T$126)</f>
        <v>0.25</v>
      </c>
      <c r="U35">
        <f>IF(OR(ISBLANK($U$126), $U$126 = ""), 0.25,$U$126)</f>
        <v>0.25</v>
      </c>
      <c r="V35">
        <f>IF(OR(ISBLANK($V$126), $V$126 = ""), 0.25,$V$126)</f>
        <v>0.25</v>
      </c>
      <c r="W35">
        <f>IF(OR(ISBLANK($W$126), $W$126 = ""), 0.25,$W$126)</f>
        <v>0.25</v>
      </c>
      <c r="X35">
        <f>IF(OR(ISBLANK($X$126), $X$126 = ""), 0.25,$X$126)</f>
        <v>0.25</v>
      </c>
      <c r="Y35">
        <f>IF(OR(ISBLANK($Y$126), $Y$126 = ""), 0.25,$Y$126)</f>
        <v>0.25</v>
      </c>
      <c r="Z35">
        <f>IF(OR(ISBLANK($Z$126), $Z$126 = ""), 0.25,$Z$126)</f>
        <v>0.25</v>
      </c>
      <c r="AA35">
        <f>IF(OR(ISBLANK($AA$126), $AA$126 = ""), 0.25,$AA$126)</f>
        <v>0.25</v>
      </c>
      <c r="AB35">
        <f>IF(OR(ISBLANK($AB$126), $AB$126 = ""), 0.25,$AB$126)</f>
        <v>0.25</v>
      </c>
      <c r="AC35">
        <f>IF(OR(ISBLANK($AC$126), $AC$126 = ""), 0.25,$AC$126)</f>
        <v>0.25</v>
      </c>
      <c r="AD35">
        <f>IF(OR(ISBLANK($AD$126), $AD$126 = ""), 0.25,$AD$126)</f>
        <v>0.25</v>
      </c>
      <c r="AE35">
        <f>IF(OR(ISBLANK($AE$126), $AE$126 = ""), 0.25,$AE$126)</f>
        <v>0.25</v>
      </c>
      <c r="AF35">
        <f>IF(OR(ISBLANK($AF$126), $AF$126 = ""), 0.25,$AF$126)</f>
        <v>0.25</v>
      </c>
      <c r="AG35">
        <f>IF(OR(ISBLANK($AG$126), $AG$126 = ""), 0.25,$AG$126)</f>
        <v>0.25</v>
      </c>
      <c r="AH35">
        <f>IF(OR(ISBLANK($AH$126), $AH$126 = ""), 0.25,$AH$126)</f>
        <v>0.25</v>
      </c>
      <c r="AI35">
        <f>IF(OR(ISBLANK($AI$126), $AI$126 = ""), 0.25,$AI$126)</f>
        <v>0.25</v>
      </c>
      <c r="AJ35">
        <f>IF(OR(ISBLANK($AJ$126), $AJ$126 = ""), 0.25,$AJ$126)</f>
        <v>0.25</v>
      </c>
      <c r="AK35">
        <f>IF(OR(ISBLANK($AK$126), $AK$126 = ""), 0.25,$AK$126)</f>
        <v>0.25</v>
      </c>
      <c r="AL35">
        <f>IF(OR(ISBLANK($AL$126), $AL$126 = ""), 0.25,$AL$126)</f>
        <v>0.25</v>
      </c>
      <c r="AM35">
        <f>IF(OR(ISBLANK($AM$126), $AM$126 = ""), 0.5,$AM$126)</f>
        <v>0.25</v>
      </c>
      <c r="AN35">
        <f>IF(OR(ISBLANK($AN$126), $AN$126 = ""), 0.5,$AN$126)</f>
        <v>0.25</v>
      </c>
      <c r="AO35">
        <f>IF(OR(ISBLANK($AO$126), $AO$126 = ""), 0.5,$AO$126)</f>
        <v>0.25</v>
      </c>
      <c r="AP35">
        <f>IF(OR(ISBLANK($AP$126), $AP$126 = ""), 0.5,$AP$126)</f>
        <v>0.25</v>
      </c>
      <c r="AQ35">
        <f>IF(OR(ISBLANK($AQ$126), $AQ$126 = ""), 0.5,$AQ$126)</f>
        <v>0.25</v>
      </c>
      <c r="AR35">
        <f>IF(OR(ISBLANK($AR$126), $AR$126 = ""), 0.5,$AR$126)</f>
        <v>0.25</v>
      </c>
      <c r="AS35">
        <f>IF(OR(ISBLANK($AS$126), $AS$126 = ""), 0.5,$AS$126)</f>
        <v>0.25</v>
      </c>
      <c r="AT35">
        <f>IF(OR(ISBLANK($AT$126), $AT$126 = ""), 0.5,$AT$126)</f>
        <v>0.25</v>
      </c>
      <c r="AU35">
        <f>IF(OR(ISBLANK($AU$126), $AU$126 = ""), 0.5,$AU$126)</f>
        <v>0.25</v>
      </c>
      <c r="AV35">
        <f>IF(OR(ISBLANK($AV$126), $AV$126 = ""), 0.5,$AV$126)</f>
        <v>0.25</v>
      </c>
      <c r="AW35">
        <f>IF(OR(ISBLANK($AW$126), $AW$126 = ""), 0.5,$AW$126)</f>
        <v>0.25</v>
      </c>
      <c r="AX35">
        <f>IF(OR(ISBLANK($AX$126), $AX$126 = ""), 0.5,$AX$126)</f>
        <v>0.5</v>
      </c>
      <c r="AY35">
        <f>IF(OR(ISBLANK($AY$126), $AY$126 = ""), 0.5,$AY$126)</f>
        <v>0.5</v>
      </c>
      <c r="AZ35">
        <f>IF(OR(ISBLANK($AZ$126), $AZ$126 = ""), 0.5,$AZ$126)</f>
        <v>0.5</v>
      </c>
      <c r="BA35">
        <f>IF(OR(ISBLANK($BA$126), $BA$126 = ""), 0.5,$BA$126)</f>
        <v>0.5</v>
      </c>
      <c r="BB35">
        <f>IF(OR(ISBLANK($BB$126), $BB$126 = ""), 0.5,$BB$126)</f>
        <v>0.5</v>
      </c>
      <c r="BC35">
        <f>IF(OR(ISBLANK($BC$126), $BC$126 = ""), 0.5,$BC$126)</f>
        <v>0.5</v>
      </c>
      <c r="BD35">
        <f>IF(OR(ISBLANK($BD$126), $BD$126 = ""), 0.5,$BD$126)</f>
        <v>0.5</v>
      </c>
      <c r="BE35">
        <f>IF(OR(ISBLANK($BE$126), $BE$126 = ""), 0.5,$BE$126)</f>
        <v>0.5</v>
      </c>
      <c r="BF35">
        <f>IF(OR(ISBLANK($BF$126), $BF$126 = ""), 0.5,$BF$126)</f>
        <v>0.5</v>
      </c>
      <c r="BG35">
        <f>IF(OR(ISBLANK($BG$126), $BG$126 = ""), 0.5,$BG$126)</f>
        <v>0.5</v>
      </c>
      <c r="BH35">
        <f>IF(OR(ISBLANK($BH$126), $BH$126 = ""), 0.5,$BH$126)</f>
        <v>0.5</v>
      </c>
      <c r="BI35">
        <f>IF(OR(ISBLANK($BI$126), $BI$126 = ""), 0.5,$BI$126)</f>
        <v>0.5</v>
      </c>
      <c r="BJ35">
        <f>IF(OR(ISBLANK($BJ$126), $BJ$126 = ""), 0.5,$BJ$126)</f>
        <v>0.5</v>
      </c>
      <c r="BK35">
        <f>IF(OR(ISBLANK($BK$126), $BK$126 = ""), 0.5,$BK$126)</f>
        <v>0.5</v>
      </c>
      <c r="BL35">
        <f>IF(OR(ISBLANK($BL$126), $BL$126 = ""), 0.5,$BL$126)</f>
        <v>0.5</v>
      </c>
      <c r="BM35">
        <f>IF(OR(ISBLANK($BM$126), $BM$126 = ""), 0.5,$BM$126)</f>
        <v>0.5</v>
      </c>
      <c r="BN35">
        <f>IF(OR(ISBLANK($BN$126), $BN$126 = ""), 0.75,$BN$126)</f>
        <v>0.5</v>
      </c>
      <c r="BO35">
        <f>IF(OR(ISBLANK($BO$126), $BO$126 = ""), 0.75,$BO$126)</f>
        <v>0.5</v>
      </c>
      <c r="BP35">
        <f>IF(OR(ISBLANK($BP$126), $BP$126 = ""), 0.75,$BP$126)</f>
        <v>0.5</v>
      </c>
      <c r="BQ35">
        <f>IF(OR(ISBLANK($BQ$126), $BQ$126 = ""), 0.75,$BQ$126)</f>
        <v>0.5</v>
      </c>
      <c r="BR35">
        <f>IF(OR(ISBLANK($BR$126), $BR$126 = ""), 0.75,$BR$126)</f>
        <v>0.5</v>
      </c>
      <c r="BS35">
        <f>IF(OR(ISBLANK($BS$126), $BS$126 = ""), 0.75,$BS$126)</f>
        <v>0.5</v>
      </c>
      <c r="BT35">
        <f>IF(OR(ISBLANK($BT$126), $BT$126 = ""), 0.75,$BT$126)</f>
        <v>0.5</v>
      </c>
      <c r="BU35">
        <f>IF(OR(ISBLANK($BU$126), $BU$126 = ""), 0.75,$BU$126)</f>
        <v>0.5</v>
      </c>
      <c r="BV35">
        <f>IF(OR(ISBLANK($BV$126), $BV$126 = ""), 0.75,$BV$126)</f>
        <v>0.5</v>
      </c>
      <c r="BW35">
        <f>IF(OR(ISBLANK($BW$126), $BW$126 = ""), 0.75,$BW$126)</f>
        <v>0.5</v>
      </c>
      <c r="BX35">
        <f>IF(OR(ISBLANK($BX$126), $BX$126 = ""), 0.75,$BX$126)</f>
        <v>0.5</v>
      </c>
      <c r="BY35">
        <f>IF(OR(ISBLANK($BY$126), $BY$126 = ""), 0.75,$BY$126)</f>
        <v>0.75</v>
      </c>
      <c r="BZ35">
        <f>IF(OR(ISBLANK($BZ$126), $BZ$126 = ""), 0.75,$BZ$126)</f>
        <v>0.75</v>
      </c>
      <c r="CA35">
        <f>IF(OR(ISBLANK($CA$126), $CA$126 = ""), 0.75,$CA$126)</f>
        <v>0.75</v>
      </c>
      <c r="CB35">
        <f>IF(OR(ISBLANK($CB$126), $CB$126 = ""), 0.75,$CB$126)</f>
        <v>0.75</v>
      </c>
      <c r="CC35">
        <f>IF(OR(ISBLANK($CC$126), $CC$126 = ""), 0.75,$CC$126)</f>
        <v>0.75</v>
      </c>
      <c r="CD35">
        <f>IF(OR(ISBLANK($CD$126), $CD$126 = ""), 0.75,$CD$126)</f>
        <v>0.75</v>
      </c>
      <c r="CE35">
        <f>IF(OR(ISBLANK($CE$126), $CE$126 = ""), 0.75,$CE$126)</f>
        <v>0.75</v>
      </c>
      <c r="CF35">
        <f>IF(OR(ISBLANK($CF$126), $CF$126 = ""), 0.75,$CF$126)</f>
        <v>0.75</v>
      </c>
      <c r="CG35">
        <f>IF(OR(ISBLANK($CG$126), $CG$126 = ""), 0.75,$CG$126)</f>
        <v>0.75</v>
      </c>
    </row>
    <row r="36" spans="1:85" x14ac:dyDescent="0.25">
      <c r="A36" t="str">
        <f>"        Duration (days)"</f>
        <v xml:space="preserve">        Duration (days)</v>
      </c>
      <c r="B36" t="str">
        <f>"ECBADUR Index"</f>
        <v>ECBADUR Index</v>
      </c>
      <c r="C36" t="str">
        <f>"PR005"</f>
        <v>PR005</v>
      </c>
      <c r="D36" t="str">
        <f>"PX_LAST"</f>
        <v>PX_LAST</v>
      </c>
      <c r="E36" t="str">
        <f>"Dynamic"</f>
        <v>Dynamic</v>
      </c>
      <c r="F36" t="e">
        <f ca="1">IF(OR(ISBLANK($F$127), $F$127 = ""), "",$F$127)</f>
        <v>#N/A</v>
      </c>
      <c r="G36">
        <f>IF(OR(ISBLANK($G$127), $G$127 = ""), 7,$G$127)</f>
        <v>7</v>
      </c>
      <c r="H36">
        <f>IF(OR(ISBLANK($H$127), $H$127 = ""), 7,$H$127)</f>
        <v>7</v>
      </c>
      <c r="I36">
        <f>IF(OR(ISBLANK($I$127), $I$127 = ""), 7,$I$127)</f>
        <v>7</v>
      </c>
      <c r="J36">
        <f>IF(OR(ISBLANK($J$127), $J$127 = ""), 7,$J$127)</f>
        <v>7</v>
      </c>
      <c r="K36">
        <f>IF(OR(ISBLANK($K$127), $K$127 = ""), 7,$K$127)</f>
        <v>7</v>
      </c>
      <c r="L36">
        <f>IF(OR(ISBLANK($L$127), $L$127 = ""), 7,$L$127)</f>
        <v>7</v>
      </c>
      <c r="M36">
        <f>IF(OR(ISBLANK($M$127), $M$127 = ""), 7,$M$127)</f>
        <v>7</v>
      </c>
      <c r="N36">
        <f>IF(OR(ISBLANK($N$127), $N$127 = ""), 7,$N$127)</f>
        <v>7</v>
      </c>
      <c r="O36">
        <f>IF(OR(ISBLANK($O$127), $O$127 = ""), 7,$O$127)</f>
        <v>7</v>
      </c>
      <c r="P36">
        <f>IF(OR(ISBLANK($P$127), $P$127 = ""), 7,$P$127)</f>
        <v>7</v>
      </c>
      <c r="Q36">
        <f>IF(OR(ISBLANK($Q$127), $Q$127 = ""), 7,$Q$127)</f>
        <v>7</v>
      </c>
      <c r="R36">
        <f>IF(OR(ISBLANK($R$127), $R$127 = ""), 7,$R$127)</f>
        <v>7</v>
      </c>
      <c r="S36">
        <f>IF(OR(ISBLANK($S$127), $S$127 = ""), 7,$S$127)</f>
        <v>7</v>
      </c>
      <c r="T36">
        <f>IF(OR(ISBLANK($T$127), $T$127 = ""), 7,$T$127)</f>
        <v>7</v>
      </c>
      <c r="U36">
        <f>IF(OR(ISBLANK($U$127), $U$127 = ""), 7,$U$127)</f>
        <v>7</v>
      </c>
      <c r="V36">
        <f>IF(OR(ISBLANK($V$127), $V$127 = ""), 7,$V$127)</f>
        <v>7</v>
      </c>
      <c r="W36">
        <f>IF(OR(ISBLANK($W$127), $W$127 = ""), 7,$W$127)</f>
        <v>7</v>
      </c>
      <c r="X36">
        <f>IF(OR(ISBLANK($X$127), $X$127 = ""), 7,$X$127)</f>
        <v>7</v>
      </c>
      <c r="Y36">
        <f>IF(OR(ISBLANK($Y$127), $Y$127 = ""), 7,$Y$127)</f>
        <v>7</v>
      </c>
      <c r="Z36">
        <f>IF(OR(ISBLANK($Z$127), $Z$127 = ""), 7,$Z$127)</f>
        <v>7</v>
      </c>
      <c r="AA36">
        <f>IF(OR(ISBLANK($AA$127), $AA$127 = ""), 7,$AA$127)</f>
        <v>7</v>
      </c>
      <c r="AB36">
        <f>IF(OR(ISBLANK($AB$127), $AB$127 = ""), 7,$AB$127)</f>
        <v>7</v>
      </c>
      <c r="AC36">
        <f>IF(OR(ISBLANK($AC$127), $AC$127 = ""), 7,$AC$127)</f>
        <v>7</v>
      </c>
      <c r="AD36">
        <f>IF(OR(ISBLANK($AD$127), $AD$127 = ""), 7,$AD$127)</f>
        <v>7</v>
      </c>
      <c r="AE36">
        <f>IF(OR(ISBLANK($AE$127), $AE$127 = ""), 9,$AE$127)</f>
        <v>7</v>
      </c>
      <c r="AF36">
        <f>IF(OR(ISBLANK($AF$127), $AF$127 = ""), 7,$AF$127)</f>
        <v>7</v>
      </c>
      <c r="AG36">
        <f>IF(OR(ISBLANK($AG$127), $AG$127 = ""), 5,$AG$127)</f>
        <v>7</v>
      </c>
      <c r="AH36">
        <f>IF(OR(ISBLANK($AH$127), $AH$127 = ""), 7,$AH$127)</f>
        <v>7</v>
      </c>
      <c r="AI36">
        <f>IF(OR(ISBLANK($AI$127), $AI$127 = ""), 7,$AI$127)</f>
        <v>7</v>
      </c>
      <c r="AJ36">
        <f>IF(OR(ISBLANK($AJ$127), $AJ$127 = ""), 7,$AJ$127)</f>
        <v>7</v>
      </c>
      <c r="AK36">
        <f>IF(OR(ISBLANK($AK$127), $AK$127 = ""), 7,$AK$127)</f>
        <v>7</v>
      </c>
      <c r="AL36">
        <f>IF(OR(ISBLANK($AL$127), $AL$127 = ""), 7,$AL$127)</f>
        <v>7</v>
      </c>
      <c r="AM36">
        <f>IF(OR(ISBLANK($AM$127), $AM$127 = ""), 7,$AM$127)</f>
        <v>7</v>
      </c>
      <c r="AN36">
        <f>IF(OR(ISBLANK($AN$127), $AN$127 = ""), 7,$AN$127)</f>
        <v>7</v>
      </c>
      <c r="AO36">
        <f>IF(OR(ISBLANK($AO$127), $AO$127 = ""), 7,$AO$127)</f>
        <v>7</v>
      </c>
      <c r="AP36">
        <f>IF(OR(ISBLANK($AP$127), $AP$127 = ""), 7,$AP$127)</f>
        <v>9</v>
      </c>
      <c r="AQ36">
        <f>IF(OR(ISBLANK($AQ$127), $AQ$127 = ""), 7,$AQ$127)</f>
        <v>7</v>
      </c>
      <c r="AR36">
        <f>IF(OR(ISBLANK($AR$127), $AR$127 = ""), 7,$AR$127)</f>
        <v>5</v>
      </c>
      <c r="AS36">
        <f>IF(OR(ISBLANK($AS$127), $AS$127 = ""), 7,$AS$127)</f>
        <v>7</v>
      </c>
      <c r="AT36">
        <f>IF(OR(ISBLANK($AT$127), $AT$127 = ""), 7,$AT$127)</f>
        <v>7</v>
      </c>
      <c r="AU36">
        <f>IF(OR(ISBLANK($AU$127), $AU$127 = ""), 7,$AU$127)</f>
        <v>7</v>
      </c>
      <c r="AV36">
        <f>IF(OR(ISBLANK($AV$127), $AV$127 = ""), 7,$AV$127)</f>
        <v>7</v>
      </c>
      <c r="AW36">
        <f>IF(OR(ISBLANK($AW$127), $AW$127 = ""), 7,$AW$127)</f>
        <v>7</v>
      </c>
      <c r="AX36">
        <f>IF(OR(ISBLANK($AX$127), $AX$127 = ""), 7,$AX$127)</f>
        <v>7</v>
      </c>
      <c r="AY36">
        <f>IF(OR(ISBLANK($AY$127), $AY$127 = ""), 7,$AY$127)</f>
        <v>7</v>
      </c>
      <c r="AZ36">
        <f>IF(OR(ISBLANK($AZ$127), $AZ$127 = ""), 7,$AZ$127)</f>
        <v>7</v>
      </c>
      <c r="BA36">
        <f>IF(OR(ISBLANK($BA$127), $BA$127 = ""), 7,$BA$127)</f>
        <v>7</v>
      </c>
      <c r="BB36">
        <f>IF(OR(ISBLANK($BB$127), $BB$127 = ""), 7,$BB$127)</f>
        <v>7</v>
      </c>
      <c r="BC36">
        <f>IF(OR(ISBLANK($BC$127), $BC$127 = ""), 7,$BC$127)</f>
        <v>7</v>
      </c>
      <c r="BD36">
        <f>IF(OR(ISBLANK($BD$127), $BD$127 = ""), 7,$BD$127)</f>
        <v>7</v>
      </c>
      <c r="BE36">
        <f>IF(OR(ISBLANK($BE$127), $BE$127 = ""), 7,$BE$127)</f>
        <v>7</v>
      </c>
      <c r="BF36">
        <f>IF(OR(ISBLANK($BF$127), $BF$127 = ""), 7,$BF$127)</f>
        <v>7</v>
      </c>
      <c r="BG36">
        <f>IF(OR(ISBLANK($BG$127), $BG$127 = ""), 7,$BG$127)</f>
        <v>7</v>
      </c>
      <c r="BH36">
        <f>IF(OR(ISBLANK($BH$127), $BH$127 = ""), 7,$BH$127)</f>
        <v>7</v>
      </c>
      <c r="BI36">
        <f>IF(OR(ISBLANK($BI$127), $BI$127 = ""), 7,$BI$127)</f>
        <v>7</v>
      </c>
      <c r="BJ36">
        <f>IF(OR(ISBLANK($BJ$127), $BJ$127 = ""), 7,$BJ$127)</f>
        <v>7</v>
      </c>
      <c r="BK36">
        <f>IF(OR(ISBLANK($BK$127), $BK$127 = ""), 7,$BK$127)</f>
        <v>7</v>
      </c>
      <c r="BL36">
        <f>IF(OR(ISBLANK($BL$127), $BL$127 = ""), 7,$BL$127)</f>
        <v>7</v>
      </c>
      <c r="BM36">
        <f>IF(OR(ISBLANK($BM$127), $BM$127 = ""), 7,$BM$127)</f>
        <v>7</v>
      </c>
      <c r="BN36">
        <f>IF(OR(ISBLANK($BN$127), $BN$127 = ""), 6,$BN$127)</f>
        <v>7</v>
      </c>
      <c r="BO36">
        <f>IF(OR(ISBLANK($BO$127), $BO$127 = ""), 8,$BO$127)</f>
        <v>7</v>
      </c>
      <c r="BP36">
        <f>IF(OR(ISBLANK($BP$127), $BP$127 = ""), 7,$BP$127)</f>
        <v>7</v>
      </c>
      <c r="BQ36">
        <f>IF(OR(ISBLANK($BQ$127), $BQ$127 = ""), 7,$BQ$127)</f>
        <v>7</v>
      </c>
      <c r="BR36">
        <f>IF(OR(ISBLANK($BR$127), $BR$127 = ""), 7,$BR$127)</f>
        <v>7</v>
      </c>
      <c r="BS36">
        <f>IF(OR(ISBLANK($BS$127), $BS$127 = ""), 7,$BS$127)</f>
        <v>7</v>
      </c>
      <c r="BT36">
        <f>IF(OR(ISBLANK($BT$127), $BT$127 = ""), 7,$BT$127)</f>
        <v>7</v>
      </c>
      <c r="BU36">
        <f>IF(OR(ISBLANK($BU$127), $BU$127 = ""), 7,$BU$127)</f>
        <v>7</v>
      </c>
      <c r="BV36">
        <f>IF(OR(ISBLANK($BV$127), $BV$127 = ""), 7,$BV$127)</f>
        <v>7</v>
      </c>
      <c r="BW36">
        <f>IF(OR(ISBLANK($BW$127), $BW$127 = ""), 7,$BW$127)</f>
        <v>7</v>
      </c>
      <c r="BX36">
        <f>IF(OR(ISBLANK($BX$127), $BX$127 = ""), 7,$BX$127)</f>
        <v>7</v>
      </c>
      <c r="BY36">
        <f>IF(OR(ISBLANK($BY$127), $BY$127 = ""), 7,$BY$127)</f>
        <v>6</v>
      </c>
      <c r="BZ36">
        <f>IF(OR(ISBLANK($BZ$127), $BZ$127 = ""), 7,$BZ$127)</f>
        <v>8</v>
      </c>
      <c r="CA36">
        <f>IF(OR(ISBLANK($CA$127), $CA$127 = ""), 7,$CA$127)</f>
        <v>7</v>
      </c>
      <c r="CB36">
        <f>IF(OR(ISBLANK($CB$127), $CB$127 = ""), 7,$CB$127)</f>
        <v>7</v>
      </c>
      <c r="CC36">
        <f>IF(OR(ISBLANK($CC$127), $CC$127 = ""), 7,$CC$127)</f>
        <v>7</v>
      </c>
      <c r="CD36">
        <f>IF(OR(ISBLANK($CD$127), $CD$127 = ""), 7,$CD$127)</f>
        <v>7</v>
      </c>
      <c r="CE36">
        <f>IF(OR(ISBLANK($CE$127), $CE$127 = ""), 6,$CE$127)</f>
        <v>7</v>
      </c>
      <c r="CF36">
        <f>IF(OR(ISBLANK($CF$127), $CF$127 = ""), 6,$CF$127)</f>
        <v>7</v>
      </c>
      <c r="CG36">
        <f>IF(OR(ISBLANK($CG$127), $CG$127 = ""), 9,$CG$127)</f>
        <v>7</v>
      </c>
    </row>
    <row r="37" spans="1:85" x14ac:dyDescent="0.25">
      <c r="A37" t="str">
        <f>"    Long Term Refinancing Operations"</f>
        <v xml:space="preserve">    Long Term Refinancing Operations</v>
      </c>
      <c r="B37" t="str">
        <f>""</f>
        <v/>
      </c>
      <c r="C37" t="str">
        <f>""</f>
        <v/>
      </c>
      <c r="D37" t="str">
        <f>""</f>
        <v/>
      </c>
      <c r="E37" t="str">
        <f>"Static"</f>
        <v>Static</v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""</f>
        <v/>
      </c>
      <c r="R37" t="str">
        <f>""</f>
        <v/>
      </c>
      <c r="S37" t="str">
        <f>""</f>
        <v/>
      </c>
      <c r="T37" t="str">
        <f>""</f>
        <v/>
      </c>
      <c r="U37" t="str">
        <f>""</f>
        <v/>
      </c>
      <c r="V37" t="str">
        <f>""</f>
        <v/>
      </c>
      <c r="W37" t="str">
        <f>""</f>
        <v/>
      </c>
      <c r="X37" t="str">
        <f>""</f>
        <v/>
      </c>
      <c r="Y37" t="str">
        <f>""</f>
        <v/>
      </c>
      <c r="Z37" t="str">
        <f>""</f>
        <v/>
      </c>
      <c r="AA37" t="str">
        <f>""</f>
        <v/>
      </c>
      <c r="AB37" t="str">
        <f>""</f>
        <v/>
      </c>
      <c r="AC37" t="str">
        <f>""</f>
        <v/>
      </c>
      <c r="AD37" t="str">
        <f>""</f>
        <v/>
      </c>
      <c r="AE37" t="str">
        <f>""</f>
        <v/>
      </c>
      <c r="AF37" t="str">
        <f>""</f>
        <v/>
      </c>
      <c r="AG37" t="str">
        <f>""</f>
        <v/>
      </c>
      <c r="AH37" t="str">
        <f>""</f>
        <v/>
      </c>
      <c r="AI37" t="str">
        <f>""</f>
        <v/>
      </c>
      <c r="AJ37" t="str">
        <f>""</f>
        <v/>
      </c>
      <c r="AK37" t="str">
        <f>""</f>
        <v/>
      </c>
      <c r="AL37" t="str">
        <f>""</f>
        <v/>
      </c>
      <c r="AM37" t="str">
        <f>""</f>
        <v/>
      </c>
      <c r="AN37" t="str">
        <f>""</f>
        <v/>
      </c>
      <c r="AO37" t="str">
        <f>""</f>
        <v/>
      </c>
      <c r="AP37" t="str">
        <f>""</f>
        <v/>
      </c>
      <c r="AQ37" t="str">
        <f>""</f>
        <v/>
      </c>
      <c r="AR37" t="str">
        <f>""</f>
        <v/>
      </c>
      <c r="AS37" t="str">
        <f>""</f>
        <v/>
      </c>
      <c r="AT37" t="str">
        <f>""</f>
        <v/>
      </c>
      <c r="AU37" t="str">
        <f>""</f>
        <v/>
      </c>
      <c r="AV37" t="str">
        <f>""</f>
        <v/>
      </c>
      <c r="AW37" t="str">
        <f>""</f>
        <v/>
      </c>
      <c r="AX37" t="str">
        <f>""</f>
        <v/>
      </c>
      <c r="AY37" t="str">
        <f>""</f>
        <v/>
      </c>
      <c r="AZ37" t="str">
        <f>""</f>
        <v/>
      </c>
      <c r="BA37" t="str">
        <f>""</f>
        <v/>
      </c>
      <c r="BB37" t="str">
        <f>""</f>
        <v/>
      </c>
      <c r="BC37" t="str">
        <f>""</f>
        <v/>
      </c>
      <c r="BD37" t="str">
        <f>""</f>
        <v/>
      </c>
      <c r="BE37" t="str">
        <f>""</f>
        <v/>
      </c>
      <c r="BF37" t="str">
        <f>""</f>
        <v/>
      </c>
      <c r="BG37" t="str">
        <f>""</f>
        <v/>
      </c>
      <c r="BH37" t="str">
        <f>""</f>
        <v/>
      </c>
      <c r="BI37" t="str">
        <f>""</f>
        <v/>
      </c>
      <c r="BJ37" t="str">
        <f>""</f>
        <v/>
      </c>
      <c r="BK37" t="str">
        <f>""</f>
        <v/>
      </c>
      <c r="BL37" t="str">
        <f>""</f>
        <v/>
      </c>
      <c r="BM37" t="str">
        <f>""</f>
        <v/>
      </c>
      <c r="BN37" t="str">
        <f>""</f>
        <v/>
      </c>
      <c r="BO37" t="str">
        <f>""</f>
        <v/>
      </c>
      <c r="BP37" t="str">
        <f>""</f>
        <v/>
      </c>
      <c r="BQ37" t="str">
        <f>""</f>
        <v/>
      </c>
      <c r="BR37" t="str">
        <f>""</f>
        <v/>
      </c>
      <c r="BS37" t="str">
        <f>""</f>
        <v/>
      </c>
      <c r="BT37" t="str">
        <f>""</f>
        <v/>
      </c>
      <c r="BU37" t="str">
        <f>""</f>
        <v/>
      </c>
      <c r="BV37" t="str">
        <f>""</f>
        <v/>
      </c>
      <c r="BW37" t="str">
        <f>""</f>
        <v/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</row>
    <row r="38" spans="1:85" x14ac:dyDescent="0.25">
      <c r="A38" t="str">
        <f>"        Total Allotment"</f>
        <v xml:space="preserve">        Total Allotment</v>
      </c>
      <c r="B38" t="str">
        <f>"ECBALTAL Index"</f>
        <v>ECBALTAL Index</v>
      </c>
      <c r="C38" t="str">
        <f>"PR005"</f>
        <v>PR005</v>
      </c>
      <c r="D38" t="str">
        <f>"PX_LAST"</f>
        <v>PX_LAST</v>
      </c>
      <c r="E38" t="str">
        <f>"Dynamic"</f>
        <v>Dynamic</v>
      </c>
      <c r="F38" t="e">
        <f ca="1">IF(OR(ISBLANK($F$128), $F$128 = ""), "",$F$128)</f>
        <v>#N/A</v>
      </c>
      <c r="G38" t="str">
        <f>IF(OR(ISBLANK($G$128), $G$128 = ""), "",$G$128)</f>
        <v/>
      </c>
      <c r="H38">
        <f>IF(OR(ISBLANK($H$128), $H$128 = ""), 9.970000267,$H$128)</f>
        <v>7.2439999999999998</v>
      </c>
      <c r="I38" t="str">
        <f>IF(OR(ISBLANK($I$128), $I$128 = ""), "",$I$128)</f>
        <v/>
      </c>
      <c r="J38">
        <f>IF(OR(ISBLANK($J$128), $J$128 = ""), 10.94900036,$J$128)</f>
        <v>10.949000359999999</v>
      </c>
      <c r="K38" t="str">
        <f>IF(OR(ISBLANK($K$128), $K$128 = ""), "",$K$128)</f>
        <v/>
      </c>
      <c r="L38">
        <f>IF(OR(ISBLANK($L$128), $L$128 = ""), 32.33499908,$L$128)</f>
        <v>6.7859999999999996</v>
      </c>
      <c r="M38" t="str">
        <f>IF(OR(ISBLANK($M$128), $M$128 = ""), "",$M$128)</f>
        <v/>
      </c>
      <c r="N38">
        <f>IF(OR(ISBLANK($N$128), $N$128 = ""), 13.19299984,$N$128)</f>
        <v>13.192999840000001</v>
      </c>
      <c r="O38" t="str">
        <f>IF(OR(ISBLANK($O$128), $O$128 = ""), "",$O$128)</f>
        <v/>
      </c>
      <c r="P38" t="str">
        <f>IF(OR(ISBLANK($P$128), $P$128 = ""), "",$P$128)</f>
        <v/>
      </c>
      <c r="Q38">
        <f>IF(OR(ISBLANK($Q$128), $Q$128 = ""), 28.02300072,$Q$128)</f>
        <v>10.385999999999999</v>
      </c>
      <c r="R38" t="str">
        <f>IF(OR(ISBLANK($R$128), $R$128 = ""), "",$R$128)</f>
        <v/>
      </c>
      <c r="S38">
        <f>IF(OR(ISBLANK($S$128), $S$128 = ""), 11.61699963,$S$128)</f>
        <v>9.9700000000000006</v>
      </c>
      <c r="T38" t="str">
        <f>IF(OR(ISBLANK($T$128), $T$128 = ""), "",$T$128)</f>
        <v/>
      </c>
      <c r="U38">
        <f>IF(OR(ISBLANK($U$128), $U$128 = ""), 7.521999836,$U$128)</f>
        <v>10.949</v>
      </c>
      <c r="V38" t="str">
        <f>IF(OR(ISBLANK($V$128), $V$128 = ""), "",$V$128)</f>
        <v/>
      </c>
      <c r="W38">
        <f>IF(OR(ISBLANK($W$128), $W$128 = ""), 6.296999931,$W$128)</f>
        <v>32.335000000000001</v>
      </c>
      <c r="X38" t="str">
        <f>IF(OR(ISBLANK($X$128), $X$128 = ""), "",$X$128)</f>
        <v/>
      </c>
      <c r="Y38">
        <f>IF(OR(ISBLANK($Y$128), $Y$128 = ""), 6.480000019,$Y$128)</f>
        <v>13.193</v>
      </c>
      <c r="Z38" t="str">
        <f>IF(OR(ISBLANK($Z$128), $Z$128 = ""), "",$Z$128)</f>
        <v/>
      </c>
      <c r="AA38">
        <f>IF(OR(ISBLANK($AA$128), $AA$128 = ""), 4.954999924,$AA$128)</f>
        <v>4.954999924</v>
      </c>
      <c r="AB38">
        <f>IF(OR(ISBLANK($AB$128), $AB$128 = ""), "",$AB$128)</f>
        <v>28.023</v>
      </c>
      <c r="AC38">
        <f>IF(OR(ISBLANK($AC$128), $AC$128 = ""), 7.092000008,$AC$128)</f>
        <v>7.0920000080000003</v>
      </c>
      <c r="AD38">
        <f>IF(OR(ISBLANK($AD$128), $AD$128 = ""), "",$AD$128)</f>
        <v>11.617000000000001</v>
      </c>
      <c r="AE38" t="str">
        <f>IF(OR(ISBLANK($AE$128), $AE$128 = ""), "",$AE$128)</f>
        <v/>
      </c>
      <c r="AF38">
        <f>IF(OR(ISBLANK($AF$128), $AF$128 = ""), "",$AF$128)</f>
        <v>7.5220000000000002</v>
      </c>
      <c r="AG38">
        <f>IF(OR(ISBLANK($AG$128), $AG$128 = ""), 20.91399956,$AG$128)</f>
        <v>20.913999560000001</v>
      </c>
      <c r="AH38">
        <f>IF(OR(ISBLANK($AH$128), $AH$128 = ""), 10.14299965,$AH$128)</f>
        <v>6.2969999999999997</v>
      </c>
      <c r="AI38" t="str">
        <f>IF(OR(ISBLANK($AI$128), $AI$128 = ""), "",$AI$128)</f>
        <v/>
      </c>
      <c r="AJ38">
        <f>IF(OR(ISBLANK($AJ$128), $AJ$128 = ""), 5.926000118,$AJ$128)</f>
        <v>6.48</v>
      </c>
      <c r="AK38" t="str">
        <f>IF(OR(ISBLANK($AK$128), $AK$128 = ""), "",$AK$128)</f>
        <v/>
      </c>
      <c r="AL38">
        <f>IF(OR(ISBLANK($AL$128), $AL$128 = ""), 3.194000006,$AL$128)</f>
        <v>4.9550000000000001</v>
      </c>
      <c r="AM38" t="str">
        <f>IF(OR(ISBLANK($AM$128), $AM$128 = ""), "",$AM$128)</f>
        <v/>
      </c>
      <c r="AN38">
        <f>IF(OR(ISBLANK($AN$128), $AN$128 = ""), 1.929999948,$AN$128)</f>
        <v>7.0919999999999996</v>
      </c>
      <c r="AO38" t="str">
        <f>IF(OR(ISBLANK($AO$128), $AO$128 = ""), "",$AO$128)</f>
        <v/>
      </c>
      <c r="AP38" t="str">
        <f>IF(OR(ISBLANK($AP$128), $AP$128 = ""), "",$AP$128)</f>
        <v/>
      </c>
      <c r="AQ38">
        <f>IF(OR(ISBLANK($AQ$128), $AQ$128 = ""), 3.447000027,$AQ$128)</f>
        <v>3.4470000270000001</v>
      </c>
      <c r="AR38">
        <f>IF(OR(ISBLANK($AR$128), $AR$128 = ""), "",$AR$128)</f>
        <v>20.914000000000001</v>
      </c>
      <c r="AS38">
        <f>IF(OR(ISBLANK($AS$128), $AS$128 = ""), 8.607000351,$AS$128)</f>
        <v>10.143000000000001</v>
      </c>
      <c r="AT38" t="str">
        <f>IF(OR(ISBLANK($AT$128), $AT$128 = ""), "",$AT$128)</f>
        <v/>
      </c>
      <c r="AU38">
        <f>IF(OR(ISBLANK($AU$128), $AU$128 = ""), 3.430000067,$AU$128)</f>
        <v>5.9260000000000002</v>
      </c>
      <c r="AV38" t="str">
        <f>IF(OR(ISBLANK($AV$128), $AV$128 = ""), "",$AV$128)</f>
        <v/>
      </c>
      <c r="AW38">
        <f>IF(OR(ISBLANK($AW$128), $AW$128 = ""), 6.822999954,$AW$128)</f>
        <v>3.194</v>
      </c>
      <c r="AX38" t="str">
        <f>IF(OR(ISBLANK($AX$128), $AX$128 = ""), "",$AX$128)</f>
        <v/>
      </c>
      <c r="AY38">
        <f>IF(OR(ISBLANK($AY$128), $AY$128 = ""), "",$AY$128)</f>
        <v>1.9300000000000002</v>
      </c>
      <c r="AZ38">
        <f>IF(OR(ISBLANK($AZ$128), $AZ$128 = ""), 3.910000086,$AZ$128)</f>
        <v>3.9100000860000002</v>
      </c>
      <c r="BA38">
        <f>IF(OR(ISBLANK($BA$128), $BA$128 = ""), 2.683000088,$BA$128)</f>
        <v>2.683000088</v>
      </c>
      <c r="BB38">
        <f>IF(OR(ISBLANK($BB$128), $BB$128 = ""), "",$BB$128)</f>
        <v>3.4470000000000001</v>
      </c>
      <c r="BC38" t="str">
        <f>IF(OR(ISBLANK($BC$128), $BC$128 = ""), "",$BC$128)</f>
        <v/>
      </c>
      <c r="BD38">
        <f>IF(OR(ISBLANK($BD$128), $BD$128 = ""), 3.536000013,$BD$128)</f>
        <v>8.6069999999999993</v>
      </c>
      <c r="BE38" t="str">
        <f>IF(OR(ISBLANK($BE$128), $BE$128 = ""), "",$BE$128)</f>
        <v/>
      </c>
      <c r="BF38">
        <f>IF(OR(ISBLANK($BF$128), $BF$128 = ""), 9.477000237,$BF$128)</f>
        <v>3.43</v>
      </c>
      <c r="BG38" t="str">
        <f>IF(OR(ISBLANK($BG$128), $BG$128 = ""), "",$BG$128)</f>
        <v/>
      </c>
      <c r="BH38">
        <f>IF(OR(ISBLANK($BH$128), $BH$128 = ""), 3.59100008,$BH$128)</f>
        <v>6.8230000000000004</v>
      </c>
      <c r="BI38" t="str">
        <f>IF(OR(ISBLANK($BI$128), $BI$128 = ""), "",$BI$128)</f>
        <v/>
      </c>
      <c r="BJ38">
        <f>IF(OR(ISBLANK($BJ$128), $BJ$128 = ""), 5.829999924,$BJ$128)</f>
        <v>5.829999924</v>
      </c>
      <c r="BK38">
        <f>IF(OR(ISBLANK($BK$128), $BK$128 = ""), "",$BK$128)</f>
        <v>3.91</v>
      </c>
      <c r="BL38">
        <f>IF(OR(ISBLANK($BL$128), $BL$128 = ""), "",$BL$128)</f>
        <v>2.6829999999999998</v>
      </c>
      <c r="BM38">
        <f>IF(OR(ISBLANK($BM$128), $BM$128 = ""), 5.230000019,$BM$128)</f>
        <v>5.2300000190000002</v>
      </c>
      <c r="BN38" t="str">
        <f>IF(OR(ISBLANK($BN$128), $BN$128 = ""), "",$BN$128)</f>
        <v/>
      </c>
      <c r="BO38">
        <f>IF(OR(ISBLANK($BO$128), $BO$128 = ""), 2.976999998,$BO$128)</f>
        <v>3.536</v>
      </c>
      <c r="BP38" t="str">
        <f>IF(OR(ISBLANK($BP$128), $BP$128 = ""), "",$BP$128)</f>
        <v/>
      </c>
      <c r="BQ38">
        <f>IF(OR(ISBLANK($BQ$128), $BQ$128 = ""), 5.15899992,$BQ$128)</f>
        <v>9.4770000000000003</v>
      </c>
      <c r="BR38" t="str">
        <f>IF(OR(ISBLANK($BR$128), $BR$128 = ""), "",$BR$128)</f>
        <v/>
      </c>
      <c r="BS38">
        <f>IF(OR(ISBLANK($BS$128), $BS$128 = ""), 9.112999916,$BS$128)</f>
        <v>3.5910000000000002</v>
      </c>
      <c r="BT38" t="str">
        <f>IF(OR(ISBLANK($BT$128), $BT$128 = ""), "",$BT$128)</f>
        <v/>
      </c>
      <c r="BU38">
        <f>IF(OR(ISBLANK($BU$128), $BU$128 = ""), 4.208000183,$BU$128)</f>
        <v>5.83</v>
      </c>
      <c r="BV38" t="str">
        <f>IF(OR(ISBLANK($BV$128), $BV$128 = ""), "",$BV$128)</f>
        <v/>
      </c>
      <c r="BW38">
        <f>IF(OR(ISBLANK($BW$128), $BW$128 = ""), 8.328000069,$BW$128)</f>
        <v>8.3280000689999998</v>
      </c>
      <c r="BX38">
        <f>IF(OR(ISBLANK($BX$128), $BX$128 = ""), "",$BX$128)</f>
        <v>5.23</v>
      </c>
      <c r="BY38">
        <f>IF(OR(ISBLANK($BY$128), $BY$128 = ""), 7.758999825,$BY$128)</f>
        <v>7.7589998250000001</v>
      </c>
      <c r="BZ38">
        <f>IF(OR(ISBLANK($BZ$128), $BZ$128 = ""), "",$BZ$128)</f>
        <v>2.9769999999999999</v>
      </c>
      <c r="CA38">
        <f>IF(OR(ISBLANK($CA$128), $CA$128 = ""), 3.713000059,$CA$128)</f>
        <v>3.7130000590000001</v>
      </c>
      <c r="CB38">
        <f>IF(OR(ISBLANK($CB$128), $CB$128 = ""), "",$CB$128)</f>
        <v>5.1589999999999998</v>
      </c>
      <c r="CC38">
        <f>IF(OR(ISBLANK($CC$128), $CC$128 = ""), 10.45499992,$CC$128)</f>
        <v>10.454999920000001</v>
      </c>
      <c r="CD38">
        <f>IF(OR(ISBLANK($CD$128), $CD$128 = ""), "",$CD$128)</f>
        <v>9.1129999999999995</v>
      </c>
      <c r="CE38" t="str">
        <f>IF(OR(ISBLANK($CE$128), $CE$128 = ""), "",$CE$128)</f>
        <v/>
      </c>
      <c r="CF38">
        <f>IF(OR(ISBLANK($CF$128), $CF$128 = ""), "",$CF$128)</f>
        <v>4.2080000000000002</v>
      </c>
      <c r="CG38">
        <f>IF(OR(ISBLANK($CG$128), $CG$128 = ""), 14.96199989,$CG$128)</f>
        <v>14.96199989</v>
      </c>
    </row>
    <row r="39" spans="1:85" x14ac:dyDescent="0.25">
      <c r="A39" t="str">
        <f>"        Bid Cover Ratio"</f>
        <v xml:space="preserve">        Bid Cover Ratio</v>
      </c>
      <c r="B39" t="str">
        <f>""</f>
        <v/>
      </c>
      <c r="C39" t="str">
        <f>""</f>
        <v/>
      </c>
      <c r="D39" t="str">
        <f>""</f>
        <v/>
      </c>
      <c r="E39" t="str">
        <f>"Expression"</f>
        <v>Expression</v>
      </c>
      <c r="F39" t="str">
        <f ca="1">IF(OR(ISBLANK(IF(ISERROR(IF(OR(ISBLANK($F$40), ISBLANK($F$41)), "", $F$40/$F$41)), "", (IF(OR(ISBLANK($F$40), ISBLANK($F$41)), "", $F$40/$F$41)))), IF(ISERROR(IF(OR(ISBLANK($F$40), ISBLANK($F$41)), "", $F$40/$F$41)), "", (IF(OR(ISBLANK($F$40), ISBLANK($F$41)), "", $F$40/$F$41))) = ""), "",IF(ISERROR(IF(OR(ISBLANK($F$40), ISBLANK($F$41)), "", $F$40/$F$41)), "", (IF(OR(ISBLANK($F$40), ISBLANK($F$41)), "", $F$40/$F$41))))</f>
        <v/>
      </c>
      <c r="G39" t="str">
        <f>IF(OR(ISBLANK(IF(ISERROR(IF(OR(ISBLANK($G$40), ISBLANK($G$41)), "", $G$40/$G$41)), "", (IF(OR(ISBLANK($G$40), ISBLANK($G$41)), "", $G$40/$G$41)))), IF(ISERROR(IF(OR(ISBLANK($G$40), ISBLANK($G$41)), "", $G$40/$G$41)), "", (IF(OR(ISBLANK($G$40), ISBLANK($G$41)), "", $G$40/$G$41))) = ""), "",IF(ISERROR(IF(OR(ISBLANK($G$40), ISBLANK($G$41)), "", $G$40/$G$41)), "", (IF(OR(ISBLANK($G$40), ISBLANK($G$41)), "", $G$40/$G$41))))</f>
        <v/>
      </c>
      <c r="H39">
        <f>IF(OR(ISBLANK(IF(ISERROR(IF(OR(ISBLANK($H$40), ISBLANK($H$41)), "", $H$40/$H$41)), "", (IF(OR(ISBLANK($H$40), ISBLANK($H$41)), "", $H$40/$H$41)))), IF(ISERROR(IF(OR(ISBLANK($H$40), ISBLANK($H$41)), "", $H$40/$H$41)), "", (IF(OR(ISBLANK($H$40), ISBLANK($H$41)), "", $H$40/$H$41))) = ""), 1,IF(ISERROR(IF(OR(ISBLANK($H$40), ISBLANK($H$41)), "", $H$40/$H$41)), "", (IF(OR(ISBLANK($H$40), ISBLANK($H$41)), "", $H$40/$H$41))))</f>
        <v>0.99944781888459422</v>
      </c>
      <c r="I39" t="str">
        <f>IF(OR(ISBLANK(IF(ISERROR(IF(OR(ISBLANK($I$40), ISBLANK($I$41)), "", $I$40/$I$41)), "", (IF(OR(ISBLANK($I$40), ISBLANK($I$41)), "", $I$40/$I$41)))), IF(ISERROR(IF(OR(ISBLANK($I$40), ISBLANK($I$41)), "", $I$40/$I$41)), "", (IF(OR(ISBLANK($I$40), ISBLANK($I$41)), "", $I$40/$I$41))) = ""), "",IF(ISERROR(IF(OR(ISBLANK($I$40), ISBLANK($I$41)), "", $I$40/$I$41)), "", (IF(OR(ISBLANK($I$40), ISBLANK($I$41)), "", $I$40/$I$41))))</f>
        <v/>
      </c>
      <c r="J39">
        <f>IF(OR(ISBLANK(IF(ISERROR(IF(OR(ISBLANK($J$40), ISBLANK($J$41)), "", $J$40/$J$41)), "", (IF(OR(ISBLANK($J$40), ISBLANK($J$41)), "", $J$40/$J$41)))), IF(ISERROR(IF(OR(ISBLANK($J$40), ISBLANK($J$41)), "", $J$40/$J$41)), "", (IF(OR(ISBLANK($J$40), ISBLANK($J$41)), "", $J$40/$J$41))) = ""), 1.000091333,IF(ISERROR(IF(OR(ISBLANK($J$40), ISBLANK($J$41)), "", $J$40/$J$41)), "", (IF(OR(ISBLANK($J$40), ISBLANK($J$41)), "", $J$40/$J$41))))</f>
        <v>1.0000912823058854</v>
      </c>
      <c r="K39" t="str">
        <f>IF(OR(ISBLANK(IF(ISERROR(IF(OR(ISBLANK($K$40), ISBLANK($K$41)), "", $K$40/$K$41)), "", (IF(OR(ISBLANK($K$40), ISBLANK($K$41)), "", $K$40/$K$41)))), IF(ISERROR(IF(OR(ISBLANK($K$40), ISBLANK($K$41)), "", $K$40/$K$41)), "", (IF(OR(ISBLANK($K$40), ISBLANK($K$41)), "", $K$40/$K$41))) = ""), "",IF(ISERROR(IF(OR(ISBLANK($K$40), ISBLANK($K$41)), "", $K$40/$K$41)), "", (IF(OR(ISBLANK($K$40), ISBLANK($K$41)), "", $K$40/$K$41))))</f>
        <v/>
      </c>
      <c r="L39">
        <f>IF(OR(ISBLANK(IF(ISERROR(IF(OR(ISBLANK($L$40), ISBLANK($L$41)), "", $L$40/$L$41)), "", (IF(OR(ISBLANK($L$40), ISBLANK($L$41)), "", $L$40/$L$41)))), IF(ISERROR(IF(OR(ISBLANK($L$40), ISBLANK($L$41)), "", $L$40/$L$41)), "", (IF(OR(ISBLANK($L$40), ISBLANK($L$41)), "", $L$40/$L$41))) = ""), 0.999845462,IF(ISERROR(IF(OR(ISBLANK($L$40), ISBLANK($L$41)), "", $L$40/$L$41)), "", (IF(OR(ISBLANK($L$40), ISBLANK($L$41)), "", $L$40/$L$41))))</f>
        <v>1.0005894488653111</v>
      </c>
      <c r="M39" t="str">
        <f>IF(OR(ISBLANK(IF(ISERROR(IF(OR(ISBLANK($M$40), ISBLANK($M$41)), "", $M$40/$M$41)), "", (IF(OR(ISBLANK($M$40), ISBLANK($M$41)), "", $M$40/$M$41)))), IF(ISERROR(IF(OR(ISBLANK($M$40), ISBLANK($M$41)), "", $M$40/$M$41)), "", (IF(OR(ISBLANK($M$40), ISBLANK($M$41)), "", $M$40/$M$41))) = ""), "",IF(ISERROR(IF(OR(ISBLANK($M$40), ISBLANK($M$41)), "", $M$40/$M$41)), "", (IF(OR(ISBLANK($M$40), ISBLANK($M$41)), "", $M$40/$M$41))))</f>
        <v/>
      </c>
      <c r="N39">
        <f>IF(OR(ISBLANK(IF(ISERROR(IF(OR(ISBLANK($N$40), ISBLANK($N$41)), "", $N$40/$N$41)), "", (IF(OR(ISBLANK($N$40), ISBLANK($N$41)), "", $N$40/$N$41)))), IF(ISERROR(IF(OR(ISBLANK($N$40), ISBLANK($N$41)), "", $N$40/$N$41)), "", (IF(OR(ISBLANK($N$40), ISBLANK($N$41)), "", $N$40/$N$41))) = ""), 0.999772607,IF(ISERROR(IF(OR(ISBLANK($N$40), ISBLANK($N$41)), "", $N$40/$N$41)), "", (IF(OR(ISBLANK($N$40), ISBLANK($N$41)), "", $N$40/$N$41))))</f>
        <v>0.9997725869751849</v>
      </c>
      <c r="O39" t="str">
        <f>IF(OR(ISBLANK(IF(ISERROR(IF(OR(ISBLANK($O$40), ISBLANK($O$41)), "", $O$40/$O$41)), "", (IF(OR(ISBLANK($O$40), ISBLANK($O$41)), "", $O$40/$O$41)))), IF(ISERROR(IF(OR(ISBLANK($O$40), ISBLANK($O$41)), "", $O$40/$O$41)), "", (IF(OR(ISBLANK($O$40), ISBLANK($O$41)), "", $O$40/$O$41))) = ""), "",IF(ISERROR(IF(OR(ISBLANK($O$40), ISBLANK($O$41)), "", $O$40/$O$41)), "", (IF(OR(ISBLANK($O$40), ISBLANK($O$41)), "", $O$40/$O$41))))</f>
        <v/>
      </c>
      <c r="P39" t="str">
        <f>IF(OR(ISBLANK(IF(ISERROR(IF(OR(ISBLANK($P$40), ISBLANK($P$41)), "", $P$40/$P$41)), "", (IF(OR(ISBLANK($P$40), ISBLANK($P$41)), "", $P$40/$P$41)))), IF(ISERROR(IF(OR(ISBLANK($P$40), ISBLANK($P$41)), "", $P$40/$P$41)), "", (IF(OR(ISBLANK($P$40), ISBLANK($P$41)), "", $P$40/$P$41))) = ""), "",IF(ISERROR(IF(OR(ISBLANK($P$40), ISBLANK($P$41)), "", $P$40/$P$41)), "", (IF(OR(ISBLANK($P$40), ISBLANK($P$41)), "", $P$40/$P$41))))</f>
        <v/>
      </c>
      <c r="Q39">
        <f>IF(OR(ISBLANK(IF(ISERROR(IF(OR(ISBLANK($Q$40), ISBLANK($Q$41)), "", $Q$40/$Q$41)), "", (IF(OR(ISBLANK($Q$40), ISBLANK($Q$41)), "", $Q$40/$Q$41)))), IF(ISERROR(IF(OR(ISBLANK($Q$40), ISBLANK($Q$41)), "", $Q$40/$Q$41)), "", (IF(OR(ISBLANK($Q$40), ISBLANK($Q$41)), "", $Q$40/$Q$41))) = ""), 0.999892909,IF(ISERROR(IF(OR(ISBLANK($Q$40), ISBLANK($Q$41)), "", $Q$40/$Q$41)), "", (IF(OR(ISBLANK($Q$40), ISBLANK($Q$41)), "", $Q$40/$Q$41))))</f>
        <v>1.0003851338340075</v>
      </c>
      <c r="R39" t="str">
        <f>IF(OR(ISBLANK(IF(ISERROR(IF(OR(ISBLANK($R$40), ISBLANK($R$41)), "", $R$40/$R$41)), "", (IF(OR(ISBLANK($R$40), ISBLANK($R$41)), "", $R$40/$R$41)))), IF(ISERROR(IF(OR(ISBLANK($R$40), ISBLANK($R$41)), "", $R$40/$R$41)), "", (IF(OR(ISBLANK($R$40), ISBLANK($R$41)), "", $R$40/$R$41))) = ""), "",IF(ISERROR(IF(OR(ISBLANK($R$40), ISBLANK($R$41)), "", $R$40/$R$41)), "", (IF(OR(ISBLANK($R$40), ISBLANK($R$41)), "", $R$40/$R$41))))</f>
        <v/>
      </c>
      <c r="S39">
        <f>IF(OR(ISBLANK(IF(ISERROR(IF(OR(ISBLANK($S$40), ISBLANK($S$41)), "", $S$40/$S$41)), "", (IF(OR(ISBLANK($S$40), ISBLANK($S$41)), "", $S$40/$S$41)))), IF(ISERROR(IF(OR(ISBLANK($S$40), ISBLANK($S$41)), "", $S$40/$S$41)), "", (IF(OR(ISBLANK($S$40), ISBLANK($S$41)), "", $S$40/$S$41))) = ""), 1.000258242,IF(ISERROR(IF(OR(ISBLANK($S$40), ISBLANK($S$41)), "", $S$40/$S$41)), "", (IF(OR(ISBLANK($S$40), ISBLANK($S$41)), "", $S$40/$S$41))))</f>
        <v>1</v>
      </c>
      <c r="T39" t="str">
        <f>IF(OR(ISBLANK(IF(ISERROR(IF(OR(ISBLANK($T$40), ISBLANK($T$41)), "", $T$40/$T$41)), "", (IF(OR(ISBLANK($T$40), ISBLANK($T$41)), "", $T$40/$T$41)))), IF(ISERROR(IF(OR(ISBLANK($T$40), ISBLANK($T$41)), "", $T$40/$T$41)), "", (IF(OR(ISBLANK($T$40), ISBLANK($T$41)), "", $T$40/$T$41))) = ""), "",IF(ISERROR(IF(OR(ISBLANK($T$40), ISBLANK($T$41)), "", $T$40/$T$41)), "", (IF(OR(ISBLANK($T$40), ISBLANK($T$41)), "", $T$40/$T$41))))</f>
        <v/>
      </c>
      <c r="U39">
        <f>IF(OR(ISBLANK(IF(ISERROR(IF(OR(ISBLANK($U$40), ISBLANK($U$41)), "", $U$40/$U$41)), "", (IF(OR(ISBLANK($U$40), ISBLANK($U$41)), "", $U$40/$U$41)))), IF(ISERROR(IF(OR(ISBLANK($U$40), ISBLANK($U$41)), "", $U$40/$U$41)), "", (IF(OR(ISBLANK($U$40), ISBLANK($U$41)), "", $U$40/$U$41))) = ""), 0.999734113,IF(ISERROR(IF(OR(ISBLANK($U$40), ISBLANK($U$41)), "", $U$40/$U$41)), "", (IF(OR(ISBLANK($U$40), ISBLANK($U$41)), "", $U$40/$U$41))))</f>
        <v>1.0000913325417846</v>
      </c>
      <c r="V39" t="str">
        <f>IF(OR(ISBLANK(IF(ISERROR(IF(OR(ISBLANK($V$40), ISBLANK($V$41)), "", $V$40/$V$41)), "", (IF(OR(ISBLANK($V$40), ISBLANK($V$41)), "", $V$40/$V$41)))), IF(ISERROR(IF(OR(ISBLANK($V$40), ISBLANK($V$41)), "", $V$40/$V$41)), "", (IF(OR(ISBLANK($V$40), ISBLANK($V$41)), "", $V$40/$V$41))) = ""), "",IF(ISERROR(IF(OR(ISBLANK($V$40), ISBLANK($V$41)), "", $V$40/$V$41)), "", (IF(OR(ISBLANK($V$40), ISBLANK($V$41)), "", $V$40/$V$41))))</f>
        <v/>
      </c>
      <c r="W39">
        <f>IF(OR(ISBLANK(IF(ISERROR(IF(OR(ISBLANK($W$40), ISBLANK($W$41)), "", $W$40/$W$41)), "", (IF(OR(ISBLANK($W$40), ISBLANK($W$41)), "", $W$40/$W$41)))), IF(ISERROR(IF(OR(ISBLANK($W$40), ISBLANK($W$41)), "", $W$40/$W$41)), "", (IF(OR(ISBLANK($W$40), ISBLANK($W$41)), "", $W$40/$W$41))) = ""), 1.000476417,IF(ISERROR(IF(OR(ISBLANK($W$40), ISBLANK($W$41)), "", $W$40/$W$41)), "", (IF(OR(ISBLANK($W$40), ISBLANK($W$41)), "", $W$40/$W$41))))</f>
        <v>0.99984536879542285</v>
      </c>
      <c r="X39" t="str">
        <f>IF(OR(ISBLANK(IF(ISERROR(IF(OR(ISBLANK($X$40), ISBLANK($X$41)), "", $X$40/$X$41)), "", (IF(OR(ISBLANK($X$40), ISBLANK($X$41)), "", $X$40/$X$41)))), IF(ISERROR(IF(OR(ISBLANK($X$40), ISBLANK($X$41)), "", $X$40/$X$41)), "", (IF(OR(ISBLANK($X$40), ISBLANK($X$41)), "", $X$40/$X$41))) = ""), "",IF(ISERROR(IF(OR(ISBLANK($X$40), ISBLANK($X$41)), "", $X$40/$X$41)), "", (IF(OR(ISBLANK($X$40), ISBLANK($X$41)), "", $X$40/$X$41))))</f>
        <v/>
      </c>
      <c r="Y39">
        <f>IF(OR(ISBLANK(IF(ISERROR(IF(OR(ISBLANK($Y$40), ISBLANK($Y$41)), "", $Y$40/$Y$41)), "", (IF(OR(ISBLANK($Y$40), ISBLANK($Y$41)), "", $Y$40/$Y$41)))), IF(ISERROR(IF(OR(ISBLANK($Y$40), ISBLANK($Y$41)), "", $Y$40/$Y$41)), "", (IF(OR(ISBLANK($Y$40), ISBLANK($Y$41)), "", $Y$40/$Y$41))) = ""), 1,IF(ISERROR(IF(OR(ISBLANK($Y$40), ISBLANK($Y$41)), "", $Y$40/$Y$41)), "", (IF(OR(ISBLANK($Y$40), ISBLANK($Y$41)), "", $Y$40/$Y$41))))</f>
        <v>0.9997726066853635</v>
      </c>
      <c r="Z39" t="str">
        <f>IF(OR(ISBLANK(IF(ISERROR(IF(OR(ISBLANK($Z$40), ISBLANK($Z$41)), "", $Z$40/$Z$41)), "", (IF(OR(ISBLANK($Z$40), ISBLANK($Z$41)), "", $Z$40/$Z$41)))), IF(ISERROR(IF(OR(ISBLANK($Z$40), ISBLANK($Z$41)), "", $Z$40/$Z$41)), "", (IF(OR(ISBLANK($Z$40), ISBLANK($Z$41)), "", $Z$40/$Z$41))) = ""), "",IF(ISERROR(IF(OR(ISBLANK($Z$40), ISBLANK($Z$41)), "", $Z$40/$Z$41)), "", (IF(OR(ISBLANK($Z$40), ISBLANK($Z$41)), "", $Z$40/$Z$41))))</f>
        <v/>
      </c>
      <c r="AA39">
        <f>IF(OR(ISBLANK(IF(ISERROR(IF(OR(ISBLANK($AA$40), ISBLANK($AA$41)), "", $AA$40/$AA$41)), "", (IF(OR(ISBLANK($AA$40), ISBLANK($AA$41)), "", $AA$40/$AA$41)))), IF(ISERROR(IF(OR(ISBLANK($AA$40), ISBLANK($AA$41)), "", $AA$40/$AA$41)), "", (IF(OR(ISBLANK($AA$40), ISBLANK($AA$41)), "", $AA$40/$AA$41))) = ""), 1.001009082,IF(ISERROR(IF(OR(ISBLANK($AA$40), ISBLANK($AA$41)), "", $AA$40/$AA$41)), "", (IF(OR(ISBLANK($AA$40), ISBLANK($AA$41)), "", $AA$40/$AA$41))))</f>
        <v>1.001009104758162</v>
      </c>
      <c r="AB39">
        <f>IF(OR(ISBLANK(IF(ISERROR(IF(OR(ISBLANK($AB$40), ISBLANK($AB$41)), "", $AB$40/$AB$41)), "", (IF(OR(ISBLANK($AB$40), ISBLANK($AB$41)), "", $AB$40/$AB$41)))), IF(ISERROR(IF(OR(ISBLANK($AB$40), ISBLANK($AB$41)), "", $AB$40/$AB$41)), "", (IF(OR(ISBLANK($AB$40), ISBLANK($AB$41)), "", $AB$40/$AB$41))) = ""), "",IF(ISERROR(IF(OR(ISBLANK($AB$40), ISBLANK($AB$41)), "", $AB$40/$AB$41)), "", (IF(OR(ISBLANK($AB$40), ISBLANK($AB$41)), "", $AB$40/$AB$41))))</f>
        <v>0.99989294508082649</v>
      </c>
      <c r="AC39">
        <f>IF(OR(ISBLANK(IF(ISERROR(IF(OR(ISBLANK($AC$40), ISBLANK($AC$41)), "", $AC$40/$AC$41)), "", (IF(OR(ISBLANK($AC$40), ISBLANK($AC$41)), "", $AC$40/$AC$41)))), IF(ISERROR(IF(OR(ISBLANK($AC$40), ISBLANK($AC$41)), "", $AC$40/$AC$41)), "", (IF(OR(ISBLANK($AC$40), ISBLANK($AC$41)), "", $AC$40/$AC$41))) = ""), 0.999717992,IF(ISERROR(IF(OR(ISBLANK($AC$40), ISBLANK($AC$41)), "", $AC$40/$AC$41)), "", (IF(OR(ISBLANK($AC$40), ISBLANK($AC$41)), "", $AC$40/$AC$41))))</f>
        <v>0.99971801254966941</v>
      </c>
      <c r="AD39">
        <f>IF(OR(ISBLANK(IF(ISERROR(IF(OR(ISBLANK($AD$40), ISBLANK($AD$41)), "", $AD$40/$AD$41)), "", (IF(OR(ISBLANK($AD$40), ISBLANK($AD$41)), "", $AD$40/$AD$41)))), IF(ISERROR(IF(OR(ISBLANK($AD$40), ISBLANK($AD$41)), "", $AD$40/$AD$41)), "", (IF(OR(ISBLANK($AD$40), ISBLANK($AD$41)), "", $AD$40/$AD$41))) = ""), "",IF(ISERROR(IF(OR(ISBLANK($AD$40), ISBLANK($AD$41)), "", $AD$40/$AD$41)), "", (IF(OR(ISBLANK($AD$40), ISBLANK($AD$41)), "", $AD$40/$AD$41))))</f>
        <v>1.0002582422312127</v>
      </c>
      <c r="AE39" t="str">
        <f>IF(OR(ISBLANK(IF(ISERROR(IF(OR(ISBLANK($AE$40), ISBLANK($AE$41)), "", $AE$40/$AE$41)), "", (IF(OR(ISBLANK($AE$40), ISBLANK($AE$41)), "", $AE$40/$AE$41)))), IF(ISERROR(IF(OR(ISBLANK($AE$40), ISBLANK($AE$41)), "", $AE$40/$AE$41)), "", (IF(OR(ISBLANK($AE$40), ISBLANK($AE$41)), "", $AE$40/$AE$41))) = ""), "",IF(ISERROR(IF(OR(ISBLANK($AE$40), ISBLANK($AE$41)), "", $AE$40/$AE$41)), "", (IF(OR(ISBLANK($AE$40), ISBLANK($AE$41)), "", $AE$40/$AE$41))))</f>
        <v/>
      </c>
      <c r="AF39">
        <f>IF(OR(ISBLANK(IF(ISERROR(IF(OR(ISBLANK($AF$40), ISBLANK($AF$41)), "", $AF$40/$AF$41)), "", (IF(OR(ISBLANK($AF$40), ISBLANK($AF$41)), "", $AF$40/$AF$41)))), IF(ISERROR(IF(OR(ISBLANK($AF$40), ISBLANK($AF$41)), "", $AF$40/$AF$41)), "", (IF(OR(ISBLANK($AF$40), ISBLANK($AF$41)), "", $AF$40/$AF$41))) = ""), "",IF(ISERROR(IF(OR(ISBLANK($AF$40), ISBLANK($AF$41)), "", $AF$40/$AF$41)), "", (IF(OR(ISBLANK($AF$40), ISBLANK($AF$41)), "", $AF$40/$AF$41))))</f>
        <v>0.99973411326774786</v>
      </c>
      <c r="AG39">
        <f>IF(OR(ISBLANK(IF(ISERROR(IF(OR(ISBLANK($AG$40), ISBLANK($AG$41)), "", $AG$40/$AG$41)), "", (IF(OR(ISBLANK($AG$40), ISBLANK($AG$41)), "", $AG$40/$AG$41)))), IF(ISERROR(IF(OR(ISBLANK($AG$40), ISBLANK($AG$41)), "", $AG$40/$AG$41)), "", (IF(OR(ISBLANK($AG$40), ISBLANK($AG$41)), "", $AG$40/$AG$41))) = ""), 0.999808741,IF(ISERROR(IF(OR(ISBLANK($AG$40), ISBLANK($AG$41)), "", $AG$40/$AG$41)), "", (IF(OR(ISBLANK($AG$40), ISBLANK($AG$41)), "", $AG$40/$AG$41))))</f>
        <v>0.99980875441885098</v>
      </c>
      <c r="AH39">
        <f>IF(OR(ISBLANK(IF(ISERROR(IF(OR(ISBLANK($AH$40), ISBLANK($AH$41)), "", $AH$40/$AH$41)), "", (IF(OR(ISBLANK($AH$40), ISBLANK($AH$41)), "", $AH$40/$AH$41)))), IF(ISERROR(IF(OR(ISBLANK($AH$40), ISBLANK($AH$41)), "", $AH$40/$AH$41)), "", (IF(OR(ISBLANK($AH$40), ISBLANK($AH$41)), "", $AH$40/$AH$41))) = ""), 0.99970423,IF(ISERROR(IF(OR(ISBLANK($AH$40), ISBLANK($AH$41)), "", $AH$40/$AH$41)), "", (IF(OR(ISBLANK($AH$40), ISBLANK($AH$41)), "", $AH$40/$AH$41))))</f>
        <v>1.0004764173415912</v>
      </c>
      <c r="AI39" t="str">
        <f>IF(OR(ISBLANK(IF(ISERROR(IF(OR(ISBLANK($AI$40), ISBLANK($AI$41)), "", $AI$40/$AI$41)), "", (IF(OR(ISBLANK($AI$40), ISBLANK($AI$41)), "", $AI$40/$AI$41)))), IF(ISERROR(IF(OR(ISBLANK($AI$40), ISBLANK($AI$41)), "", $AI$40/$AI$41)), "", (IF(OR(ISBLANK($AI$40), ISBLANK($AI$41)), "", $AI$40/$AI$41))) = ""), "",IF(ISERROR(IF(OR(ISBLANK($AI$40), ISBLANK($AI$41)), "", $AI$40/$AI$41)), "", (IF(OR(ISBLANK($AI$40), ISBLANK($AI$41)), "", $AI$40/$AI$41))))</f>
        <v/>
      </c>
      <c r="AJ39">
        <f>IF(OR(ISBLANK(IF(ISERROR(IF(OR(ISBLANK($AJ$40), ISBLANK($AJ$41)), "", $AJ$40/$AJ$41)), "", (IF(OR(ISBLANK($AJ$40), ISBLANK($AJ$41)), "", $AJ$40/$AJ$41)))), IF(ISERROR(IF(OR(ISBLANK($AJ$40), ISBLANK($AJ$41)), "", $AJ$40/$AJ$41)), "", (IF(OR(ISBLANK($AJ$40), ISBLANK($AJ$41)), "", $AJ$40/$AJ$41))) = ""), 1.000674992,IF(ISERROR(IF(OR(ISBLANK($AJ$40), ISBLANK($AJ$41)), "", $AJ$40/$AJ$41)), "", (IF(OR(ISBLANK($AJ$40), ISBLANK($AJ$41)), "", $AJ$40/$AJ$41))))</f>
        <v>1</v>
      </c>
      <c r="AK39" t="str">
        <f>IF(OR(ISBLANK(IF(ISERROR(IF(OR(ISBLANK($AK$40), ISBLANK($AK$41)), "", $AK$40/$AK$41)), "", (IF(OR(ISBLANK($AK$40), ISBLANK($AK$41)), "", $AK$40/$AK$41)))), IF(ISERROR(IF(OR(ISBLANK($AK$40), ISBLANK($AK$41)), "", $AK$40/$AK$41)), "", (IF(OR(ISBLANK($AK$40), ISBLANK($AK$41)), "", $AK$40/$AK$41))) = ""), "",IF(ISERROR(IF(OR(ISBLANK($AK$40), ISBLANK($AK$41)), "", $AK$40/$AK$41)), "", (IF(OR(ISBLANK($AK$40), ISBLANK($AK$41)), "", $AK$40/$AK$41))))</f>
        <v/>
      </c>
      <c r="AL39">
        <f>IF(OR(ISBLANK(IF(ISERROR(IF(OR(ISBLANK($AL$40), ISBLANK($AL$41)), "", $AL$40/$AL$41)), "", (IF(OR(ISBLANK($AL$40), ISBLANK($AL$41)), "", $AL$40/$AL$41)))), IF(ISERROR(IF(OR(ISBLANK($AL$40), ISBLANK($AL$41)), "", $AL$40/$AL$41)), "", (IF(OR(ISBLANK($AL$40), ISBLANK($AL$41)), "", $AL$40/$AL$41))) = ""), 0.998747652,IF(ISERROR(IF(OR(ISBLANK($AL$40), ISBLANK($AL$41)), "", $AL$40/$AL$41)), "", (IF(OR(ISBLANK($AL$40), ISBLANK($AL$41)), "", $AL$40/$AL$41))))</f>
        <v>1.0010090817356205</v>
      </c>
      <c r="AM39" t="str">
        <f>IF(OR(ISBLANK(IF(ISERROR(IF(OR(ISBLANK($AM$40), ISBLANK($AM$41)), "", $AM$40/$AM$41)), "", (IF(OR(ISBLANK($AM$40), ISBLANK($AM$41)), "", $AM$40/$AM$41)))), IF(ISERROR(IF(OR(ISBLANK($AM$40), ISBLANK($AM$41)), "", $AM$40/$AM$41)), "", (IF(OR(ISBLANK($AM$40), ISBLANK($AM$41)), "", $AM$40/$AM$41))) = ""), "",IF(ISERROR(IF(OR(ISBLANK($AM$40), ISBLANK($AM$41)), "", $AM$40/$AM$41)), "", (IF(OR(ISBLANK($AM$40), ISBLANK($AM$41)), "", $AM$40/$AM$41))))</f>
        <v/>
      </c>
      <c r="AN39">
        <f>IF(OR(ISBLANK(IF(ISERROR(IF(OR(ISBLANK($AN$40), ISBLANK($AN$41)), "", $AN$40/$AN$41)), "", (IF(OR(ISBLANK($AN$40), ISBLANK($AN$41)), "", $AN$40/$AN$41)))), IF(ISERROR(IF(OR(ISBLANK($AN$40), ISBLANK($AN$41)), "", $AN$40/$AN$41)), "", (IF(OR(ISBLANK($AN$40), ISBLANK($AN$41)), "", $AN$40/$AN$41))) = ""), 1,IF(ISERROR(IF(OR(ISBLANK($AN$40), ISBLANK($AN$41)), "", $AN$40/$AN$41)), "", (IF(OR(ISBLANK($AN$40), ISBLANK($AN$41)), "", $AN$40/$AN$41))))</f>
        <v>0.99971799210377899</v>
      </c>
      <c r="AO39" t="str">
        <f>IF(OR(ISBLANK(IF(ISERROR(IF(OR(ISBLANK($AO$40), ISBLANK($AO$41)), "", $AO$40/$AO$41)), "", (IF(OR(ISBLANK($AO$40), ISBLANK($AO$41)), "", $AO$40/$AO$41)))), IF(ISERROR(IF(OR(ISBLANK($AO$40), ISBLANK($AO$41)), "", $AO$40/$AO$41)), "", (IF(OR(ISBLANK($AO$40), ISBLANK($AO$41)), "", $AO$40/$AO$41))) = ""), "",IF(ISERROR(IF(OR(ISBLANK($AO$40), ISBLANK($AO$41)), "", $AO$40/$AO$41)), "", (IF(OR(ISBLANK($AO$40), ISBLANK($AO$41)), "", $AO$40/$AO$41))))</f>
        <v/>
      </c>
      <c r="AP39" t="str">
        <f>IF(OR(ISBLANK(IF(ISERROR(IF(OR(ISBLANK($AP$40), ISBLANK($AP$41)), "", $AP$40/$AP$41)), "", (IF(OR(ISBLANK($AP$40), ISBLANK($AP$41)), "", $AP$40/$AP$41)))), IF(ISERROR(IF(OR(ISBLANK($AP$40), ISBLANK($AP$41)), "", $AP$40/$AP$41)), "", (IF(OR(ISBLANK($AP$40), ISBLANK($AP$41)), "", $AP$40/$AP$41))) = ""), "",IF(ISERROR(IF(OR(ISBLANK($AP$40), ISBLANK($AP$41)), "", $AP$40/$AP$41)), "", (IF(OR(ISBLANK($AP$40), ISBLANK($AP$41)), "", $AP$40/$AP$41))))</f>
        <v/>
      </c>
      <c r="AQ39">
        <f>IF(OR(ISBLANK(IF(ISERROR(IF(OR(ISBLANK($AQ$40), ISBLANK($AQ$41)), "", $AQ$40/$AQ$41)), "", (IF(OR(ISBLANK($AQ$40), ISBLANK($AQ$41)), "", $AQ$40/$AQ$41)))), IF(ISERROR(IF(OR(ISBLANK($AQ$40), ISBLANK($AQ$41)), "", $AQ$40/$AQ$41)), "", (IF(OR(ISBLANK($AQ$40), ISBLANK($AQ$41)), "", $AQ$40/$AQ$41))) = ""), 1.000870322,IF(ISERROR(IF(OR(ISBLANK($AQ$40), ISBLANK($AQ$41)), "", $AQ$40/$AQ$41)), "", (IF(OR(ISBLANK($AQ$40), ISBLANK($AQ$41)), "", $AQ$40/$AQ$41))))</f>
        <v>1.0008703281045841</v>
      </c>
      <c r="AR39">
        <f>IF(OR(ISBLANK(IF(ISERROR(IF(OR(ISBLANK($AR$40), ISBLANK($AR$41)), "", $AR$40/$AR$41)), "", (IF(OR(ISBLANK($AR$40), ISBLANK($AR$41)), "", $AR$40/$AR$41)))), IF(ISERROR(IF(OR(ISBLANK($AR$40), ISBLANK($AR$41)), "", $AR$40/$AR$41)), "", (IF(OR(ISBLANK($AR$40), ISBLANK($AR$41)), "", $AR$40/$AR$41))) = ""), "",IF(ISERROR(IF(OR(ISBLANK($AR$40), ISBLANK($AR$41)), "", $AR$40/$AR$41)), "", (IF(OR(ISBLANK($AR$40), ISBLANK($AR$41)), "", $AR$40/$AR$41))))</f>
        <v>0.99980874055656488</v>
      </c>
      <c r="AS39">
        <f>IF(OR(ISBLANK(IF(ISERROR(IF(OR(ISBLANK($AS$40), ISBLANK($AS$41)), "", $AS$40/$AS$41)), "", (IF(OR(ISBLANK($AS$40), ISBLANK($AS$41)), "", $AS$40/$AS$41)))), IF(ISERROR(IF(OR(ISBLANK($AS$40), ISBLANK($AS$41)), "", $AS$40/$AS$41)), "", (IF(OR(ISBLANK($AS$40), ISBLANK($AS$41)), "", $AS$40/$AS$41))) = ""), 1.000348554,IF(ISERROR(IF(OR(ISBLANK($AS$40), ISBLANK($AS$41)), "", $AS$40/$AS$41)), "", (IF(OR(ISBLANK($AS$40), ISBLANK($AS$41)), "", $AS$40/$AS$41))))</f>
        <v>0.99970422951789406</v>
      </c>
      <c r="AT39" t="str">
        <f>IF(OR(ISBLANK(IF(ISERROR(IF(OR(ISBLANK($AT$40), ISBLANK($AT$41)), "", $AT$40/$AT$41)), "", (IF(OR(ISBLANK($AT$40), ISBLANK($AT$41)), "", $AT$40/$AT$41)))), IF(ISERROR(IF(OR(ISBLANK($AT$40), ISBLANK($AT$41)), "", $AT$40/$AT$41)), "", (IF(OR(ISBLANK($AT$40), ISBLANK($AT$41)), "", $AT$40/$AT$41))) = ""), "",IF(ISERROR(IF(OR(ISBLANK($AT$40), ISBLANK($AT$41)), "", $AT$40/$AT$41)), "", (IF(OR(ISBLANK($AT$40), ISBLANK($AT$41)), "", $AT$40/$AT$41))))</f>
        <v/>
      </c>
      <c r="AU39">
        <f>IF(OR(ISBLANK(IF(ISERROR(IF(OR(ISBLANK($AU$40), ISBLANK($AU$41)), "", $AU$40/$AU$41)), "", (IF(OR(ISBLANK($AU$40), ISBLANK($AU$41)), "", $AU$40/$AU$41)))), IF(ISERROR(IF(OR(ISBLANK($AU$40), ISBLANK($AU$41)), "", $AU$40/$AU$41)), "", (IF(OR(ISBLANK($AU$40), ISBLANK($AU$41)), "", $AU$40/$AU$41))) = ""), 1,IF(ISERROR(IF(OR(ISBLANK($AU$40), ISBLANK($AU$41)), "", $AU$40/$AU$41)), "", (IF(OR(ISBLANK($AU$40), ISBLANK($AU$41)), "", $AU$40/$AU$41))))</f>
        <v>1.0006749915626054</v>
      </c>
      <c r="AV39" t="str">
        <f>IF(OR(ISBLANK(IF(ISERROR(IF(OR(ISBLANK($AV$40), ISBLANK($AV$41)), "", $AV$40/$AV$41)), "", (IF(OR(ISBLANK($AV$40), ISBLANK($AV$41)), "", $AV$40/$AV$41)))), IF(ISERROR(IF(OR(ISBLANK($AV$40), ISBLANK($AV$41)), "", $AV$40/$AV$41)), "", (IF(OR(ISBLANK($AV$40), ISBLANK($AV$41)), "", $AV$40/$AV$41))) = ""), "",IF(ISERROR(IF(OR(ISBLANK($AV$40), ISBLANK($AV$41)), "", $AV$40/$AV$41)), "", (IF(OR(ISBLANK($AV$40), ISBLANK($AV$41)), "", $AV$40/$AV$41))))</f>
        <v/>
      </c>
      <c r="AW39">
        <f>IF(OR(ISBLANK(IF(ISERROR(IF(OR(ISBLANK($AW$40), ISBLANK($AW$41)), "", $AW$40/$AW$41)), "", (IF(OR(ISBLANK($AW$40), ISBLANK($AW$41)), "", $AW$40/$AW$41)))), IF(ISERROR(IF(OR(ISBLANK($AW$40), ISBLANK($AW$41)), "", $AW$40/$AW$41)), "", (IF(OR(ISBLANK($AW$40), ISBLANK($AW$41)), "", $AW$40/$AW$41))) = ""), 0.999560311,IF(ISERROR(IF(OR(ISBLANK($AW$40), ISBLANK($AW$41)), "", $AW$40/$AW$41)), "", (IF(OR(ISBLANK($AW$40), ISBLANK($AW$41)), "", $AW$40/$AW$41))))</f>
        <v>0.99874765184721348</v>
      </c>
      <c r="AX39" t="str">
        <f>IF(OR(ISBLANK(IF(ISERROR(IF(OR(ISBLANK($AX$40), ISBLANK($AX$41)), "", $AX$40/$AX$41)), "", (IF(OR(ISBLANK($AX$40), ISBLANK($AX$41)), "", $AX$40/$AX$41)))), IF(ISERROR(IF(OR(ISBLANK($AX$40), ISBLANK($AX$41)), "", $AX$40/$AX$41)), "", (IF(OR(ISBLANK($AX$40), ISBLANK($AX$41)), "", $AX$40/$AX$41))) = ""), "",IF(ISERROR(IF(OR(ISBLANK($AX$40), ISBLANK($AX$41)), "", $AX$40/$AX$41)), "", (IF(OR(ISBLANK($AX$40), ISBLANK($AX$41)), "", $AX$40/$AX$41))))</f>
        <v/>
      </c>
      <c r="AY39">
        <f>IF(OR(ISBLANK(IF(ISERROR(IF(OR(ISBLANK($AY$40), ISBLANK($AY$41)), "", $AY$40/$AY$41)), "", (IF(OR(ISBLANK($AY$40), ISBLANK($AY$41)), "", $AY$40/$AY$41)))), IF(ISERROR(IF(OR(ISBLANK($AY$40), ISBLANK($AY$41)), "", $AY$40/$AY$41)), "", (IF(OR(ISBLANK($AY$40), ISBLANK($AY$41)), "", $AY$40/$AY$41))) = ""), "",IF(ISERROR(IF(OR(ISBLANK($AY$40), ISBLANK($AY$41)), "", $AY$40/$AY$41)), "", (IF(OR(ISBLANK($AY$40), ISBLANK($AY$41)), "", $AY$40/$AY$41))))</f>
        <v>1</v>
      </c>
      <c r="AZ39">
        <f>IF(OR(ISBLANK(IF(ISERROR(IF(OR(ISBLANK($AZ$40), ISBLANK($AZ$41)), "", $AZ$40/$AZ$41)), "", (IF(OR(ISBLANK($AZ$40), ISBLANK($AZ$41)), "", $AZ$40/$AZ$41)))), IF(ISERROR(IF(OR(ISBLANK($AZ$40), ISBLANK($AZ$41)), "", $AZ$40/$AZ$41)), "", (IF(OR(ISBLANK($AZ$40), ISBLANK($AZ$41)), "", $AZ$40/$AZ$41))) = ""), 1,IF(ISERROR(IF(OR(ISBLANK($AZ$40), ISBLANK($AZ$41)), "", $AZ$40/$AZ$41)), "", (IF(OR(ISBLANK($AZ$40), ISBLANK($AZ$41)), "", $AZ$40/$AZ$41))))</f>
        <v>1</v>
      </c>
      <c r="BA39">
        <f>IF(OR(ISBLANK(IF(ISERROR(IF(OR(ISBLANK($BA$40), ISBLANK($BA$41)), "", $BA$40/$BA$41)), "", (IF(OR(ISBLANK($BA$40), ISBLANK($BA$41)), "", $BA$40/$BA$41)))), IF(ISERROR(IF(OR(ISBLANK($BA$40), ISBLANK($BA$41)), "", $BA$40/$BA$41)), "", (IF(OR(ISBLANK($BA$40), ISBLANK($BA$41)), "", $BA$40/$BA$41))) = ""), 0.998881849,IF(ISERROR(IF(OR(ISBLANK($BA$40), ISBLANK($BA$41)), "", $BA$40/$BA$41)), "", (IF(OR(ISBLANK($BA$40), ISBLANK($BA$41)), "", $BA$40/$BA$41))))</f>
        <v>0.99888184088646959</v>
      </c>
      <c r="BB39">
        <f>IF(OR(ISBLANK(IF(ISERROR(IF(OR(ISBLANK($BB$40), ISBLANK($BB$41)), "", $BB$40/$BB$41)), "", (IF(OR(ISBLANK($BB$40), ISBLANK($BB$41)), "", $BB$40/$BB$41)))), IF(ISERROR(IF(OR(ISBLANK($BB$40), ISBLANK($BB$41)), "", $BB$40/$BB$41)), "", (IF(OR(ISBLANK($BB$40), ISBLANK($BB$41)), "", $BB$40/$BB$41))) = ""), "",IF(ISERROR(IF(OR(ISBLANK($BB$40), ISBLANK($BB$41)), "", $BB$40/$BB$41)), "", (IF(OR(ISBLANK($BB$40), ISBLANK($BB$41)), "", $BB$40/$BB$41))))</f>
        <v>1.0008703220191471</v>
      </c>
      <c r="BC39" t="str">
        <f>IF(OR(ISBLANK(IF(ISERROR(IF(OR(ISBLANK($BC$40), ISBLANK($BC$41)), "", $BC$40/$BC$41)), "", (IF(OR(ISBLANK($BC$40), ISBLANK($BC$41)), "", $BC$40/$BC$41)))), IF(ISERROR(IF(OR(ISBLANK($BC$40), ISBLANK($BC$41)), "", $BC$40/$BC$41)), "", (IF(OR(ISBLANK($BC$40), ISBLANK($BC$41)), "", $BC$40/$BC$41))) = ""), "",IF(ISERROR(IF(OR(ISBLANK($BC$40), ISBLANK($BC$41)), "", $BC$40/$BC$41)), "", (IF(OR(ISBLANK($BC$40), ISBLANK($BC$41)), "", $BC$40/$BC$41))))</f>
        <v/>
      </c>
      <c r="BD39">
        <f>IF(OR(ISBLANK(IF(ISERROR(IF(OR(ISBLANK($BD$40), ISBLANK($BD$41)), "", $BD$40/$BD$41)), "", (IF(OR(ISBLANK($BD$40), ISBLANK($BD$41)), "", $BD$40/$BD$41)))), IF(ISERROR(IF(OR(ISBLANK($BD$40), ISBLANK($BD$41)), "", $BD$40/$BD$41)), "", (IF(OR(ISBLANK($BD$40), ISBLANK($BD$41)), "", $BD$40/$BD$41))) = ""), 1.001131222,IF(ISERROR(IF(OR(ISBLANK($BD$40), ISBLANK($BD$41)), "", $BD$40/$BD$41)), "", (IF(OR(ISBLANK($BD$40), ISBLANK($BD$41)), "", $BD$40/$BD$41))))</f>
        <v>1.0003485535029628</v>
      </c>
      <c r="BE39" t="str">
        <f>IF(OR(ISBLANK(IF(ISERROR(IF(OR(ISBLANK($BE$40), ISBLANK($BE$41)), "", $BE$40/$BE$41)), "", (IF(OR(ISBLANK($BE$40), ISBLANK($BE$41)), "", $BE$40/$BE$41)))), IF(ISERROR(IF(OR(ISBLANK($BE$40), ISBLANK($BE$41)), "", $BE$40/$BE$41)), "", (IF(OR(ISBLANK($BE$40), ISBLANK($BE$41)), "", $BE$40/$BE$41))) = ""), "",IF(ISERROR(IF(OR(ISBLANK($BE$40), ISBLANK($BE$41)), "", $BE$40/$BE$41)), "", (IF(OR(ISBLANK($BE$40), ISBLANK($BE$41)), "", $BE$40/$BE$41))))</f>
        <v/>
      </c>
      <c r="BF39">
        <f>IF(OR(ISBLANK(IF(ISERROR(IF(OR(ISBLANK($BF$40), ISBLANK($BF$41)), "", $BF$40/$BF$41)), "", (IF(OR(ISBLANK($BF$40), ISBLANK($BF$41)), "", $BF$40/$BF$41)))), IF(ISERROR(IF(OR(ISBLANK($BF$40), ISBLANK($BF$41)), "", $BF$40/$BF$41)), "", (IF(OR(ISBLANK($BF$40), ISBLANK($BF$41)), "", $BF$40/$BF$41))) = ""), 1.000316556,IF(ISERROR(IF(OR(ISBLANK($BF$40), ISBLANK($BF$41)), "", $BF$40/$BF$41)), "", (IF(OR(ISBLANK($BF$40), ISBLANK($BF$41)), "", $BF$40/$BF$41))))</f>
        <v>1</v>
      </c>
      <c r="BG39" t="str">
        <f>IF(OR(ISBLANK(IF(ISERROR(IF(OR(ISBLANK($BG$40), ISBLANK($BG$41)), "", $BG$40/$BG$41)), "", (IF(OR(ISBLANK($BG$40), ISBLANK($BG$41)), "", $BG$40/$BG$41)))), IF(ISERROR(IF(OR(ISBLANK($BG$40), ISBLANK($BG$41)), "", $BG$40/$BG$41)), "", (IF(OR(ISBLANK($BG$40), ISBLANK($BG$41)), "", $BG$40/$BG$41))) = ""), "",IF(ISERROR(IF(OR(ISBLANK($BG$40), ISBLANK($BG$41)), "", $BG$40/$BG$41)), "", (IF(OR(ISBLANK($BG$40), ISBLANK($BG$41)), "", $BG$40/$BG$41))))</f>
        <v/>
      </c>
      <c r="BH39">
        <f>IF(OR(ISBLANK(IF(ISERROR(IF(OR(ISBLANK($BH$40), ISBLANK($BH$41)), "", $BH$40/$BH$41)), "", (IF(OR(ISBLANK($BH$40), ISBLANK($BH$41)), "", $BH$40/$BH$41)))), IF(ISERROR(IF(OR(ISBLANK($BH$40), ISBLANK($BH$41)), "", $BH$40/$BH$41)), "", (IF(OR(ISBLANK($BH$40), ISBLANK($BH$41)), "", $BH$40/$BH$41))) = ""), 0.999721526,IF(ISERROR(IF(OR(ISBLANK($BH$40), ISBLANK($BH$41)), "", $BH$40/$BH$41)), "", (IF(OR(ISBLANK($BH$40), ISBLANK($BH$41)), "", $BH$40/$BH$41))))</f>
        <v>0.99956031071376228</v>
      </c>
      <c r="BI39" t="str">
        <f>IF(OR(ISBLANK(IF(ISERROR(IF(OR(ISBLANK($BI$40), ISBLANK($BI$41)), "", $BI$40/$BI$41)), "", (IF(OR(ISBLANK($BI$40), ISBLANK($BI$41)), "", $BI$40/$BI$41)))), IF(ISERROR(IF(OR(ISBLANK($BI$40), ISBLANK($BI$41)), "", $BI$40/$BI$41)), "", (IF(OR(ISBLANK($BI$40), ISBLANK($BI$41)), "", $BI$40/$BI$41))) = ""), "",IF(ISERROR(IF(OR(ISBLANK($BI$40), ISBLANK($BI$41)), "", $BI$40/$BI$41)), "", (IF(OR(ISBLANK($BI$40), ISBLANK($BI$41)), "", $BI$40/$BI$41))))</f>
        <v/>
      </c>
      <c r="BJ39">
        <f>IF(OR(ISBLANK(IF(ISERROR(IF(OR(ISBLANK($BJ$40), ISBLANK($BJ$41)), "", $BJ$40/$BJ$41)), "", (IF(OR(ISBLANK($BJ$40), ISBLANK($BJ$41)), "", $BJ$40/$BJ$41)))), IF(ISERROR(IF(OR(ISBLANK($BJ$40), ISBLANK($BJ$41)), "", $BJ$40/$BJ$41)), "", (IF(OR(ISBLANK($BJ$40), ISBLANK($BJ$41)), "", $BJ$40/$BJ$41))) = ""), 1,IF(ISERROR(IF(OR(ISBLANK($BJ$40), ISBLANK($BJ$41)), "", $BJ$40/$BJ$41)), "", (IF(OR(ISBLANK($BJ$40), ISBLANK($BJ$41)), "", $BJ$40/$BJ$41))))</f>
        <v>1</v>
      </c>
      <c r="BK39">
        <f>IF(OR(ISBLANK(IF(ISERROR(IF(OR(ISBLANK($BK$40), ISBLANK($BK$41)), "", $BK$40/$BK$41)), "", (IF(OR(ISBLANK($BK$40), ISBLANK($BK$41)), "", $BK$40/$BK$41)))), IF(ISERROR(IF(OR(ISBLANK($BK$40), ISBLANK($BK$41)), "", $BK$40/$BK$41)), "", (IF(OR(ISBLANK($BK$40), ISBLANK($BK$41)), "", $BK$40/$BK$41))) = ""), "",IF(ISERROR(IF(OR(ISBLANK($BK$40), ISBLANK($BK$41)), "", $BK$40/$BK$41)), "", (IF(OR(ISBLANK($BK$40), ISBLANK($BK$41)), "", $BK$40/$BK$41))))</f>
        <v>1</v>
      </c>
      <c r="BL39">
        <f>IF(OR(ISBLANK(IF(ISERROR(IF(OR(ISBLANK($BL$40), ISBLANK($BL$41)), "", $BL$40/$BL$41)), "", (IF(OR(ISBLANK($BL$40), ISBLANK($BL$41)), "", $BL$40/$BL$41)))), IF(ISERROR(IF(OR(ISBLANK($BL$40), ISBLANK($BL$41)), "", $BL$40/$BL$41)), "", (IF(OR(ISBLANK($BL$40), ISBLANK($BL$41)), "", $BL$40/$BL$41))) = ""), "",IF(ISERROR(IF(OR(ISBLANK($BL$40), ISBLANK($BL$41)), "", $BL$40/$BL$41)), "", (IF(OR(ISBLANK($BL$40), ISBLANK($BL$41)), "", $BL$40/$BL$41))))</f>
        <v>0.99888184867685437</v>
      </c>
      <c r="BM39">
        <f>IF(OR(ISBLANK(IF(ISERROR(IF(OR(ISBLANK($BM$40), ISBLANK($BM$41)), "", $BM$40/$BM$41)), "", (IF(OR(ISBLANK($BM$40), ISBLANK($BM$41)), "", $BM$40/$BM$41)))), IF(ISERROR(IF(OR(ISBLANK($BM$40), ISBLANK($BM$41)), "", $BM$40/$BM$41)), "", (IF(OR(ISBLANK($BM$40), ISBLANK($BM$41)), "", $BM$40/$BM$41))) = ""), 1,IF(ISERROR(IF(OR(ISBLANK($BM$40), ISBLANK($BM$41)), "", $BM$40/$BM$41)), "", (IF(OR(ISBLANK($BM$40), ISBLANK($BM$41)), "", $BM$40/$BM$41))))</f>
        <v>1</v>
      </c>
      <c r="BN39" t="str">
        <f>IF(OR(ISBLANK(IF(ISERROR(IF(OR(ISBLANK($BN$40), ISBLANK($BN$41)), "", $BN$40/$BN$41)), "", (IF(OR(ISBLANK($BN$40), ISBLANK($BN$41)), "", $BN$40/$BN$41)))), IF(ISERROR(IF(OR(ISBLANK($BN$40), ISBLANK($BN$41)), "", $BN$40/$BN$41)), "", (IF(OR(ISBLANK($BN$40), ISBLANK($BN$41)), "", $BN$40/$BN$41))) = ""), "",IF(ISERROR(IF(OR(ISBLANK($BN$40), ISBLANK($BN$41)), "", $BN$40/$BN$41)), "", (IF(OR(ISBLANK($BN$40), ISBLANK($BN$41)), "", $BN$40/$BN$41))))</f>
        <v/>
      </c>
      <c r="BO39">
        <f>IF(OR(ISBLANK(IF(ISERROR(IF(OR(ISBLANK($BO$40), ISBLANK($BO$41)), "", $BO$40/$BO$41)), "", (IF(OR(ISBLANK($BO$40), ISBLANK($BO$41)), "", $BO$40/$BO$41)))), IF(ISERROR(IF(OR(ISBLANK($BO$40), ISBLANK($BO$41)), "", $BO$40/$BO$41)), "", (IF(OR(ISBLANK($BO$40), ISBLANK($BO$41)), "", $BO$40/$BO$41))) = ""), 1.001007726,IF(ISERROR(IF(OR(ISBLANK($BO$40), ISBLANK($BO$41)), "", $BO$40/$BO$41)), "", (IF(OR(ISBLANK($BO$40), ISBLANK($BO$41)), "", $BO$40/$BO$41))))</f>
        <v>1.001131221719457</v>
      </c>
      <c r="BP39" t="str">
        <f>IF(OR(ISBLANK(IF(ISERROR(IF(OR(ISBLANK($BP$40), ISBLANK($BP$41)), "", $BP$40/$BP$41)), "", (IF(OR(ISBLANK($BP$40), ISBLANK($BP$41)), "", $BP$40/$BP$41)))), IF(ISERROR(IF(OR(ISBLANK($BP$40), ISBLANK($BP$41)), "", $BP$40/$BP$41)), "", (IF(OR(ISBLANK($BP$40), ISBLANK($BP$41)), "", $BP$40/$BP$41))) = ""), "",IF(ISERROR(IF(OR(ISBLANK($BP$40), ISBLANK($BP$41)), "", $BP$40/$BP$41)), "", (IF(OR(ISBLANK($BP$40), ISBLANK($BP$41)), "", $BP$40/$BP$41))))</f>
        <v/>
      </c>
      <c r="BQ39">
        <f>IF(OR(ISBLANK(IF(ISERROR(IF(OR(ISBLANK($BQ$40), ISBLANK($BQ$41)), "", $BQ$40/$BQ$41)), "", (IF(OR(ISBLANK($BQ$40), ISBLANK($BQ$41)), "", $BQ$40/$BQ$41)))), IF(ISERROR(IF(OR(ISBLANK($BQ$40), ISBLANK($BQ$41)), "", $BQ$40/$BQ$41)), "", (IF(OR(ISBLANK($BQ$40), ISBLANK($BQ$41)), "", $BQ$40/$BQ$41))) = ""), 1.000193836,IF(ISERROR(IF(OR(ISBLANK($BQ$40), ISBLANK($BQ$41)), "", $BQ$40/$BQ$41)), "", (IF(OR(ISBLANK($BQ$40), ISBLANK($BQ$41)), "", $BQ$40/$BQ$41))))</f>
        <v>1.0003165558721114</v>
      </c>
      <c r="BR39" t="str">
        <f>IF(OR(ISBLANK(IF(ISERROR(IF(OR(ISBLANK($BR$40), ISBLANK($BR$41)), "", $BR$40/$BR$41)), "", (IF(OR(ISBLANK($BR$40), ISBLANK($BR$41)), "", $BR$40/$BR$41)))), IF(ISERROR(IF(OR(ISBLANK($BR$40), ISBLANK($BR$41)), "", $BR$40/$BR$41)), "", (IF(OR(ISBLANK($BR$40), ISBLANK($BR$41)), "", $BR$40/$BR$41))) = ""), "",IF(ISERROR(IF(OR(ISBLANK($BR$40), ISBLANK($BR$41)), "", $BR$40/$BR$41)), "", (IF(OR(ISBLANK($BR$40), ISBLANK($BR$41)), "", $BR$40/$BR$41))))</f>
        <v/>
      </c>
      <c r="BS39">
        <f>IF(OR(ISBLANK(IF(ISERROR(IF(OR(ISBLANK($BS$40), ISBLANK($BS$41)), "", $BS$40/$BS$41)), "", (IF(OR(ISBLANK($BS$40), ISBLANK($BS$41)), "", $BS$40/$BS$41)))), IF(ISERROR(IF(OR(ISBLANK($BS$40), ISBLANK($BS$41)), "", $BS$40/$BS$41)), "", (IF(OR(ISBLANK($BS$40), ISBLANK($BS$41)), "", $BS$40/$BS$41))) = ""), 0.9996708,IF(ISERROR(IF(OR(ISBLANK($BS$40), ISBLANK($BS$41)), "", $BS$40/$BS$41)), "", (IF(OR(ISBLANK($BS$40), ISBLANK($BS$41)), "", $BS$40/$BS$41))))</f>
        <v>0.99972152603731546</v>
      </c>
      <c r="BT39" t="str">
        <f>IF(OR(ISBLANK(IF(ISERROR(IF(OR(ISBLANK($BT$40), ISBLANK($BT$41)), "", $BT$40/$BT$41)), "", (IF(OR(ISBLANK($BT$40), ISBLANK($BT$41)), "", $BT$40/$BT$41)))), IF(ISERROR(IF(OR(ISBLANK($BT$40), ISBLANK($BT$41)), "", $BT$40/$BT$41)), "", (IF(OR(ISBLANK($BT$40), ISBLANK($BT$41)), "", $BT$40/$BT$41))) = ""), "",IF(ISERROR(IF(OR(ISBLANK($BT$40), ISBLANK($BT$41)), "", $BT$40/$BT$41)), "", (IF(OR(ISBLANK($BT$40), ISBLANK($BT$41)), "", $BT$40/$BT$41))))</f>
        <v/>
      </c>
      <c r="BU39">
        <f>IF(OR(ISBLANK(IF(ISERROR(IF(OR(ISBLANK($BU$40), ISBLANK($BU$41)), "", $BU$40/$BU$41)), "", (IF(OR(ISBLANK($BU$40), ISBLANK($BU$41)), "", $BU$40/$BU$41)))), IF(ISERROR(IF(OR(ISBLANK($BU$40), ISBLANK($BU$41)), "", $BU$40/$BU$41)), "", (IF(OR(ISBLANK($BU$40), ISBLANK($BU$41)), "", $BU$40/$BU$41))) = ""), 1.000475285,IF(ISERROR(IF(OR(ISBLANK($BU$40), ISBLANK($BU$41)), "", $BU$40/$BU$41)), "", (IF(OR(ISBLANK($BU$40), ISBLANK($BU$41)), "", $BU$40/$BU$41))))</f>
        <v>1</v>
      </c>
      <c r="BV39" t="str">
        <f>IF(OR(ISBLANK(IF(ISERROR(IF(OR(ISBLANK($BV$40), ISBLANK($BV$41)), "", $BV$40/$BV$41)), "", (IF(OR(ISBLANK($BV$40), ISBLANK($BV$41)), "", $BV$40/$BV$41)))), IF(ISERROR(IF(OR(ISBLANK($BV$40), ISBLANK($BV$41)), "", $BV$40/$BV$41)), "", (IF(OR(ISBLANK($BV$40), ISBLANK($BV$41)), "", $BV$40/$BV$41))) = ""), "",IF(ISERROR(IF(OR(ISBLANK($BV$40), ISBLANK($BV$41)), "", $BV$40/$BV$41)), "", (IF(OR(ISBLANK($BV$40), ISBLANK($BV$41)), "", $BV$40/$BV$41))))</f>
        <v/>
      </c>
      <c r="BW39">
        <f>IF(OR(ISBLANK(IF(ISERROR(IF(OR(ISBLANK($BW$40), ISBLANK($BW$41)), "", $BW$40/$BW$41)), "", (IF(OR(ISBLANK($BW$40), ISBLANK($BW$41)), "", $BW$40/$BW$41)))), IF(ISERROR(IF(OR(ISBLANK($BW$40), ISBLANK($BW$41)), "", $BW$40/$BW$41)), "", (IF(OR(ISBLANK($BW$40), ISBLANK($BW$41)), "", $BW$40/$BW$41))) = ""), 1.000240154,IF(ISERROR(IF(OR(ISBLANK($BW$40), ISBLANK($BW$41)), "", $BW$40/$BW$41)), "", (IF(OR(ISBLANK($BW$40), ISBLANK($BW$41)), "", $BW$40/$BW$41))))</f>
        <v>1.0002401362852342</v>
      </c>
      <c r="BX39">
        <f>IF(OR(ISBLANK(IF(ISERROR(IF(OR(ISBLANK($BX$40), ISBLANK($BX$41)), "", $BX$40/$BX$41)), "", (IF(OR(ISBLANK($BX$40), ISBLANK($BX$41)), "", $BX$40/$BX$41)))), IF(ISERROR(IF(OR(ISBLANK($BX$40), ISBLANK($BX$41)), "", $BX$40/$BX$41)), "", (IF(OR(ISBLANK($BX$40), ISBLANK($BX$41)), "", $BX$40/$BX$41))) = ""), "",IF(ISERROR(IF(OR(ISBLANK($BX$40), ISBLANK($BX$41)), "", $BX$40/$BX$41)), "", (IF(OR(ISBLANK($BX$40), ISBLANK($BX$41)), "", $BX$40/$BX$41))))</f>
        <v>1</v>
      </c>
      <c r="BY39">
        <f>IF(OR(ISBLANK(IF(ISERROR(IF(OR(ISBLANK($BY$40), ISBLANK($BY$41)), "", $BY$40/$BY$41)), "", (IF(OR(ISBLANK($BY$40), ISBLANK($BY$41)), "", $BY$40/$BY$41)))), IF(ISERROR(IF(OR(ISBLANK($BY$40), ISBLANK($BY$41)), "", $BY$40/$BY$41)), "", (IF(OR(ISBLANK($BY$40), ISBLANK($BY$41)), "", $BY$40/$BY$41))) = ""), 1.000128883,IF(ISERROR(IF(OR(ISBLANK($BY$40), ISBLANK($BY$41)), "", $BY$40/$BY$41)), "", (IF(OR(ISBLANK($BY$40), ISBLANK($BY$41)), "", $BY$40/$BY$41))))</f>
        <v>1.000128934659436</v>
      </c>
      <c r="BZ39">
        <f>IF(OR(ISBLANK(IF(ISERROR(IF(OR(ISBLANK($BZ$40), ISBLANK($BZ$41)), "", $BZ$40/$BZ$41)), "", (IF(OR(ISBLANK($BZ$40), ISBLANK($BZ$41)), "", $BZ$40/$BZ$41)))), IF(ISERROR(IF(OR(ISBLANK($BZ$40), ISBLANK($BZ$41)), "", $BZ$40/$BZ$41)), "", (IF(OR(ISBLANK($BZ$40), ISBLANK($BZ$41)), "", $BZ$40/$BZ$41))) = ""), "",IF(ISERROR(IF(OR(ISBLANK($BZ$40), ISBLANK($BZ$41)), "", $BZ$40/$BZ$41)), "", (IF(OR(ISBLANK($BZ$40), ISBLANK($BZ$41)), "", $BZ$40/$BZ$41))))</f>
        <v>1.0010077258985557</v>
      </c>
      <c r="CA39">
        <f>IF(OR(ISBLANK(IF(ISERROR(IF(OR(ISBLANK($CA$40), ISBLANK($CA$41)), "", $CA$40/$CA$41)), "", (IF(OR(ISBLANK($CA$40), ISBLANK($CA$41)), "", $CA$40/$CA$41)))), IF(ISERROR(IF(OR(ISBLANK($CA$40), ISBLANK($CA$41)), "", $CA$40/$CA$41)), "", (IF(OR(ISBLANK($CA$40), ISBLANK($CA$41)), "", $CA$40/$CA$41))) = ""), 0.999192028,IF(ISERROR(IF(OR(ISBLANK($CA$40), ISBLANK($CA$41)), "", $CA$40/$CA$41)), "", (IF(OR(ISBLANK($CA$40), ISBLANK($CA$41)), "", $CA$40/$CA$41))))</f>
        <v>0.99919202236673055</v>
      </c>
      <c r="CB39">
        <f>IF(OR(ISBLANK(IF(ISERROR(IF(OR(ISBLANK($CB$40), ISBLANK($CB$41)), "", $CB$40/$CB$41)), "", (IF(OR(ISBLANK($CB$40), ISBLANK($CB$41)), "", $CB$40/$CB$41)))), IF(ISERROR(IF(OR(ISBLANK($CB$40), ISBLANK($CB$41)), "", $CB$40/$CB$41)), "", (IF(OR(ISBLANK($CB$40), ISBLANK($CB$41)), "", $CB$40/$CB$41))) = ""), "",IF(ISERROR(IF(OR(ISBLANK($CB$40), ISBLANK($CB$41)), "", $CB$40/$CB$41)), "", (IF(OR(ISBLANK($CB$40), ISBLANK($CB$41)), "", $CB$40/$CB$41))))</f>
        <v>1.0001938360147316</v>
      </c>
      <c r="CC39">
        <f>IF(OR(ISBLANK(IF(ISERROR(IF(OR(ISBLANK($CC$40), ISBLANK($CC$41)), "", $CC$40/$CC$41)), "", (IF(OR(ISBLANK($CC$40), ISBLANK($CC$41)), "", $CC$40/$CC$41)))), IF(ISERROR(IF(OR(ISBLANK($CC$40), ISBLANK($CC$41)), "", $CC$40/$CC$41)), "", (IF(OR(ISBLANK($CC$40), ISBLANK($CC$41)), "", $CC$40/$CC$41))) = ""), 1.00047824,IF(ISERROR(IF(OR(ISBLANK($CC$40), ISBLANK($CC$41)), "", $CC$40/$CC$41)), "", (IF(OR(ISBLANK($CC$40), ISBLANK($CC$41)), "", $CC$40/$CC$41))))</f>
        <v>1.0004782515579398</v>
      </c>
      <c r="CD39">
        <f>IF(OR(ISBLANK(IF(ISERROR(IF(OR(ISBLANK($CD$40), ISBLANK($CD$41)), "", $CD$40/$CD$41)), "", (IF(OR(ISBLANK($CD$40), ISBLANK($CD$41)), "", $CD$40/$CD$41)))), IF(ISERROR(IF(OR(ISBLANK($CD$40), ISBLANK($CD$41)), "", $CD$40/$CD$41)), "", (IF(OR(ISBLANK($CD$40), ISBLANK($CD$41)), "", $CD$40/$CD$41))) = ""), "",IF(ISERROR(IF(OR(ISBLANK($CD$40), ISBLANK($CD$41)), "", $CD$40/$CD$41)), "", (IF(OR(ISBLANK($CD$40), ISBLANK($CD$41)), "", $CD$40/$CD$41))))</f>
        <v>0.99967079995610664</v>
      </c>
      <c r="CE39" t="str">
        <f>IF(OR(ISBLANK(IF(ISERROR(IF(OR(ISBLANK($CE$40), ISBLANK($CE$41)), "", $CE$40/$CE$41)), "", (IF(OR(ISBLANK($CE$40), ISBLANK($CE$41)), "", $CE$40/$CE$41)))), IF(ISERROR(IF(OR(ISBLANK($CE$40), ISBLANK($CE$41)), "", $CE$40/$CE$41)), "", (IF(OR(ISBLANK($CE$40), ISBLANK($CE$41)), "", $CE$40/$CE$41))) = ""), "",IF(ISERROR(IF(OR(ISBLANK($CE$40), ISBLANK($CE$41)), "", $CE$40/$CE$41)), "", (IF(OR(ISBLANK($CE$40), ISBLANK($CE$41)), "", $CE$40/$CE$41))))</f>
        <v/>
      </c>
      <c r="CF39">
        <f>IF(OR(ISBLANK(IF(ISERROR(IF(OR(ISBLANK($CF$40), ISBLANK($CF$41)), "", $CF$40/$CF$41)), "", (IF(OR(ISBLANK($CF$40), ISBLANK($CF$41)), "", $CF$40/$CF$41)))), IF(ISERROR(IF(OR(ISBLANK($CF$40), ISBLANK($CF$41)), "", $CF$40/$CF$41)), "", (IF(OR(ISBLANK($CF$40), ISBLANK($CF$41)), "", $CF$40/$CF$41))) = ""), "",IF(ISERROR(IF(OR(ISBLANK($CF$40), ISBLANK($CF$41)), "", $CF$40/$CF$41)), "", (IF(OR(ISBLANK($CF$40), ISBLANK($CF$41)), "", $CF$40/$CF$41))))</f>
        <v>1.0004752851711025</v>
      </c>
      <c r="CG39">
        <f>IF(OR(ISBLANK(IF(ISERROR(IF(OR(ISBLANK($CG$40), ISBLANK($CG$41)), "", $CG$40/$CG$41)), "", (IF(OR(ISBLANK($CG$40), ISBLANK($CG$41)), "", $CG$40/$CG$41)))), IF(ISERROR(IF(OR(ISBLANK($CG$40), ISBLANK($CG$41)), "", $CG$40/$CG$41)), "", (IF(OR(ISBLANK($CG$40), ISBLANK($CG$41)), "", $CG$40/$CG$41))) = ""), 0.999866328,IF(ISERROR(IF(OR(ISBLANK($CG$40), ISBLANK($CG$41)), "", $CG$40/$CG$41)), "", (IF(OR(ISBLANK($CG$40), ISBLANK($CG$41)), "", $CG$40/$CG$41))))</f>
        <v>0.99986633805542702</v>
      </c>
    </row>
    <row r="40" spans="1:85" x14ac:dyDescent="0.25">
      <c r="A40" t="str">
        <f>"            Bid Amount"</f>
        <v xml:space="preserve">            Bid Amount</v>
      </c>
      <c r="B40" t="str">
        <f>"ECBALTB Index"</f>
        <v>ECBALTB Index</v>
      </c>
      <c r="C40" t="str">
        <f>"PR005"</f>
        <v>PR005</v>
      </c>
      <c r="D40" t="str">
        <f>"PX_LAST"</f>
        <v>PX_LAST</v>
      </c>
      <c r="E40" t="str">
        <f>"Dynamic"</f>
        <v>Dynamic</v>
      </c>
      <c r="F40" t="e">
        <f ca="1">IF(OR(ISBLANK($F$129), $F$129 = ""), "",$F$129)</f>
        <v>#N/A</v>
      </c>
      <c r="G40" t="str">
        <f>IF(OR(ISBLANK($G$129), $G$129 = ""), "",$G$129)</f>
        <v/>
      </c>
      <c r="H40">
        <f>IF(OR(ISBLANK($H$129), $H$129 = ""), 9.970000267,$H$129)</f>
        <v>7.24</v>
      </c>
      <c r="I40" t="str">
        <f>IF(OR(ISBLANK($I$129), $I$129 = ""), "",$I$129)</f>
        <v/>
      </c>
      <c r="J40">
        <f>IF(OR(ISBLANK($J$129), $J$129 = ""), 10.94999981,$J$129)</f>
        <v>10.94999981</v>
      </c>
      <c r="K40" t="str">
        <f>IF(OR(ISBLANK($K$129), $K$129 = ""), "",$K$129)</f>
        <v/>
      </c>
      <c r="L40">
        <f>IF(OR(ISBLANK($L$129), $L$129 = ""), 32.33000183,$L$129)</f>
        <v>6.79</v>
      </c>
      <c r="M40" t="str">
        <f>IF(OR(ISBLANK($M$129), $M$129 = ""), "",$M$129)</f>
        <v/>
      </c>
      <c r="N40">
        <f>IF(OR(ISBLANK($N$129), $N$129 = ""), 13.18999958,$N$129)</f>
        <v>13.18999958</v>
      </c>
      <c r="O40" t="str">
        <f>IF(OR(ISBLANK($O$129), $O$129 = ""), "",$O$129)</f>
        <v/>
      </c>
      <c r="P40" t="str">
        <f>IF(OR(ISBLANK($P$129), $P$129 = ""), "",$P$129)</f>
        <v/>
      </c>
      <c r="Q40">
        <f>IF(OR(ISBLANK($Q$129), $Q$129 = ""), 28.02000046,$Q$129)</f>
        <v>10.39</v>
      </c>
      <c r="R40" t="str">
        <f>IF(OR(ISBLANK($R$129), $R$129 = ""), "",$R$129)</f>
        <v/>
      </c>
      <c r="S40">
        <f>IF(OR(ISBLANK($S$129), $S$129 = ""), 11.61999989,$S$129)</f>
        <v>9.9700000000000006</v>
      </c>
      <c r="T40" t="str">
        <f>IF(OR(ISBLANK($T$129), $T$129 = ""), "",$T$129)</f>
        <v/>
      </c>
      <c r="U40">
        <f>IF(OR(ISBLANK($U$129), $U$129 = ""), 7.519999981,$U$129)</f>
        <v>10.95</v>
      </c>
      <c r="V40" t="str">
        <f>IF(OR(ISBLANK($V$129), $V$129 = ""), "",$V$129)</f>
        <v/>
      </c>
      <c r="W40">
        <f>IF(OR(ISBLANK($W$129), $W$129 = ""), 6.300000191,$W$129)</f>
        <v>32.33</v>
      </c>
      <c r="X40" t="str">
        <f>IF(OR(ISBLANK($X$129), $X$129 = ""), "",$X$129)</f>
        <v/>
      </c>
      <c r="Y40">
        <f>IF(OR(ISBLANK($Y$129), $Y$129 = ""), 6.480000019,$Y$129)</f>
        <v>13.19</v>
      </c>
      <c r="Z40" t="str">
        <f>IF(OR(ISBLANK($Z$129), $Z$129 = ""), "",$Z$129)</f>
        <v/>
      </c>
      <c r="AA40">
        <f>IF(OR(ISBLANK($AA$129), $AA$129 = ""), 4.960000038,$AA$129)</f>
        <v>4.9600000380000004</v>
      </c>
      <c r="AB40">
        <f>IF(OR(ISBLANK($AB$129), $AB$129 = ""), "",$AB$129)</f>
        <v>28.02</v>
      </c>
      <c r="AC40">
        <f>IF(OR(ISBLANK($AC$129), $AC$129 = ""), 7.090000153,$AC$129)</f>
        <v>7.0900001530000001</v>
      </c>
      <c r="AD40">
        <f>IF(OR(ISBLANK($AD$129), $AD$129 = ""), "",$AD$129)</f>
        <v>11.62</v>
      </c>
      <c r="AE40" t="str">
        <f>IF(OR(ISBLANK($AE$129), $AE$129 = ""), "",$AE$129)</f>
        <v/>
      </c>
      <c r="AF40">
        <f>IF(OR(ISBLANK($AF$129), $AF$129 = ""), "",$AF$129)</f>
        <v>7.52</v>
      </c>
      <c r="AG40">
        <f>IF(OR(ISBLANK($AG$129), $AG$129 = ""), 20.90999985,$AG$129)</f>
        <v>20.909999849999998</v>
      </c>
      <c r="AH40">
        <f>IF(OR(ISBLANK($AH$129), $AH$129 = ""), 10.14000034,$AH$129)</f>
        <v>6.3</v>
      </c>
      <c r="AI40" t="str">
        <f>IF(OR(ISBLANK($AI$129), $AI$129 = ""), "",$AI$129)</f>
        <v/>
      </c>
      <c r="AJ40">
        <f>IF(OR(ISBLANK($AJ$129), $AJ$129 = ""), 5.929999828,$AJ$129)</f>
        <v>6.48</v>
      </c>
      <c r="AK40" t="str">
        <f>IF(OR(ISBLANK($AK$129), $AK$129 = ""), "",$AK$129)</f>
        <v/>
      </c>
      <c r="AL40">
        <f>IF(OR(ISBLANK($AL$129), $AL$129 = ""), 3.190000057,$AL$129)</f>
        <v>4.96</v>
      </c>
      <c r="AM40" t="str">
        <f>IF(OR(ISBLANK($AM$129), $AM$129 = ""), "",$AM$129)</f>
        <v/>
      </c>
      <c r="AN40">
        <f>IF(OR(ISBLANK($AN$129), $AN$129 = ""), 1.929999948,$AN$129)</f>
        <v>7.09</v>
      </c>
      <c r="AO40" t="str">
        <f>IF(OR(ISBLANK($AO$129), $AO$129 = ""), "",$AO$129)</f>
        <v/>
      </c>
      <c r="AP40" t="str">
        <f>IF(OR(ISBLANK($AP$129), $AP$129 = ""), "",$AP$129)</f>
        <v/>
      </c>
      <c r="AQ40">
        <f>IF(OR(ISBLANK($AQ$129), $AQ$129 = ""), 3.450000048,$AQ$129)</f>
        <v>3.4500000480000002</v>
      </c>
      <c r="AR40">
        <f>IF(OR(ISBLANK($AR$129), $AR$129 = ""), "",$AR$129)</f>
        <v>20.91</v>
      </c>
      <c r="AS40">
        <f>IF(OR(ISBLANK($AS$129), $AS$129 = ""), 8.609999657,$AS$129)</f>
        <v>10.14</v>
      </c>
      <c r="AT40" t="str">
        <f>IF(OR(ISBLANK($AT$129), $AT$129 = ""), "",$AT$129)</f>
        <v/>
      </c>
      <c r="AU40">
        <f>IF(OR(ISBLANK($AU$129), $AU$129 = ""), 3.430000067,$AU$129)</f>
        <v>5.93</v>
      </c>
      <c r="AV40" t="str">
        <f>IF(OR(ISBLANK($AV$129), $AV$129 = ""), "",$AV$129)</f>
        <v/>
      </c>
      <c r="AW40">
        <f>IF(OR(ISBLANK($AW$129), $AW$129 = ""), 6.820000172,$AW$129)</f>
        <v>3.19</v>
      </c>
      <c r="AX40" t="str">
        <f>IF(OR(ISBLANK($AX$129), $AX$129 = ""), "",$AX$129)</f>
        <v/>
      </c>
      <c r="AY40">
        <f>IF(OR(ISBLANK($AY$129), $AY$129 = ""), "",$AY$129)</f>
        <v>1.9300000000000002</v>
      </c>
      <c r="AZ40">
        <f>IF(OR(ISBLANK($AZ$129), $AZ$129 = ""), 3.910000086,$AZ$129)</f>
        <v>3.9100000860000002</v>
      </c>
      <c r="BA40">
        <f>IF(OR(ISBLANK($BA$129), $BA$129 = ""), 2.680000067,$BA$129)</f>
        <v>2.6800000669999999</v>
      </c>
      <c r="BB40">
        <f>IF(OR(ISBLANK($BB$129), $BB$129 = ""), "",$BB$129)</f>
        <v>3.45</v>
      </c>
      <c r="BC40" t="str">
        <f>IF(OR(ISBLANK($BC$129), $BC$129 = ""), "",$BC$129)</f>
        <v/>
      </c>
      <c r="BD40">
        <f>IF(OR(ISBLANK($BD$129), $BD$129 = ""), 3.539999962,$BD$129)</f>
        <v>8.61</v>
      </c>
      <c r="BE40" t="str">
        <f>IF(OR(ISBLANK($BE$129), $BE$129 = ""), "",$BE$129)</f>
        <v/>
      </c>
      <c r="BF40">
        <f>IF(OR(ISBLANK($BF$129), $BF$129 = ""), 9.479999542,$BF$129)</f>
        <v>3.43</v>
      </c>
      <c r="BG40" t="str">
        <f>IF(OR(ISBLANK($BG$129), $BG$129 = ""), "",$BG$129)</f>
        <v/>
      </c>
      <c r="BH40">
        <f>IF(OR(ISBLANK($BH$129), $BH$129 = ""), 3.589999914,$BH$129)</f>
        <v>6.82</v>
      </c>
      <c r="BI40" t="str">
        <f>IF(OR(ISBLANK($BI$129), $BI$129 = ""), "",$BI$129)</f>
        <v/>
      </c>
      <c r="BJ40">
        <f>IF(OR(ISBLANK($BJ$129), $BJ$129 = ""), 5.829999924,$BJ$129)</f>
        <v>5.829999924</v>
      </c>
      <c r="BK40">
        <f>IF(OR(ISBLANK($BK$129), $BK$129 = ""), "",$BK$129)</f>
        <v>3.91</v>
      </c>
      <c r="BL40">
        <f>IF(OR(ISBLANK($BL$129), $BL$129 = ""), "",$BL$129)</f>
        <v>2.68</v>
      </c>
      <c r="BM40">
        <f>IF(OR(ISBLANK($BM$129), $BM$129 = ""), 5.230000019,$BM$129)</f>
        <v>5.2300000190000002</v>
      </c>
      <c r="BN40" t="str">
        <f>IF(OR(ISBLANK($BN$129), $BN$129 = ""), "",$BN$129)</f>
        <v/>
      </c>
      <c r="BO40">
        <f>IF(OR(ISBLANK($BO$129), $BO$129 = ""), 2.980000019,$BO$129)</f>
        <v>3.54</v>
      </c>
      <c r="BP40" t="str">
        <f>IF(OR(ISBLANK($BP$129), $BP$129 = ""), "",$BP$129)</f>
        <v/>
      </c>
      <c r="BQ40">
        <f>IF(OR(ISBLANK($BQ$129), $BQ$129 = ""), 5.159999847,$BQ$129)</f>
        <v>9.48</v>
      </c>
      <c r="BR40" t="str">
        <f>IF(OR(ISBLANK($BR$129), $BR$129 = ""), "",$BR$129)</f>
        <v/>
      </c>
      <c r="BS40">
        <f>IF(OR(ISBLANK($BS$129), $BS$129 = ""), 9.109999657,$BS$129)</f>
        <v>3.59</v>
      </c>
      <c r="BT40" t="str">
        <f>IF(OR(ISBLANK($BT$129), $BT$129 = ""), "",$BT$129)</f>
        <v/>
      </c>
      <c r="BU40">
        <f>IF(OR(ISBLANK($BU$129), $BU$129 = ""), 4.210000038,$BU$129)</f>
        <v>5.83</v>
      </c>
      <c r="BV40" t="str">
        <f>IF(OR(ISBLANK($BV$129), $BV$129 = ""), "",$BV$129)</f>
        <v/>
      </c>
      <c r="BW40">
        <f>IF(OR(ISBLANK($BW$129), $BW$129 = ""), 8.329999924,$BW$129)</f>
        <v>8.3299999239999991</v>
      </c>
      <c r="BX40">
        <f>IF(OR(ISBLANK($BX$129), $BX$129 = ""), "",$BX$129)</f>
        <v>5.23</v>
      </c>
      <c r="BY40">
        <f>IF(OR(ISBLANK($BY$129), $BY$129 = ""), 7.760000229,$BY$129)</f>
        <v>7.7600002290000001</v>
      </c>
      <c r="BZ40">
        <f>IF(OR(ISBLANK($BZ$129), $BZ$129 = ""), "",$BZ$129)</f>
        <v>2.98</v>
      </c>
      <c r="CA40">
        <f>IF(OR(ISBLANK($CA$129), $CA$129 = ""), 3.710000038,$CA$129)</f>
        <v>3.710000038</v>
      </c>
      <c r="CB40">
        <f>IF(OR(ISBLANK($CB$129), $CB$129 = ""), "",$CB$129)</f>
        <v>5.16</v>
      </c>
      <c r="CC40">
        <f>IF(OR(ISBLANK($CC$129), $CC$129 = ""), 10.46000004,$CC$129)</f>
        <v>10.460000040000001</v>
      </c>
      <c r="CD40">
        <f>IF(OR(ISBLANK($CD$129), $CD$129 = ""), "",$CD$129)</f>
        <v>9.11</v>
      </c>
      <c r="CE40" t="str">
        <f>IF(OR(ISBLANK($CE$129), $CE$129 = ""), "",$CE$129)</f>
        <v/>
      </c>
      <c r="CF40">
        <f>IF(OR(ISBLANK($CF$129), $CF$129 = ""), "",$CF$129)</f>
        <v>4.21</v>
      </c>
      <c r="CG40">
        <f>IF(OR(ISBLANK($CG$129), $CG$129 = ""), 14.96000004,$CG$129)</f>
        <v>14.960000040000001</v>
      </c>
    </row>
    <row r="41" spans="1:85" x14ac:dyDescent="0.25">
      <c r="A41" t="str">
        <f>"            Alloted Amount"</f>
        <v xml:space="preserve">            Alloted Amount</v>
      </c>
      <c r="B41" t="str">
        <f>"ECBALTAL Index"</f>
        <v>ECBALTAL Index</v>
      </c>
      <c r="C41" t="str">
        <f>"PR005"</f>
        <v>PR005</v>
      </c>
      <c r="D41" t="str">
        <f>"PX_LAST"</f>
        <v>PX_LAST</v>
      </c>
      <c r="E41" t="str">
        <f>"Dynamic"</f>
        <v>Dynamic</v>
      </c>
      <c r="F41" t="e">
        <f ca="1">IF(OR(ISBLANK($F$130), $F$130 = ""), "",$F$130)</f>
        <v>#N/A</v>
      </c>
      <c r="G41" t="str">
        <f>IF(OR(ISBLANK($G$130), $G$130 = ""), "",$G$130)</f>
        <v/>
      </c>
      <c r="H41">
        <f>IF(OR(ISBLANK($H$130), $H$130 = ""), 9.970000267,$H$130)</f>
        <v>7.2439999999999998</v>
      </c>
      <c r="I41" t="str">
        <f>IF(OR(ISBLANK($I$130), $I$130 = ""), "",$I$130)</f>
        <v/>
      </c>
      <c r="J41">
        <f>IF(OR(ISBLANK($J$130), $J$130 = ""), 10.94900036,$J$130)</f>
        <v>10.949000359999999</v>
      </c>
      <c r="K41" t="str">
        <f>IF(OR(ISBLANK($K$130), $K$130 = ""), "",$K$130)</f>
        <v/>
      </c>
      <c r="L41">
        <f>IF(OR(ISBLANK($L$130), $L$130 = ""), 32.33499908,$L$130)</f>
        <v>6.7859999999999996</v>
      </c>
      <c r="M41" t="str">
        <f>IF(OR(ISBLANK($M$130), $M$130 = ""), "",$M$130)</f>
        <v/>
      </c>
      <c r="N41">
        <f>IF(OR(ISBLANK($N$130), $N$130 = ""), 13.19299984,$N$130)</f>
        <v>13.192999840000001</v>
      </c>
      <c r="O41" t="str">
        <f>IF(OR(ISBLANK($O$130), $O$130 = ""), "",$O$130)</f>
        <v/>
      </c>
      <c r="P41" t="str">
        <f>IF(OR(ISBLANK($P$130), $P$130 = ""), "",$P$130)</f>
        <v/>
      </c>
      <c r="Q41">
        <f>IF(OR(ISBLANK($Q$130), $Q$130 = ""), 28.02300072,$Q$130)</f>
        <v>10.385999999999999</v>
      </c>
      <c r="R41" t="str">
        <f>IF(OR(ISBLANK($R$130), $R$130 = ""), "",$R$130)</f>
        <v/>
      </c>
      <c r="S41">
        <f>IF(OR(ISBLANK($S$130), $S$130 = ""), 11.61699963,$S$130)</f>
        <v>9.9700000000000006</v>
      </c>
      <c r="T41" t="str">
        <f>IF(OR(ISBLANK($T$130), $T$130 = ""), "",$T$130)</f>
        <v/>
      </c>
      <c r="U41">
        <f>IF(OR(ISBLANK($U$130), $U$130 = ""), 7.521999836,$U$130)</f>
        <v>10.949</v>
      </c>
      <c r="V41" t="str">
        <f>IF(OR(ISBLANK($V$130), $V$130 = ""), "",$V$130)</f>
        <v/>
      </c>
      <c r="W41">
        <f>IF(OR(ISBLANK($W$130), $W$130 = ""), 6.296999931,$W$130)</f>
        <v>32.335000000000001</v>
      </c>
      <c r="X41" t="str">
        <f>IF(OR(ISBLANK($X$130), $X$130 = ""), "",$X$130)</f>
        <v/>
      </c>
      <c r="Y41">
        <f>IF(OR(ISBLANK($Y$130), $Y$130 = ""), 6.480000019,$Y$130)</f>
        <v>13.193</v>
      </c>
      <c r="Z41" t="str">
        <f>IF(OR(ISBLANK($Z$130), $Z$130 = ""), "",$Z$130)</f>
        <v/>
      </c>
      <c r="AA41">
        <f>IF(OR(ISBLANK($AA$130), $AA$130 = ""), 4.954999924,$AA$130)</f>
        <v>4.954999924</v>
      </c>
      <c r="AB41">
        <f>IF(OR(ISBLANK($AB$130), $AB$130 = ""), "",$AB$130)</f>
        <v>28.023</v>
      </c>
      <c r="AC41">
        <f>IF(OR(ISBLANK($AC$130), $AC$130 = ""), 7.092000008,$AC$130)</f>
        <v>7.0920000080000003</v>
      </c>
      <c r="AD41">
        <f>IF(OR(ISBLANK($AD$130), $AD$130 = ""), "",$AD$130)</f>
        <v>11.617000000000001</v>
      </c>
      <c r="AE41" t="str">
        <f>IF(OR(ISBLANK($AE$130), $AE$130 = ""), "",$AE$130)</f>
        <v/>
      </c>
      <c r="AF41">
        <f>IF(OR(ISBLANK($AF$130), $AF$130 = ""), "",$AF$130)</f>
        <v>7.5220000000000002</v>
      </c>
      <c r="AG41">
        <f>IF(OR(ISBLANK($AG$130), $AG$130 = ""), 20.91399956,$AG$130)</f>
        <v>20.913999560000001</v>
      </c>
      <c r="AH41">
        <f>IF(OR(ISBLANK($AH$130), $AH$130 = ""), 10.14299965,$AH$130)</f>
        <v>6.2969999999999997</v>
      </c>
      <c r="AI41" t="str">
        <f>IF(OR(ISBLANK($AI$130), $AI$130 = ""), "",$AI$130)</f>
        <v/>
      </c>
      <c r="AJ41">
        <f>IF(OR(ISBLANK($AJ$130), $AJ$130 = ""), 5.926000118,$AJ$130)</f>
        <v>6.48</v>
      </c>
      <c r="AK41" t="str">
        <f>IF(OR(ISBLANK($AK$130), $AK$130 = ""), "",$AK$130)</f>
        <v/>
      </c>
      <c r="AL41">
        <f>IF(OR(ISBLANK($AL$130), $AL$130 = ""), 3.194000006,$AL$130)</f>
        <v>4.9550000000000001</v>
      </c>
      <c r="AM41" t="str">
        <f>IF(OR(ISBLANK($AM$130), $AM$130 = ""), "",$AM$130)</f>
        <v/>
      </c>
      <c r="AN41">
        <f>IF(OR(ISBLANK($AN$130), $AN$130 = ""), 1.929999948,$AN$130)</f>
        <v>7.0919999999999996</v>
      </c>
      <c r="AO41" t="str">
        <f>IF(OR(ISBLANK($AO$130), $AO$130 = ""), "",$AO$130)</f>
        <v/>
      </c>
      <c r="AP41" t="str">
        <f>IF(OR(ISBLANK($AP$130), $AP$130 = ""), "",$AP$130)</f>
        <v/>
      </c>
      <c r="AQ41">
        <f>IF(OR(ISBLANK($AQ$130), $AQ$130 = ""), 3.447000027,$AQ$130)</f>
        <v>3.4470000270000001</v>
      </c>
      <c r="AR41">
        <f>IF(OR(ISBLANK($AR$130), $AR$130 = ""), "",$AR$130)</f>
        <v>20.914000000000001</v>
      </c>
      <c r="AS41">
        <f>IF(OR(ISBLANK($AS$130), $AS$130 = ""), 8.607000351,$AS$130)</f>
        <v>10.143000000000001</v>
      </c>
      <c r="AT41" t="str">
        <f>IF(OR(ISBLANK($AT$130), $AT$130 = ""), "",$AT$130)</f>
        <v/>
      </c>
      <c r="AU41">
        <f>IF(OR(ISBLANK($AU$130), $AU$130 = ""), 3.430000067,$AU$130)</f>
        <v>5.9260000000000002</v>
      </c>
      <c r="AV41" t="str">
        <f>IF(OR(ISBLANK($AV$130), $AV$130 = ""), "",$AV$130)</f>
        <v/>
      </c>
      <c r="AW41">
        <f>IF(OR(ISBLANK($AW$130), $AW$130 = ""), 6.822999954,$AW$130)</f>
        <v>3.194</v>
      </c>
      <c r="AX41" t="str">
        <f>IF(OR(ISBLANK($AX$130), $AX$130 = ""), "",$AX$130)</f>
        <v/>
      </c>
      <c r="AY41">
        <f>IF(OR(ISBLANK($AY$130), $AY$130 = ""), "",$AY$130)</f>
        <v>1.9300000000000002</v>
      </c>
      <c r="AZ41">
        <f>IF(OR(ISBLANK($AZ$130), $AZ$130 = ""), 3.910000086,$AZ$130)</f>
        <v>3.9100000860000002</v>
      </c>
      <c r="BA41">
        <f>IF(OR(ISBLANK($BA$130), $BA$130 = ""), 2.683000088,$BA$130)</f>
        <v>2.683000088</v>
      </c>
      <c r="BB41">
        <f>IF(OR(ISBLANK($BB$130), $BB$130 = ""), "",$BB$130)</f>
        <v>3.4470000000000001</v>
      </c>
      <c r="BC41" t="str">
        <f>IF(OR(ISBLANK($BC$130), $BC$130 = ""), "",$BC$130)</f>
        <v/>
      </c>
      <c r="BD41">
        <f>IF(OR(ISBLANK($BD$130), $BD$130 = ""), 3.536000013,$BD$130)</f>
        <v>8.6069999999999993</v>
      </c>
      <c r="BE41" t="str">
        <f>IF(OR(ISBLANK($BE$130), $BE$130 = ""), "",$BE$130)</f>
        <v/>
      </c>
      <c r="BF41">
        <f>IF(OR(ISBLANK($BF$130), $BF$130 = ""), 9.477000237,$BF$130)</f>
        <v>3.43</v>
      </c>
      <c r="BG41" t="str">
        <f>IF(OR(ISBLANK($BG$130), $BG$130 = ""), "",$BG$130)</f>
        <v/>
      </c>
      <c r="BH41">
        <f>IF(OR(ISBLANK($BH$130), $BH$130 = ""), 3.59100008,$BH$130)</f>
        <v>6.8230000000000004</v>
      </c>
      <c r="BI41" t="str">
        <f>IF(OR(ISBLANK($BI$130), $BI$130 = ""), "",$BI$130)</f>
        <v/>
      </c>
      <c r="BJ41">
        <f>IF(OR(ISBLANK($BJ$130), $BJ$130 = ""), 5.829999924,$BJ$130)</f>
        <v>5.829999924</v>
      </c>
      <c r="BK41">
        <f>IF(OR(ISBLANK($BK$130), $BK$130 = ""), "",$BK$130)</f>
        <v>3.91</v>
      </c>
      <c r="BL41">
        <f>IF(OR(ISBLANK($BL$130), $BL$130 = ""), "",$BL$130)</f>
        <v>2.6829999999999998</v>
      </c>
      <c r="BM41">
        <f>IF(OR(ISBLANK($BM$130), $BM$130 = ""), 5.230000019,$BM$130)</f>
        <v>5.2300000190000002</v>
      </c>
      <c r="BN41" t="str">
        <f>IF(OR(ISBLANK($BN$130), $BN$130 = ""), "",$BN$130)</f>
        <v/>
      </c>
      <c r="BO41">
        <f>IF(OR(ISBLANK($BO$130), $BO$130 = ""), 2.976999998,$BO$130)</f>
        <v>3.536</v>
      </c>
      <c r="BP41" t="str">
        <f>IF(OR(ISBLANK($BP$130), $BP$130 = ""), "",$BP$130)</f>
        <v/>
      </c>
      <c r="BQ41">
        <f>IF(OR(ISBLANK($BQ$130), $BQ$130 = ""), 5.15899992,$BQ$130)</f>
        <v>9.4770000000000003</v>
      </c>
      <c r="BR41" t="str">
        <f>IF(OR(ISBLANK($BR$130), $BR$130 = ""), "",$BR$130)</f>
        <v/>
      </c>
      <c r="BS41">
        <f>IF(OR(ISBLANK($BS$130), $BS$130 = ""), 9.112999916,$BS$130)</f>
        <v>3.5910000000000002</v>
      </c>
      <c r="BT41" t="str">
        <f>IF(OR(ISBLANK($BT$130), $BT$130 = ""), "",$BT$130)</f>
        <v/>
      </c>
      <c r="BU41">
        <f>IF(OR(ISBLANK($BU$130), $BU$130 = ""), 4.208000183,$BU$130)</f>
        <v>5.83</v>
      </c>
      <c r="BV41" t="str">
        <f>IF(OR(ISBLANK($BV$130), $BV$130 = ""), "",$BV$130)</f>
        <v/>
      </c>
      <c r="BW41">
        <f>IF(OR(ISBLANK($BW$130), $BW$130 = ""), 8.328000069,$BW$130)</f>
        <v>8.3280000689999998</v>
      </c>
      <c r="BX41">
        <f>IF(OR(ISBLANK($BX$130), $BX$130 = ""), "",$BX$130)</f>
        <v>5.23</v>
      </c>
      <c r="BY41">
        <f>IF(OR(ISBLANK($BY$130), $BY$130 = ""), 7.758999825,$BY$130)</f>
        <v>7.7589998250000001</v>
      </c>
      <c r="BZ41">
        <f>IF(OR(ISBLANK($BZ$130), $BZ$130 = ""), "",$BZ$130)</f>
        <v>2.9769999999999999</v>
      </c>
      <c r="CA41">
        <f>IF(OR(ISBLANK($CA$130), $CA$130 = ""), 3.713000059,$CA$130)</f>
        <v>3.7130000590000001</v>
      </c>
      <c r="CB41">
        <f>IF(OR(ISBLANK($CB$130), $CB$130 = ""), "",$CB$130)</f>
        <v>5.1589999999999998</v>
      </c>
      <c r="CC41">
        <f>IF(OR(ISBLANK($CC$130), $CC$130 = ""), 10.45499992,$CC$130)</f>
        <v>10.454999920000001</v>
      </c>
      <c r="CD41">
        <f>IF(OR(ISBLANK($CD$130), $CD$130 = ""), "",$CD$130)</f>
        <v>9.1129999999999995</v>
      </c>
      <c r="CE41" t="str">
        <f>IF(OR(ISBLANK($CE$130), $CE$130 = ""), "",$CE$130)</f>
        <v/>
      </c>
      <c r="CF41">
        <f>IF(OR(ISBLANK($CF$130), $CF$130 = ""), "",$CF$130)</f>
        <v>4.2080000000000002</v>
      </c>
      <c r="CG41">
        <f>IF(OR(ISBLANK($CG$130), $CG$130 = ""), 14.96199989,$CG$130)</f>
        <v>14.96199989</v>
      </c>
    </row>
    <row r="42" spans="1:85" x14ac:dyDescent="0.25">
      <c r="A42" t="str">
        <f>"        Marginal Rate (%)"</f>
        <v xml:space="preserve">        Marginal Rate (%)</v>
      </c>
      <c r="B42" t="str">
        <f>"ECBALTMR Index"</f>
        <v>ECBALTMR Index</v>
      </c>
      <c r="C42" t="str">
        <f>"PR005"</f>
        <v>PR005</v>
      </c>
      <c r="D42" t="str">
        <f>"PX_LAST"</f>
        <v>PX_LAST</v>
      </c>
      <c r="E42" t="str">
        <f>"Dynamic"</f>
        <v>Dynamic</v>
      </c>
      <c r="F42" t="e">
        <f ca="1">IF(OR(ISBLANK($F$131), $F$131 = ""), "",$F$131)</f>
        <v>#N/A</v>
      </c>
      <c r="G42" t="str">
        <f>IF(OR(ISBLANK($G$131), $G$131 = ""), "",$G$131)</f>
        <v/>
      </c>
      <c r="H42">
        <f>IF(OR(ISBLANK($H$131), $H$131 = ""), 0.150000006,$H$131)</f>
        <v>0.15000000599999999</v>
      </c>
      <c r="I42" t="str">
        <f>IF(OR(ISBLANK($I$131), $I$131 = ""), "",$I$131)</f>
        <v/>
      </c>
      <c r="J42" t="str">
        <f>IF(OR(ISBLANK($J$131), $J$131 = ""), "",$J$131)</f>
        <v/>
      </c>
      <c r="K42" t="str">
        <f>IF(OR(ISBLANK($K$131), $K$131 = ""), "",$K$131)</f>
        <v/>
      </c>
      <c r="L42">
        <f>IF(OR(ISBLANK($L$131), $L$131 = ""), 0.25,$L$131)</f>
        <v>0.25</v>
      </c>
      <c r="M42" t="str">
        <f>IF(OR(ISBLANK($M$131), $M$131 = ""), "",$M$131)</f>
        <v/>
      </c>
      <c r="N42" t="str">
        <f>IF(OR(ISBLANK($N$131), $N$131 = ""), "",$N$131)</f>
        <v/>
      </c>
      <c r="O42" t="str">
        <f>IF(OR(ISBLANK($O$131), $O$131 = ""), "",$O$131)</f>
        <v/>
      </c>
      <c r="P42" t="str">
        <f>IF(OR(ISBLANK($P$131), $P$131 = ""), "",$P$131)</f>
        <v/>
      </c>
      <c r="Q42">
        <f>IF(OR(ISBLANK($Q$131), $Q$131 = ""), 0.25,$Q$131)</f>
        <v>0.25</v>
      </c>
      <c r="R42" t="str">
        <f>IF(OR(ISBLANK($R$131), $R$131 = ""), "",$R$131)</f>
        <v/>
      </c>
      <c r="S42">
        <f>IF(OR(ISBLANK($S$131), $S$131 = ""), 0.25,$S$131)</f>
        <v>0.15</v>
      </c>
      <c r="T42" t="str">
        <f>IF(OR(ISBLANK($T$131), $T$131 = ""), "",$T$131)</f>
        <v/>
      </c>
      <c r="U42">
        <f>IF(OR(ISBLANK($U$131), $U$131 = ""), 0.25,$U$131)</f>
        <v>0.25</v>
      </c>
      <c r="V42" t="str">
        <f>IF(OR(ISBLANK($V$131), $V$131 = ""), "",$V$131)</f>
        <v/>
      </c>
      <c r="W42">
        <f>IF(OR(ISBLANK($W$131), $W$131 = ""), 0.25,$W$131)</f>
        <v>0.25</v>
      </c>
      <c r="X42" t="str">
        <f>IF(OR(ISBLANK($X$131), $X$131 = ""), "",$X$131)</f>
        <v/>
      </c>
      <c r="Y42">
        <f>IF(OR(ISBLANK($Y$131), $Y$131 = ""), 0.25,$Y$131)</f>
        <v>0.25</v>
      </c>
      <c r="Z42" t="str">
        <f>IF(OR(ISBLANK($Z$131), $Z$131 = ""), "",$Z$131)</f>
        <v/>
      </c>
      <c r="AA42">
        <f>IF(OR(ISBLANK($AA$131), $AA$131 = ""), 0.25,$AA$131)</f>
        <v>0.25</v>
      </c>
      <c r="AB42">
        <f>IF(OR(ISBLANK($AB$131), $AB$131 = ""), "",$AB$131)</f>
        <v>0.25</v>
      </c>
      <c r="AC42">
        <f>IF(OR(ISBLANK($AC$131), $AC$131 = ""), 0.25,$AC$131)</f>
        <v>0.25</v>
      </c>
      <c r="AD42">
        <f>IF(OR(ISBLANK($AD$131), $AD$131 = ""), "",$AD$131)</f>
        <v>0.25</v>
      </c>
      <c r="AE42" t="str">
        <f>IF(OR(ISBLANK($AE$131), $AE$131 = ""), "",$AE$131)</f>
        <v/>
      </c>
      <c r="AF42">
        <f>IF(OR(ISBLANK($AF$131), $AF$131 = ""), "",$AF$131)</f>
        <v>0.25</v>
      </c>
      <c r="AG42">
        <f>IF(OR(ISBLANK($AG$131), $AG$131 = ""), 0.25,$AG$131)</f>
        <v>0.25</v>
      </c>
      <c r="AH42">
        <f>IF(OR(ISBLANK($AH$131), $AH$131 = ""), 0.25,$AH$131)</f>
        <v>0.25</v>
      </c>
      <c r="AI42" t="str">
        <f>IF(OR(ISBLANK($AI$131), $AI$131 = ""), "",$AI$131)</f>
        <v/>
      </c>
      <c r="AJ42">
        <f>IF(OR(ISBLANK($AJ$131), $AJ$131 = ""), 0.25,$AJ$131)</f>
        <v>0.25</v>
      </c>
      <c r="AK42" t="str">
        <f>IF(OR(ISBLANK($AK$131), $AK$131 = ""), "",$AK$131)</f>
        <v/>
      </c>
      <c r="AL42">
        <f>IF(OR(ISBLANK($AL$131), $AL$131 = ""), 0.25,$AL$131)</f>
        <v>0.25</v>
      </c>
      <c r="AM42" t="str">
        <f>IF(OR(ISBLANK($AM$131), $AM$131 = ""), "",$AM$131)</f>
        <v/>
      </c>
      <c r="AN42">
        <f>IF(OR(ISBLANK($AN$131), $AN$131 = ""), 0.5,$AN$131)</f>
        <v>0.25</v>
      </c>
      <c r="AO42" t="str">
        <f>IF(OR(ISBLANK($AO$131), $AO$131 = ""), "",$AO$131)</f>
        <v/>
      </c>
      <c r="AP42" t="str">
        <f>IF(OR(ISBLANK($AP$131), $AP$131 = ""), "",$AP$131)</f>
        <v/>
      </c>
      <c r="AQ42">
        <f>IF(OR(ISBLANK($AQ$131), $AQ$131 = ""), 0.5,$AQ$131)</f>
        <v>0.5</v>
      </c>
      <c r="AR42">
        <f>IF(OR(ISBLANK($AR$131), $AR$131 = ""), "",$AR$131)</f>
        <v>0.25</v>
      </c>
      <c r="AS42">
        <f>IF(OR(ISBLANK($AS$131), $AS$131 = ""), 0.5,$AS$131)</f>
        <v>0.25</v>
      </c>
      <c r="AT42" t="str">
        <f>IF(OR(ISBLANK($AT$131), $AT$131 = ""), "",$AT$131)</f>
        <v/>
      </c>
      <c r="AU42">
        <f>IF(OR(ISBLANK($AU$131), $AU$131 = ""), 0.5,$AU$131)</f>
        <v>0.25</v>
      </c>
      <c r="AV42" t="str">
        <f>IF(OR(ISBLANK($AV$131), $AV$131 = ""), "",$AV$131)</f>
        <v/>
      </c>
      <c r="AW42">
        <f>IF(OR(ISBLANK($AW$131), $AW$131 = ""), 0.5,$AW$131)</f>
        <v>0.25</v>
      </c>
      <c r="AX42" t="str">
        <f>IF(OR(ISBLANK($AX$131), $AX$131 = ""), "",$AX$131)</f>
        <v/>
      </c>
      <c r="AY42">
        <f>IF(OR(ISBLANK($AY$131), $AY$131 = ""), "",$AY$131)</f>
        <v>0.5</v>
      </c>
      <c r="AZ42">
        <f>IF(OR(ISBLANK($AZ$131), $AZ$131 = ""), 0.5,$AZ$131)</f>
        <v>0.5</v>
      </c>
      <c r="BA42">
        <f>IF(OR(ISBLANK($BA$131), $BA$131 = ""), 0.5,$BA$131)</f>
        <v>0.5</v>
      </c>
      <c r="BB42">
        <f>IF(OR(ISBLANK($BB$131), $BB$131 = ""), "",$BB$131)</f>
        <v>0.5</v>
      </c>
      <c r="BC42" t="str">
        <f>IF(OR(ISBLANK($BC$131), $BC$131 = ""), "",$BC$131)</f>
        <v/>
      </c>
      <c r="BD42">
        <f>IF(OR(ISBLANK($BD$131), $BD$131 = ""), 0.5,$BD$131)</f>
        <v>0.5</v>
      </c>
      <c r="BE42" t="str">
        <f>IF(OR(ISBLANK($BE$131), $BE$131 = ""), "",$BE$131)</f>
        <v/>
      </c>
      <c r="BF42">
        <f>IF(OR(ISBLANK($BF$131), $BF$131 = ""), 0.5,$BF$131)</f>
        <v>0.5</v>
      </c>
      <c r="BG42" t="str">
        <f>IF(OR(ISBLANK($BG$131), $BG$131 = ""), "",$BG$131)</f>
        <v/>
      </c>
      <c r="BH42">
        <f>IF(OR(ISBLANK($BH$131), $BH$131 = ""), 0.5,$BH$131)</f>
        <v>0.5</v>
      </c>
      <c r="BI42" t="str">
        <f>IF(OR(ISBLANK($BI$131), $BI$131 = ""), "",$BI$131)</f>
        <v/>
      </c>
      <c r="BJ42">
        <f>IF(OR(ISBLANK($BJ$131), $BJ$131 = ""), 0.5,$BJ$131)</f>
        <v>0.5</v>
      </c>
      <c r="BK42">
        <f>IF(OR(ISBLANK($BK$131), $BK$131 = ""), "",$BK$131)</f>
        <v>0.5</v>
      </c>
      <c r="BL42">
        <f>IF(OR(ISBLANK($BL$131), $BL$131 = ""), "",$BL$131)</f>
        <v>0.5</v>
      </c>
      <c r="BM42">
        <f>IF(OR(ISBLANK($BM$131), $BM$131 = ""), 0.5,$BM$131)</f>
        <v>0.5</v>
      </c>
      <c r="BN42" t="str">
        <f>IF(OR(ISBLANK($BN$131), $BN$131 = ""), "",$BN$131)</f>
        <v/>
      </c>
      <c r="BO42">
        <f>IF(OR(ISBLANK($BO$131), $BO$131 = ""), 0.75,$BO$131)</f>
        <v>0.5</v>
      </c>
      <c r="BP42" t="str">
        <f>IF(OR(ISBLANK($BP$131), $BP$131 = ""), "",$BP$131)</f>
        <v/>
      </c>
      <c r="BQ42">
        <f>IF(OR(ISBLANK($BQ$131), $BQ$131 = ""), 0.75,$BQ$131)</f>
        <v>0.5</v>
      </c>
      <c r="BR42" t="str">
        <f>IF(OR(ISBLANK($BR$131), $BR$131 = ""), "",$BR$131)</f>
        <v/>
      </c>
      <c r="BS42">
        <f>IF(OR(ISBLANK($BS$131), $BS$131 = ""), 0.75,$BS$131)</f>
        <v>0.5</v>
      </c>
      <c r="BT42" t="str">
        <f>IF(OR(ISBLANK($BT$131), $BT$131 = ""), "",$BT$131)</f>
        <v/>
      </c>
      <c r="BU42">
        <f>IF(OR(ISBLANK($BU$131), $BU$131 = ""), 0.75,$BU$131)</f>
        <v>0.5</v>
      </c>
      <c r="BV42" t="str">
        <f>IF(OR(ISBLANK($BV$131), $BV$131 = ""), "",$BV$131)</f>
        <v/>
      </c>
      <c r="BW42">
        <f>IF(OR(ISBLANK($BW$131), $BW$131 = ""), 0.75,$BW$131)</f>
        <v>0.75</v>
      </c>
      <c r="BX42">
        <f>IF(OR(ISBLANK($BX$131), $BX$131 = ""), "",$BX$131)</f>
        <v>0.5</v>
      </c>
      <c r="BY42">
        <f>IF(OR(ISBLANK($BY$131), $BY$131 = ""), 0.75,$BY$131)</f>
        <v>0.75</v>
      </c>
      <c r="BZ42">
        <f>IF(OR(ISBLANK($BZ$131), $BZ$131 = ""), "",$BZ$131)</f>
        <v>0.75</v>
      </c>
      <c r="CA42" t="str">
        <f>IF(OR(ISBLANK($CA$131), $CA$131 = ""), "",$CA$131)</f>
        <v/>
      </c>
      <c r="CB42">
        <f>IF(OR(ISBLANK($CB$131), $CB$131 = ""), "",$CB$131)</f>
        <v>0.75</v>
      </c>
      <c r="CC42">
        <f>IF(OR(ISBLANK($CC$131), $CC$131 = ""), 0.75,$CC$131)</f>
        <v>0.75</v>
      </c>
      <c r="CD42">
        <f>IF(OR(ISBLANK($CD$131), $CD$131 = ""), "",$CD$131)</f>
        <v>0.75</v>
      </c>
      <c r="CE42" t="str">
        <f>IF(OR(ISBLANK($CE$131), $CE$131 = ""), "",$CE$131)</f>
        <v/>
      </c>
      <c r="CF42">
        <f>IF(OR(ISBLANK($CF$131), $CF$131 = ""), "",$CF$131)</f>
        <v>0.75</v>
      </c>
      <c r="CG42">
        <f>IF(OR(ISBLANK($CG$131), $CG$131 = ""), 0.75,$CG$131)</f>
        <v>0.75</v>
      </c>
    </row>
    <row r="43" spans="1:85" x14ac:dyDescent="0.25">
      <c r="A43" t="str">
        <f>"        Duration (days)"</f>
        <v xml:space="preserve">        Duration (days)</v>
      </c>
      <c r="B43" t="str">
        <f>"ECBALYDY Index"</f>
        <v>ECBALYDY Index</v>
      </c>
      <c r="C43" t="str">
        <f>"PR005"</f>
        <v>PR005</v>
      </c>
      <c r="D43" t="str">
        <f>"PX_LAST"</f>
        <v>PX_LAST</v>
      </c>
      <c r="E43" t="str">
        <f>"Dynamic"</f>
        <v>Dynamic</v>
      </c>
      <c r="F43" t="e">
        <f ca="1">IF(OR(ISBLANK($F$132), $F$132 = ""), "",$F$132)</f>
        <v>#N/A</v>
      </c>
      <c r="G43" t="str">
        <f>IF(OR(ISBLANK($G$132), $G$132 = ""), "",$G$132)</f>
        <v/>
      </c>
      <c r="H43">
        <f>IF(OR(ISBLANK($H$132), $H$132 = ""), 28,$H$132)</f>
        <v>91</v>
      </c>
      <c r="I43" t="str">
        <f>IF(OR(ISBLANK($I$132), $I$132 = ""), "",$I$132)</f>
        <v/>
      </c>
      <c r="J43">
        <f>IF(OR(ISBLANK($J$132), $J$132 = ""), 91,$J$132)</f>
        <v>91</v>
      </c>
      <c r="K43" t="str">
        <f>IF(OR(ISBLANK($K$132), $K$132 = ""), "",$K$132)</f>
        <v/>
      </c>
      <c r="L43">
        <f>IF(OR(ISBLANK($L$132), $L$132 = ""), 28,$L$132)</f>
        <v>91</v>
      </c>
      <c r="M43" t="str">
        <f>IF(OR(ISBLANK($M$132), $M$132 = ""), "",$M$132)</f>
        <v/>
      </c>
      <c r="N43">
        <f>IF(OR(ISBLANK($N$132), $N$132 = ""), 90,$N$132)</f>
        <v>90</v>
      </c>
      <c r="O43" t="str">
        <f>IF(OR(ISBLANK($O$132), $O$132 = ""), "",$O$132)</f>
        <v/>
      </c>
      <c r="P43" t="str">
        <f>IF(OR(ISBLANK($P$132), $P$132 = ""), "",$P$132)</f>
        <v/>
      </c>
      <c r="Q43">
        <f>IF(OR(ISBLANK($Q$132), $Q$132 = ""), 35,$Q$132)</f>
        <v>91</v>
      </c>
      <c r="R43" t="str">
        <f>IF(OR(ISBLANK($R$132), $R$132 = ""), "",$R$132)</f>
        <v/>
      </c>
      <c r="S43">
        <f>IF(OR(ISBLANK($S$132), $S$132 = ""), 91,$S$132)</f>
        <v>28</v>
      </c>
      <c r="T43" t="str">
        <f>IF(OR(ISBLANK($T$132), $T$132 = ""), "",$T$132)</f>
        <v/>
      </c>
      <c r="U43">
        <f>IF(OR(ISBLANK($U$132), $U$132 = ""), 28,$U$132)</f>
        <v>91</v>
      </c>
      <c r="V43" t="str">
        <f>IF(OR(ISBLANK($V$132), $V$132 = ""), "",$V$132)</f>
        <v/>
      </c>
      <c r="W43">
        <f>IF(OR(ISBLANK($W$132), $W$132 = ""), 91,$W$132)</f>
        <v>28</v>
      </c>
      <c r="X43" t="str">
        <f>IF(OR(ISBLANK($X$132), $X$132 = ""), "",$X$132)</f>
        <v/>
      </c>
      <c r="Y43">
        <f>IF(OR(ISBLANK($Y$132), $Y$132 = ""), 28,$Y$132)</f>
        <v>90</v>
      </c>
      <c r="Z43" t="str">
        <f>IF(OR(ISBLANK($Z$132), $Z$132 = ""), "",$Z$132)</f>
        <v/>
      </c>
      <c r="AA43">
        <f>IF(OR(ISBLANK($AA$132), $AA$132 = ""), 92,$AA$132)</f>
        <v>92</v>
      </c>
      <c r="AB43">
        <f>IF(OR(ISBLANK($AB$132), $AB$132 = ""), "",$AB$132)</f>
        <v>35</v>
      </c>
      <c r="AC43">
        <f>IF(OR(ISBLANK($AC$132), $AC$132 = ""), 28,$AC$132)</f>
        <v>28</v>
      </c>
      <c r="AD43">
        <f>IF(OR(ISBLANK($AD$132), $AD$132 = ""), "",$AD$132)</f>
        <v>91</v>
      </c>
      <c r="AE43" t="str">
        <f>IF(OR(ISBLANK($AE$132), $AE$132 = ""), "",$AE$132)</f>
        <v/>
      </c>
      <c r="AF43">
        <f>IF(OR(ISBLANK($AF$132), $AF$132 = ""), "",$AF$132)</f>
        <v>28</v>
      </c>
      <c r="AG43">
        <f>IF(OR(ISBLANK($AG$132), $AG$132 = ""), 98,$AG$132)</f>
        <v>98</v>
      </c>
      <c r="AH43">
        <f>IF(OR(ISBLANK($AH$132), $AH$132 = ""), 35,$AH$132)</f>
        <v>91</v>
      </c>
      <c r="AI43" t="str">
        <f>IF(OR(ISBLANK($AI$132), $AI$132 = ""), "",$AI$132)</f>
        <v/>
      </c>
      <c r="AJ43">
        <f>IF(OR(ISBLANK($AJ$132), $AJ$132 = ""), 91,$AJ$132)</f>
        <v>28</v>
      </c>
      <c r="AK43" t="str">
        <f>IF(OR(ISBLANK($AK$132), $AK$132 = ""), "",$AK$132)</f>
        <v/>
      </c>
      <c r="AL43">
        <f>IF(OR(ISBLANK($AL$132), $AL$132 = ""), 28,$AL$132)</f>
        <v>92</v>
      </c>
      <c r="AM43" t="str">
        <f>IF(OR(ISBLANK($AM$132), $AM$132 = ""), "",$AM$132)</f>
        <v/>
      </c>
      <c r="AN43">
        <f>IF(OR(ISBLANK($AN$132), $AN$132 = ""), 91,$AN$132)</f>
        <v>28</v>
      </c>
      <c r="AO43" t="str">
        <f>IF(OR(ISBLANK($AO$132), $AO$132 = ""), "",$AO$132)</f>
        <v/>
      </c>
      <c r="AP43" t="str">
        <f>IF(OR(ISBLANK($AP$132), $AP$132 = ""), "",$AP$132)</f>
        <v/>
      </c>
      <c r="AQ43">
        <f>IF(OR(ISBLANK($AQ$132), $AQ$132 = ""), 35,$AQ$132)</f>
        <v>35</v>
      </c>
      <c r="AR43">
        <f>IF(OR(ISBLANK($AR$132), $AR$132 = ""), "",$AR$132)</f>
        <v>98</v>
      </c>
      <c r="AS43">
        <f>IF(OR(ISBLANK($AS$132), $AS$132 = ""), 84,$AS$132)</f>
        <v>35</v>
      </c>
      <c r="AT43" t="str">
        <f>IF(OR(ISBLANK($AT$132), $AT$132 = ""), "",$AT$132)</f>
        <v/>
      </c>
      <c r="AU43">
        <f>IF(OR(ISBLANK($AU$132), $AU$132 = ""), 28,$AU$132)</f>
        <v>91</v>
      </c>
      <c r="AV43" t="str">
        <f>IF(OR(ISBLANK($AV$132), $AV$132 = ""), "",$AV$132)</f>
        <v/>
      </c>
      <c r="AW43">
        <f>IF(OR(ISBLANK($AW$132), $AW$132 = ""), 91,$AW$132)</f>
        <v>28</v>
      </c>
      <c r="AX43" t="str">
        <f>IF(OR(ISBLANK($AX$132), $AX$132 = ""), "",$AX$132)</f>
        <v/>
      </c>
      <c r="AY43">
        <f>IF(OR(ISBLANK($AY$132), $AY$132 = ""), "",$AY$132)</f>
        <v>91</v>
      </c>
      <c r="AZ43">
        <f>IF(OR(ISBLANK($AZ$132), $AZ$132 = ""), 35,$AZ$132)</f>
        <v>35</v>
      </c>
      <c r="BA43">
        <f>IF(OR(ISBLANK($BA$132), $BA$132 = ""), 91,$BA$132)</f>
        <v>91</v>
      </c>
      <c r="BB43">
        <f>IF(OR(ISBLANK($BB$132), $BB$132 = ""), "",$BB$132)</f>
        <v>35</v>
      </c>
      <c r="BC43" t="str">
        <f>IF(OR(ISBLANK($BC$132), $BC$132 = ""), "",$BC$132)</f>
        <v/>
      </c>
      <c r="BD43">
        <f>IF(OR(ISBLANK($BD$132), $BD$132 = ""), 28,$BD$132)</f>
        <v>84</v>
      </c>
      <c r="BE43" t="str">
        <f>IF(OR(ISBLANK($BE$132), $BE$132 = ""), "",$BE$132)</f>
        <v/>
      </c>
      <c r="BF43">
        <f>IF(OR(ISBLANK($BF$132), $BF$132 = ""), 91,$BF$132)</f>
        <v>28</v>
      </c>
      <c r="BG43" t="str">
        <f>IF(OR(ISBLANK($BG$132), $BG$132 = ""), "",$BG$132)</f>
        <v/>
      </c>
      <c r="BH43">
        <f>IF(OR(ISBLANK($BH$132), $BH$132 = ""), 28,$BH$132)</f>
        <v>91</v>
      </c>
      <c r="BI43" t="str">
        <f>IF(OR(ISBLANK($BI$132), $BI$132 = ""), "",$BI$132)</f>
        <v/>
      </c>
      <c r="BJ43">
        <f>IF(OR(ISBLANK($BJ$132), $BJ$132 = ""), 91,$BJ$132)</f>
        <v>91</v>
      </c>
      <c r="BK43">
        <f>IF(OR(ISBLANK($BK$132), $BK$132 = ""), "",$BK$132)</f>
        <v>35</v>
      </c>
      <c r="BL43">
        <f>IF(OR(ISBLANK($BL$132), $BL$132 = ""), "",$BL$132)</f>
        <v>91</v>
      </c>
      <c r="BM43">
        <f>IF(OR(ISBLANK($BM$132), $BM$132 = ""), 35,$BM$132)</f>
        <v>35</v>
      </c>
      <c r="BN43" t="str">
        <f>IF(OR(ISBLANK($BN$132), $BN$132 = ""), "",$BN$132)</f>
        <v/>
      </c>
      <c r="BO43">
        <f>IF(OR(ISBLANK($BO$132), $BO$132 = ""), 98,$BO$132)</f>
        <v>28</v>
      </c>
      <c r="BP43" t="str">
        <f>IF(OR(ISBLANK($BP$132), $BP$132 = ""), "",$BP$132)</f>
        <v/>
      </c>
      <c r="BQ43">
        <f>IF(OR(ISBLANK($BQ$132), $BQ$132 = ""), 28,$BQ$132)</f>
        <v>91</v>
      </c>
      <c r="BR43" t="str">
        <f>IF(OR(ISBLANK($BR$132), $BR$132 = ""), "",$BR$132)</f>
        <v/>
      </c>
      <c r="BS43">
        <f>IF(OR(ISBLANK($BS$132), $BS$132 = ""), 91,$BS$132)</f>
        <v>28</v>
      </c>
      <c r="BT43" t="str">
        <f>IF(OR(ISBLANK($BT$132), $BT$132 = ""), "",$BT$132)</f>
        <v/>
      </c>
      <c r="BU43">
        <f>IF(OR(ISBLANK($BU$132), $BU$132 = ""), 28,$BU$132)</f>
        <v>91</v>
      </c>
      <c r="BV43" t="str">
        <f>IF(OR(ISBLANK($BV$132), $BV$132 = ""), "",$BV$132)</f>
        <v/>
      </c>
      <c r="BW43">
        <f>IF(OR(ISBLANK($BW$132), $BW$132 = ""), 91,$BW$132)</f>
        <v>91</v>
      </c>
      <c r="BX43">
        <f>IF(OR(ISBLANK($BX$132), $BX$132 = ""), "",$BX$132)</f>
        <v>35</v>
      </c>
      <c r="BY43">
        <f>IF(OR(ISBLANK($BY$132), $BY$132 = ""), 28,$BY$132)</f>
        <v>28</v>
      </c>
      <c r="BZ43">
        <f>IF(OR(ISBLANK($BZ$132), $BZ$132 = ""), "",$BZ$132)</f>
        <v>98</v>
      </c>
      <c r="CA43">
        <f>IF(OR(ISBLANK($CA$132), $CA$132 = ""), 84,$CA$132)</f>
        <v>84</v>
      </c>
      <c r="CB43">
        <f>IF(OR(ISBLANK($CB$132), $CB$132 = ""), "",$CB$132)</f>
        <v>28</v>
      </c>
      <c r="CC43">
        <f>IF(OR(ISBLANK($CC$132), $CC$132 = ""), 28,$CC$132)</f>
        <v>28</v>
      </c>
      <c r="CD43">
        <f>IF(OR(ISBLANK($CD$132), $CD$132 = ""), "",$CD$132)</f>
        <v>91</v>
      </c>
      <c r="CE43" t="str">
        <f>IF(OR(ISBLANK($CE$132), $CE$132 = ""), "",$CE$132)</f>
        <v/>
      </c>
      <c r="CF43">
        <f>IF(OR(ISBLANK($CF$132), $CF$132 = ""), "",$CF$132)</f>
        <v>28</v>
      </c>
      <c r="CG43">
        <f>IF(OR(ISBLANK($CG$132), $CG$132 = ""), 98,$CG$132)</f>
        <v>98</v>
      </c>
    </row>
    <row r="44" spans="1:85" x14ac:dyDescent="0.25">
      <c r="A44" t="str">
        <f>"    Fine Tunning Operations"</f>
        <v xml:space="preserve">    Fine Tunning Operations</v>
      </c>
      <c r="B44" t="str">
        <f>""</f>
        <v/>
      </c>
      <c r="C44" t="str">
        <f>""</f>
        <v/>
      </c>
      <c r="D44" t="str">
        <f>""</f>
        <v/>
      </c>
      <c r="E44" t="str">
        <f>"Static"</f>
        <v>Static</v>
      </c>
      <c r="F44" t="str">
        <f>""</f>
        <v/>
      </c>
      <c r="G44" t="str">
        <f>""</f>
        <v/>
      </c>
      <c r="H44" t="str">
        <f>""</f>
        <v/>
      </c>
      <c r="I44" t="str">
        <f>""</f>
        <v/>
      </c>
      <c r="J44" t="str">
        <f>""</f>
        <v/>
      </c>
      <c r="K44" t="str">
        <f>""</f>
        <v/>
      </c>
      <c r="L44" t="str">
        <f>""</f>
        <v/>
      </c>
      <c r="M44" t="str">
        <f>""</f>
        <v/>
      </c>
      <c r="N44" t="str">
        <f>""</f>
        <v/>
      </c>
      <c r="O44" t="str">
        <f>""</f>
        <v/>
      </c>
      <c r="P44" t="str">
        <f>""</f>
        <v/>
      </c>
      <c r="Q44" t="str">
        <f>""</f>
        <v/>
      </c>
      <c r="R44" t="str">
        <f>""</f>
        <v/>
      </c>
      <c r="S44" t="str">
        <f>""</f>
        <v/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  <c r="AD44" t="str">
        <f>""</f>
        <v/>
      </c>
      <c r="AE44" t="str">
        <f>""</f>
        <v/>
      </c>
      <c r="AF44" t="str">
        <f>""</f>
        <v/>
      </c>
      <c r="AG44" t="str">
        <f>""</f>
        <v/>
      </c>
      <c r="AH44" t="str">
        <f>""</f>
        <v/>
      </c>
      <c r="AI44" t="str">
        <f>""</f>
        <v/>
      </c>
      <c r="AJ44" t="str">
        <f>""</f>
        <v/>
      </c>
      <c r="AK44" t="str">
        <f>""</f>
        <v/>
      </c>
      <c r="AL44" t="str">
        <f>""</f>
        <v/>
      </c>
      <c r="AM44" t="str">
        <f>""</f>
        <v/>
      </c>
      <c r="AN44" t="str">
        <f>""</f>
        <v/>
      </c>
      <c r="AO44" t="str">
        <f>""</f>
        <v/>
      </c>
      <c r="AP44" t="str">
        <f>""</f>
        <v/>
      </c>
      <c r="AQ44" t="str">
        <f>""</f>
        <v/>
      </c>
      <c r="AR44" t="str">
        <f>""</f>
        <v/>
      </c>
      <c r="AS44" t="str">
        <f>""</f>
        <v/>
      </c>
      <c r="AT44" t="str">
        <f>""</f>
        <v/>
      </c>
      <c r="AU44" t="str">
        <f>""</f>
        <v/>
      </c>
      <c r="AV44" t="str">
        <f>""</f>
        <v/>
      </c>
      <c r="AW44" t="str">
        <f>""</f>
        <v/>
      </c>
      <c r="AX44" t="str">
        <f>""</f>
        <v/>
      </c>
      <c r="AY44" t="str">
        <f>""</f>
        <v/>
      </c>
      <c r="AZ44" t="str">
        <f>""</f>
        <v/>
      </c>
      <c r="BA44" t="str">
        <f>""</f>
        <v/>
      </c>
      <c r="BB44" t="str">
        <f>""</f>
        <v/>
      </c>
      <c r="BC44" t="str">
        <f>""</f>
        <v/>
      </c>
      <c r="BD44" t="str">
        <f>""</f>
        <v/>
      </c>
      <c r="BE44" t="str">
        <f>""</f>
        <v/>
      </c>
      <c r="BF44" t="str">
        <f>""</f>
        <v/>
      </c>
      <c r="BG44" t="str">
        <f>""</f>
        <v/>
      </c>
      <c r="BH44" t="str">
        <f>""</f>
        <v/>
      </c>
      <c r="BI44" t="str">
        <f>""</f>
        <v/>
      </c>
      <c r="BJ44" t="str">
        <f>""</f>
        <v/>
      </c>
      <c r="BK44" t="str">
        <f>""</f>
        <v/>
      </c>
      <c r="BL44" t="str">
        <f>""</f>
        <v/>
      </c>
      <c r="BM44" t="str">
        <f>""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</row>
    <row r="45" spans="1:85" x14ac:dyDescent="0.25">
      <c r="A45" t="str">
        <f>"    7 Day Tender Operations"</f>
        <v xml:space="preserve">    7 Day Tender Operations</v>
      </c>
      <c r="B45" t="str">
        <f>""</f>
        <v/>
      </c>
      <c r="C45" t="str">
        <f>""</f>
        <v/>
      </c>
      <c r="D45" t="str">
        <f>""</f>
        <v/>
      </c>
      <c r="E45" t="str">
        <f>"Static"</f>
        <v>Static</v>
      </c>
      <c r="F45" t="str">
        <f>""</f>
        <v/>
      </c>
      <c r="G45" t="str">
        <f>""</f>
        <v/>
      </c>
      <c r="H45" t="str">
        <f>""</f>
        <v/>
      </c>
      <c r="I45" t="str">
        <f>""</f>
        <v/>
      </c>
      <c r="J45" t="str">
        <f>""</f>
        <v/>
      </c>
      <c r="K45" t="str">
        <f>""</f>
        <v/>
      </c>
      <c r="L45" t="str">
        <f>""</f>
        <v/>
      </c>
      <c r="M45" t="str">
        <f>""</f>
        <v/>
      </c>
      <c r="N45" t="str">
        <f>""</f>
        <v/>
      </c>
      <c r="O45" t="str">
        <f>""</f>
        <v/>
      </c>
      <c r="P45" t="str">
        <f>""</f>
        <v/>
      </c>
      <c r="Q45" t="str">
        <f>""</f>
        <v/>
      </c>
      <c r="R45" t="str">
        <f>""</f>
        <v/>
      </c>
      <c r="S45" t="str">
        <f>""</f>
        <v/>
      </c>
      <c r="T45" t="str">
        <f>""</f>
        <v/>
      </c>
      <c r="U45" t="str">
        <f>""</f>
        <v/>
      </c>
      <c r="V45" t="str">
        <f>""</f>
        <v/>
      </c>
      <c r="W45" t="str">
        <f>""</f>
        <v/>
      </c>
      <c r="X45" t="str">
        <f>""</f>
        <v/>
      </c>
      <c r="Y45" t="str">
        <f>""</f>
        <v/>
      </c>
      <c r="Z45" t="str">
        <f>""</f>
        <v/>
      </c>
      <c r="AA45" t="str">
        <f>""</f>
        <v/>
      </c>
      <c r="AB45" t="str">
        <f>""</f>
        <v/>
      </c>
      <c r="AC45" t="str">
        <f>""</f>
        <v/>
      </c>
      <c r="AD45" t="str">
        <f>""</f>
        <v/>
      </c>
      <c r="AE45" t="str">
        <f>""</f>
        <v/>
      </c>
      <c r="AF45" t="str">
        <f>""</f>
        <v/>
      </c>
      <c r="AG45" t="str">
        <f>""</f>
        <v/>
      </c>
      <c r="AH45" t="str">
        <f>""</f>
        <v/>
      </c>
      <c r="AI45" t="str">
        <f>""</f>
        <v/>
      </c>
      <c r="AJ45" t="str">
        <f>""</f>
        <v/>
      </c>
      <c r="AK45" t="str">
        <f>""</f>
        <v/>
      </c>
      <c r="AL45" t="str">
        <f>""</f>
        <v/>
      </c>
      <c r="AM45" t="str">
        <f>""</f>
        <v/>
      </c>
      <c r="AN45" t="str">
        <f>""</f>
        <v/>
      </c>
      <c r="AO45" t="str">
        <f>""</f>
        <v/>
      </c>
      <c r="AP45" t="str">
        <f>""</f>
        <v/>
      </c>
      <c r="AQ45" t="str">
        <f>""</f>
        <v/>
      </c>
      <c r="AR45" t="str">
        <f>""</f>
        <v/>
      </c>
      <c r="AS45" t="str">
        <f>""</f>
        <v/>
      </c>
      <c r="AT45" t="str">
        <f>""</f>
        <v/>
      </c>
      <c r="AU45" t="str">
        <f>""</f>
        <v/>
      </c>
      <c r="AV45" t="str">
        <f>""</f>
        <v/>
      </c>
      <c r="AW45" t="str">
        <f>""</f>
        <v/>
      </c>
      <c r="AX45" t="str">
        <f>""</f>
        <v/>
      </c>
      <c r="AY45" t="str">
        <f>""</f>
        <v/>
      </c>
      <c r="AZ45" t="str">
        <f>""</f>
        <v/>
      </c>
      <c r="BA45" t="str">
        <f>""</f>
        <v/>
      </c>
      <c r="BB45" t="str">
        <f>""</f>
        <v/>
      </c>
      <c r="BC45" t="str">
        <f>""</f>
        <v/>
      </c>
      <c r="BD45" t="str">
        <f>""</f>
        <v/>
      </c>
      <c r="BE45" t="str">
        <f>""</f>
        <v/>
      </c>
      <c r="BF45" t="str">
        <f>""</f>
        <v/>
      </c>
      <c r="BG45" t="str">
        <f>""</f>
        <v/>
      </c>
      <c r="BH45" t="str">
        <f>""</f>
        <v/>
      </c>
      <c r="BI45" t="str">
        <f>""</f>
        <v/>
      </c>
      <c r="BJ45" t="str">
        <f>""</f>
        <v/>
      </c>
      <c r="BK45" t="str">
        <f>""</f>
        <v/>
      </c>
      <c r="BL45" t="str">
        <f>""</f>
        <v/>
      </c>
      <c r="BM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</row>
    <row r="46" spans="1:85" x14ac:dyDescent="0.25">
      <c r="A46" t="str">
        <f>"        Total Allotment"</f>
        <v xml:space="preserve">        Total Allotment</v>
      </c>
      <c r="B46" t="str">
        <f>"ECBA7DTO Index"</f>
        <v>ECBA7DTO Index</v>
      </c>
      <c r="C46" t="str">
        <f>""</f>
        <v/>
      </c>
      <c r="D46" t="str">
        <f>""</f>
        <v/>
      </c>
      <c r="E46" t="str">
        <f>"Expression"</f>
        <v>Expression</v>
      </c>
      <c r="F46" t="str">
        <f ca="1">IF(OR(ISBLANK(IF(ISERROR(IF(OR(ISBLANK($F$97)), "", $F$97/1000)), "", (IF(OR(ISBLANK($F$97)), "", $F$97/1000)))), IF(ISERROR(IF(OR(ISBLANK($F$97)), "", $F$97/1000)), "", (IF(OR(ISBLANK($F$97)), "", $F$97/1000))) = ""), "",IF(ISERROR(IF(OR(ISBLANK($F$97)), "", $F$97/1000)), "", (IF(OR(ISBLANK($F$97)), "", $F$97/1000))))</f>
        <v/>
      </c>
      <c r="G46" t="str">
        <f>IF(OR(ISBLANK(IF(ISERROR(IF(OR(ISBLANK($G$97)), "", $G$97/1000)), "", (IF(OR(ISBLANK($G$97)), "", $G$97/1000)))), IF(ISERROR(IF(OR(ISBLANK($G$97)), "", $G$97/1000)), "", (IF(OR(ISBLANK($G$97)), "", $G$97/1000))) = ""), "",IF(ISERROR(IF(OR(ISBLANK($G$97)), "", $G$97/1000)), "", (IF(OR(ISBLANK($G$97)), "", $G$97/1000))))</f>
        <v/>
      </c>
      <c r="H46">
        <f>IF(OR(ISBLANK(IF(ISERROR(IF(OR(ISBLANK($H$97)), "", $H$97/1000)), "", (IF(OR(ISBLANK($H$97)), "", $H$97/1000)))), IF(ISERROR(IF(OR(ISBLANK($H$97)), "", $H$97/1000)), "", (IF(OR(ISBLANK($H$97)), "", $H$97/1000))) = ""), -108.6497969,IF(ISERROR(IF(OR(ISBLANK($H$97)), "", $H$97/1000)), "", (IF(OR(ISBLANK($H$97)), "", $H$97/1000))))</f>
        <v>-108.6497969</v>
      </c>
      <c r="I46">
        <f>IF(OR(ISBLANK(IF(ISERROR(IF(OR(ISBLANK($I$97)), "", $I$97/1000)), "", (IF(OR(ISBLANK($I$97)), "", $I$97/1000)))), IF(ISERROR(IF(OR(ISBLANK($I$97)), "", $I$97/1000)), "", (IF(OR(ISBLANK($I$97)), "", $I$97/1000))) = ""), -119.2002969,IF(ISERROR(IF(OR(ISBLANK($I$97)), "", $I$97/1000)), "", (IF(OR(ISBLANK($I$97)), "", $I$97/1000))))</f>
        <v>-119.2002969</v>
      </c>
      <c r="J46">
        <f>IF(OR(ISBLANK(IF(ISERROR(IF(OR(ISBLANK($J$97)), "", $J$97/1000)), "", (IF(OR(ISBLANK($J$97)), "", $J$97/1000)))), IF(ISERROR(IF(OR(ISBLANK($J$97)), "", $J$97/1000)), "", (IF(OR(ISBLANK($J$97)), "", $J$97/1000))) = ""), -102.8777969,IF(ISERROR(IF(OR(ISBLANK($J$97)), "", $J$97/1000)), "", (IF(OR(ISBLANK($J$97)), "", $J$97/1000))))</f>
        <v>-102.87779690000001</v>
      </c>
      <c r="K46">
        <f>IF(OR(ISBLANK(IF(ISERROR(IF(OR(ISBLANK($K$97)), "", $K$97/1000)), "", (IF(OR(ISBLANK($K$97)), "", $K$97/1000)))), IF(ISERROR(IF(OR(ISBLANK($K$97)), "", $K$97/1000)), "", (IF(OR(ISBLANK($K$97)), "", $K$97/1000))) = ""), -137.4652031,IF(ISERROR(IF(OR(ISBLANK($K$97)), "", $K$97/1000)), "", (IF(OR(ISBLANK($K$97)), "", $K$97/1000))))</f>
        <v>-137.4652031</v>
      </c>
      <c r="L46">
        <f>IF(OR(ISBLANK(IF(ISERROR(IF(OR(ISBLANK($L$97)), "", $L$97/1000)), "", (IF(OR(ISBLANK($L$97)), "", $L$97/1000)))), IF(ISERROR(IF(OR(ISBLANK($L$97)), "", $L$97/1000)), "", (IF(OR(ISBLANK($L$97)), "", $L$97/1000))) = ""), -144.2807031,IF(ISERROR(IF(OR(ISBLANK($L$97)), "", $L$97/1000)), "", (IF(OR(ISBLANK($L$97)), "", $L$97/1000))))</f>
        <v>-144.28070310000001</v>
      </c>
      <c r="M46">
        <f>IF(OR(ISBLANK(IF(ISERROR(IF(OR(ISBLANK($M$97)), "", $M$97/1000)), "", (IF(OR(ISBLANK($M$97)), "", $M$97/1000)))), IF(ISERROR(IF(OR(ISBLANK($M$97)), "", $M$97/1000)), "", (IF(OR(ISBLANK($M$97)), "", $M$97/1000))) = ""), -165.5327031,IF(ISERROR(IF(OR(ISBLANK($M$97)), "", $M$97/1000)), "", (IF(OR(ISBLANK($M$97)), "", $M$97/1000))))</f>
        <v>-165.53270309999999</v>
      </c>
      <c r="N46">
        <f>IF(OR(ISBLANK(IF(ISERROR(IF(OR(ISBLANK($N$97)), "", $N$97/1000)), "", (IF(OR(ISBLANK($N$97)), "", $N$97/1000)))), IF(ISERROR(IF(OR(ISBLANK($N$97)), "", $N$97/1000)), "", (IF(OR(ISBLANK($N$97)), "", $N$97/1000))) = ""), -103.946,IF(ISERROR(IF(OR(ISBLANK($N$97)), "", $N$97/1000)), "", (IF(OR(ISBLANK($N$97)), "", $N$97/1000))))</f>
        <v>-103.946</v>
      </c>
      <c r="O46">
        <f>IF(OR(ISBLANK(IF(ISERROR(IF(OR(ISBLANK($O$97)), "", $O$97/1000)), "", (IF(OR(ISBLANK($O$97)), "", $O$97/1000)))), IF(ISERROR(IF(OR(ISBLANK($O$97)), "", $O$97/1000)), "", (IF(OR(ISBLANK($O$97)), "", $O$97/1000))) = ""), -166.7797969,IF(ISERROR(IF(OR(ISBLANK($O$97)), "", $O$97/1000)), "", (IF(OR(ISBLANK($O$97)), "", $O$97/1000))))</f>
        <v>-166.77979690000001</v>
      </c>
      <c r="P46">
        <f>IF(OR(ISBLANK(IF(ISERROR(IF(OR(ISBLANK($P$97)), "", $P$97/1000)), "", (IF(OR(ISBLANK($P$97)), "", $P$97/1000)))), IF(ISERROR(IF(OR(ISBLANK($P$97)), "", $P$97/1000)), "", (IF(OR(ISBLANK($P$97)), "", $P$97/1000))) = ""), -153.3635,IF(ISERROR(IF(OR(ISBLANK($P$97)), "", $P$97/1000)), "", (IF(OR(ISBLANK($P$97)), "", $P$97/1000))))</f>
        <v>-153.36349999999999</v>
      </c>
      <c r="Q46">
        <f>IF(OR(ISBLANK(IF(ISERROR(IF(OR(ISBLANK($Q$97)), "", $Q$97/1000)), "", (IF(OR(ISBLANK($Q$97)), "", $Q$97/1000)))), IF(ISERROR(IF(OR(ISBLANK($Q$97)), "", $Q$97/1000)), "", (IF(OR(ISBLANK($Q$97)), "", $Q$97/1000))) = ""), -172.5,IF(ISERROR(IF(OR(ISBLANK($Q$97)), "", $Q$97/1000)), "", (IF(OR(ISBLANK($Q$97)), "", $Q$97/1000))))</f>
        <v>-172.5</v>
      </c>
      <c r="R46">
        <f>IF(OR(ISBLANK(IF(ISERROR(IF(OR(ISBLANK($R$97)), "", $R$97/1000)), "", (IF(OR(ISBLANK($R$97)), "", $R$97/1000)))), IF(ISERROR(IF(OR(ISBLANK($R$97)), "", $R$97/1000)), "", (IF(OR(ISBLANK($R$97)), "", $R$97/1000))) = ""), -175.5,IF(ISERROR(IF(OR(ISBLANK($R$97)), "", $R$97/1000)), "", (IF(OR(ISBLANK($R$97)), "", $R$97/1000))))</f>
        <v>-175.5</v>
      </c>
      <c r="S46">
        <f>IF(OR(ISBLANK(IF(ISERROR(IF(OR(ISBLANK($S$97)), "", $S$97/1000)), "", (IF(OR(ISBLANK($S$97)), "", $S$97/1000)))), IF(ISERROR(IF(OR(ISBLANK($S$97)), "", $S$97/1000)), "", (IF(OR(ISBLANK($S$97)), "", $S$97/1000))) = ""), -175.5,IF(ISERROR(IF(OR(ISBLANK($S$97)), "", $S$97/1000)), "", (IF(OR(ISBLANK($S$97)), "", $S$97/1000))))</f>
        <v>-108.6498</v>
      </c>
      <c r="T46">
        <f>IF(OR(ISBLANK(IF(ISERROR(IF(OR(ISBLANK($T$97)), "", $T$97/1000)), "", (IF(OR(ISBLANK($T$97)), "", $T$97/1000)))), IF(ISERROR(IF(OR(ISBLANK($T$97)), "", $T$97/1000)), "", (IF(OR(ISBLANK($T$97)), "", $T$97/1000))) = ""), -175.5,IF(ISERROR(IF(OR(ISBLANK($T$97)), "", $T$97/1000)), "", (IF(OR(ISBLANK($T$97)), "", $T$97/1000))))</f>
        <v>-119.2003</v>
      </c>
      <c r="U46">
        <f>IF(OR(ISBLANK(IF(ISERROR(IF(OR(ISBLANK($U$97)), "", $U$97/1000)), "", (IF(OR(ISBLANK($U$97)), "", $U$97/1000)))), IF(ISERROR(IF(OR(ISBLANK($U$97)), "", $U$97/1000)), "", (IF(OR(ISBLANK($U$97)), "", $U$97/1000))) = ""), -175.5,IF(ISERROR(IF(OR(ISBLANK($U$97)), "", $U$97/1000)), "", (IF(OR(ISBLANK($U$97)), "", $U$97/1000))))</f>
        <v>-102.87780000000001</v>
      </c>
      <c r="V46">
        <f>IF(OR(ISBLANK(IF(ISERROR(IF(OR(ISBLANK($V$97)), "", $V$97/1000)), "", (IF(OR(ISBLANK($V$97)), "", $V$97/1000)))), IF(ISERROR(IF(OR(ISBLANK($V$97)), "", $V$97/1000)), "", (IF(OR(ISBLANK($V$97)), "", $V$97/1000))) = ""), -175.5,IF(ISERROR(IF(OR(ISBLANK($V$97)), "", $V$97/1000)), "", (IF(OR(ISBLANK($V$97)), "", $V$97/1000))))</f>
        <v>-137.46520000000001</v>
      </c>
      <c r="W46">
        <f>IF(OR(ISBLANK(IF(ISERROR(IF(OR(ISBLANK($W$97)), "", $W$97/1000)), "", (IF(OR(ISBLANK($W$97)), "", $W$97/1000)))), IF(ISERROR(IF(OR(ISBLANK($W$97)), "", $W$97/1000)), "", (IF(OR(ISBLANK($W$97)), "", $W$97/1000))) = ""), -175.5,IF(ISERROR(IF(OR(ISBLANK($W$97)), "", $W$97/1000)), "", (IF(OR(ISBLANK($W$97)), "", $W$97/1000))))</f>
        <v>-144.28070000000002</v>
      </c>
      <c r="X46">
        <f>IF(OR(ISBLANK(IF(ISERROR(IF(OR(ISBLANK($X$97)), "", $X$97/1000)), "", (IF(OR(ISBLANK($X$97)), "", $X$97/1000)))), IF(ISERROR(IF(OR(ISBLANK($X$97)), "", $X$97/1000)), "", (IF(OR(ISBLANK($X$97)), "", $X$97/1000))) = ""), -175.5,IF(ISERROR(IF(OR(ISBLANK($X$97)), "", $X$97/1000)), "", (IF(OR(ISBLANK($X$97)), "", $X$97/1000))))</f>
        <v>-165.53270000000001</v>
      </c>
      <c r="Y46">
        <f>IF(OR(ISBLANK(IF(ISERROR(IF(OR(ISBLANK($Y$97)), "", $Y$97/1000)), "", (IF(OR(ISBLANK($Y$97)), "", $Y$97/1000)))), IF(ISERROR(IF(OR(ISBLANK($Y$97)), "", $Y$97/1000)), "", (IF(OR(ISBLANK($Y$97)), "", $Y$97/1000))) = ""), -175.5,IF(ISERROR(IF(OR(ISBLANK($Y$97)), "", $Y$97/1000)), "", (IF(OR(ISBLANK($Y$97)), "", $Y$97/1000))))</f>
        <v>-103.946</v>
      </c>
      <c r="Z46">
        <f>IF(OR(ISBLANK(IF(ISERROR(IF(OR(ISBLANK($Z$97)), "", $Z$97/1000)), "", (IF(OR(ISBLANK($Z$97)), "", $Z$97/1000)))), IF(ISERROR(IF(OR(ISBLANK($Z$97)), "", $Z$97/1000)), "", (IF(OR(ISBLANK($Z$97)), "", $Z$97/1000))) = ""), -175.5,IF(ISERROR(IF(OR(ISBLANK($Z$97)), "", $Z$97/1000)), "", (IF(OR(ISBLANK($Z$97)), "", $Z$97/1000))))</f>
        <v>-166.77979999999999</v>
      </c>
      <c r="AA46">
        <f>IF(OR(ISBLANK(IF(ISERROR(IF(OR(ISBLANK($AA$97)), "", $AA$97/1000)), "", (IF(OR(ISBLANK($AA$97)), "", $AA$97/1000)))), IF(ISERROR(IF(OR(ISBLANK($AA$97)), "", $AA$97/1000)), "", (IF(OR(ISBLANK($AA$97)), "", $AA$97/1000))) = ""), -151.206,IF(ISERROR(IF(OR(ISBLANK($AA$97)), "", $AA$97/1000)), "", (IF(OR(ISBLANK($AA$97)), "", $AA$97/1000))))</f>
        <v>-153.36349999999999</v>
      </c>
      <c r="AB46">
        <f>IF(OR(ISBLANK(IF(ISERROR(IF(OR(ISBLANK($AB$97)), "", $AB$97/1000)), "", (IF(OR(ISBLANK($AB$97)), "", $AB$97/1000)))), IF(ISERROR(IF(OR(ISBLANK($AB$97)), "", $AB$97/1000)), "", (IF(OR(ISBLANK($AB$97)), "", $AB$97/1000))) = ""), -152.0670938,IF(ISERROR(IF(OR(ISBLANK($AB$97)), "", $AB$97/1000)), "", (IF(OR(ISBLANK($AB$97)), "", $AB$97/1000))))</f>
        <v>-172.5</v>
      </c>
      <c r="AC46">
        <f>IF(OR(ISBLANK(IF(ISERROR(IF(OR(ISBLANK($AC$97)), "", $AC$97/1000)), "", (IF(OR(ISBLANK($AC$97)), "", $AC$97/1000)))), IF(ISERROR(IF(OR(ISBLANK($AC$97)), "", $AC$97/1000)), "", (IF(OR(ISBLANK($AC$97)), "", $AC$97/1000))) = ""), -179,IF(ISERROR(IF(OR(ISBLANK($AC$97)), "", $AC$97/1000)), "", (IF(OR(ISBLANK($AC$97)), "", $AC$97/1000))))</f>
        <v>-175.5</v>
      </c>
      <c r="AD46">
        <f>IF(OR(ISBLANK(IF(ISERROR(IF(OR(ISBLANK($AD$97)), "", $AD$97/1000)), "", (IF(OR(ISBLANK($AD$97)), "", $AD$97/1000)))), IF(ISERROR(IF(OR(ISBLANK($AD$97)), "", $AD$97/1000)), "", (IF(OR(ISBLANK($AD$97)), "", $AD$97/1000))) = ""), -179,IF(ISERROR(IF(OR(ISBLANK($AD$97)), "", $AD$97/1000)), "", (IF(OR(ISBLANK($AD$97)), "", $AD$97/1000))))</f>
        <v>-175.5</v>
      </c>
      <c r="AE46">
        <f>IF(OR(ISBLANK(IF(ISERROR(IF(OR(ISBLANK($AE$97)), "", $AE$97/1000)), "", (IF(OR(ISBLANK($AE$97)), "", $AE$97/1000)))), IF(ISERROR(IF(OR(ISBLANK($AE$97)), "", $AE$97/1000)), "", (IF(OR(ISBLANK($AE$97)), "", $AE$97/1000))) = ""), -104.8418984,IF(ISERROR(IF(OR(ISBLANK($AE$97)), "", $AE$97/1000)), "", (IF(OR(ISBLANK($AE$97)), "", $AE$97/1000))))</f>
        <v>-175.5</v>
      </c>
      <c r="AF46">
        <f>IF(OR(ISBLANK(IF(ISERROR(IF(OR(ISBLANK($AF$97)), "", $AF$97/1000)), "", (IF(OR(ISBLANK($AF$97)), "", $AF$97/1000)))), IF(ISERROR(IF(OR(ISBLANK($AF$97)), "", $AF$97/1000)), "", (IF(OR(ISBLANK($AF$97)), "", $AF$97/1000))) = ""), -139.9197031,IF(ISERROR(IF(OR(ISBLANK($AF$97)), "", $AF$97/1000)), "", (IF(OR(ISBLANK($AF$97)), "", $AF$97/1000))))</f>
        <v>-175.5</v>
      </c>
      <c r="AG46">
        <f>IF(OR(ISBLANK(IF(ISERROR(IF(OR(ISBLANK($AG$97)), "", $AG$97/1000)), "", (IF(OR(ISBLANK($AG$97)), "", $AG$97/1000)))), IF(ISERROR(IF(OR(ISBLANK($AG$97)), "", $AG$97/1000)), "", (IF(OR(ISBLANK($AG$97)), "", $AG$97/1000))) = ""), -152.2510938,IF(ISERROR(IF(OR(ISBLANK($AG$97)), "", $AG$97/1000)), "", (IF(OR(ISBLANK($AG$97)), "", $AG$97/1000))))</f>
        <v>-175.5</v>
      </c>
      <c r="AH46">
        <f>IF(OR(ISBLANK(IF(ISERROR(IF(OR(ISBLANK($AH$97)), "", $AH$97/1000)), "", (IF(OR(ISBLANK($AH$97)), "", $AH$97/1000)))), IF(ISERROR(IF(OR(ISBLANK($AH$97)), "", $AH$97/1000)), "", (IF(OR(ISBLANK($AH$97)), "", $AH$97/1000))) = ""), -184,IF(ISERROR(IF(OR(ISBLANK($AH$97)), "", $AH$97/1000)), "", (IF(OR(ISBLANK($AH$97)), "", $AH$97/1000))))</f>
        <v>-175.5</v>
      </c>
      <c r="AI46">
        <f>IF(OR(ISBLANK(IF(ISERROR(IF(OR(ISBLANK($AI$97)), "", $AI$97/1000)), "", (IF(OR(ISBLANK($AI$97)), "", $AI$97/1000)))), IF(ISERROR(IF(OR(ISBLANK($AI$97)), "", $AI$97/1000)), "", (IF(OR(ISBLANK($AI$97)), "", $AI$97/1000))) = ""), -184,IF(ISERROR(IF(OR(ISBLANK($AI$97)), "", $AI$97/1000)), "", (IF(OR(ISBLANK($AI$97)), "", $AI$97/1000))))</f>
        <v>-175.5</v>
      </c>
      <c r="AJ46">
        <f>IF(OR(ISBLANK(IF(ISERROR(IF(OR(ISBLANK($AJ$97)), "", $AJ$97/1000)), "", (IF(OR(ISBLANK($AJ$97)), "", $AJ$97/1000)))), IF(ISERROR(IF(OR(ISBLANK($AJ$97)), "", $AJ$97/1000)), "", (IF(OR(ISBLANK($AJ$97)), "", $AJ$97/1000))) = ""), -157.7642969,IF(ISERROR(IF(OR(ISBLANK($AJ$97)), "", $AJ$97/1000)), "", (IF(OR(ISBLANK($AJ$97)), "", $AJ$97/1000))))</f>
        <v>-175.5</v>
      </c>
      <c r="AK46">
        <f>IF(OR(ISBLANK(IF(ISERROR(IF(OR(ISBLANK($AK$97)), "", $AK$97/1000)), "", (IF(OR(ISBLANK($AK$97)), "", $AK$97/1000)))), IF(ISERROR(IF(OR(ISBLANK($AK$97)), "", $AK$97/1000)), "", (IF(OR(ISBLANK($AK$97)), "", $AK$97/1000))) = ""), -184,IF(ISERROR(IF(OR(ISBLANK($AK$97)), "", $AK$97/1000)), "", (IF(OR(ISBLANK($AK$97)), "", $AK$97/1000))))</f>
        <v>-175.5</v>
      </c>
      <c r="AL46">
        <f>IF(OR(ISBLANK(IF(ISERROR(IF(OR(ISBLANK($AL$97)), "", $AL$97/1000)), "", (IF(OR(ISBLANK($AL$97)), "", $AL$97/1000)))), IF(ISERROR(IF(OR(ISBLANK($AL$97)), "", $AL$97/1000)), "", (IF(OR(ISBLANK($AL$97)), "", $AL$97/1000))) = ""), -184,IF(ISERROR(IF(OR(ISBLANK($AL$97)), "", $AL$97/1000)), "", (IF(OR(ISBLANK($AL$97)), "", $AL$97/1000))))</f>
        <v>-151.20599999999999</v>
      </c>
      <c r="AM46">
        <f>IF(OR(ISBLANK(IF(ISERROR(IF(OR(ISBLANK($AM$97)), "", $AM$97/1000)), "", (IF(OR(ISBLANK($AM$97)), "", $AM$97/1000)))), IF(ISERROR(IF(OR(ISBLANK($AM$97)), "", $AM$97/1000)), "", (IF(OR(ISBLANK($AM$97)), "", $AM$97/1000))) = ""), -184,IF(ISERROR(IF(OR(ISBLANK($AM$97)), "", $AM$97/1000)), "", (IF(OR(ISBLANK($AM$97)), "", $AM$97/1000))))</f>
        <v>-152.06709000000001</v>
      </c>
      <c r="AN46">
        <f>IF(OR(ISBLANK(IF(ISERROR(IF(OR(ISBLANK($AN$97)), "", $AN$97/1000)), "", (IF(OR(ISBLANK($AN$97)), "", $AN$97/1000)))), IF(ISERROR(IF(OR(ISBLANK($AN$97)), "", $AN$97/1000)), "", (IF(OR(ISBLANK($AN$97)), "", $AN$97/1000))) = ""), -188,IF(ISERROR(IF(OR(ISBLANK($AN$97)), "", $AN$97/1000)), "", (IF(OR(ISBLANK($AN$97)), "", $AN$97/1000))))</f>
        <v>-179</v>
      </c>
      <c r="AO46">
        <f>IF(OR(ISBLANK(IF(ISERROR(IF(OR(ISBLANK($AO$97)), "", $AO$97/1000)), "", (IF(OR(ISBLANK($AO$97)), "", $AO$97/1000)))), IF(ISERROR(IF(OR(ISBLANK($AO$97)), "", $AO$97/1000)), "", (IF(OR(ISBLANK($AO$97)), "", $AO$97/1000))) = ""), -188,IF(ISERROR(IF(OR(ISBLANK($AO$97)), "", $AO$97/1000)), "", (IF(OR(ISBLANK($AO$97)), "", $AO$97/1000))))</f>
        <v>-179</v>
      </c>
      <c r="AP46">
        <f>IF(OR(ISBLANK(IF(ISERROR(IF(OR(ISBLANK($AP$97)), "", $AP$97/1000)), "", (IF(OR(ISBLANK($AP$97)), "", $AP$97/1000)))), IF(ISERROR(IF(OR(ISBLANK($AP$97)), "", $AP$97/1000)), "", (IF(OR(ISBLANK($AP$97)), "", $AP$97/1000))) = ""), -188,IF(ISERROR(IF(OR(ISBLANK($AP$97)), "", $AP$97/1000)), "", (IF(OR(ISBLANK($AP$97)), "", $AP$97/1000))))</f>
        <v>-104.8419</v>
      </c>
      <c r="AQ46">
        <f>IF(OR(ISBLANK(IF(ISERROR(IF(OR(ISBLANK($AQ$97)), "", $AQ$97/1000)), "", (IF(OR(ISBLANK($AQ$97)), "", $AQ$97/1000)))), IF(ISERROR(IF(OR(ISBLANK($AQ$97)), "", $AQ$97/1000)), "", (IF(OR(ISBLANK($AQ$97)), "", $AQ$97/1000))) = ""), -188,IF(ISERROR(IF(OR(ISBLANK($AQ$97)), "", $AQ$97/1000)), "", (IF(OR(ISBLANK($AQ$97)), "", $AQ$97/1000))))</f>
        <v>-139.91970000000001</v>
      </c>
      <c r="AR46">
        <f>IF(OR(ISBLANK(IF(ISERROR(IF(OR(ISBLANK($AR$97)), "", $AR$97/1000)), "", (IF(OR(ISBLANK($AR$97)), "", $AR$97/1000)))), IF(ISERROR(IF(OR(ISBLANK($AR$97)), "", $AR$97/1000)), "", (IF(OR(ISBLANK($AR$97)), "", $AR$97/1000))) = ""), -187.5,IF(ISERROR(IF(OR(ISBLANK($AR$97)), "", $AR$97/1000)), "", (IF(OR(ISBLANK($AR$97)), "", $AR$97/1000))))</f>
        <v>-152.25109</v>
      </c>
      <c r="AS46">
        <f>IF(OR(ISBLANK(IF(ISERROR(IF(OR(ISBLANK($AS$97)), "", $AS$97/1000)), "", (IF(OR(ISBLANK($AS$97)), "", $AS$97/1000)))), IF(ISERROR(IF(OR(ISBLANK($AS$97)), "", $AS$97/1000)), "", (IF(OR(ISBLANK($AS$97)), "", $AS$97/1000))) = ""), -190.5,IF(ISERROR(IF(OR(ISBLANK($AS$97)), "", $AS$97/1000)), "", (IF(OR(ISBLANK($AS$97)), "", $AS$97/1000))))</f>
        <v>-184</v>
      </c>
      <c r="AT46">
        <f>IF(OR(ISBLANK(IF(ISERROR(IF(OR(ISBLANK($AT$97)), "", $AT$97/1000)), "", (IF(OR(ISBLANK($AT$97)), "", $AT$97/1000)))), IF(ISERROR(IF(OR(ISBLANK($AT$97)), "", $AT$97/1000)), "", (IF(OR(ISBLANK($AT$97)), "", $AT$97/1000))) = ""), -190.5,IF(ISERROR(IF(OR(ISBLANK($AT$97)), "", $AT$97/1000)), "", (IF(OR(ISBLANK($AT$97)), "", $AT$97/1000))))</f>
        <v>-184</v>
      </c>
      <c r="AU46">
        <f>IF(OR(ISBLANK(IF(ISERROR(IF(OR(ISBLANK($AU$97)), "", $AU$97/1000)), "", (IF(OR(ISBLANK($AU$97)), "", $AU$97/1000)))), IF(ISERROR(IF(OR(ISBLANK($AU$97)), "", $AU$97/1000)), "", (IF(OR(ISBLANK($AU$97)), "", $AU$97/1000))) = ""), -190.5,IF(ISERROR(IF(OR(ISBLANK($AU$97)), "", $AU$97/1000)), "", (IF(OR(ISBLANK($AU$97)), "", $AU$97/1000))))</f>
        <v>-157.76429999999999</v>
      </c>
      <c r="AV46">
        <f>IF(OR(ISBLANK(IF(ISERROR(IF(OR(ISBLANK($AV$97)), "", $AV$97/1000)), "", (IF(OR(ISBLANK($AV$97)), "", $AV$97/1000)))), IF(ISERROR(IF(OR(ISBLANK($AV$97)), "", $AV$97/1000)), "", (IF(OR(ISBLANK($AV$97)), "", $AV$97/1000))) = ""), -190.5,IF(ISERROR(IF(OR(ISBLANK($AV$97)), "", $AV$97/1000)), "", (IF(OR(ISBLANK($AV$97)), "", $AV$97/1000))))</f>
        <v>-184</v>
      </c>
      <c r="AW46">
        <f>IF(OR(ISBLANK(IF(ISERROR(IF(OR(ISBLANK($AW$97)), "", $AW$97/1000)), "", (IF(OR(ISBLANK($AW$97)), "", $AW$97/1000)))), IF(ISERROR(IF(OR(ISBLANK($AW$97)), "", $AW$97/1000)), "", (IF(OR(ISBLANK($AW$97)), "", $AW$97/1000))) = ""), -190.5,IF(ISERROR(IF(OR(ISBLANK($AW$97)), "", $AW$97/1000)), "", (IF(OR(ISBLANK($AW$97)), "", $AW$97/1000))))</f>
        <v>-184</v>
      </c>
      <c r="AX46">
        <f>IF(OR(ISBLANK(IF(ISERROR(IF(OR(ISBLANK($AX$97)), "", $AX$97/1000)), "", (IF(OR(ISBLANK($AX$97)), "", $AX$97/1000)))), IF(ISERROR(IF(OR(ISBLANK($AX$97)), "", $AX$97/1000)), "", (IF(OR(ISBLANK($AX$97)), "", $AX$97/1000))) = ""), -192.5,IF(ISERROR(IF(OR(ISBLANK($AX$97)), "", $AX$97/1000)), "", (IF(OR(ISBLANK($AX$97)), "", $AX$97/1000))))</f>
        <v>-184</v>
      </c>
      <c r="AY46">
        <f>IF(OR(ISBLANK(IF(ISERROR(IF(OR(ISBLANK($AY$97)), "", $AY$97/1000)), "", (IF(OR(ISBLANK($AY$97)), "", $AY$97/1000)))), IF(ISERROR(IF(OR(ISBLANK($AY$97)), "", $AY$97/1000)), "", (IF(OR(ISBLANK($AY$97)), "", $AY$97/1000))) = ""), -192.5,IF(ISERROR(IF(OR(ISBLANK($AY$97)), "", $AY$97/1000)), "", (IF(OR(ISBLANK($AY$97)), "", $AY$97/1000))))</f>
        <v>-188</v>
      </c>
      <c r="AZ46">
        <f>IF(OR(ISBLANK(IF(ISERROR(IF(OR(ISBLANK($AZ$97)), "", $AZ$97/1000)), "", (IF(OR(ISBLANK($AZ$97)), "", $AZ$97/1000)))), IF(ISERROR(IF(OR(ISBLANK($AZ$97)), "", $AZ$97/1000)), "", (IF(OR(ISBLANK($AZ$97)), "", $AZ$97/1000))) = ""), -192.5,IF(ISERROR(IF(OR(ISBLANK($AZ$97)), "", $AZ$97/1000)), "", (IF(OR(ISBLANK($AZ$97)), "", $AZ$97/1000))))</f>
        <v>-188</v>
      </c>
      <c r="BA46">
        <f>IF(OR(ISBLANK(IF(ISERROR(IF(OR(ISBLANK($BA$97)), "", $BA$97/1000)), "", (IF(OR(ISBLANK($BA$97)), "", $BA$97/1000)))), IF(ISERROR(IF(OR(ISBLANK($BA$97)), "", $BA$97/1000)), "", (IF(OR(ISBLANK($BA$97)), "", $BA$97/1000))) = ""), -195.5,IF(ISERROR(IF(OR(ISBLANK($BA$97)), "", $BA$97/1000)), "", (IF(OR(ISBLANK($BA$97)), "", $BA$97/1000))))</f>
        <v>-188</v>
      </c>
      <c r="BB46">
        <f>IF(OR(ISBLANK(IF(ISERROR(IF(OR(ISBLANK($BB$97)), "", $BB$97/1000)), "", (IF(OR(ISBLANK($BB$97)), "", $BB$97/1000)))), IF(ISERROR(IF(OR(ISBLANK($BB$97)), "", $BB$97/1000)), "", (IF(OR(ISBLANK($BB$97)), "", $BB$97/1000))) = ""), -195.5,IF(ISERROR(IF(OR(ISBLANK($BB$97)), "", $BB$97/1000)), "", (IF(OR(ISBLANK($BB$97)), "", $BB$97/1000))))</f>
        <v>-188</v>
      </c>
      <c r="BC46">
        <f>IF(OR(ISBLANK(IF(ISERROR(IF(OR(ISBLANK($BC$97)), "", $BC$97/1000)), "", (IF(OR(ISBLANK($BC$97)), "", $BC$97/1000)))), IF(ISERROR(IF(OR(ISBLANK($BC$97)), "", $BC$97/1000)), "", (IF(OR(ISBLANK($BC$97)), "", $BC$97/1000))) = ""), -195.5,IF(ISERROR(IF(OR(ISBLANK($BC$97)), "", $BC$97/1000)), "", (IF(OR(ISBLANK($BC$97)), "", $BC$97/1000))))</f>
        <v>-187.5</v>
      </c>
      <c r="BD46">
        <f>IF(OR(ISBLANK(IF(ISERROR(IF(OR(ISBLANK($BD$97)), "", $BD$97/1000)), "", (IF(OR(ISBLANK($BD$97)), "", $BD$97/1000)))), IF(ISERROR(IF(OR(ISBLANK($BD$97)), "", $BD$97/1000)), "", (IF(OR(ISBLANK($BD$97)), "", $BD$97/1000))) = ""), -195.5,IF(ISERROR(IF(OR(ISBLANK($BD$97)), "", $BD$97/1000)), "", (IF(OR(ISBLANK($BD$97)), "", $BD$97/1000))))</f>
        <v>-190.5</v>
      </c>
      <c r="BE46">
        <f>IF(OR(ISBLANK(IF(ISERROR(IF(OR(ISBLANK($BE$97)), "", $BE$97/1000)), "", (IF(OR(ISBLANK($BE$97)), "", $BE$97/1000)))), IF(ISERROR(IF(OR(ISBLANK($BE$97)), "", $BE$97/1000)), "", (IF(OR(ISBLANK($BE$97)), "", $BE$97/1000))) = ""), -195,IF(ISERROR(IF(OR(ISBLANK($BE$97)), "", $BE$97/1000)), "", (IF(OR(ISBLANK($BE$97)), "", $BE$97/1000))))</f>
        <v>-190.5</v>
      </c>
      <c r="BF46">
        <f>IF(OR(ISBLANK(IF(ISERROR(IF(OR(ISBLANK($BF$97)), "", $BF$97/1000)), "", (IF(OR(ISBLANK($BF$97)), "", $BF$97/1000)))), IF(ISERROR(IF(OR(ISBLANK($BF$97)), "", $BF$97/1000)), "", (IF(OR(ISBLANK($BF$97)), "", $BF$97/1000))) = ""), -195,IF(ISERROR(IF(OR(ISBLANK($BF$97)), "", $BF$97/1000)), "", (IF(OR(ISBLANK($BF$97)), "", $BF$97/1000))))</f>
        <v>-190.5</v>
      </c>
      <c r="BG46">
        <f>IF(OR(ISBLANK(IF(ISERROR(IF(OR(ISBLANK($BG$97)), "", $BG$97/1000)), "", (IF(OR(ISBLANK($BG$97)), "", $BG$97/1000)))), IF(ISERROR(IF(OR(ISBLANK($BG$97)), "", $BG$97/1000)), "", (IF(OR(ISBLANK($BG$97)), "", $BG$97/1000))) = ""), -195,IF(ISERROR(IF(OR(ISBLANK($BG$97)), "", $BG$97/1000)), "", (IF(OR(ISBLANK($BG$97)), "", $BG$97/1000))))</f>
        <v>-190.5</v>
      </c>
      <c r="BH46">
        <f>IF(OR(ISBLANK(IF(ISERROR(IF(OR(ISBLANK($BH$97)), "", $BH$97/1000)), "", (IF(OR(ISBLANK($BH$97)), "", $BH$97/1000)))), IF(ISERROR(IF(OR(ISBLANK($BH$97)), "", $BH$97/1000)), "", (IF(OR(ISBLANK($BH$97)), "", $BH$97/1000))) = ""), -195,IF(ISERROR(IF(OR(ISBLANK($BH$97)), "", $BH$97/1000)), "", (IF(OR(ISBLANK($BH$97)), "", $BH$97/1000))))</f>
        <v>-190.5</v>
      </c>
      <c r="BI46">
        <f>IF(OR(ISBLANK(IF(ISERROR(IF(OR(ISBLANK($BI$97)), "", $BI$97/1000)), "", (IF(OR(ISBLANK($BI$97)), "", $BI$97/1000)))), IF(ISERROR(IF(OR(ISBLANK($BI$97)), "", $BI$97/1000)), "", (IF(OR(ISBLANK($BI$97)), "", $BI$97/1000))) = ""), -197,IF(ISERROR(IF(OR(ISBLANK($BI$97)), "", $BI$97/1000)), "", (IF(OR(ISBLANK($BI$97)), "", $BI$97/1000))))</f>
        <v>-192.5</v>
      </c>
      <c r="BJ46">
        <f>IF(OR(ISBLANK(IF(ISERROR(IF(OR(ISBLANK($BJ$97)), "", $BJ$97/1000)), "", (IF(OR(ISBLANK($BJ$97)), "", $BJ$97/1000)))), IF(ISERROR(IF(OR(ISBLANK($BJ$97)), "", $BJ$97/1000)), "", (IF(OR(ISBLANK($BJ$97)), "", $BJ$97/1000))) = ""), -197,IF(ISERROR(IF(OR(ISBLANK($BJ$97)), "", $BJ$97/1000)), "", (IF(OR(ISBLANK($BJ$97)), "", $BJ$97/1000))))</f>
        <v>-192.5</v>
      </c>
      <c r="BK46">
        <f>IF(OR(ISBLANK(IF(ISERROR(IF(OR(ISBLANK($BK$97)), "", $BK$97/1000)), "", (IF(OR(ISBLANK($BK$97)), "", $BK$97/1000)))), IF(ISERROR(IF(OR(ISBLANK($BK$97)), "", $BK$97/1000)), "", (IF(OR(ISBLANK($BK$97)), "", $BK$97/1000))) = ""), -201,IF(ISERROR(IF(OR(ISBLANK($BK$97)), "", $BK$97/1000)), "", (IF(OR(ISBLANK($BK$97)), "", $BK$97/1000))))</f>
        <v>-192.5</v>
      </c>
      <c r="BL46">
        <f>IF(OR(ISBLANK(IF(ISERROR(IF(OR(ISBLANK($BL$97)), "", $BL$97/1000)), "", (IF(OR(ISBLANK($BL$97)), "", $BL$97/1000)))), IF(ISERROR(IF(OR(ISBLANK($BL$97)), "", $BL$97/1000)), "", (IF(OR(ISBLANK($BL$97)), "", $BL$97/1000))) = ""), -201,IF(ISERROR(IF(OR(ISBLANK($BL$97)), "", $BL$97/1000)), "", (IF(OR(ISBLANK($BL$97)), "", $BL$97/1000))))</f>
        <v>-195.5</v>
      </c>
      <c r="BM46">
        <f>IF(OR(ISBLANK(IF(ISERROR(IF(OR(ISBLANK($BM$97)), "", $BM$97/1000)), "", (IF(OR(ISBLANK($BM$97)), "", $BM$97/1000)))), IF(ISERROR(IF(OR(ISBLANK($BM$97)), "", $BM$97/1000)), "", (IF(OR(ISBLANK($BM$97)), "", $BM$97/1000))) = ""), -201,IF(ISERROR(IF(OR(ISBLANK($BM$97)), "", $BM$97/1000)), "", (IF(OR(ISBLANK($BM$97)), "", $BM$97/1000))))</f>
        <v>-195.5</v>
      </c>
      <c r="BN46">
        <f>IF(OR(ISBLANK(IF(ISERROR(IF(OR(ISBLANK($BN$97)), "", $BN$97/1000)), "", (IF(OR(ISBLANK($BN$97)), "", $BN$97/1000)))), IF(ISERROR(IF(OR(ISBLANK($BN$97)), "", $BN$97/1000)), "", (IF(OR(ISBLANK($BN$97)), "", $BN$97/1000))) = ""), -202.5,IF(ISERROR(IF(OR(ISBLANK($BN$97)), "", $BN$97/1000)), "", (IF(OR(ISBLANK($BN$97)), "", $BN$97/1000))))</f>
        <v>-195.5</v>
      </c>
      <c r="BO46">
        <f>IF(OR(ISBLANK(IF(ISERROR(IF(OR(ISBLANK($BO$97)), "", $BO$97/1000)), "", (IF(OR(ISBLANK($BO$97)), "", $BO$97/1000)))), IF(ISERROR(IF(OR(ISBLANK($BO$97)), "", $BO$97/1000)), "", (IF(OR(ISBLANK($BO$97)), "", $BO$97/1000))) = ""), -202.5,IF(ISERROR(IF(OR(ISBLANK($BO$97)), "", $BO$97/1000)), "", (IF(OR(ISBLANK($BO$97)), "", $BO$97/1000))))</f>
        <v>-195.5</v>
      </c>
      <c r="BP46">
        <f>IF(OR(ISBLANK(IF(ISERROR(IF(OR(ISBLANK($BP$97)), "", $BP$97/1000)), "", (IF(OR(ISBLANK($BP$97)), "", $BP$97/1000)))), IF(ISERROR(IF(OR(ISBLANK($BP$97)), "", $BP$97/1000)), "", (IF(OR(ISBLANK($BP$97)), "", $BP$97/1000))) = ""), -206,IF(ISERROR(IF(OR(ISBLANK($BP$97)), "", $BP$97/1000)), "", (IF(OR(ISBLANK($BP$97)), "", $BP$97/1000))))</f>
        <v>-195</v>
      </c>
      <c r="BQ46">
        <f>IF(OR(ISBLANK(IF(ISERROR(IF(OR(ISBLANK($BQ$97)), "", $BQ$97/1000)), "", (IF(OR(ISBLANK($BQ$97)), "", $BQ$97/1000)))), IF(ISERROR(IF(OR(ISBLANK($BQ$97)), "", $BQ$97/1000)), "", (IF(OR(ISBLANK($BQ$97)), "", $BQ$97/1000))) = ""), -206,IF(ISERROR(IF(OR(ISBLANK($BQ$97)), "", $BQ$97/1000)), "", (IF(OR(ISBLANK($BQ$97)), "", $BQ$97/1000))))</f>
        <v>-195</v>
      </c>
      <c r="BR46">
        <f>IF(OR(ISBLANK(IF(ISERROR(IF(OR(ISBLANK($BR$97)), "", $BR$97/1000)), "", (IF(OR(ISBLANK($BR$97)), "", $BR$97/1000)))), IF(ISERROR(IF(OR(ISBLANK($BR$97)), "", $BR$97/1000)), "", (IF(OR(ISBLANK($BR$97)), "", $BR$97/1000))) = ""), -205.5,IF(ISERROR(IF(OR(ISBLANK($BR$97)), "", $BR$97/1000)), "", (IF(OR(ISBLANK($BR$97)), "", $BR$97/1000))))</f>
        <v>-195</v>
      </c>
      <c r="BS46">
        <f>IF(OR(ISBLANK(IF(ISERROR(IF(OR(ISBLANK($BS$97)), "", $BS$97/1000)), "", (IF(OR(ISBLANK($BS$97)), "", $BS$97/1000)))), IF(ISERROR(IF(OR(ISBLANK($BS$97)), "", $BS$97/1000)), "", (IF(OR(ISBLANK($BS$97)), "", $BS$97/1000))) = ""), -205.5,IF(ISERROR(IF(OR(ISBLANK($BS$97)), "", $BS$97/1000)), "", (IF(OR(ISBLANK($BS$97)), "", $BS$97/1000))))</f>
        <v>-195</v>
      </c>
      <c r="BT46">
        <f>IF(OR(ISBLANK(IF(ISERROR(IF(OR(ISBLANK($BT$97)), "", $BT$97/1000)), "", (IF(OR(ISBLANK($BT$97)), "", $BT$97/1000)))), IF(ISERROR(IF(OR(ISBLANK($BT$97)), "", $BT$97/1000)), "", (IF(OR(ISBLANK($BT$97)), "", $BT$97/1000))) = ""), -205.5,IF(ISERROR(IF(OR(ISBLANK($BT$97)), "", $BT$97/1000)), "", (IF(OR(ISBLANK($BT$97)), "", $BT$97/1000))))</f>
        <v>-197</v>
      </c>
      <c r="BU46">
        <f>IF(OR(ISBLANK(IF(ISERROR(IF(OR(ISBLANK($BU$97)), "", $BU$97/1000)), "", (IF(OR(ISBLANK($BU$97)), "", $BU$97/1000)))), IF(ISERROR(IF(OR(ISBLANK($BU$97)), "", $BU$97/1000)), "", (IF(OR(ISBLANK($BU$97)), "", $BU$97/1000))) = ""), -205.5,IF(ISERROR(IF(OR(ISBLANK($BU$97)), "", $BU$97/1000)), "", (IF(OR(ISBLANK($BU$97)), "", $BU$97/1000))))</f>
        <v>-197</v>
      </c>
      <c r="BV46">
        <f>IF(OR(ISBLANK(IF(ISERROR(IF(OR(ISBLANK($BV$97)), "", $BV$97/1000)), "", (IF(OR(ISBLANK($BV$97)), "", $BV$97/1000)))), IF(ISERROR(IF(OR(ISBLANK($BV$97)), "", $BV$97/1000)), "", (IF(OR(ISBLANK($BV$97)), "", $BV$97/1000))) = ""), -205.5,IF(ISERROR(IF(OR(ISBLANK($BV$97)), "", $BV$97/1000)), "", (IF(OR(ISBLANK($BV$97)), "", $BV$97/1000))))</f>
        <v>-201</v>
      </c>
      <c r="BW46">
        <f>IF(OR(ISBLANK(IF(ISERROR(IF(OR(ISBLANK($BW$97)), "", $BW$97/1000)), "", (IF(OR(ISBLANK($BW$97)), "", $BW$97/1000)))), IF(ISERROR(IF(OR(ISBLANK($BW$97)), "", $BW$97/1000)), "", (IF(OR(ISBLANK($BW$97)), "", $BW$97/1000))) = ""), -205.5,IF(ISERROR(IF(OR(ISBLANK($BW$97)), "", $BW$97/1000)), "", (IF(OR(ISBLANK($BW$97)), "", $BW$97/1000))))</f>
        <v>-201</v>
      </c>
      <c r="BX46">
        <f>IF(OR(ISBLANK(IF(ISERROR(IF(OR(ISBLANK($BX$97)), "", $BX$97/1000)), "", (IF(OR(ISBLANK($BX$97)), "", $BX$97/1000)))), IF(ISERROR(IF(OR(ISBLANK($BX$97)), "", $BX$97/1000)), "", (IF(OR(ISBLANK($BX$97)), "", $BX$97/1000))) = ""), -205.5,IF(ISERROR(IF(OR(ISBLANK($BX$97)), "", $BX$97/1000)), "", (IF(OR(ISBLANK($BX$97)), "", $BX$97/1000))))</f>
        <v>-201</v>
      </c>
      <c r="BY46">
        <f>IF(OR(ISBLANK(IF(ISERROR(IF(OR(ISBLANK($BY$97)), "", $BY$97/1000)), "", (IF(OR(ISBLANK($BY$97)), "", $BY$97/1000)))), IF(ISERROR(IF(OR(ISBLANK($BY$97)), "", $BY$97/1000)), "", (IF(OR(ISBLANK($BY$97)), "", $BY$97/1000))) = ""), -205.5,IF(ISERROR(IF(OR(ISBLANK($BY$97)), "", $BY$97/1000)), "", (IF(OR(ISBLANK($BY$97)), "", $BY$97/1000))))</f>
        <v>-202.5</v>
      </c>
      <c r="BZ46">
        <f>IF(OR(ISBLANK(IF(ISERROR(IF(OR(ISBLANK($BZ$97)), "", $BZ$97/1000)), "", (IF(OR(ISBLANK($BZ$97)), "", $BZ$97/1000)))), IF(ISERROR(IF(OR(ISBLANK($BZ$97)), "", $BZ$97/1000)), "", (IF(OR(ISBLANK($BZ$97)), "", $BZ$97/1000))) = ""), -205.5,IF(ISERROR(IF(OR(ISBLANK($BZ$97)), "", $BZ$97/1000)), "", (IF(OR(ISBLANK($BZ$97)), "", $BZ$97/1000))))</f>
        <v>-202.5</v>
      </c>
      <c r="CA46">
        <f>IF(OR(ISBLANK(IF(ISERROR(IF(OR(ISBLANK($CA$97)), "", $CA$97/1000)), "", (IF(OR(ISBLANK($CA$97)), "", $CA$97/1000)))), IF(ISERROR(IF(OR(ISBLANK($CA$97)), "", $CA$97/1000)), "", (IF(OR(ISBLANK($CA$97)), "", $CA$97/1000))) = ""), -208.5,IF(ISERROR(IF(OR(ISBLANK($CA$97)), "", $CA$97/1000)), "", (IF(OR(ISBLANK($CA$97)), "", $CA$97/1000))))</f>
        <v>-206</v>
      </c>
      <c r="CB46">
        <f>IF(OR(ISBLANK(IF(ISERROR(IF(OR(ISBLANK($CB$97)), "", $CB$97/1000)), "", (IF(OR(ISBLANK($CB$97)), "", $CB$97/1000)))), IF(ISERROR(IF(OR(ISBLANK($CB$97)), "", $CB$97/1000)), "", (IF(OR(ISBLANK($CB$97)), "", $CB$97/1000))) = ""), -208.5,IF(ISERROR(IF(OR(ISBLANK($CB$97)), "", $CB$97/1000)), "", (IF(OR(ISBLANK($CB$97)), "", $CB$97/1000))))</f>
        <v>-206</v>
      </c>
      <c r="CC46">
        <f>IF(OR(ISBLANK(IF(ISERROR(IF(OR(ISBLANK($CC$97)), "", $CC$97/1000)), "", (IF(OR(ISBLANK($CC$97)), "", $CC$97/1000)))), IF(ISERROR(IF(OR(ISBLANK($CC$97)), "", $CC$97/1000)), "", (IF(OR(ISBLANK($CC$97)), "", $CC$97/1000))) = ""), -208.5,IF(ISERROR(IF(OR(ISBLANK($CC$97)), "", $CC$97/1000)), "", (IF(OR(ISBLANK($CC$97)), "", $CC$97/1000))))</f>
        <v>-205.5</v>
      </c>
      <c r="CD46">
        <f>IF(OR(ISBLANK(IF(ISERROR(IF(OR(ISBLANK($CD$97)), "", $CD$97/1000)), "", (IF(OR(ISBLANK($CD$97)), "", $CD$97/1000)))), IF(ISERROR(IF(OR(ISBLANK($CD$97)), "", $CD$97/1000)), "", (IF(OR(ISBLANK($CD$97)), "", $CD$97/1000))) = ""), -208.5,IF(ISERROR(IF(OR(ISBLANK($CD$97)), "", $CD$97/1000)), "", (IF(OR(ISBLANK($CD$97)), "", $CD$97/1000))))</f>
        <v>-205.5</v>
      </c>
      <c r="CE46">
        <f>IF(OR(ISBLANK(IF(ISERROR(IF(OR(ISBLANK($CE$97)), "", $CE$97/1000)), "", (IF(OR(ISBLANK($CE$97)), "", $CE$97/1000)))), IF(ISERROR(IF(OR(ISBLANK($CE$97)), "", $CE$97/1000)), "", (IF(OR(ISBLANK($CE$97)), "", $CE$97/1000))) = ""), -208.5,IF(ISERROR(IF(OR(ISBLANK($CE$97)), "", $CE$97/1000)), "", (IF(OR(ISBLANK($CE$97)), "", $CE$97/1000))))</f>
        <v>-205.5</v>
      </c>
      <c r="CF46">
        <f>IF(OR(ISBLANK(IF(ISERROR(IF(OR(ISBLANK($CF$97)), "", $CF$97/1000)), "", (IF(OR(ISBLANK($CF$97)), "", $CF$97/1000)))), IF(ISERROR(IF(OR(ISBLANK($CF$97)), "", $CF$97/1000)), "", (IF(OR(ISBLANK($CF$97)), "", $CF$97/1000))) = ""), -197.5590938,IF(ISERROR(IF(OR(ISBLANK($CF$97)), "", $CF$97/1000)), "", (IF(OR(ISBLANK($CF$97)), "", $CF$97/1000))))</f>
        <v>-205.5</v>
      </c>
      <c r="CG46">
        <f>IF(OR(ISBLANK(IF(ISERROR(IF(OR(ISBLANK($CG$97)), "", $CG$97/1000)), "", (IF(OR(ISBLANK($CG$97)), "", $CG$97/1000)))), IF(ISERROR(IF(OR(ISBLANK($CG$97)), "", $CG$97/1000)), "", (IF(OR(ISBLANK($CG$97)), "", $CG$97/1000))) = ""), -208.5,IF(ISERROR(IF(OR(ISBLANK($CG$97)), "", $CG$97/1000)), "", (IF(OR(ISBLANK($CG$97)), "", $CG$97/1000))))</f>
        <v>-205.5</v>
      </c>
    </row>
    <row r="47" spans="1:85" x14ac:dyDescent="0.25">
      <c r="A47" t="str">
        <f>"        Total Bids"</f>
        <v xml:space="preserve">        Total Bids</v>
      </c>
      <c r="B47" t="str">
        <f>"ECBA7DBI Index"</f>
        <v>ECBA7DBI Index</v>
      </c>
      <c r="C47" t="str">
        <f>""</f>
        <v/>
      </c>
      <c r="D47" t="str">
        <f>""</f>
        <v/>
      </c>
      <c r="E47" t="str">
        <f>"Expression"</f>
        <v>Expression</v>
      </c>
      <c r="F47" t="str">
        <f ca="1">IF(OR(ISBLANK(IF(ISERROR(IF(OR(ISBLANK($F$98)), "", $F$98/1000)), "", (IF(OR(ISBLANK($F$98)), "", $F$98/1000)))), IF(ISERROR(IF(OR(ISBLANK($F$98)), "", $F$98/1000)), "", (IF(OR(ISBLANK($F$98)), "", $F$98/1000))) = ""), "",IF(ISERROR(IF(OR(ISBLANK($F$98)), "", $F$98/1000)), "", (IF(OR(ISBLANK($F$98)), "", $F$98/1000))))</f>
        <v/>
      </c>
      <c r="G47" t="str">
        <f>IF(OR(ISBLANK(IF(ISERROR(IF(OR(ISBLANK($G$98)), "", $G$98/1000)), "", (IF(OR(ISBLANK($G$98)), "", $G$98/1000)))), IF(ISERROR(IF(OR(ISBLANK($G$98)), "", $G$98/1000)), "", (IF(OR(ISBLANK($G$98)), "", $G$98/1000))) = ""), "",IF(ISERROR(IF(OR(ISBLANK($G$98)), "", $G$98/1000)), "", (IF(OR(ISBLANK($G$98)), "", $G$98/1000))))</f>
        <v/>
      </c>
      <c r="H47">
        <f>IF(OR(ISBLANK(IF(ISERROR(IF(OR(ISBLANK($H$98)), "", $H$98/1000)), "", (IF(OR(ISBLANK($H$98)), "", $H$98/1000)))), IF(ISERROR(IF(OR(ISBLANK($H$98)), "", $H$98/1000)), "", (IF(OR(ISBLANK($H$98)), "", $H$98/1000))) = ""), -108.6497969,IF(ISERROR(IF(OR(ISBLANK($H$98)), "", $H$98/1000)), "", (IF(OR(ISBLANK($H$98)), "", $H$98/1000))))</f>
        <v>-108.6497969</v>
      </c>
      <c r="I47">
        <f>IF(OR(ISBLANK(IF(ISERROR(IF(OR(ISBLANK($I$98)), "", $I$98/1000)), "", (IF(OR(ISBLANK($I$98)), "", $I$98/1000)))), IF(ISERROR(IF(OR(ISBLANK($I$98)), "", $I$98/1000)), "", (IF(OR(ISBLANK($I$98)), "", $I$98/1000))) = ""), -119.2002969,IF(ISERROR(IF(OR(ISBLANK($I$98)), "", $I$98/1000)), "", (IF(OR(ISBLANK($I$98)), "", $I$98/1000))))</f>
        <v>-119.2002969</v>
      </c>
      <c r="J47">
        <f>IF(OR(ISBLANK(IF(ISERROR(IF(OR(ISBLANK($J$98)), "", $J$98/1000)), "", (IF(OR(ISBLANK($J$98)), "", $J$98/1000)))), IF(ISERROR(IF(OR(ISBLANK($J$98)), "", $J$98/1000)), "", (IF(OR(ISBLANK($J$98)), "", $J$98/1000))) = ""), -102.8777969,IF(ISERROR(IF(OR(ISBLANK($J$98)), "", $J$98/1000)), "", (IF(OR(ISBLANK($J$98)), "", $J$98/1000))))</f>
        <v>-102.87779690000001</v>
      </c>
      <c r="K47">
        <f>IF(OR(ISBLANK(IF(ISERROR(IF(OR(ISBLANK($K$98)), "", $K$98/1000)), "", (IF(OR(ISBLANK($K$98)), "", $K$98/1000)))), IF(ISERROR(IF(OR(ISBLANK($K$98)), "", $K$98/1000)), "", (IF(OR(ISBLANK($K$98)), "", $K$98/1000))) = ""), -137.4652031,IF(ISERROR(IF(OR(ISBLANK($K$98)), "", $K$98/1000)), "", (IF(OR(ISBLANK($K$98)), "", $K$98/1000))))</f>
        <v>-137.4652031</v>
      </c>
      <c r="L47">
        <f>IF(OR(ISBLANK(IF(ISERROR(IF(OR(ISBLANK($L$98)), "", $L$98/1000)), "", (IF(OR(ISBLANK($L$98)), "", $L$98/1000)))), IF(ISERROR(IF(OR(ISBLANK($L$98)), "", $L$98/1000)), "", (IF(OR(ISBLANK($L$98)), "", $L$98/1000))) = ""), -144.2807031,IF(ISERROR(IF(OR(ISBLANK($L$98)), "", $L$98/1000)), "", (IF(OR(ISBLANK($L$98)), "", $L$98/1000))))</f>
        <v>-144.28070310000001</v>
      </c>
      <c r="M47">
        <f>IF(OR(ISBLANK(IF(ISERROR(IF(OR(ISBLANK($M$98)), "", $M$98/1000)), "", (IF(OR(ISBLANK($M$98)), "", $M$98/1000)))), IF(ISERROR(IF(OR(ISBLANK($M$98)), "", $M$98/1000)), "", (IF(OR(ISBLANK($M$98)), "", $M$98/1000))) = ""), -165.5327031,IF(ISERROR(IF(OR(ISBLANK($M$98)), "", $M$98/1000)), "", (IF(OR(ISBLANK($M$98)), "", $M$98/1000))))</f>
        <v>-165.53270309999999</v>
      </c>
      <c r="N47">
        <f>IF(OR(ISBLANK(IF(ISERROR(IF(OR(ISBLANK($N$98)), "", $N$98/1000)), "", (IF(OR(ISBLANK($N$98)), "", $N$98/1000)))), IF(ISERROR(IF(OR(ISBLANK($N$98)), "", $N$98/1000)), "", (IF(OR(ISBLANK($N$98)), "", $N$98/1000))) = ""), -103.946,IF(ISERROR(IF(OR(ISBLANK($N$98)), "", $N$98/1000)), "", (IF(OR(ISBLANK($N$98)), "", $N$98/1000))))</f>
        <v>-103.946</v>
      </c>
      <c r="O47">
        <f>IF(OR(ISBLANK(IF(ISERROR(IF(OR(ISBLANK($O$98)), "", $O$98/1000)), "", (IF(OR(ISBLANK($O$98)), "", $O$98/1000)))), IF(ISERROR(IF(OR(ISBLANK($O$98)), "", $O$98/1000)), "", (IF(OR(ISBLANK($O$98)), "", $O$98/1000))) = ""), -166.7797969,IF(ISERROR(IF(OR(ISBLANK($O$98)), "", $O$98/1000)), "", (IF(OR(ISBLANK($O$98)), "", $O$98/1000))))</f>
        <v>-166.77979690000001</v>
      </c>
      <c r="P47">
        <f>IF(OR(ISBLANK(IF(ISERROR(IF(OR(ISBLANK($P$98)), "", $P$98/1000)), "", (IF(OR(ISBLANK($P$98)), "", $P$98/1000)))), IF(ISERROR(IF(OR(ISBLANK($P$98)), "", $P$98/1000)), "", (IF(OR(ISBLANK($P$98)), "", $P$98/1000))) = ""), -153.3635,IF(ISERROR(IF(OR(ISBLANK($P$98)), "", $P$98/1000)), "", (IF(OR(ISBLANK($P$98)), "", $P$98/1000))))</f>
        <v>-153.36349999999999</v>
      </c>
      <c r="Q47">
        <f>IF(OR(ISBLANK(IF(ISERROR(IF(OR(ISBLANK($Q$98)), "", $Q$98/1000)), "", (IF(OR(ISBLANK($Q$98)), "", $Q$98/1000)))), IF(ISERROR(IF(OR(ISBLANK($Q$98)), "", $Q$98/1000)), "", (IF(OR(ISBLANK($Q$98)), "", $Q$98/1000))) = ""), -192.5145938,IF(ISERROR(IF(OR(ISBLANK($Q$98)), "", $Q$98/1000)), "", (IF(OR(ISBLANK($Q$98)), "", $Q$98/1000))))</f>
        <v>-192.5145938</v>
      </c>
      <c r="R47">
        <f>IF(OR(ISBLANK(IF(ISERROR(IF(OR(ISBLANK($R$98)), "", $R$98/1000)), "", (IF(OR(ISBLANK($R$98)), "", $R$98/1000)))), IF(ISERROR(IF(OR(ISBLANK($R$98)), "", $R$98/1000)), "", (IF(OR(ISBLANK($R$98)), "", $R$98/1000))) = ""), -199.721,IF(ISERROR(IF(OR(ISBLANK($R$98)), "", $R$98/1000)), "", (IF(OR(ISBLANK($R$98)), "", $R$98/1000))))</f>
        <v>-199.721</v>
      </c>
      <c r="S47">
        <f>IF(OR(ISBLANK(IF(ISERROR(IF(OR(ISBLANK($S$98)), "", $S$98/1000)), "", (IF(OR(ISBLANK($S$98)), "", $S$98/1000)))), IF(ISERROR(IF(OR(ISBLANK($S$98)), "", $S$98/1000)), "", (IF(OR(ISBLANK($S$98)), "", $S$98/1000))) = ""), -180.9005938,IF(ISERROR(IF(OR(ISBLANK($S$98)), "", $S$98/1000)), "", (IF(OR(ISBLANK($S$98)), "", $S$98/1000))))</f>
        <v>-108.6498</v>
      </c>
      <c r="T47">
        <f>IF(OR(ISBLANK(IF(ISERROR(IF(OR(ISBLANK($T$98)), "", $T$98/1000)), "", (IF(OR(ISBLANK($T$98)), "", $T$98/1000)))), IF(ISERROR(IF(OR(ISBLANK($T$98)), "", $T$98/1000)), "", (IF(OR(ISBLANK($T$98)), "", $T$98/1000))) = ""), -223.2267031,IF(ISERROR(IF(OR(ISBLANK($T$98)), "", $T$98/1000)), "", (IF(OR(ISBLANK($T$98)), "", $T$98/1000))))</f>
        <v>-119.2003</v>
      </c>
      <c r="U47">
        <f>IF(OR(ISBLANK(IF(ISERROR(IF(OR(ISBLANK($U$98)), "", $U$98/1000)), "", (IF(OR(ISBLANK($U$98)), "", $U$98/1000)))), IF(ISERROR(IF(OR(ISBLANK($U$98)), "", $U$98/1000)), "", (IF(OR(ISBLANK($U$98)), "", $U$98/1000))) = ""), -219.077,IF(ISERROR(IF(OR(ISBLANK($U$98)), "", $U$98/1000)), "", (IF(OR(ISBLANK($U$98)), "", $U$98/1000))))</f>
        <v>-102.87780000000001</v>
      </c>
      <c r="V47">
        <f>IF(OR(ISBLANK(IF(ISERROR(IF(OR(ISBLANK($V$98)), "", $V$98/1000)), "", (IF(OR(ISBLANK($V$98)), "", $V$98/1000)))), IF(ISERROR(IF(OR(ISBLANK($V$98)), "", $V$98/1000)), "", (IF(OR(ISBLANK($V$98)), "", $V$98/1000))) = ""), -219.1305938,IF(ISERROR(IF(OR(ISBLANK($V$98)), "", $V$98/1000)), "", (IF(OR(ISBLANK($V$98)), "", $V$98/1000))))</f>
        <v>-137.46520000000001</v>
      </c>
      <c r="W47">
        <f>IF(OR(ISBLANK(IF(ISERROR(IF(OR(ISBLANK($W$98)), "", $W$98/1000)), "", (IF(OR(ISBLANK($W$98)), "", $W$98/1000)))), IF(ISERROR(IF(OR(ISBLANK($W$98)), "", $W$98/1000)), "", (IF(OR(ISBLANK($W$98)), "", $W$98/1000))) = ""), -195.5195,IF(ISERROR(IF(OR(ISBLANK($W$98)), "", $W$98/1000)), "", (IF(OR(ISBLANK($W$98)), "", $W$98/1000))))</f>
        <v>-144.28070000000002</v>
      </c>
      <c r="X47">
        <f>IF(OR(ISBLANK(IF(ISERROR(IF(OR(ISBLANK($X$98)), "", $X$98/1000)), "", (IF(OR(ISBLANK($X$98)), "", $X$98/1000)))), IF(ISERROR(IF(OR(ISBLANK($X$98)), "", $X$98/1000)), "", (IF(OR(ISBLANK($X$98)), "", $X$98/1000))) = ""), -216.07,IF(ISERROR(IF(OR(ISBLANK($X$98)), "", $X$98/1000)), "", (IF(OR(ISBLANK($X$98)), "", $X$98/1000))))</f>
        <v>-165.53270000000001</v>
      </c>
      <c r="Y47">
        <f>IF(OR(ISBLANK(IF(ISERROR(IF(OR(ISBLANK($Y$98)), "", $Y$98/1000)), "", (IF(OR(ISBLANK($Y$98)), "", $Y$98/1000)))), IF(ISERROR(IF(OR(ISBLANK($Y$98)), "", $Y$98/1000)), "", (IF(OR(ISBLANK($Y$98)), "", $Y$98/1000))) = ""), -195.924,IF(ISERROR(IF(OR(ISBLANK($Y$98)), "", $Y$98/1000)), "", (IF(OR(ISBLANK($Y$98)), "", $Y$98/1000))))</f>
        <v>-103.946</v>
      </c>
      <c r="Z47">
        <f>IF(OR(ISBLANK(IF(ISERROR(IF(OR(ISBLANK($Z$98)), "", $Z$98/1000)), "", (IF(OR(ISBLANK($Z$98)), "", $Z$98/1000)))), IF(ISERROR(IF(OR(ISBLANK($Z$98)), "", $Z$98/1000)), "", (IF(OR(ISBLANK($Z$98)), "", $Z$98/1000))) = ""), -211.022,IF(ISERROR(IF(OR(ISBLANK($Z$98)), "", $Z$98/1000)), "", (IF(OR(ISBLANK($Z$98)), "", $Z$98/1000))))</f>
        <v>-166.77979999999999</v>
      </c>
      <c r="AA47">
        <f>IF(OR(ISBLANK(IF(ISERROR(IF(OR(ISBLANK($AA$98)), "", $AA$98/1000)), "", (IF(OR(ISBLANK($AA$98)), "", $AA$98/1000)))), IF(ISERROR(IF(OR(ISBLANK($AA$98)), "", $AA$98/1000)), "", (IF(OR(ISBLANK($AA$98)), "", $AA$98/1000))) = ""), -151.206,IF(ISERROR(IF(OR(ISBLANK($AA$98)), "", $AA$98/1000)), "", (IF(OR(ISBLANK($AA$98)), "", $AA$98/1000))))</f>
        <v>-153.36349999999999</v>
      </c>
      <c r="AB47">
        <f>IF(OR(ISBLANK(IF(ISERROR(IF(OR(ISBLANK($AB$98)), "", $AB$98/1000)), "", (IF(OR(ISBLANK($AB$98)), "", $AB$98/1000)))), IF(ISERROR(IF(OR(ISBLANK($AB$98)), "", $AB$98/1000)), "", (IF(OR(ISBLANK($AB$98)), "", $AB$98/1000))) = ""), -152.0670938,IF(ISERROR(IF(OR(ISBLANK($AB$98)), "", $AB$98/1000)), "", (IF(OR(ISBLANK($AB$98)), "", $AB$98/1000))))</f>
        <v>-192.51459</v>
      </c>
      <c r="AC47">
        <f>IF(OR(ISBLANK(IF(ISERROR(IF(OR(ISBLANK($AC$98)), "", $AC$98/1000)), "", (IF(OR(ISBLANK($AC$98)), "", $AC$98/1000)))), IF(ISERROR(IF(OR(ISBLANK($AC$98)), "", $AC$98/1000)), "", (IF(OR(ISBLANK($AC$98)), "", $AC$98/1000))) = ""), -180.0267969,IF(ISERROR(IF(OR(ISBLANK($AC$98)), "", $AC$98/1000)), "", (IF(OR(ISBLANK($AC$98)), "", $AC$98/1000))))</f>
        <v>-199.721</v>
      </c>
      <c r="AD47">
        <f>IF(OR(ISBLANK(IF(ISERROR(IF(OR(ISBLANK($AD$98)), "", $AD$98/1000)), "", (IF(OR(ISBLANK($AD$98)), "", $AD$98/1000)))), IF(ISERROR(IF(OR(ISBLANK($AD$98)), "", $AD$98/1000)), "", (IF(OR(ISBLANK($AD$98)), "", $AD$98/1000))) = ""), -185.7950938,IF(ISERROR(IF(OR(ISBLANK($AD$98)), "", $AD$98/1000)), "", (IF(OR(ISBLANK($AD$98)), "", $AD$98/1000))))</f>
        <v>-180.90058999999999</v>
      </c>
      <c r="AE47">
        <f>IF(OR(ISBLANK(IF(ISERROR(IF(OR(ISBLANK($AE$98)), "", $AE$98/1000)), "", (IF(OR(ISBLANK($AE$98)), "", $AE$98/1000)))), IF(ISERROR(IF(OR(ISBLANK($AE$98)), "", $AE$98/1000)), "", (IF(OR(ISBLANK($AE$98)), "", $AE$98/1000))) = ""), -104.8418984,IF(ISERROR(IF(OR(ISBLANK($AE$98)), "", $AE$98/1000)), "", (IF(OR(ISBLANK($AE$98)), "", $AE$98/1000))))</f>
        <v>-223.22670000000002</v>
      </c>
      <c r="AF47">
        <f>IF(OR(ISBLANK(IF(ISERROR(IF(OR(ISBLANK($AF$98)), "", $AF$98/1000)), "", (IF(OR(ISBLANK($AF$98)), "", $AF$98/1000)))), IF(ISERROR(IF(OR(ISBLANK($AF$98)), "", $AF$98/1000)), "", (IF(OR(ISBLANK($AF$98)), "", $AF$98/1000))) = ""), -139.9197031,IF(ISERROR(IF(OR(ISBLANK($AF$98)), "", $AF$98/1000)), "", (IF(OR(ISBLANK($AF$98)), "", $AF$98/1000))))</f>
        <v>-219.077</v>
      </c>
      <c r="AG47">
        <f>IF(OR(ISBLANK(IF(ISERROR(IF(OR(ISBLANK($AG$98)), "", $AG$98/1000)), "", (IF(OR(ISBLANK($AG$98)), "", $AG$98/1000)))), IF(ISERROR(IF(OR(ISBLANK($AG$98)), "", $AG$98/1000)), "", (IF(OR(ISBLANK($AG$98)), "", $AG$98/1000))) = ""), -152.2510938,IF(ISERROR(IF(OR(ISBLANK($AG$98)), "", $AG$98/1000)), "", (IF(OR(ISBLANK($AG$98)), "", $AG$98/1000))))</f>
        <v>-219.13058999999998</v>
      </c>
      <c r="AH47">
        <f>IF(OR(ISBLANK(IF(ISERROR(IF(OR(ISBLANK($AH$98)), "", $AH$98/1000)), "", (IF(OR(ISBLANK($AH$98)), "", $AH$98/1000)))), IF(ISERROR(IF(OR(ISBLANK($AH$98)), "", $AH$98/1000)), "", (IF(OR(ISBLANK($AH$98)), "", $AH$98/1000))) = ""), -186.7282969,IF(ISERROR(IF(OR(ISBLANK($AH$98)), "", $AH$98/1000)), "", (IF(OR(ISBLANK($AH$98)), "", $AH$98/1000))))</f>
        <v>-195.51949999999999</v>
      </c>
      <c r="AI47">
        <f>IF(OR(ISBLANK(IF(ISERROR(IF(OR(ISBLANK($AI$98)), "", $AI$98/1000)), "", (IF(OR(ISBLANK($AI$98)), "", $AI$98/1000)))), IF(ISERROR(IF(OR(ISBLANK($AI$98)), "", $AI$98/1000)), "", (IF(OR(ISBLANK($AI$98)), "", $AI$98/1000))) = ""), -190.1894063,IF(ISERROR(IF(OR(ISBLANK($AI$98)), "", $AI$98/1000)), "", (IF(OR(ISBLANK($AI$98)), "", $AI$98/1000))))</f>
        <v>-216.07</v>
      </c>
      <c r="AJ47">
        <f>IF(OR(ISBLANK(IF(ISERROR(IF(OR(ISBLANK($AJ$98)), "", $AJ$98/1000)), "", (IF(OR(ISBLANK($AJ$98)), "", $AJ$98/1000)))), IF(ISERROR(IF(OR(ISBLANK($AJ$98)), "", $AJ$98/1000)), "", (IF(OR(ISBLANK($AJ$98)), "", $AJ$98/1000))) = ""), -157.7642969,IF(ISERROR(IF(OR(ISBLANK($AJ$98)), "", $AJ$98/1000)), "", (IF(OR(ISBLANK($AJ$98)), "", $AJ$98/1000))))</f>
        <v>-195.92400000000001</v>
      </c>
      <c r="AK47">
        <f>IF(OR(ISBLANK(IF(ISERROR(IF(OR(ISBLANK($AK$98)), "", $AK$98/1000)), "", (IF(OR(ISBLANK($AK$98)), "", $AK$98/1000)))), IF(ISERROR(IF(OR(ISBLANK($AK$98)), "", $AK$98/1000)), "", (IF(OR(ISBLANK($AK$98)), "", $AK$98/1000))) = ""), -218.1182969,IF(ISERROR(IF(OR(ISBLANK($AK$98)), "", $AK$98/1000)), "", (IF(OR(ISBLANK($AK$98)), "", $AK$98/1000))))</f>
        <v>-211.02199999999999</v>
      </c>
      <c r="AL47">
        <f>IF(OR(ISBLANK(IF(ISERROR(IF(OR(ISBLANK($AL$98)), "", $AL$98/1000)), "", (IF(OR(ISBLANK($AL$98)), "", $AL$98/1000)))), IF(ISERROR(IF(OR(ISBLANK($AL$98)), "", $AL$98/1000)), "", (IF(OR(ISBLANK($AL$98)), "", $AL$98/1000))) = ""), -254.7022969,IF(ISERROR(IF(OR(ISBLANK($AL$98)), "", $AL$98/1000)), "", (IF(OR(ISBLANK($AL$98)), "", $AL$98/1000))))</f>
        <v>-151.20599999999999</v>
      </c>
      <c r="AM47">
        <f>IF(OR(ISBLANK(IF(ISERROR(IF(OR(ISBLANK($AM$98)), "", $AM$98/1000)), "", (IF(OR(ISBLANK($AM$98)), "", $AM$98/1000)))), IF(ISERROR(IF(OR(ISBLANK($AM$98)), "", $AM$98/1000)), "", (IF(OR(ISBLANK($AM$98)), "", $AM$98/1000))) = ""), -257.5182969,IF(ISERROR(IF(OR(ISBLANK($AM$98)), "", $AM$98/1000)), "", (IF(OR(ISBLANK($AM$98)), "", $AM$98/1000))))</f>
        <v>-152.06709000000001</v>
      </c>
      <c r="AN47">
        <f>IF(OR(ISBLANK(IF(ISERROR(IF(OR(ISBLANK($AN$98)), "", $AN$98/1000)), "", (IF(OR(ISBLANK($AN$98)), "", $AN$98/1000)))), IF(ISERROR(IF(OR(ISBLANK($AN$98)), "", $AN$98/1000)), "", (IF(OR(ISBLANK($AN$98)), "", $AN$98/1000))) = ""), -215.8022969,IF(ISERROR(IF(OR(ISBLANK($AN$98)), "", $AN$98/1000)), "", (IF(OR(ISBLANK($AN$98)), "", $AN$98/1000))))</f>
        <v>-180.02679999999998</v>
      </c>
      <c r="AO47">
        <f>IF(OR(ISBLANK(IF(ISERROR(IF(OR(ISBLANK($AO$98)), "", $AO$98/1000)), "", (IF(OR(ISBLANK($AO$98)), "", $AO$98/1000)))), IF(ISERROR(IF(OR(ISBLANK($AO$98)), "", $AO$98/1000)), "", (IF(OR(ISBLANK($AO$98)), "", $AO$98/1000))) = ""), -240.2122969,IF(ISERROR(IF(OR(ISBLANK($AO$98)), "", $AO$98/1000)), "", (IF(OR(ISBLANK($AO$98)), "", $AO$98/1000))))</f>
        <v>-185.79508999999999</v>
      </c>
      <c r="AP47">
        <f>IF(OR(ISBLANK(IF(ISERROR(IF(OR(ISBLANK($AP$98)), "", $AP$98/1000)), "", (IF(OR(ISBLANK($AP$98)), "", $AP$98/1000)))), IF(ISERROR(IF(OR(ISBLANK($AP$98)), "", $AP$98/1000)), "", (IF(OR(ISBLANK($AP$98)), "", $AP$98/1000))) = ""), -219.4402969,IF(ISERROR(IF(OR(ISBLANK($AP$98)), "", $AP$98/1000)), "", (IF(OR(ISBLANK($AP$98)), "", $AP$98/1000))))</f>
        <v>-104.8419</v>
      </c>
      <c r="AQ47">
        <f>IF(OR(ISBLANK(IF(ISERROR(IF(OR(ISBLANK($AQ$98)), "", $AQ$98/1000)), "", (IF(OR(ISBLANK($AQ$98)), "", $AQ$98/1000)))), IF(ISERROR(IF(OR(ISBLANK($AQ$98)), "", $AQ$98/1000)), "", (IF(OR(ISBLANK($AQ$98)), "", $AQ$98/1000))) = ""), -251.3472969,IF(ISERROR(IF(OR(ISBLANK($AQ$98)), "", $AQ$98/1000)), "", (IF(OR(ISBLANK($AQ$98)), "", $AQ$98/1000))))</f>
        <v>-139.91970000000001</v>
      </c>
      <c r="AR47">
        <f>IF(OR(ISBLANK(IF(ISERROR(IF(OR(ISBLANK($AR$98)), "", $AR$98/1000)), "", (IF(OR(ISBLANK($AR$98)), "", $AR$98/1000)))), IF(ISERROR(IF(OR(ISBLANK($AR$98)), "", $AR$98/1000)), "", (IF(OR(ISBLANK($AR$98)), "", $AR$98/1000))) = ""), -265.0663125,IF(ISERROR(IF(OR(ISBLANK($AR$98)), "", $AR$98/1000)), "", (IF(OR(ISBLANK($AR$98)), "", $AR$98/1000))))</f>
        <v>-152.25109</v>
      </c>
      <c r="AS47">
        <f>IF(OR(ISBLANK(IF(ISERROR(IF(OR(ISBLANK($AS$98)), "", $AS$98/1000)), "", (IF(OR(ISBLANK($AS$98)), "", $AS$98/1000)))), IF(ISERROR(IF(OR(ISBLANK($AS$98)), "", $AS$98/1000)), "", (IF(OR(ISBLANK($AS$98)), "", $AS$98/1000))) = ""), -248.4722031,IF(ISERROR(IF(OR(ISBLANK($AS$98)), "", $AS$98/1000)), "", (IF(OR(ISBLANK($AS$98)), "", $AS$98/1000))))</f>
        <v>-186.72829999999999</v>
      </c>
      <c r="AT47">
        <f>IF(OR(ISBLANK(IF(ISERROR(IF(OR(ISBLANK($AT$98)), "", $AT$98/1000)), "", (IF(OR(ISBLANK($AT$98)), "", $AT$98/1000)))), IF(ISERROR(IF(OR(ISBLANK($AT$98)), "", $AT$98/1000)), "", (IF(OR(ISBLANK($AT$98)), "", $AT$98/1000))) = ""), -272.9161875,IF(ISERROR(IF(OR(ISBLANK($AT$98)), "", $AT$98/1000)), "", (IF(OR(ISBLANK($AT$98)), "", $AT$98/1000))))</f>
        <v>-190.18941000000001</v>
      </c>
      <c r="AU47">
        <f>IF(OR(ISBLANK(IF(ISERROR(IF(OR(ISBLANK($AU$98)), "", $AU$98/1000)), "", (IF(OR(ISBLANK($AU$98)), "", $AU$98/1000)))), IF(ISERROR(IF(OR(ISBLANK($AU$98)), "", $AU$98/1000)), "", (IF(OR(ISBLANK($AU$98)), "", $AU$98/1000))) = ""), -297.7621875,IF(ISERROR(IF(OR(ISBLANK($AU$98)), "", $AU$98/1000)), "", (IF(OR(ISBLANK($AU$98)), "", $AU$98/1000))))</f>
        <v>-157.76429999999999</v>
      </c>
      <c r="AV47">
        <f>IF(OR(ISBLANK(IF(ISERROR(IF(OR(ISBLANK($AV$98)), "", $AV$98/1000)), "", (IF(OR(ISBLANK($AV$98)), "", $AV$98/1000)))), IF(ISERROR(IF(OR(ISBLANK($AV$98)), "", $AV$98/1000)), "", (IF(OR(ISBLANK($AV$98)), "", $AV$98/1000))) = ""), -314.8401875,IF(ISERROR(IF(OR(ISBLANK($AV$98)), "", $AV$98/1000)), "", (IF(OR(ISBLANK($AV$98)), "", $AV$98/1000))))</f>
        <v>-218.11829999999998</v>
      </c>
      <c r="AW47">
        <f>IF(OR(ISBLANK(IF(ISERROR(IF(OR(ISBLANK($AW$98)), "", $AW$98/1000)), "", (IF(OR(ISBLANK($AW$98)), "", $AW$98/1000)))), IF(ISERROR(IF(OR(ISBLANK($AW$98)), "", $AW$98/1000)), "", (IF(OR(ISBLANK($AW$98)), "", $AW$98/1000))) = ""), -287.5391875,IF(ISERROR(IF(OR(ISBLANK($AW$98)), "", $AW$98/1000)), "", (IF(OR(ISBLANK($AW$98)), "", $AW$98/1000))))</f>
        <v>-254.70229999999998</v>
      </c>
      <c r="AX47">
        <f>IF(OR(ISBLANK(IF(ISERROR(IF(OR(ISBLANK($AX$98)), "", $AX$98/1000)), "", (IF(OR(ISBLANK($AX$98)), "", $AX$98/1000)))), IF(ISERROR(IF(OR(ISBLANK($AX$98)), "", $AX$98/1000)), "", (IF(OR(ISBLANK($AX$98)), "", $AX$98/1000))) = ""), -283.9791875,IF(ISERROR(IF(OR(ISBLANK($AX$98)), "", $AX$98/1000)), "", (IF(OR(ISBLANK($AX$98)), "", $AX$98/1000))))</f>
        <v>-257.51830000000001</v>
      </c>
      <c r="AY47">
        <f>IF(OR(ISBLANK(IF(ISERROR(IF(OR(ISBLANK($AY$98)), "", $AY$98/1000)), "", (IF(OR(ISBLANK($AY$98)), "", $AY$98/1000)))), IF(ISERROR(IF(OR(ISBLANK($AY$98)), "", $AY$98/1000)), "", (IF(OR(ISBLANK($AY$98)), "", $AY$98/1000))) = ""), -259.3012031,IF(ISERROR(IF(OR(ISBLANK($AY$98)), "", $AY$98/1000)), "", (IF(OR(ISBLANK($AY$98)), "", $AY$98/1000))))</f>
        <v>-215.8023</v>
      </c>
      <c r="AZ47">
        <f>IF(OR(ISBLANK(IF(ISERROR(IF(OR(ISBLANK($AZ$98)), "", $AZ$98/1000)), "", (IF(OR(ISBLANK($AZ$98)), "", $AZ$98/1000)))), IF(ISERROR(IF(OR(ISBLANK($AZ$98)), "", $AZ$98/1000)), "", (IF(OR(ISBLANK($AZ$98)), "", $AZ$98/1000))) = ""), -269.3131875,IF(ISERROR(IF(OR(ISBLANK($AZ$98)), "", $AZ$98/1000)), "", (IF(OR(ISBLANK($AZ$98)), "", $AZ$98/1000))))</f>
        <v>-240.2123</v>
      </c>
      <c r="BA47">
        <f>IF(OR(ISBLANK(IF(ISERROR(IF(OR(ISBLANK($BA$98)), "", $BA$98/1000)), "", (IF(OR(ISBLANK($BA$98)), "", $BA$98/1000)))), IF(ISERROR(IF(OR(ISBLANK($BA$98)), "", $BA$98/1000)), "", (IF(OR(ISBLANK($BA$98)), "", $BA$98/1000))) = ""), -229.8832031,IF(ISERROR(IF(OR(ISBLANK($BA$98)), "", $BA$98/1000)), "", (IF(OR(ISBLANK($BA$98)), "", $BA$98/1000))))</f>
        <v>-219.44029999999998</v>
      </c>
      <c r="BB47">
        <f>IF(OR(ISBLANK(IF(ISERROR(IF(OR(ISBLANK($BB$98)), "", $BB$98/1000)), "", (IF(OR(ISBLANK($BB$98)), "", $BB$98/1000)))), IF(ISERROR(IF(OR(ISBLANK($BB$98)), "", $BB$98/1000)), "", (IF(OR(ISBLANK($BB$98)), "", $BB$98/1000))) = ""), -231.3182031,IF(ISERROR(IF(OR(ISBLANK($BB$98)), "", $BB$98/1000)), "", (IF(OR(ISBLANK($BB$98)), "", $BB$98/1000))))</f>
        <v>-251.34729999999999</v>
      </c>
      <c r="BC47">
        <f>IF(OR(ISBLANK(IF(ISERROR(IF(OR(ISBLANK($BC$98)), "", $BC$98/1000)), "", (IF(OR(ISBLANK($BC$98)), "", $BC$98/1000)))), IF(ISERROR(IF(OR(ISBLANK($BC$98)), "", $BC$98/1000)), "", (IF(OR(ISBLANK($BC$98)), "", $BC$98/1000))) = ""), -239.2832031,IF(ISERROR(IF(OR(ISBLANK($BC$98)), "", $BC$98/1000)), "", (IF(OR(ISBLANK($BC$98)), "", $BC$98/1000))))</f>
        <v>-265.06630999999999</v>
      </c>
      <c r="BD47">
        <f>IF(OR(ISBLANK(IF(ISERROR(IF(OR(ISBLANK($BD$98)), "", $BD$98/1000)), "", (IF(OR(ISBLANK($BD$98)), "", $BD$98/1000)))), IF(ISERROR(IF(OR(ISBLANK($BD$98)), "", $BD$98/1000)), "", (IF(OR(ISBLANK($BD$98)), "", $BD$98/1000))) = ""), -250.5877031,IF(ISERROR(IF(OR(ISBLANK($BD$98)), "", $BD$98/1000)), "", (IF(OR(ISBLANK($BD$98)), "", $BD$98/1000))))</f>
        <v>-248.47220000000002</v>
      </c>
      <c r="BE47">
        <f>IF(OR(ISBLANK(IF(ISERROR(IF(OR(ISBLANK($BE$98)), "", $BE$98/1000)), "", (IF(OR(ISBLANK($BE$98)), "", $BE$98/1000)))), IF(ISERROR(IF(OR(ISBLANK($BE$98)), "", $BE$98/1000)), "", (IF(OR(ISBLANK($BE$98)), "", $BE$98/1000))) = ""), -239.734,IF(ISERROR(IF(OR(ISBLANK($BE$98)), "", $BE$98/1000)), "", (IF(OR(ISBLANK($BE$98)), "", $BE$98/1000))))</f>
        <v>-272.91619000000003</v>
      </c>
      <c r="BF47">
        <f>IF(OR(ISBLANK(IF(ISERROR(IF(OR(ISBLANK($BF$98)), "", $BF$98/1000)), "", (IF(OR(ISBLANK($BF$98)), "", $BF$98/1000)))), IF(ISERROR(IF(OR(ISBLANK($BF$98)), "", $BF$98/1000)), "", (IF(OR(ISBLANK($BF$98)), "", $BF$98/1000))) = ""), -215.2802031,IF(ISERROR(IF(OR(ISBLANK($BF$98)), "", $BF$98/1000)), "", (IF(OR(ISBLANK($BF$98)), "", $BF$98/1000))))</f>
        <v>-297.76218999999998</v>
      </c>
      <c r="BG47">
        <f>IF(OR(ISBLANK(IF(ISERROR(IF(OR(ISBLANK($BG$98)), "", $BG$98/1000)), "", (IF(OR(ISBLANK($BG$98)), "", $BG$98/1000)))), IF(ISERROR(IF(OR(ISBLANK($BG$98)), "", $BG$98/1000)), "", (IF(OR(ISBLANK($BG$98)), "", $BG$98/1000))) = ""), -251.8662031,IF(ISERROR(IF(OR(ISBLANK($BG$98)), "", $BG$98/1000)), "", (IF(OR(ISBLANK($BG$98)), "", $BG$98/1000))))</f>
        <v>-314.84019000000001</v>
      </c>
      <c r="BH47">
        <f>IF(OR(ISBLANK(IF(ISERROR(IF(OR(ISBLANK($BH$98)), "", $BH$98/1000)), "", (IF(OR(ISBLANK($BH$98)), "", $BH$98/1000)))), IF(ISERROR(IF(OR(ISBLANK($BH$98)), "", $BH$98/1000)), "", (IF(OR(ISBLANK($BH$98)), "", $BH$98/1000))) = ""), -278.4261875,IF(ISERROR(IF(OR(ISBLANK($BH$98)), "", $BH$98/1000)), "", (IF(OR(ISBLANK($BH$98)), "", $BH$98/1000))))</f>
        <v>-287.53919000000002</v>
      </c>
      <c r="BI47">
        <f>IF(OR(ISBLANK(IF(ISERROR(IF(OR(ISBLANK($BI$98)), "", $BI$98/1000)), "", (IF(OR(ISBLANK($BI$98)), "", $BI$98/1000)))), IF(ISERROR(IF(OR(ISBLANK($BI$98)), "", $BI$98/1000)), "", (IF(OR(ISBLANK($BI$98)), "", $BI$98/1000))) = ""), -276.0431875,IF(ISERROR(IF(OR(ISBLANK($BI$98)), "", $BI$98/1000)), "", (IF(OR(ISBLANK($BI$98)), "", $BI$98/1000))))</f>
        <v>-283.97919000000002</v>
      </c>
      <c r="BJ47">
        <f>IF(OR(ISBLANK(IF(ISERROR(IF(OR(ISBLANK($BJ$98)), "", $BJ$98/1000)), "", (IF(OR(ISBLANK($BJ$98)), "", $BJ$98/1000)))), IF(ISERROR(IF(OR(ISBLANK($BJ$98)), "", $BJ$98/1000)), "", (IF(OR(ISBLANK($BJ$98)), "", $BJ$98/1000))) = ""), -235.1250938,IF(ISERROR(IF(OR(ISBLANK($BJ$98)), "", $BJ$98/1000)), "", (IF(OR(ISBLANK($BJ$98)), "", $BJ$98/1000))))</f>
        <v>-259.30119999999999</v>
      </c>
      <c r="BK47">
        <f>IF(OR(ISBLANK(IF(ISERROR(IF(OR(ISBLANK($BK$98)), "", $BK$98/1000)), "", (IF(OR(ISBLANK($BK$98)), "", $BK$98/1000)))), IF(ISERROR(IF(OR(ISBLANK($BK$98)), "", $BK$98/1000)), "", (IF(OR(ISBLANK($BK$98)), "", $BK$98/1000))) = ""), -254.1500938,IF(ISERROR(IF(OR(ISBLANK($BK$98)), "", $BK$98/1000)), "", (IF(OR(ISBLANK($BK$98)), "", $BK$98/1000))))</f>
        <v>-269.31319000000002</v>
      </c>
      <c r="BL47">
        <f>IF(OR(ISBLANK(IF(ISERROR(IF(OR(ISBLANK($BL$98)), "", $BL$98/1000)), "", (IF(OR(ISBLANK($BL$98)), "", $BL$98/1000)))), IF(ISERROR(IF(OR(ISBLANK($BL$98)), "", $BL$98/1000)), "", (IF(OR(ISBLANK($BL$98)), "", $BL$98/1000))) = ""), -249.4245938,IF(ISERROR(IF(OR(ISBLANK($BL$98)), "", $BL$98/1000)), "", (IF(OR(ISBLANK($BL$98)), "", $BL$98/1000))))</f>
        <v>-229.88320000000002</v>
      </c>
      <c r="BM47">
        <f>IF(OR(ISBLANK(IF(ISERROR(IF(OR(ISBLANK($BM$98)), "", $BM$98/1000)), "", (IF(OR(ISBLANK($BM$98)), "", $BM$98/1000)))), IF(ISERROR(IF(OR(ISBLANK($BM$98)), "", $BM$98/1000)), "", (IF(OR(ISBLANK($BM$98)), "", $BM$98/1000))) = ""), -267.8070938,IF(ISERROR(IF(OR(ISBLANK($BM$98)), "", $BM$98/1000)), "", (IF(OR(ISBLANK($BM$98)), "", $BM$98/1000))))</f>
        <v>-231.31820000000002</v>
      </c>
      <c r="BN47">
        <f>IF(OR(ISBLANK(IF(ISERROR(IF(OR(ISBLANK($BN$98)), "", $BN$98/1000)), "", (IF(OR(ISBLANK($BN$98)), "", $BN$98/1000)))), IF(ISERROR(IF(OR(ISBLANK($BN$98)), "", $BN$98/1000)), "", (IF(OR(ISBLANK($BN$98)), "", $BN$98/1000))) = ""), -255.8060938,IF(ISERROR(IF(OR(ISBLANK($BN$98)), "", $BN$98/1000)), "", (IF(OR(ISBLANK($BN$98)), "", $BN$98/1000))))</f>
        <v>-239.28320000000002</v>
      </c>
      <c r="BO47">
        <f>IF(OR(ISBLANK(IF(ISERROR(IF(OR(ISBLANK($BO$98)), "", $BO$98/1000)), "", (IF(OR(ISBLANK($BO$98)), "", $BO$98/1000)))), IF(ISERROR(IF(OR(ISBLANK($BO$98)), "", $BO$98/1000)), "", (IF(OR(ISBLANK($BO$98)), "", $BO$98/1000))) = ""), -253.8200938,IF(ISERROR(IF(OR(ISBLANK($BO$98)), "", $BO$98/1000)), "", (IF(OR(ISBLANK($BO$98)), "", $BO$98/1000))))</f>
        <v>-250.58770000000001</v>
      </c>
      <c r="BP47">
        <f>IF(OR(ISBLANK(IF(ISERROR(IF(OR(ISBLANK($BP$98)), "", $BP$98/1000)), "", (IF(OR(ISBLANK($BP$98)), "", $BP$98/1000)))), IF(ISERROR(IF(OR(ISBLANK($BP$98)), "", $BP$98/1000)), "", (IF(OR(ISBLANK($BP$98)), "", $BP$98/1000))) = ""), -264.4160938,IF(ISERROR(IF(OR(ISBLANK($BP$98)), "", $BP$98/1000)), "", (IF(OR(ISBLANK($BP$98)), "", $BP$98/1000))))</f>
        <v>-239.73400000000001</v>
      </c>
      <c r="BQ47">
        <f>IF(OR(ISBLANK(IF(ISERROR(IF(OR(ISBLANK($BQ$98)), "", $BQ$98/1000)), "", (IF(OR(ISBLANK($BQ$98)), "", $BQ$98/1000)))), IF(ISERROR(IF(OR(ISBLANK($BQ$98)), "", $BQ$98/1000)), "", (IF(OR(ISBLANK($BQ$98)), "", $BQ$98/1000))) = ""), -287.5420938,IF(ISERROR(IF(OR(ISBLANK($BQ$98)), "", $BQ$98/1000)), "", (IF(OR(ISBLANK($BQ$98)), "", $BQ$98/1000))))</f>
        <v>-215.28020000000001</v>
      </c>
      <c r="BR47">
        <f>IF(OR(ISBLANK(IF(ISERROR(IF(OR(ISBLANK($BR$98)), "", $BR$98/1000)), "", (IF(OR(ISBLANK($BR$98)), "", $BR$98/1000)))), IF(ISERROR(IF(OR(ISBLANK($BR$98)), "", $BR$98/1000)), "", (IF(OR(ISBLANK($BR$98)), "", $BR$98/1000))) = ""), -270.4355938,IF(ISERROR(IF(OR(ISBLANK($BR$98)), "", $BR$98/1000)), "", (IF(OR(ISBLANK($BR$98)), "", $BR$98/1000))))</f>
        <v>-251.86620000000002</v>
      </c>
      <c r="BS47">
        <f>IF(OR(ISBLANK(IF(ISERROR(IF(OR(ISBLANK($BS$98)), "", $BS$98/1000)), "", (IF(OR(ISBLANK($BS$98)), "", $BS$98/1000)))), IF(ISERROR(IF(OR(ISBLANK($BS$98)), "", $BS$98/1000)), "", (IF(OR(ISBLANK($BS$98)), "", $BS$98/1000))) = ""), -225.2235938,IF(ISERROR(IF(OR(ISBLANK($BS$98)), "", $BS$98/1000)), "", (IF(OR(ISBLANK($BS$98)), "", $BS$98/1000))))</f>
        <v>-278.42619000000002</v>
      </c>
      <c r="BT47">
        <f>IF(OR(ISBLANK(IF(ISERROR(IF(OR(ISBLANK($BT$98)), "", $BT$98/1000)), "", (IF(OR(ISBLANK($BT$98)), "", $BT$98/1000)))), IF(ISERROR(IF(OR(ISBLANK($BT$98)), "", $BT$98/1000)), "", (IF(OR(ISBLANK($BT$98)), "", $BT$98/1000))) = ""), -272.7191875,IF(ISERROR(IF(OR(ISBLANK($BT$98)), "", $BT$98/1000)), "", (IF(OR(ISBLANK($BT$98)), "", $BT$98/1000))))</f>
        <v>-276.04318999999998</v>
      </c>
      <c r="BU47">
        <f>IF(OR(ISBLANK(IF(ISERROR(IF(OR(ISBLANK($BU$98)), "", $BU$98/1000)), "", (IF(OR(ISBLANK($BU$98)), "", $BU$98/1000)))), IF(ISERROR(IF(OR(ISBLANK($BU$98)), "", $BU$98/1000)), "", (IF(OR(ISBLANK($BU$98)), "", $BU$98/1000))) = ""), -286.4100938,IF(ISERROR(IF(OR(ISBLANK($BU$98)), "", $BU$98/1000)), "", (IF(OR(ISBLANK($BU$98)), "", $BU$98/1000))))</f>
        <v>-235.12509</v>
      </c>
      <c r="BV47">
        <f>IF(OR(ISBLANK(IF(ISERROR(IF(OR(ISBLANK($BV$98)), "", $BV$98/1000)), "", (IF(OR(ISBLANK($BV$98)), "", $BV$98/1000)))), IF(ISERROR(IF(OR(ISBLANK($BV$98)), "", $BV$98/1000)), "", (IF(OR(ISBLANK($BV$98)), "", $BV$98/1000))) = ""), -301.6040938,IF(ISERROR(IF(OR(ISBLANK($BV$98)), "", $BV$98/1000)), "", (IF(OR(ISBLANK($BV$98)), "", $BV$98/1000))))</f>
        <v>-254.15009000000001</v>
      </c>
      <c r="BW47">
        <f>IF(OR(ISBLANK(IF(ISERROR(IF(OR(ISBLANK($BW$98)), "", $BW$98/1000)), "", (IF(OR(ISBLANK($BW$98)), "", $BW$98/1000)))), IF(ISERROR(IF(OR(ISBLANK($BW$98)), "", $BW$98/1000)), "", (IF(OR(ISBLANK($BW$98)), "", $BW$98/1000))) = ""), -311.9710938,IF(ISERROR(IF(OR(ISBLANK($BW$98)), "", $BW$98/1000)), "", (IF(OR(ISBLANK($BW$98)), "", $BW$98/1000))))</f>
        <v>-249.42458999999999</v>
      </c>
      <c r="BX47">
        <f>IF(OR(ISBLANK(IF(ISERROR(IF(OR(ISBLANK($BX$98)), "", $BX$98/1000)), "", (IF(OR(ISBLANK($BX$98)), "", $BX$98/1000)))), IF(ISERROR(IF(OR(ISBLANK($BX$98)), "", $BX$98/1000)), "", (IF(OR(ISBLANK($BX$98)), "", $BX$98/1000))) = ""), -349.1910938,IF(ISERROR(IF(OR(ISBLANK($BX$98)), "", $BX$98/1000)), "", (IF(OR(ISBLANK($BX$98)), "", $BX$98/1000))))</f>
        <v>-267.80709000000002</v>
      </c>
      <c r="BY47">
        <f>IF(OR(ISBLANK(IF(ISERROR(IF(OR(ISBLANK($BY$98)), "", $BY$98/1000)), "", (IF(OR(ISBLANK($BY$98)), "", $BY$98/1000)))), IF(ISERROR(IF(OR(ISBLANK($BY$98)), "", $BY$98/1000)), "", (IF(OR(ISBLANK($BY$98)), "", $BY$98/1000))) = ""), -349.5360938,IF(ISERROR(IF(OR(ISBLANK($BY$98)), "", $BY$98/1000)), "", (IF(OR(ISBLANK($BY$98)), "", $BY$98/1000))))</f>
        <v>-255.80608999999998</v>
      </c>
      <c r="BZ47">
        <f>IF(OR(ISBLANK(IF(ISERROR(IF(OR(ISBLANK($BZ$98)), "", $BZ$98/1000)), "", (IF(OR(ISBLANK($BZ$98)), "", $BZ$98/1000)))), IF(ISERROR(IF(OR(ISBLANK($BZ$98)), "", $BZ$98/1000)), "", (IF(OR(ISBLANK($BZ$98)), "", $BZ$98/1000))) = ""), -335.1975938,IF(ISERROR(IF(OR(ISBLANK($BZ$98)), "", $BZ$98/1000)), "", (IF(OR(ISBLANK($BZ$98)), "", $BZ$98/1000))))</f>
        <v>-253.82008999999999</v>
      </c>
      <c r="CA47">
        <f>IF(OR(ISBLANK(IF(ISERROR(IF(OR(ISBLANK($CA$98)), "", $CA$98/1000)), "", (IF(OR(ISBLANK($CA$98)), "", $CA$98/1000)))), IF(ISERROR(IF(OR(ISBLANK($CA$98)), "", $CA$98/1000)), "", (IF(OR(ISBLANK($CA$98)), "", $CA$98/1000))) = ""), -284.2345938,IF(ISERROR(IF(OR(ISBLANK($CA$98)), "", $CA$98/1000)), "", (IF(OR(ISBLANK($CA$98)), "", $CA$98/1000))))</f>
        <v>-264.41609000000005</v>
      </c>
      <c r="CB47">
        <f>IF(OR(ISBLANK(IF(ISERROR(IF(OR(ISBLANK($CB$98)), "", $CB$98/1000)), "", (IF(OR(ISBLANK($CB$98)), "", $CB$98/1000)))), IF(ISERROR(IF(OR(ISBLANK($CB$98)), "", $CB$98/1000)), "", (IF(OR(ISBLANK($CB$98)), "", $CB$98/1000))) = ""), -298.9325938,IF(ISERROR(IF(OR(ISBLANK($CB$98)), "", $CB$98/1000)), "", (IF(OR(ISBLANK($CB$98)), "", $CB$98/1000))))</f>
        <v>-287.54209000000003</v>
      </c>
      <c r="CC47">
        <f>IF(OR(ISBLANK(IF(ISERROR(IF(OR(ISBLANK($CC$98)), "", $CC$98/1000)), "", (IF(OR(ISBLANK($CC$98)), "", $CC$98/1000)))), IF(ISERROR(IF(OR(ISBLANK($CC$98)), "", $CC$98/1000)), "", (IF(OR(ISBLANK($CC$98)), "", $CC$98/1000))) = ""), -356.2905938,IF(ISERROR(IF(OR(ISBLANK($CC$98)), "", $CC$98/1000)), "", (IF(OR(ISBLANK($CC$98)), "", $CC$98/1000))))</f>
        <v>-270.43559000000005</v>
      </c>
      <c r="CD47">
        <f>IF(OR(ISBLANK(IF(ISERROR(IF(OR(ISBLANK($CD$98)), "", $CD$98/1000)), "", (IF(OR(ISBLANK($CD$98)), "", $CD$98/1000)))), IF(ISERROR(IF(OR(ISBLANK($CD$98)), "", $CD$98/1000)), "", (IF(OR(ISBLANK($CD$98)), "", $CD$98/1000))) = ""), -344.4505938,IF(ISERROR(IF(OR(ISBLANK($CD$98)), "", $CD$98/1000)), "", (IF(OR(ISBLANK($CD$98)), "", $CD$98/1000))))</f>
        <v>-225.22359</v>
      </c>
      <c r="CE47">
        <f>IF(OR(ISBLANK(IF(ISERROR(IF(OR(ISBLANK($CE$98)), "", $CE$98/1000)), "", (IF(OR(ISBLANK($CE$98)), "", $CE$98/1000)))), IF(ISERROR(IF(OR(ISBLANK($CE$98)), "", $CE$98/1000)), "", (IF(OR(ISBLANK($CE$98)), "", $CE$98/1000))) = ""), -324.0535938,IF(ISERROR(IF(OR(ISBLANK($CE$98)), "", $CE$98/1000)), "", (IF(OR(ISBLANK($CE$98)), "", $CE$98/1000))))</f>
        <v>-272.71919000000003</v>
      </c>
      <c r="CF47">
        <f>IF(OR(ISBLANK(IF(ISERROR(IF(OR(ISBLANK($CF$98)), "", $CF$98/1000)), "", (IF(OR(ISBLANK($CF$98)), "", $CF$98/1000)))), IF(ISERROR(IF(OR(ISBLANK($CF$98)), "", $CF$98/1000)), "", (IF(OR(ISBLANK($CF$98)), "", $CF$98/1000))) = ""), -197.5590938,IF(ISERROR(IF(OR(ISBLANK($CF$98)), "", $CF$98/1000)), "", (IF(OR(ISBLANK($CF$98)), "", $CF$98/1000))))</f>
        <v>-286.41009000000003</v>
      </c>
      <c r="CG47">
        <f>IF(OR(ISBLANK(IF(ISERROR(IF(OR(ISBLANK($CG$98)), "", $CG$98/1000)), "", (IF(OR(ISBLANK($CG$98)), "", $CG$98/1000)))), IF(ISERROR(IF(OR(ISBLANK($CG$98)), "", $CG$98/1000)), "", (IF(OR(ISBLANK($CG$98)), "", $CG$98/1000))) = ""), -354.7910938,IF(ISERROR(IF(OR(ISBLANK($CG$98)), "", $CG$98/1000)), "", (IF(OR(ISBLANK($CG$98)), "", $CG$98/1000))))</f>
        <v>-301.60409000000004</v>
      </c>
    </row>
    <row r="48" spans="1:85" x14ac:dyDescent="0.25">
      <c r="A48" t="str">
        <f>"        Bid Cover Ratio"</f>
        <v xml:space="preserve">        Bid Cover Ratio</v>
      </c>
      <c r="B48" t="str">
        <f>"ECBA7DBC Index"</f>
        <v>ECBA7DBC Index</v>
      </c>
      <c r="C48" t="str">
        <f>"PR005"</f>
        <v>PR005</v>
      </c>
      <c r="D48" t="str">
        <f>"PX_LAST"</f>
        <v>PX_LAST</v>
      </c>
      <c r="E48" t="str">
        <f>"Dynamic"</f>
        <v>Dynamic</v>
      </c>
      <c r="F48" t="e">
        <f ca="1">IF(OR(ISBLANK($F$133), $F$133 = ""), "",$F$133)</f>
        <v>#N/A</v>
      </c>
      <c r="G48" t="str">
        <f>IF(OR(ISBLANK($G$133), $G$133 = ""), "",$G$133)</f>
        <v/>
      </c>
      <c r="H48">
        <f>IF(OR(ISBLANK($H$133), $H$133 = ""), 0.670000017,$H$133)</f>
        <v>0.670000017</v>
      </c>
      <c r="I48">
        <f>IF(OR(ISBLANK($I$133), $I$133 = ""), 0.720000029,$I$133)</f>
        <v>0.72000002900000004</v>
      </c>
      <c r="J48">
        <f>IF(OR(ISBLANK($J$133), $J$133 = ""), 0.629999995,$J$133)</f>
        <v>0.62999999500000003</v>
      </c>
      <c r="K48">
        <f>IF(OR(ISBLANK($K$133), $K$133 = ""), 0.819999993,$K$133)</f>
        <v>0.81999999300000004</v>
      </c>
      <c r="L48">
        <f>IF(OR(ISBLANK($L$133), $L$133 = ""), 0.860000014,$L$133)</f>
        <v>0.86000001400000003</v>
      </c>
      <c r="M48">
        <f>IF(OR(ISBLANK($M$133), $M$133 = ""), 0.99000001,$M$133)</f>
        <v>0.99000001000000004</v>
      </c>
      <c r="N48">
        <f>IF(OR(ISBLANK($N$133), $N$133 = ""), 0.600000024,$N$133)</f>
        <v>0.60000002399999997</v>
      </c>
      <c r="O48">
        <f>IF(OR(ISBLANK($O$133), $O$133 = ""), 0.970000029,$O$133)</f>
        <v>0.97000002900000004</v>
      </c>
      <c r="P48">
        <f>IF(OR(ISBLANK($P$133), $P$133 = ""), 0.889999986,$P$133)</f>
        <v>0.88999998599999997</v>
      </c>
      <c r="Q48">
        <f>IF(OR(ISBLANK($Q$133), $Q$133 = ""), 1.120000005,$Q$133)</f>
        <v>1.1200000050000001</v>
      </c>
      <c r="R48">
        <f>IF(OR(ISBLANK($R$133), $R$133 = ""), 1.139999986,$R$133)</f>
        <v>1.1399999860000001</v>
      </c>
      <c r="S48">
        <f>IF(OR(ISBLANK($S$133), $S$133 = ""), 1.029999971,$S$133)</f>
        <v>0.67</v>
      </c>
      <c r="T48">
        <f>IF(OR(ISBLANK($T$133), $T$133 = ""), 1.269999981,$T$133)</f>
        <v>0.72</v>
      </c>
      <c r="U48">
        <f>IF(OR(ISBLANK($U$133), $U$133 = ""), 1.25,$U$133)</f>
        <v>0.63</v>
      </c>
      <c r="V48">
        <f>IF(OR(ISBLANK($V$133), $V$133 = ""), 1.25,$V$133)</f>
        <v>0.82</v>
      </c>
      <c r="W48">
        <f>IF(OR(ISBLANK($W$133), $W$133 = ""), 1.110000014,$W$133)</f>
        <v>0.86</v>
      </c>
      <c r="X48">
        <f>IF(OR(ISBLANK($X$133), $X$133 = ""), 1.230000019,$X$133)</f>
        <v>0.99</v>
      </c>
      <c r="Y48">
        <f>IF(OR(ISBLANK($Y$133), $Y$133 = ""), 1.120000005,$Y$133)</f>
        <v>0.6</v>
      </c>
      <c r="Z48">
        <f>IF(OR(ISBLANK($Z$133), $Z$133 = ""), 1.200000048,$Z$133)</f>
        <v>0.97</v>
      </c>
      <c r="AA48">
        <f>IF(OR(ISBLANK($AA$133), $AA$133 = ""), 0.850000024,$AA$133)</f>
        <v>0.89</v>
      </c>
      <c r="AB48">
        <f>IF(OR(ISBLANK($AB$133), $AB$133 = ""), 0.860000014,$AB$133)</f>
        <v>1.1200000000000001</v>
      </c>
      <c r="AC48">
        <f>IF(OR(ISBLANK($AC$133), $AC$133 = ""), 1.00999999,$AC$133)</f>
        <v>1.1400000000000001</v>
      </c>
      <c r="AD48">
        <f>IF(OR(ISBLANK($AD$133), $AD$133 = ""), 1.039999962,$AD$133)</f>
        <v>1.03</v>
      </c>
      <c r="AE48">
        <f>IF(OR(ISBLANK($AE$133), $AE$133 = ""), 0.589999974,$AE$133)</f>
        <v>1.27</v>
      </c>
      <c r="AF48">
        <f>IF(OR(ISBLANK($AF$133), $AF$133 = ""), 0.779999971,$AF$133)</f>
        <v>1.25</v>
      </c>
      <c r="AG48">
        <f>IF(OR(ISBLANK($AG$133), $AG$133 = ""), 0.829999983,$AG$133)</f>
        <v>1.25</v>
      </c>
      <c r="AH48">
        <f>IF(OR(ISBLANK($AH$133), $AH$133 = ""), 1.00999999,$AH$133)</f>
        <v>1.1100000000000001</v>
      </c>
      <c r="AI48">
        <f>IF(OR(ISBLANK($AI$133), $AI$133 = ""), 1.029999971,$AI$133)</f>
        <v>1.23</v>
      </c>
      <c r="AJ48">
        <f>IF(OR(ISBLANK($AJ$133), $AJ$133 = ""), 0.860000014,$AJ$133)</f>
        <v>1.1200000000000001</v>
      </c>
      <c r="AK48">
        <f>IF(OR(ISBLANK($AK$133), $AK$133 = ""), 1.190000057,$AK$133)</f>
        <v>1.2</v>
      </c>
      <c r="AL48">
        <f>IF(OR(ISBLANK($AL$133), $AL$133 = ""), 1.379999995,$AL$133)</f>
        <v>0.85</v>
      </c>
      <c r="AM48">
        <f>IF(OR(ISBLANK($AM$133), $AM$133 = ""), 1.399999976,$AM$133)</f>
        <v>0.86</v>
      </c>
      <c r="AN48">
        <f>IF(OR(ISBLANK($AN$133), $AN$133 = ""), 1.149999976,$AN$133)</f>
        <v>1.01</v>
      </c>
      <c r="AO48">
        <f>IF(OR(ISBLANK($AO$133), $AO$133 = ""), 1.279999971,$AO$133)</f>
        <v>1.04</v>
      </c>
      <c r="AP48">
        <f>IF(OR(ISBLANK($AP$133), $AP$133 = ""), 1.169999957,$AP$133)</f>
        <v>0.59</v>
      </c>
      <c r="AQ48">
        <f>IF(OR(ISBLANK($AQ$133), $AQ$133 = ""), 1.340000033,$AQ$133)</f>
        <v>0.78</v>
      </c>
      <c r="AR48">
        <f>IF(OR(ISBLANK($AR$133), $AR$133 = ""), 1.409999967,$AR$133)</f>
        <v>0.83</v>
      </c>
      <c r="AS48">
        <f>IF(OR(ISBLANK($AS$133), $AS$133 = ""), 1.299999952,$AS$133)</f>
        <v>1.01</v>
      </c>
      <c r="AT48">
        <f>IF(OR(ISBLANK($AT$133), $AT$133 = ""), 1.429999948,$AT$133)</f>
        <v>1.03</v>
      </c>
      <c r="AU48">
        <f>IF(OR(ISBLANK($AU$133), $AU$133 = ""), 1.559999943,$AU$133)</f>
        <v>0.86</v>
      </c>
      <c r="AV48">
        <f>IF(OR(ISBLANK($AV$133), $AV$133 = ""), 1.649999976,$AV$133)</f>
        <v>1.19</v>
      </c>
      <c r="AW48">
        <f>IF(OR(ISBLANK($AW$133), $AW$133 = ""), 1.50999999,$AW$133)</f>
        <v>1.38</v>
      </c>
      <c r="AX48">
        <f>IF(OR(ISBLANK($AX$133), $AX$133 = ""), 1.480000019,$AX$133)</f>
        <v>1.4</v>
      </c>
      <c r="AY48">
        <f>IF(OR(ISBLANK($AY$133), $AY$133 = ""), 1.350000024,$AY$133)</f>
        <v>1.1499999999999999</v>
      </c>
      <c r="AZ48">
        <f>IF(OR(ISBLANK($AZ$133), $AZ$133 = ""), 1.399999976,$AZ$133)</f>
        <v>1.28</v>
      </c>
      <c r="BA48">
        <f>IF(OR(ISBLANK($BA$133), $BA$133 = ""), 1.179999948,$BA$133)</f>
        <v>1.17</v>
      </c>
      <c r="BB48">
        <f>IF(OR(ISBLANK($BB$133), $BB$133 = ""), 1.179999948,$BB$133)</f>
        <v>1.34</v>
      </c>
      <c r="BC48">
        <f>IF(OR(ISBLANK($BC$133), $BC$133 = ""), 1.220000029,$BC$133)</f>
        <v>1.41</v>
      </c>
      <c r="BD48">
        <f>IF(OR(ISBLANK($BD$133), $BD$133 = ""), 1.279999971,$BD$133)</f>
        <v>1.3</v>
      </c>
      <c r="BE48">
        <f>IF(OR(ISBLANK($BE$133), $BE$133 = ""), 1.230000019,$BE$133)</f>
        <v>1.43</v>
      </c>
      <c r="BF48">
        <f>IF(OR(ISBLANK($BF$133), $BF$133 = ""), 1.100000024,$BF$133)</f>
        <v>1.56</v>
      </c>
      <c r="BG48">
        <f>IF(OR(ISBLANK($BG$133), $BG$133 = ""), 1.289999962,$BG$133)</f>
        <v>1.65</v>
      </c>
      <c r="BH48">
        <f>IF(OR(ISBLANK($BH$133), $BH$133 = ""), 1.429999948,$BH$133)</f>
        <v>1.51</v>
      </c>
      <c r="BI48">
        <f>IF(OR(ISBLANK($BI$133), $BI$133 = ""), 1.399999976,$BI$133)</f>
        <v>1.48</v>
      </c>
      <c r="BJ48">
        <f>IF(OR(ISBLANK($BJ$133), $BJ$133 = ""), 1.190000057,$BJ$133)</f>
        <v>1.35</v>
      </c>
      <c r="BK48">
        <f>IF(OR(ISBLANK($BK$133), $BK$133 = ""), 1.25999999,$BK$133)</f>
        <v>1.4</v>
      </c>
      <c r="BL48">
        <f>IF(OR(ISBLANK($BL$133), $BL$133 = ""), 1.24000001,$BL$133)</f>
        <v>1.18</v>
      </c>
      <c r="BM48">
        <f>IF(OR(ISBLANK($BM$133), $BM$133 = ""), 1.330000043,$BM$133)</f>
        <v>1.18</v>
      </c>
      <c r="BN48">
        <f>IF(OR(ISBLANK($BN$133), $BN$133 = ""), 1.25999999,$BN$133)</f>
        <v>1.22</v>
      </c>
      <c r="BO48">
        <f>IF(OR(ISBLANK($BO$133), $BO$133 = ""), 1.25,$BO$133)</f>
        <v>1.28</v>
      </c>
      <c r="BP48">
        <f>IF(OR(ISBLANK($BP$133), $BP$133 = ""), 1.279999971,$BP$133)</f>
        <v>1.23</v>
      </c>
      <c r="BQ48">
        <f>IF(OR(ISBLANK($BQ$133), $BQ$133 = ""), 1.399999976,$BQ$133)</f>
        <v>1.1000000000000001</v>
      </c>
      <c r="BR48">
        <f>IF(OR(ISBLANK($BR$133), $BR$133 = ""), 1.320000052,$BR$133)</f>
        <v>1.29</v>
      </c>
      <c r="BS48">
        <f>IF(OR(ISBLANK($BS$133), $BS$133 = ""), 1.100000024,$BS$133)</f>
        <v>1.43</v>
      </c>
      <c r="BT48">
        <f>IF(OR(ISBLANK($BT$133), $BT$133 = ""), 1.330000043,$BT$133)</f>
        <v>1.4</v>
      </c>
      <c r="BU48">
        <f>IF(OR(ISBLANK($BU$133), $BU$133 = ""), 1.389999986,$BU$133)</f>
        <v>1.19</v>
      </c>
      <c r="BV48">
        <f>IF(OR(ISBLANK($BV$133), $BV$133 = ""), 1.470000029,$BV$133)</f>
        <v>1.26</v>
      </c>
      <c r="BW48">
        <f>IF(OR(ISBLANK($BW$133), $BW$133 = ""), 1.519999981,$BW$133)</f>
        <v>1.24</v>
      </c>
      <c r="BX48">
        <f>IF(OR(ISBLANK($BX$133), $BX$133 = ""), 1.700000048,$BX$133)</f>
        <v>1.33</v>
      </c>
      <c r="BY48">
        <f>IF(OR(ISBLANK($BY$133), $BY$133 = ""), 1.700000048,$BY$133)</f>
        <v>1.26</v>
      </c>
      <c r="BZ48">
        <f>IF(OR(ISBLANK($BZ$133), $BZ$133 = ""), 1.629999995,$BZ$133)</f>
        <v>1.25</v>
      </c>
      <c r="CA48">
        <f>IF(OR(ISBLANK($CA$133), $CA$133 = ""), 1.360000014,$CA$133)</f>
        <v>1.28</v>
      </c>
      <c r="CB48">
        <f>IF(OR(ISBLANK($CB$133), $CB$133 = ""), 1.429999948,$CB$133)</f>
        <v>1.4</v>
      </c>
      <c r="CC48">
        <f>IF(OR(ISBLANK($CC$133), $CC$133 = ""), 1.710000038,$CC$133)</f>
        <v>1.32</v>
      </c>
      <c r="CD48">
        <f>IF(OR(ISBLANK($CD$133), $CD$133 = ""), 1.649999976,$CD$133)</f>
        <v>1.1000000000000001</v>
      </c>
      <c r="CE48">
        <f>IF(OR(ISBLANK($CE$133), $CE$133 = ""), 1.549999952,$CE$133)</f>
        <v>1.33</v>
      </c>
      <c r="CF48">
        <f>IF(OR(ISBLANK($CF$133), $CF$133 = ""), 0.949999988,$CF$133)</f>
        <v>1.3900000000000001</v>
      </c>
      <c r="CG48">
        <f>IF(OR(ISBLANK($CG$133), $CG$133 = ""), 1.700000048,$CG$133)</f>
        <v>1.47</v>
      </c>
    </row>
    <row r="49" spans="1:85" x14ac:dyDescent="0.25">
      <c r="A49" t="str">
        <f>"        Duration (days)"</f>
        <v xml:space="preserve">        Duration (days)</v>
      </c>
      <c r="B49" t="str">
        <f>"ECBA7DDU Index"</f>
        <v>ECBA7DDU Index</v>
      </c>
      <c r="C49" t="str">
        <f>"PR005"</f>
        <v>PR005</v>
      </c>
      <c r="D49" t="str">
        <f>"PX_LAST"</f>
        <v>PX_LAST</v>
      </c>
      <c r="E49" t="str">
        <f>"Dynamic"</f>
        <v>Dynamic</v>
      </c>
      <c r="F49" t="e">
        <f ca="1">IF(OR(ISBLANK($F$134), $F$134 = ""), "",$F$134)</f>
        <v>#N/A</v>
      </c>
      <c r="G49" t="str">
        <f>IF(OR(ISBLANK($G$134), $G$134 = ""), "",$G$134)</f>
        <v/>
      </c>
      <c r="H49">
        <f>IF(OR(ISBLANK($H$134), $H$134 = ""), 7,$H$134)</f>
        <v>7</v>
      </c>
      <c r="I49">
        <f>IF(OR(ISBLANK($I$134), $I$134 = ""), 7,$I$134)</f>
        <v>7</v>
      </c>
      <c r="J49">
        <f>IF(OR(ISBLANK($J$134), $J$134 = ""), 7,$J$134)</f>
        <v>7</v>
      </c>
      <c r="K49">
        <f>IF(OR(ISBLANK($K$134), $K$134 = ""), 7,$K$134)</f>
        <v>7</v>
      </c>
      <c r="L49">
        <f>IF(OR(ISBLANK($L$134), $L$134 = ""), 7,$L$134)</f>
        <v>7</v>
      </c>
      <c r="M49">
        <f>IF(OR(ISBLANK($M$134), $M$134 = ""), 7,$M$134)</f>
        <v>7</v>
      </c>
      <c r="N49">
        <f>IF(OR(ISBLANK($N$134), $N$134 = ""), 7,$N$134)</f>
        <v>7</v>
      </c>
      <c r="O49">
        <f>IF(OR(ISBLANK($O$134), $O$134 = ""), 7,$O$134)</f>
        <v>7</v>
      </c>
      <c r="P49">
        <f>IF(OR(ISBLANK($P$134), $P$134 = ""), 7,$P$134)</f>
        <v>7</v>
      </c>
      <c r="Q49">
        <f>IF(OR(ISBLANK($Q$134), $Q$134 = ""), 7,$Q$134)</f>
        <v>7</v>
      </c>
      <c r="R49">
        <f>IF(OR(ISBLANK($R$134), $R$134 = ""), 7,$R$134)</f>
        <v>7</v>
      </c>
      <c r="S49">
        <f>IF(OR(ISBLANK($S$134), $S$134 = ""), 7,$S$134)</f>
        <v>7</v>
      </c>
      <c r="T49">
        <f>IF(OR(ISBLANK($T$134), $T$134 = ""), 7,$T$134)</f>
        <v>7</v>
      </c>
      <c r="U49">
        <f>IF(OR(ISBLANK($U$134), $U$134 = ""), 7,$U$134)</f>
        <v>7</v>
      </c>
      <c r="V49">
        <f>IF(OR(ISBLANK($V$134), $V$134 = ""), 7,$V$134)</f>
        <v>7</v>
      </c>
      <c r="W49">
        <f>IF(OR(ISBLANK($W$134), $W$134 = ""), 7,$W$134)</f>
        <v>7</v>
      </c>
      <c r="X49">
        <f>IF(OR(ISBLANK($X$134), $X$134 = ""), 7,$X$134)</f>
        <v>7</v>
      </c>
      <c r="Y49">
        <f>IF(OR(ISBLANK($Y$134), $Y$134 = ""), 7,$Y$134)</f>
        <v>7</v>
      </c>
      <c r="Z49">
        <f>IF(OR(ISBLANK($Z$134), $Z$134 = ""), 7,$Z$134)</f>
        <v>7</v>
      </c>
      <c r="AA49">
        <f>IF(OR(ISBLANK($AA$134), $AA$134 = ""), 7,$AA$134)</f>
        <v>7</v>
      </c>
      <c r="AB49">
        <f>IF(OR(ISBLANK($AB$134), $AB$134 = ""), 7,$AB$134)</f>
        <v>7</v>
      </c>
      <c r="AC49">
        <f>IF(OR(ISBLANK($AC$134), $AC$134 = ""), 7,$AC$134)</f>
        <v>7</v>
      </c>
      <c r="AD49">
        <f>IF(OR(ISBLANK($AD$134), $AD$134 = ""), 7,$AD$134)</f>
        <v>7</v>
      </c>
      <c r="AE49">
        <f>IF(OR(ISBLANK($AE$134), $AE$134 = ""), 9,$AE$134)</f>
        <v>7</v>
      </c>
      <c r="AF49">
        <f>IF(OR(ISBLANK($AF$134), $AF$134 = ""), 7,$AF$134)</f>
        <v>7</v>
      </c>
      <c r="AG49">
        <f>IF(OR(ISBLANK($AG$134), $AG$134 = ""), 5,$AG$134)</f>
        <v>7</v>
      </c>
      <c r="AH49">
        <f>IF(OR(ISBLANK($AH$134), $AH$134 = ""), 7,$AH$134)</f>
        <v>7</v>
      </c>
      <c r="AI49">
        <f>IF(OR(ISBLANK($AI$134), $AI$134 = ""), 7,$AI$134)</f>
        <v>7</v>
      </c>
      <c r="AJ49">
        <f>IF(OR(ISBLANK($AJ$134), $AJ$134 = ""), 7,$AJ$134)</f>
        <v>7</v>
      </c>
      <c r="AK49">
        <f>IF(OR(ISBLANK($AK$134), $AK$134 = ""), 7,$AK$134)</f>
        <v>7</v>
      </c>
      <c r="AL49">
        <f>IF(OR(ISBLANK($AL$134), $AL$134 = ""), 7,$AL$134)</f>
        <v>7</v>
      </c>
      <c r="AM49">
        <f>IF(OR(ISBLANK($AM$134), $AM$134 = ""), 7,$AM$134)</f>
        <v>7</v>
      </c>
      <c r="AN49">
        <f>IF(OR(ISBLANK($AN$134), $AN$134 = ""), 7,$AN$134)</f>
        <v>7</v>
      </c>
      <c r="AO49">
        <f>IF(OR(ISBLANK($AO$134), $AO$134 = ""), 7,$AO$134)</f>
        <v>7</v>
      </c>
      <c r="AP49">
        <f>IF(OR(ISBLANK($AP$134), $AP$134 = ""), 7,$AP$134)</f>
        <v>9</v>
      </c>
      <c r="AQ49">
        <f>IF(OR(ISBLANK($AQ$134), $AQ$134 = ""), 7,$AQ$134)</f>
        <v>7</v>
      </c>
      <c r="AR49">
        <f>IF(OR(ISBLANK($AR$134), $AR$134 = ""), 7,$AR$134)</f>
        <v>5</v>
      </c>
      <c r="AS49">
        <f>IF(OR(ISBLANK($AS$134), $AS$134 = ""), 7,$AS$134)</f>
        <v>7</v>
      </c>
      <c r="AT49">
        <f>IF(OR(ISBLANK($AT$134), $AT$134 = ""), 7,$AT$134)</f>
        <v>7</v>
      </c>
      <c r="AU49">
        <f>IF(OR(ISBLANK($AU$134), $AU$134 = ""), 7,$AU$134)</f>
        <v>7</v>
      </c>
      <c r="AV49">
        <f>IF(OR(ISBLANK($AV$134), $AV$134 = ""), 7,$AV$134)</f>
        <v>7</v>
      </c>
      <c r="AW49">
        <f>IF(OR(ISBLANK($AW$134), $AW$134 = ""), 7,$AW$134)</f>
        <v>7</v>
      </c>
      <c r="AX49">
        <f>IF(OR(ISBLANK($AX$134), $AX$134 = ""), 7,$AX$134)</f>
        <v>7</v>
      </c>
      <c r="AY49">
        <f>IF(OR(ISBLANK($AY$134), $AY$134 = ""), 7,$AY$134)</f>
        <v>7</v>
      </c>
      <c r="AZ49">
        <f>IF(OR(ISBLANK($AZ$134), $AZ$134 = ""), 7,$AZ$134)</f>
        <v>7</v>
      </c>
      <c r="BA49">
        <f>IF(OR(ISBLANK($BA$134), $BA$134 = ""), 7,$BA$134)</f>
        <v>7</v>
      </c>
      <c r="BB49">
        <f>IF(OR(ISBLANK($BB$134), $BB$134 = ""), 7,$BB$134)</f>
        <v>7</v>
      </c>
      <c r="BC49">
        <f>IF(OR(ISBLANK($BC$134), $BC$134 = ""), 7,$BC$134)</f>
        <v>7</v>
      </c>
      <c r="BD49">
        <f>IF(OR(ISBLANK($BD$134), $BD$134 = ""), 7,$BD$134)</f>
        <v>7</v>
      </c>
      <c r="BE49">
        <f>IF(OR(ISBLANK($BE$134), $BE$134 = ""), 7,$BE$134)</f>
        <v>7</v>
      </c>
      <c r="BF49">
        <f>IF(OR(ISBLANK($BF$134), $BF$134 = ""), 7,$BF$134)</f>
        <v>7</v>
      </c>
      <c r="BG49">
        <f>IF(OR(ISBLANK($BG$134), $BG$134 = ""), 7,$BG$134)</f>
        <v>7</v>
      </c>
      <c r="BH49">
        <f>IF(OR(ISBLANK($BH$134), $BH$134 = ""), 7,$BH$134)</f>
        <v>7</v>
      </c>
      <c r="BI49">
        <f>IF(OR(ISBLANK($BI$134), $BI$134 = ""), 7,$BI$134)</f>
        <v>7</v>
      </c>
      <c r="BJ49">
        <f>IF(OR(ISBLANK($BJ$134), $BJ$134 = ""), 7,$BJ$134)</f>
        <v>7</v>
      </c>
      <c r="BK49">
        <f>IF(OR(ISBLANK($BK$134), $BK$134 = ""), 7,$BK$134)</f>
        <v>7</v>
      </c>
      <c r="BL49">
        <f>IF(OR(ISBLANK($BL$134), $BL$134 = ""), 7,$BL$134)</f>
        <v>7</v>
      </c>
      <c r="BM49">
        <f>IF(OR(ISBLANK($BM$134), $BM$134 = ""), 7,$BM$134)</f>
        <v>7</v>
      </c>
      <c r="BN49">
        <f>IF(OR(ISBLANK($BN$134), $BN$134 = ""), 6,$BN$134)</f>
        <v>7</v>
      </c>
      <c r="BO49">
        <f>IF(OR(ISBLANK($BO$134), $BO$134 = ""), 8,$BO$134)</f>
        <v>7</v>
      </c>
      <c r="BP49">
        <f>IF(OR(ISBLANK($BP$134), $BP$134 = ""), 7,$BP$134)</f>
        <v>7</v>
      </c>
      <c r="BQ49">
        <f>IF(OR(ISBLANK($BQ$134), $BQ$134 = ""), 7,$BQ$134)</f>
        <v>7</v>
      </c>
      <c r="BR49">
        <f>IF(OR(ISBLANK($BR$134), $BR$134 = ""), 7,$BR$134)</f>
        <v>7</v>
      </c>
      <c r="BS49">
        <f>IF(OR(ISBLANK($BS$134), $BS$134 = ""), 7,$BS$134)</f>
        <v>7</v>
      </c>
      <c r="BT49">
        <f>IF(OR(ISBLANK($BT$134), $BT$134 = ""), 7,$BT$134)</f>
        <v>7</v>
      </c>
      <c r="BU49">
        <f>IF(OR(ISBLANK($BU$134), $BU$134 = ""), 7,$BU$134)</f>
        <v>7</v>
      </c>
      <c r="BV49">
        <f>IF(OR(ISBLANK($BV$134), $BV$134 = ""), 7,$BV$134)</f>
        <v>7</v>
      </c>
      <c r="BW49">
        <f>IF(OR(ISBLANK($BW$134), $BW$134 = ""), 7,$BW$134)</f>
        <v>7</v>
      </c>
      <c r="BX49">
        <f>IF(OR(ISBLANK($BX$134), $BX$134 = ""), 7,$BX$134)</f>
        <v>7</v>
      </c>
      <c r="BY49">
        <f>IF(OR(ISBLANK($BY$134), $BY$134 = ""), 7,$BY$134)</f>
        <v>6</v>
      </c>
      <c r="BZ49">
        <f>IF(OR(ISBLANK($BZ$134), $BZ$134 = ""), 7,$BZ$134)</f>
        <v>8</v>
      </c>
      <c r="CA49">
        <f>IF(OR(ISBLANK($CA$134), $CA$134 = ""), 7,$CA$134)</f>
        <v>7</v>
      </c>
      <c r="CB49">
        <f>IF(OR(ISBLANK($CB$134), $CB$134 = ""), 7,$CB$134)</f>
        <v>7</v>
      </c>
      <c r="CC49">
        <f>IF(OR(ISBLANK($CC$134), $CC$134 = ""), 7,$CC$134)</f>
        <v>7</v>
      </c>
      <c r="CD49">
        <f>IF(OR(ISBLANK($CD$134), $CD$134 = ""), 7,$CD$134)</f>
        <v>7</v>
      </c>
      <c r="CE49">
        <f>IF(OR(ISBLANK($CE$134), $CE$134 = ""), 6,$CE$134)</f>
        <v>7</v>
      </c>
      <c r="CF49">
        <f>IF(OR(ISBLANK($CF$134), $CF$134 = ""), 6,$CF$134)</f>
        <v>7</v>
      </c>
      <c r="CG49">
        <f>IF(OR(ISBLANK($CG$134), $CG$134 = ""), 9,$CG$134)</f>
        <v>7</v>
      </c>
    </row>
    <row r="50" spans="1:85" x14ac:dyDescent="0.25">
      <c r="A50" t="str">
        <f>"    US Dollar Auctions"</f>
        <v xml:space="preserve">    US Dollar Auctions</v>
      </c>
      <c r="B50" t="str">
        <f>""</f>
        <v/>
      </c>
      <c r="C50" t="str">
        <f>""</f>
        <v/>
      </c>
      <c r="D50" t="str">
        <f>""</f>
        <v/>
      </c>
      <c r="E50" t="str">
        <f>"Static"</f>
        <v>Static</v>
      </c>
      <c r="F50" t="str">
        <f>""</f>
        <v/>
      </c>
      <c r="G50" t="str">
        <f>""</f>
        <v/>
      </c>
      <c r="H50" t="str">
        <f>""</f>
        <v/>
      </c>
      <c r="I50" t="str">
        <f>""</f>
        <v/>
      </c>
      <c r="J50" t="str">
        <f>""</f>
        <v/>
      </c>
      <c r="K50" t="str">
        <f>""</f>
        <v/>
      </c>
      <c r="L50" t="str">
        <f>""</f>
        <v/>
      </c>
      <c r="M50" t="str">
        <f>""</f>
        <v/>
      </c>
      <c r="N50" t="str">
        <f>""</f>
        <v/>
      </c>
      <c r="O50" t="str">
        <f>""</f>
        <v/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  <c r="Z50" t="str">
        <f>""</f>
        <v/>
      </c>
      <c r="AA50" t="str">
        <f>""</f>
        <v/>
      </c>
      <c r="AB50" t="str">
        <f>""</f>
        <v/>
      </c>
      <c r="AC50" t="str">
        <f>""</f>
        <v/>
      </c>
      <c r="AD50" t="str">
        <f>""</f>
        <v/>
      </c>
      <c r="AE50" t="str">
        <f>""</f>
        <v/>
      </c>
      <c r="AF50" t="str">
        <f>""</f>
        <v/>
      </c>
      <c r="AG50" t="str">
        <f>""</f>
        <v/>
      </c>
      <c r="AH50" t="str">
        <f>""</f>
        <v/>
      </c>
      <c r="AI50" t="str">
        <f>""</f>
        <v/>
      </c>
      <c r="AJ50" t="str">
        <f>""</f>
        <v/>
      </c>
      <c r="AK50" t="str">
        <f>""</f>
        <v/>
      </c>
      <c r="AL50" t="str">
        <f>""</f>
        <v/>
      </c>
      <c r="AM50" t="str">
        <f>""</f>
        <v/>
      </c>
      <c r="AN50" t="str">
        <f>""</f>
        <v/>
      </c>
      <c r="AO50" t="str">
        <f>""</f>
        <v/>
      </c>
      <c r="AP50" t="str">
        <f>""</f>
        <v/>
      </c>
      <c r="AQ50" t="str">
        <f>""</f>
        <v/>
      </c>
      <c r="AR50" t="str">
        <f>""</f>
        <v/>
      </c>
      <c r="AS50" t="str">
        <f>""</f>
        <v/>
      </c>
      <c r="AT50" t="str">
        <f>""</f>
        <v/>
      </c>
      <c r="AU50" t="str">
        <f>""</f>
        <v/>
      </c>
      <c r="AV50" t="str">
        <f>""</f>
        <v/>
      </c>
      <c r="AW50" t="str">
        <f>""</f>
        <v/>
      </c>
      <c r="AX50" t="str">
        <f>""</f>
        <v/>
      </c>
      <c r="AY50" t="str">
        <f>""</f>
        <v/>
      </c>
      <c r="AZ50" t="str">
        <f>""</f>
        <v/>
      </c>
      <c r="BA50" t="str">
        <f>""</f>
        <v/>
      </c>
      <c r="BB50" t="str">
        <f>""</f>
        <v/>
      </c>
      <c r="BC50" t="str">
        <f>""</f>
        <v/>
      </c>
      <c r="BD50" t="str">
        <f>""</f>
        <v/>
      </c>
      <c r="BE50" t="str">
        <f>""</f>
        <v/>
      </c>
      <c r="BF50" t="str">
        <f>""</f>
        <v/>
      </c>
      <c r="BG50" t="str">
        <f>""</f>
        <v/>
      </c>
      <c r="BH50" t="str">
        <f>""</f>
        <v/>
      </c>
      <c r="BI50" t="str">
        <f>""</f>
        <v/>
      </c>
      <c r="BJ50" t="str">
        <f>""</f>
        <v/>
      </c>
      <c r="BK50" t="str">
        <f>""</f>
        <v/>
      </c>
      <c r="BL50" t="str">
        <f>""</f>
        <v/>
      </c>
      <c r="BM50" t="str">
        <f>""</f>
        <v/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  <c r="BT50" t="str">
        <f>""</f>
        <v/>
      </c>
      <c r="BU50" t="str">
        <f>""</f>
        <v/>
      </c>
      <c r="BV50" t="str">
        <f>""</f>
        <v/>
      </c>
      <c r="BW50" t="str">
        <f>""</f>
        <v/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</row>
    <row r="51" spans="1:85" x14ac:dyDescent="0.25">
      <c r="A51" t="str">
        <f>"    "</f>
        <v xml:space="preserve">    </v>
      </c>
      <c r="B51" t="str">
        <f>""</f>
        <v/>
      </c>
      <c r="C51" t="str">
        <f>""</f>
        <v/>
      </c>
      <c r="D51" t="str">
        <f>""</f>
        <v/>
      </c>
      <c r="E51" t="str">
        <f>"Static"</f>
        <v>Static</v>
      </c>
      <c r="F51" t="str">
        <f>""</f>
        <v/>
      </c>
      <c r="G51" t="str">
        <f>""</f>
        <v/>
      </c>
      <c r="H51" t="str">
        <f>""</f>
        <v/>
      </c>
      <c r="I51" t="str">
        <f>""</f>
        <v/>
      </c>
      <c r="J51" t="str">
        <f>""</f>
        <v/>
      </c>
      <c r="K51" t="str">
        <f>""</f>
        <v/>
      </c>
      <c r="L51" t="str">
        <f>""</f>
        <v/>
      </c>
      <c r="M51" t="str">
        <f>""</f>
        <v/>
      </c>
      <c r="N51" t="str">
        <f>""</f>
        <v/>
      </c>
      <c r="O51" t="str">
        <f>""</f>
        <v/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  <c r="Z51" t="str">
        <f>""</f>
        <v/>
      </c>
      <c r="AA51" t="str">
        <f>""</f>
        <v/>
      </c>
      <c r="AB51" t="str">
        <f>""</f>
        <v/>
      </c>
      <c r="AC51" t="str">
        <f>""</f>
        <v/>
      </c>
      <c r="AD51" t="str">
        <f>""</f>
        <v/>
      </c>
      <c r="AE51" t="str">
        <f>""</f>
        <v/>
      </c>
      <c r="AF51" t="str">
        <f>""</f>
        <v/>
      </c>
      <c r="AG51" t="str">
        <f>""</f>
        <v/>
      </c>
      <c r="AH51" t="str">
        <f>""</f>
        <v/>
      </c>
      <c r="AI51" t="str">
        <f>""</f>
        <v/>
      </c>
      <c r="AJ51" t="str">
        <f>""</f>
        <v/>
      </c>
      <c r="AK51" t="str">
        <f>""</f>
        <v/>
      </c>
      <c r="AL51" t="str">
        <f>""</f>
        <v/>
      </c>
      <c r="AM51" t="str">
        <f>""</f>
        <v/>
      </c>
      <c r="AN51" t="str">
        <f>""</f>
        <v/>
      </c>
      <c r="AO51" t="str">
        <f>""</f>
        <v/>
      </c>
      <c r="AP51" t="str">
        <f>""</f>
        <v/>
      </c>
      <c r="AQ51" t="str">
        <f>""</f>
        <v/>
      </c>
      <c r="AR51" t="str">
        <f>""</f>
        <v/>
      </c>
      <c r="AS51" t="str">
        <f>""</f>
        <v/>
      </c>
      <c r="AT51" t="str">
        <f>""</f>
        <v/>
      </c>
      <c r="AU51" t="str">
        <f>""</f>
        <v/>
      </c>
      <c r="AV51" t="str">
        <f>""</f>
        <v/>
      </c>
      <c r="AW51" t="str">
        <f>""</f>
        <v/>
      </c>
      <c r="AX51" t="str">
        <f>""</f>
        <v/>
      </c>
      <c r="AY51" t="str">
        <f>""</f>
        <v/>
      </c>
      <c r="AZ51" t="str">
        <f>""</f>
        <v/>
      </c>
      <c r="BA51" t="str">
        <f>""</f>
        <v/>
      </c>
      <c r="BB51" t="str">
        <f>""</f>
        <v/>
      </c>
      <c r="BC51" t="str">
        <f>""</f>
        <v/>
      </c>
      <c r="BD51" t="str">
        <f>""</f>
        <v/>
      </c>
      <c r="BE51" t="str">
        <f>""</f>
        <v/>
      </c>
      <c r="BF51" t="str">
        <f>""</f>
        <v/>
      </c>
      <c r="BG51" t="str">
        <f>""</f>
        <v/>
      </c>
      <c r="BH51" t="str">
        <f>""</f>
        <v/>
      </c>
      <c r="BI51" t="str">
        <f>""</f>
        <v/>
      </c>
      <c r="BJ51" t="str">
        <f>""</f>
        <v/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</row>
    <row r="52" spans="1:85" x14ac:dyDescent="0.25">
      <c r="A52" t="str">
        <f>"ECB SECURITIES MARKET PROGRAM (EUR B)"</f>
        <v>ECB SECURITIES MARKET PROGRAM (EUR B)</v>
      </c>
      <c r="B52" t="str">
        <f>""</f>
        <v/>
      </c>
      <c r="C52" t="str">
        <f>""</f>
        <v/>
      </c>
      <c r="D52" t="str">
        <f>""</f>
        <v/>
      </c>
      <c r="E52" t="str">
        <f>"Static"</f>
        <v>Static</v>
      </c>
      <c r="F52" t="str">
        <f>""</f>
        <v/>
      </c>
      <c r="G52" t="str">
        <f>""</f>
        <v/>
      </c>
      <c r="H52" t="str">
        <f>""</f>
        <v/>
      </c>
      <c r="I52" t="str">
        <f>""</f>
        <v/>
      </c>
      <c r="J52" t="str">
        <f>""</f>
        <v/>
      </c>
      <c r="K52" t="str">
        <f>""</f>
        <v/>
      </c>
      <c r="L52" t="str">
        <f>""</f>
        <v/>
      </c>
      <c r="M52" t="str">
        <f>""</f>
        <v/>
      </c>
      <c r="N52" t="str">
        <f>""</f>
        <v/>
      </c>
      <c r="O52" t="str">
        <f>""</f>
        <v/>
      </c>
      <c r="P52" t="str">
        <f>""</f>
        <v/>
      </c>
      <c r="Q52" t="str">
        <f>""</f>
        <v/>
      </c>
      <c r="R52" t="str">
        <f>""</f>
        <v/>
      </c>
      <c r="S52" t="str">
        <f>""</f>
        <v/>
      </c>
      <c r="T52" t="str">
        <f>""</f>
        <v/>
      </c>
      <c r="U52" t="str">
        <f>""</f>
        <v/>
      </c>
      <c r="V52" t="str">
        <f>""</f>
        <v/>
      </c>
      <c r="W52" t="str">
        <f>""</f>
        <v/>
      </c>
      <c r="X52" t="str">
        <f>""</f>
        <v/>
      </c>
      <c r="Y52" t="str">
        <f>""</f>
        <v/>
      </c>
      <c r="Z52" t="str">
        <f>""</f>
        <v/>
      </c>
      <c r="AA52" t="str">
        <f>""</f>
        <v/>
      </c>
      <c r="AB52" t="str">
        <f>""</f>
        <v/>
      </c>
      <c r="AC52" t="str">
        <f>""</f>
        <v/>
      </c>
      <c r="AD52" t="str">
        <f>""</f>
        <v/>
      </c>
      <c r="AE52" t="str">
        <f>""</f>
        <v/>
      </c>
      <c r="AF52" t="str">
        <f>""</f>
        <v/>
      </c>
      <c r="AG52" t="str">
        <f>""</f>
        <v/>
      </c>
      <c r="AH52" t="str">
        <f>""</f>
        <v/>
      </c>
      <c r="AI52" t="str">
        <f>""</f>
        <v/>
      </c>
      <c r="AJ52" t="str">
        <f>""</f>
        <v/>
      </c>
      <c r="AK52" t="str">
        <f>""</f>
        <v/>
      </c>
      <c r="AL52" t="str">
        <f>""</f>
        <v/>
      </c>
      <c r="AM52" t="str">
        <f>""</f>
        <v/>
      </c>
      <c r="AN52" t="str">
        <f>""</f>
        <v/>
      </c>
      <c r="AO52" t="str">
        <f>""</f>
        <v/>
      </c>
      <c r="AP52" t="str">
        <f>""</f>
        <v/>
      </c>
      <c r="AQ52" t="str">
        <f>""</f>
        <v/>
      </c>
      <c r="AR52" t="str">
        <f>""</f>
        <v/>
      </c>
      <c r="AS52" t="str">
        <f>""</f>
        <v/>
      </c>
      <c r="AT52" t="str">
        <f>""</f>
        <v/>
      </c>
      <c r="AU52" t="str">
        <f>""</f>
        <v/>
      </c>
      <c r="AV52" t="str">
        <f>""</f>
        <v/>
      </c>
      <c r="AW52" t="str">
        <f>""</f>
        <v/>
      </c>
      <c r="AX52" t="str">
        <f>""</f>
        <v/>
      </c>
      <c r="AY52" t="str">
        <f>""</f>
        <v/>
      </c>
      <c r="AZ52" t="str">
        <f>""</f>
        <v/>
      </c>
      <c r="BA52" t="str">
        <f>""</f>
        <v/>
      </c>
      <c r="BB52" t="str">
        <f>""</f>
        <v/>
      </c>
      <c r="BC52" t="str">
        <f>""</f>
        <v/>
      </c>
      <c r="BD52" t="str">
        <f>""</f>
        <v/>
      </c>
      <c r="BE52" t="str">
        <f>""</f>
        <v/>
      </c>
      <c r="BF52" t="str">
        <f>""</f>
        <v/>
      </c>
      <c r="BG52" t="str">
        <f>""</f>
        <v/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  <c r="BT52" t="str">
        <f>""</f>
        <v/>
      </c>
      <c r="BU52" t="str">
        <f>""</f>
        <v/>
      </c>
      <c r="BV52" t="str">
        <f>""</f>
        <v/>
      </c>
      <c r="BW52" t="str">
        <f>""</f>
        <v/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</row>
    <row r="53" spans="1:85" x14ac:dyDescent="0.25">
      <c r="A53" t="str">
        <f>"    Securities Held for Monetary Policy Purposes"</f>
        <v xml:space="preserve">    Securities Held for Monetary Policy Purposes</v>
      </c>
      <c r="B53" t="str">
        <f>"EBBSSECM Index"</f>
        <v>EBBSSECM Index</v>
      </c>
      <c r="C53" t="str">
        <f>"PR005"</f>
        <v>PR005</v>
      </c>
      <c r="D53" t="str">
        <f>"PX_LAST"</f>
        <v>PX_LAST</v>
      </c>
      <c r="E53" t="str">
        <f>"Dynamic"</f>
        <v>Dynamic</v>
      </c>
      <c r="F53" t="e">
        <f ca="1">IF(OR(ISBLANK($F$135), $F$135 = ""), "",$F$135)</f>
        <v>#N/A</v>
      </c>
      <c r="G53">
        <f>IF(OR(ISBLANK($G$135), $G$135 = ""), "",$G$135)</f>
        <v>195</v>
      </c>
      <c r="H53">
        <f>IF(OR(ISBLANK($H$135), $H$135 = ""), 213,$H$135)</f>
        <v>195</v>
      </c>
      <c r="I53">
        <f>IF(OR(ISBLANK($I$135), $I$135 = ""), 213,$I$135)</f>
        <v>195</v>
      </c>
      <c r="J53">
        <f>IF(OR(ISBLANK($J$135), $J$135 = ""), 215,$J$135)</f>
        <v>199</v>
      </c>
      <c r="K53">
        <f>IF(OR(ISBLANK($K$135), $K$135 = ""), 217,$K$135)</f>
        <v>199</v>
      </c>
      <c r="L53">
        <f>IF(OR(ISBLANK($L$135), $L$135 = ""), 220,$L$135)</f>
        <v>199</v>
      </c>
      <c r="M53">
        <f>IF(OR(ISBLANK($M$135), $M$135 = ""), 220,$M$135)</f>
        <v>203</v>
      </c>
      <c r="N53">
        <f>IF(OR(ISBLANK($N$135), $N$135 = ""), 220,$N$135)</f>
        <v>204</v>
      </c>
      <c r="O53">
        <f>IF(OR(ISBLANK($O$135), $O$135 = ""), 225,$O$135)</f>
        <v>205</v>
      </c>
      <c r="P53">
        <f>IF(OR(ISBLANK($P$135), $P$135 = ""), 225,$P$135)</f>
        <v>205</v>
      </c>
      <c r="Q53">
        <f>IF(OR(ISBLANK($Q$135), $Q$135 = ""), 225,$Q$135)</f>
        <v>210</v>
      </c>
      <c r="R53">
        <f>IF(OR(ISBLANK($R$135), $R$135 = ""), 225,$R$135)</f>
        <v>210</v>
      </c>
      <c r="S53">
        <f>IF(OR(ISBLANK($S$135), $S$135 = ""), 228,$S$135)</f>
        <v>213</v>
      </c>
      <c r="T53">
        <f>IF(OR(ISBLANK($T$135), $T$135 = ""), 229,$T$135)</f>
        <v>213</v>
      </c>
      <c r="U53">
        <f>IF(OR(ISBLANK($U$135), $U$135 = ""), 229,$U$135)</f>
        <v>215</v>
      </c>
      <c r="V53">
        <f>IF(OR(ISBLANK($V$135), $V$135 = ""), 229,$V$135)</f>
        <v>217</v>
      </c>
      <c r="W53">
        <f>IF(OR(ISBLANK($W$135), $W$135 = ""), 229,$W$135)</f>
        <v>220</v>
      </c>
      <c r="X53">
        <f>IF(OR(ISBLANK($X$135), $X$135 = ""), 229,$X$135)</f>
        <v>220</v>
      </c>
      <c r="Y53">
        <f>IF(OR(ISBLANK($Y$135), $Y$135 = ""), 230,$Y$135)</f>
        <v>220</v>
      </c>
      <c r="Z53">
        <f>IF(OR(ISBLANK($Z$135), $Z$135 = ""), 231,$Z$135)</f>
        <v>225</v>
      </c>
      <c r="AA53">
        <f>IF(OR(ISBLANK($AA$135), $AA$135 = ""), 231,$AA$135)</f>
        <v>225</v>
      </c>
      <c r="AB53">
        <f>IF(OR(ISBLANK($AB$135), $AB$135 = ""), 234,$AB$135)</f>
        <v>225</v>
      </c>
      <c r="AC53">
        <f>IF(OR(ISBLANK($AC$135), $AC$135 = ""), 234,$AC$135)</f>
        <v>225</v>
      </c>
      <c r="AD53">
        <f>IF(OR(ISBLANK($AD$135), $AD$135 = ""), 236,$AD$135)</f>
        <v>228</v>
      </c>
      <c r="AE53">
        <f>IF(OR(ISBLANK($AE$135), $AE$135 = ""), 236,$AE$135)</f>
        <v>229</v>
      </c>
      <c r="AF53">
        <f>IF(OR(ISBLANK($AF$135), $AF$135 = ""), 235.412,$AF$135)</f>
        <v>229</v>
      </c>
      <c r="AG53">
        <f>IF(OR(ISBLANK($AG$135), $AG$135 = ""), 235.412,$AG$135)</f>
        <v>229</v>
      </c>
      <c r="AH53">
        <f>IF(OR(ISBLANK($AH$135), $AH$135 = ""), 241.251,$AH$135)</f>
        <v>229</v>
      </c>
      <c r="AI53">
        <f>IF(OR(ISBLANK($AI$135), $AI$135 = ""), 241.421,$AI$135)</f>
        <v>229</v>
      </c>
      <c r="AJ53">
        <f>IF(OR(ISBLANK($AJ$135), $AJ$135 = ""), 241.421,$AJ$135)</f>
        <v>230</v>
      </c>
      <c r="AK53">
        <f>IF(OR(ISBLANK($AK$135), $AK$135 = ""), 241.456,$AK$135)</f>
        <v>231</v>
      </c>
      <c r="AL53">
        <f>IF(OR(ISBLANK($AL$135), $AL$135 = ""), 241.554,$AL$135)</f>
        <v>231</v>
      </c>
      <c r="AM53">
        <f>IF(OR(ISBLANK($AM$135), $AM$135 = ""), 241.554,$AM$135)</f>
        <v>234</v>
      </c>
      <c r="AN53">
        <f>IF(OR(ISBLANK($AN$135), $AN$135 = ""), 241.614,$AN$135)</f>
        <v>234</v>
      </c>
      <c r="AO53">
        <f>IF(OR(ISBLANK($AO$135), $AO$135 = ""), 245.745,$AO$135)</f>
        <v>236</v>
      </c>
      <c r="AP53">
        <f>IF(OR(ISBLANK($AP$135), $AP$135 = ""), 246.574,$AP$135)</f>
        <v>236</v>
      </c>
      <c r="AQ53">
        <f>IF(OR(ISBLANK($AQ$135), $AQ$135 = ""), 246.574,$AQ$135)</f>
        <v>235.41200000000001</v>
      </c>
      <c r="AR53">
        <f>IF(OR(ISBLANK($AR$135), $AR$135 = ""), 246.994,$AR$135)</f>
        <v>235.41200000000001</v>
      </c>
      <c r="AS53">
        <f>IF(OR(ISBLANK($AS$135), $AS$135 = ""), 246.703,$AS$135)</f>
        <v>241.251</v>
      </c>
      <c r="AT53">
        <f>IF(OR(ISBLANK($AT$135), $AT$135 = ""), 249.768,$AT$135)</f>
        <v>241.42099999999999</v>
      </c>
      <c r="AU53">
        <f>IF(OR(ISBLANK($AU$135), $AU$135 = ""), 250.087,$AU$135)</f>
        <v>241.42099999999999</v>
      </c>
      <c r="AV53">
        <f>IF(OR(ISBLANK($AV$135), $AV$135 = ""), 250.139,$AV$135)</f>
        <v>241.45599999999999</v>
      </c>
      <c r="AW53">
        <f>IF(OR(ISBLANK($AW$135), $AW$135 = ""), 250.139,$AW$135)</f>
        <v>241.554</v>
      </c>
      <c r="AX53">
        <f>IF(OR(ISBLANK($AX$135), $AX$135 = ""), 250.597,$AX$135)</f>
        <v>241.554</v>
      </c>
      <c r="AY53">
        <f>IF(OR(ISBLANK($AY$135), $AY$135 = ""), 252.499,$AY$135)</f>
        <v>241.614</v>
      </c>
      <c r="AZ53">
        <f>IF(OR(ISBLANK($AZ$135), $AZ$135 = ""), 252.499,$AZ$135)</f>
        <v>245.745</v>
      </c>
      <c r="BA53">
        <f>IF(OR(ISBLANK($BA$135), $BA$135 = ""), 252.499,$BA$135)</f>
        <v>246.57400000000001</v>
      </c>
      <c r="BB53">
        <f>IF(OR(ISBLANK($BB$135), $BB$135 = ""), 255.384,$BB$135)</f>
        <v>246.57400000000001</v>
      </c>
      <c r="BC53">
        <f>IF(OR(ISBLANK($BC$135), $BC$135 = ""), 255.709,$BC$135)</f>
        <v>246.994</v>
      </c>
      <c r="BD53">
        <f>IF(OR(ISBLANK($BD$135), $BD$135 = ""), 256.115,$BD$135)</f>
        <v>246.703</v>
      </c>
      <c r="BE53">
        <f>IF(OR(ISBLANK($BE$135), $BE$135 = ""), 256.433,$BE$135)</f>
        <v>249.768</v>
      </c>
      <c r="BF53">
        <f>IF(OR(ISBLANK($BF$135), $BF$135 = ""), 256.83,$BF$135)</f>
        <v>250.08699999999999</v>
      </c>
      <c r="BG53">
        <f>IF(OR(ISBLANK($BG$135), $BG$135 = ""), 256.45,$BG$135)</f>
        <v>250.13900000000001</v>
      </c>
      <c r="BH53">
        <f>IF(OR(ISBLANK($BH$135), $BH$135 = ""), 256.45,$BH$135)</f>
        <v>250.13900000000001</v>
      </c>
      <c r="BI53">
        <f>IF(OR(ISBLANK($BI$135), $BI$135 = ""), 256.638,$BI$135)</f>
        <v>250.59700000000001</v>
      </c>
      <c r="BJ53">
        <f>IF(OR(ISBLANK($BJ$135), $BJ$135 = ""), 259.004,$BJ$135)</f>
        <v>252.499</v>
      </c>
      <c r="BK53">
        <f>IF(OR(ISBLANK($BK$135), $BK$135 = ""), 259.154,$BK$135)</f>
        <v>252.499</v>
      </c>
      <c r="BL53">
        <f>IF(OR(ISBLANK($BL$135), $BL$135 = ""), 263.222,$BL$135)</f>
        <v>252.499</v>
      </c>
      <c r="BM53">
        <f>IF(OR(ISBLANK($BM$135), $BM$135 = ""), 263.222,$BM$135)</f>
        <v>255.38399999999999</v>
      </c>
      <c r="BN53">
        <f>IF(OR(ISBLANK($BN$135), $BN$135 = ""), 263.447,$BN$135)</f>
        <v>255.709</v>
      </c>
      <c r="BO53">
        <f>IF(OR(ISBLANK($BO$135), $BO$135 = ""), 265.59,$BO$135)</f>
        <v>256.11500000000001</v>
      </c>
      <c r="BP53">
        <f>IF(OR(ISBLANK($BP$135), $BP$135 = ""), 265.59,$BP$135)</f>
        <v>256.43299999999999</v>
      </c>
      <c r="BQ53">
        <f>IF(OR(ISBLANK($BQ$135), $BQ$135 = ""), 269.022,$BQ$135)</f>
        <v>256.83</v>
      </c>
      <c r="BR53">
        <f>IF(OR(ISBLANK($BR$135), $BR$135 = ""), 269.34,$BR$135)</f>
        <v>256.45</v>
      </c>
      <c r="BS53">
        <f>IF(OR(ISBLANK($BS$135), $BS$135 = ""), 269.34,$BS$135)</f>
        <v>256.45</v>
      </c>
      <c r="BT53">
        <f>IF(OR(ISBLANK($BT$135), $BT$135 = ""), 269.092,$BT$135)</f>
        <v>256.63799999999998</v>
      </c>
      <c r="BU53">
        <f>IF(OR(ISBLANK($BU$135), $BU$135 = ""), 269.172,$BU$135)</f>
        <v>259.00400000000002</v>
      </c>
      <c r="BV53">
        <f>IF(OR(ISBLANK($BV$135), $BV$135 = ""), 269.504,$BV$135)</f>
        <v>259.154</v>
      </c>
      <c r="BW53">
        <f>IF(OR(ISBLANK($BW$135), $BW$135 = ""), 269.558,$BW$135)</f>
        <v>263.22199999999998</v>
      </c>
      <c r="BX53">
        <f>IF(OR(ISBLANK($BX$135), $BX$135 = ""), 269.878,$BX$135)</f>
        <v>263.22199999999998</v>
      </c>
      <c r="BY53">
        <f>IF(OR(ISBLANK($BY$135), $BY$135 = ""), 270.511,$BY$135)</f>
        <v>263.447</v>
      </c>
      <c r="BZ53">
        <f>IF(OR(ISBLANK($BZ$135), $BZ$135 = ""), 270.617,$BZ$135)</f>
        <v>265.58999999999997</v>
      </c>
      <c r="CA53">
        <f>IF(OR(ISBLANK($CA$135), $CA$135 = ""), 270.869,$CA$135)</f>
        <v>265.58999999999997</v>
      </c>
      <c r="CB53">
        <f>IF(OR(ISBLANK($CB$135), $CB$135 = ""), 275.236,$CB$135)</f>
        <v>269.02199999999999</v>
      </c>
      <c r="CC53">
        <f>IF(OR(ISBLANK($CC$135), $CC$135 = ""), 276.16,$CC$135)</f>
        <v>269.33999999999997</v>
      </c>
      <c r="CD53">
        <f>IF(OR(ISBLANK($CD$135), $CD$135 = ""), 276.598,$CD$135)</f>
        <v>269.33999999999997</v>
      </c>
      <c r="CE53">
        <f>IF(OR(ISBLANK($CE$135), $CE$135 = ""), 276.903,$CE$135)</f>
        <v>269.09199999999998</v>
      </c>
      <c r="CF53">
        <f>IF(OR(ISBLANK($CF$135), $CF$135 = ""), 276.807,$CF$135)</f>
        <v>269.17200000000003</v>
      </c>
      <c r="CG53">
        <f>IF(OR(ISBLANK($CG$135), $CG$135 = ""), 276.807,$CG$135)</f>
        <v>269.50400000000002</v>
      </c>
    </row>
    <row r="54" spans="1:85" x14ac:dyDescent="0.25">
      <c r="A54" t="str">
        <f>"    Securities Market Program-Outstanding"</f>
        <v xml:space="preserve">    Securities Market Program-Outstanding</v>
      </c>
      <c r="B54" t="str">
        <f>"ECBCSMP Index"</f>
        <v>ECBCSMP Index</v>
      </c>
      <c r="C54" t="str">
        <f>""</f>
        <v/>
      </c>
      <c r="D54" t="str">
        <f>""</f>
        <v/>
      </c>
      <c r="E54" t="str">
        <f>"Expression"</f>
        <v>Expression</v>
      </c>
      <c r="F54" t="str">
        <f ca="1">IF(OR(ISBLANK(IF(ISERROR(IF(OR(ISBLANK($F$99)), "", $F$99/1000)), "", (IF(OR(ISBLANK($F$99)), "", $F$99/1000)))), IF(ISERROR(IF(OR(ISBLANK($F$99)), "", $F$99/1000)), "", (IF(OR(ISBLANK($F$99)), "", $F$99/1000))) = ""), "",IF(ISERROR(IF(OR(ISBLANK($F$99)), "", $F$99/1000)), "", (IF(OR(ISBLANK($F$99)), "", $F$99/1000))))</f>
        <v/>
      </c>
      <c r="G54">
        <f>IF(OR(ISBLANK(IF(ISERROR(IF(OR(ISBLANK($G$99)), "", $G$99/1000)), "", (IF(OR(ISBLANK($G$99)), "", $G$99/1000)))), IF(ISERROR(IF(OR(ISBLANK($G$99)), "", $G$99/1000)), "", (IF(OR(ISBLANK($G$99)), "", $G$99/1000))) = ""), "",IF(ISERROR(IF(OR(ISBLANK($G$99)), "", $G$99/1000)), "", (IF(OR(ISBLANK($G$99)), "", $G$99/1000))))</f>
        <v>148.72800000000001</v>
      </c>
      <c r="H54">
        <f>IF(OR(ISBLANK(IF(ISERROR(IF(OR(ISBLANK($H$99)), "", $H$99/1000)), "", (IF(OR(ISBLANK($H$99)), "", $H$99/1000)))), IF(ISERROR(IF(OR(ISBLANK($H$99)), "", $H$99/1000)), "", (IF(OR(ISBLANK($H$99)), "", $H$99/1000))) = ""), "",IF(ISERROR(IF(OR(ISBLANK($H$99)), "", $H$99/1000)), "", (IF(OR(ISBLANK($H$99)), "", $H$99/1000))))</f>
        <v>148.72800000000001</v>
      </c>
      <c r="I54">
        <f>IF(OR(ISBLANK(IF(ISERROR(IF(OR(ISBLANK($I$99)), "", $I$99/1000)), "", (IF(OR(ISBLANK($I$99)), "", $I$99/1000)))), IF(ISERROR(IF(OR(ISBLANK($I$99)), "", $I$99/1000)), "", (IF(OR(ISBLANK($I$99)), "", $I$99/1000))) = ""), 162.5,IF(ISERROR(IF(OR(ISBLANK($I$99)), "", $I$99/1000)), "", (IF(OR(ISBLANK($I$99)), "", $I$99/1000))))</f>
        <v>148.72800000000001</v>
      </c>
      <c r="J54">
        <f>IF(OR(ISBLANK(IF(ISERROR(IF(OR(ISBLANK($J$99)), "", $J$99/1000)), "", (IF(OR(ISBLANK($J$99)), "", $J$99/1000)))), IF(ISERROR(IF(OR(ISBLANK($J$99)), "", $J$99/1000)), "", (IF(OR(ISBLANK($J$99)), "", $J$99/1000))) = ""), 164.5,IF(ISERROR(IF(OR(ISBLANK($J$99)), "", $J$99/1000)), "", (IF(OR(ISBLANK($J$99)), "", $J$99/1000))))</f>
        <v>152.29400000000001</v>
      </c>
      <c r="K54">
        <f>IF(OR(ISBLANK(IF(ISERROR(IF(OR(ISBLANK($K$99)), "", $K$99/1000)), "", (IF(OR(ISBLANK($K$99)), "", $K$99/1000)))), IF(ISERROR(IF(OR(ISBLANK($K$99)), "", $K$99/1000)), "", (IF(OR(ISBLANK($K$99)), "", $K$99/1000))) = ""), 164.5,IF(ISERROR(IF(OR(ISBLANK($K$99)), "", $K$99/1000)), "", (IF(OR(ISBLANK($K$99)), "", $K$99/1000))))</f>
        <v>152.29400000000001</v>
      </c>
      <c r="L54">
        <f>IF(OR(ISBLANK(IF(ISERROR(IF(OR(ISBLANK($L$99)), "", $L$99/1000)), "", (IF(OR(ISBLANK($L$99)), "", $L$99/1000)))), IF(ISERROR(IF(OR(ISBLANK($L$99)), "", $L$99/1000)), "", (IF(OR(ISBLANK($L$99)), "", $L$99/1000))) = ""), 167.5,IF(ISERROR(IF(OR(ISBLANK($L$99)), "", $L$99/1000)), "", (IF(OR(ISBLANK($L$99)), "", $L$99/1000))))</f>
        <v>152.29400000000001</v>
      </c>
      <c r="M54">
        <f>IF(OR(ISBLANK(IF(ISERROR(IF(OR(ISBLANK($M$99)), "", $M$99/1000)), "", (IF(OR(ISBLANK($M$99)), "", $M$99/1000)))), IF(ISERROR(IF(OR(ISBLANK($M$99)), "", $M$99/1000)), "", (IF(OR(ISBLANK($M$99)), "", $M$99/1000))) = ""), 167.5,IF(ISERROR(IF(OR(ISBLANK($M$99)), "", $M$99/1000)), "", (IF(OR(ISBLANK($M$99)), "", $M$99/1000))))</f>
        <v>156.31</v>
      </c>
      <c r="N54">
        <f>IF(OR(ISBLANK(IF(ISERROR(IF(OR(ISBLANK($N$99)), "", $N$99/1000)), "", (IF(OR(ISBLANK($N$99)), "", $N$99/1000)))), IF(ISERROR(IF(OR(ISBLANK($N$99)), "", $N$99/1000)), "", (IF(OR(ISBLANK($N$99)), "", $N$99/1000))) = ""), 167.5,IF(ISERROR(IF(OR(ISBLANK($N$99)), "", $N$99/1000)), "", (IF(OR(ISBLANK($N$99)), "", $N$99/1000))))</f>
        <v>156.31</v>
      </c>
      <c r="O54">
        <f>IF(OR(ISBLANK(IF(ISERROR(IF(OR(ISBLANK($O$99)), "", $O$99/1000)), "", (IF(OR(ISBLANK($O$99)), "", $O$99/1000)))), IF(ISERROR(IF(OR(ISBLANK($O$99)), "", $O$99/1000)), "", (IF(OR(ISBLANK($O$99)), "", $O$99/1000))) = ""), 172.5,IF(ISERROR(IF(OR(ISBLANK($O$99)), "", $O$99/1000)), "", (IF(OR(ISBLANK($O$99)), "", $O$99/1000))))</f>
        <v>156.31</v>
      </c>
      <c r="P54">
        <f>IF(OR(ISBLANK(IF(ISERROR(IF(OR(ISBLANK($P$99)), "", $P$99/1000)), "", (IF(OR(ISBLANK($P$99)), "", $P$99/1000)))), IF(ISERROR(IF(OR(ISBLANK($P$99)), "", $P$99/1000)), "", (IF(OR(ISBLANK($P$99)), "", $P$99/1000))) = ""), 172.5,IF(ISERROR(IF(OR(ISBLANK($P$99)), "", $P$99/1000)), "", (IF(OR(ISBLANK($P$99)), "", $P$99/1000))))</f>
        <v>156.31</v>
      </c>
      <c r="Q54">
        <f>IF(OR(ISBLANK(IF(ISERROR(IF(OR(ISBLANK($Q$99)), "", $Q$99/1000)), "", (IF(OR(ISBLANK($Q$99)), "", $Q$99/1000)))), IF(ISERROR(IF(OR(ISBLANK($Q$99)), "", $Q$99/1000)), "", (IF(OR(ISBLANK($Q$99)), "", $Q$99/1000))) = ""), 172.5,IF(ISERROR(IF(OR(ISBLANK($Q$99)), "", $Q$99/1000)), "", (IF(OR(ISBLANK($Q$99)), "", $Q$99/1000))))</f>
        <v>160.61500000000001</v>
      </c>
      <c r="R54">
        <f>IF(OR(ISBLANK(IF(ISERROR(IF(OR(ISBLANK($R$99)), "", $R$99/1000)), "", (IF(OR(ISBLANK($R$99)), "", $R$99/1000)))), IF(ISERROR(IF(OR(ISBLANK($R$99)), "", $R$99/1000)), "", (IF(OR(ISBLANK($R$99)), "", $R$99/1000))) = ""), 172.5,IF(ISERROR(IF(OR(ISBLANK($R$99)), "", $R$99/1000)), "", (IF(OR(ISBLANK($R$99)), "", $R$99/1000))))</f>
        <v>160.61500000000001</v>
      </c>
      <c r="S54">
        <f>IF(OR(ISBLANK(IF(ISERROR(IF(OR(ISBLANK($S$99)), "", $S$99/1000)), "", (IF(OR(ISBLANK($S$99)), "", $S$99/1000)))), IF(ISERROR(IF(OR(ISBLANK($S$99)), "", $S$99/1000)), "", (IF(OR(ISBLANK($S$99)), "", $S$99/1000))) = ""), 175.5,IF(ISERROR(IF(OR(ISBLANK($S$99)), "", $S$99/1000)), "", (IF(OR(ISBLANK($S$99)), "", $S$99/1000))))</f>
        <v>162.74700000000001</v>
      </c>
      <c r="T54">
        <f>IF(OR(ISBLANK(IF(ISERROR(IF(OR(ISBLANK($T$99)), "", $T$99/1000)), "", (IF(OR(ISBLANK($T$99)), "", $T$99/1000)))), IF(ISERROR(IF(OR(ISBLANK($T$99)), "", $T$99/1000)), "", (IF(OR(ISBLANK($T$99)), "", $T$99/1000))) = ""), 175.5,IF(ISERROR(IF(OR(ISBLANK($T$99)), "", $T$99/1000)), "", (IF(OR(ISBLANK($T$99)), "", $T$99/1000))))</f>
        <v>162.74700000000001</v>
      </c>
      <c r="U54">
        <f>IF(OR(ISBLANK(IF(ISERROR(IF(OR(ISBLANK($U$99)), "", $U$99/1000)), "", (IF(OR(ISBLANK($U$99)), "", $U$99/1000)))), IF(ISERROR(IF(OR(ISBLANK($U$99)), "", $U$99/1000)), "", (IF(OR(ISBLANK($U$99)), "", $U$99/1000))) = ""), 175.5,IF(ISERROR(IF(OR(ISBLANK($U$99)), "", $U$99/1000)), "", (IF(OR(ISBLANK($U$99)), "", $U$99/1000))))</f>
        <v>164.5</v>
      </c>
      <c r="V54">
        <f>IF(OR(ISBLANK(IF(ISERROR(IF(OR(ISBLANK($V$99)), "", $V$99/1000)), "", (IF(OR(ISBLANK($V$99)), "", $V$99/1000)))), IF(ISERROR(IF(OR(ISBLANK($V$99)), "", $V$99/1000)), "", (IF(OR(ISBLANK($V$99)), "", $V$99/1000))) = ""), 175.5,IF(ISERROR(IF(OR(ISBLANK($V$99)), "", $V$99/1000)), "", (IF(OR(ISBLANK($V$99)), "", $V$99/1000))))</f>
        <v>164.5</v>
      </c>
      <c r="W54">
        <f>IF(OR(ISBLANK(IF(ISERROR(IF(OR(ISBLANK($W$99)), "", $W$99/1000)), "", (IF(OR(ISBLANK($W$99)), "", $W$99/1000)))), IF(ISERROR(IF(OR(ISBLANK($W$99)), "", $W$99/1000)), "", (IF(OR(ISBLANK($W$99)), "", $W$99/1000))) = ""), 175.5,IF(ISERROR(IF(OR(ISBLANK($W$99)), "", $W$99/1000)), "", (IF(OR(ISBLANK($W$99)), "", $W$99/1000))))</f>
        <v>167.5</v>
      </c>
      <c r="X54">
        <f>IF(OR(ISBLANK(IF(ISERROR(IF(OR(ISBLANK($X$99)), "", $X$99/1000)), "", (IF(OR(ISBLANK($X$99)), "", $X$99/1000)))), IF(ISERROR(IF(OR(ISBLANK($X$99)), "", $X$99/1000)), "", (IF(OR(ISBLANK($X$99)), "", $X$99/1000))) = ""), 175.5,IF(ISERROR(IF(OR(ISBLANK($X$99)), "", $X$99/1000)), "", (IF(OR(ISBLANK($X$99)), "", $X$99/1000))))</f>
        <v>167.5</v>
      </c>
      <c r="Y54">
        <f>IF(OR(ISBLANK(IF(ISERROR(IF(OR(ISBLANK($Y$99)), "", $Y$99/1000)), "", (IF(OR(ISBLANK($Y$99)), "", $Y$99/1000)))), IF(ISERROR(IF(OR(ISBLANK($Y$99)), "", $Y$99/1000)), "", (IF(OR(ISBLANK($Y$99)), "", $Y$99/1000))) = ""), 175.5,IF(ISERROR(IF(OR(ISBLANK($Y$99)), "", $Y$99/1000)), "", (IF(OR(ISBLANK($Y$99)), "", $Y$99/1000))))</f>
        <v>167.5</v>
      </c>
      <c r="Z54">
        <f>IF(OR(ISBLANK(IF(ISERROR(IF(OR(ISBLANK($Z$99)), "", $Z$99/1000)), "", (IF(OR(ISBLANK($Z$99)), "", $Z$99/1000)))), IF(ISERROR(IF(OR(ISBLANK($Z$99)), "", $Z$99/1000)), "", (IF(OR(ISBLANK($Z$99)), "", $Z$99/1000))) = ""), 175.5,IF(ISERROR(IF(OR(ISBLANK($Z$99)), "", $Z$99/1000)), "", (IF(OR(ISBLANK($Z$99)), "", $Z$99/1000))))</f>
        <v>172.5</v>
      </c>
      <c r="AA54">
        <f>IF(OR(ISBLANK(IF(ISERROR(IF(OR(ISBLANK($AA$99)), "", $AA$99/1000)), "", (IF(OR(ISBLANK($AA$99)), "", $AA$99/1000)))), IF(ISERROR(IF(OR(ISBLANK($AA$99)), "", $AA$99/1000)), "", (IF(OR(ISBLANK($AA$99)), "", $AA$99/1000))) = ""), 175.5,IF(ISERROR(IF(OR(ISBLANK($AA$99)), "", $AA$99/1000)), "", (IF(OR(ISBLANK($AA$99)), "", $AA$99/1000))))</f>
        <v>172.5</v>
      </c>
      <c r="AB54">
        <f>IF(OR(ISBLANK(IF(ISERROR(IF(OR(ISBLANK($AB$99)), "", $AB$99/1000)), "", (IF(OR(ISBLANK($AB$99)), "", $AB$99/1000)))), IF(ISERROR(IF(OR(ISBLANK($AB$99)), "", $AB$99/1000)), "", (IF(OR(ISBLANK($AB$99)), "", $AB$99/1000))) = ""), 177.5,IF(ISERROR(IF(OR(ISBLANK($AB$99)), "", $AB$99/1000)), "", (IF(OR(ISBLANK($AB$99)), "", $AB$99/1000))))</f>
        <v>172.5</v>
      </c>
      <c r="AC54">
        <f>IF(OR(ISBLANK(IF(ISERROR(IF(OR(ISBLANK($AC$99)), "", $AC$99/1000)), "", (IF(OR(ISBLANK($AC$99)), "", $AC$99/1000)))), IF(ISERROR(IF(OR(ISBLANK($AC$99)), "", $AC$99/1000)), "", (IF(OR(ISBLANK($AC$99)), "", $AC$99/1000))) = ""), 177.5,IF(ISERROR(IF(OR(ISBLANK($AC$99)), "", $AC$99/1000)), "", (IF(OR(ISBLANK($AC$99)), "", $AC$99/1000))))</f>
        <v>172.5</v>
      </c>
      <c r="AD54">
        <f>IF(OR(ISBLANK(IF(ISERROR(IF(OR(ISBLANK($AD$99)), "", $AD$99/1000)), "", (IF(OR(ISBLANK($AD$99)), "", $AD$99/1000)))), IF(ISERROR(IF(OR(ISBLANK($AD$99)), "", $AD$99/1000)), "", (IF(OR(ISBLANK($AD$99)), "", $AD$99/1000))) = ""), 179,IF(ISERROR(IF(OR(ISBLANK($AD$99)), "", $AD$99/1000)), "", (IF(OR(ISBLANK($AD$99)), "", $AD$99/1000))))</f>
        <v>175.5</v>
      </c>
      <c r="AE54">
        <f>IF(OR(ISBLANK(IF(ISERROR(IF(OR(ISBLANK($AE$99)), "", $AE$99/1000)), "", (IF(OR(ISBLANK($AE$99)), "", $AE$99/1000)))), IF(ISERROR(IF(OR(ISBLANK($AE$99)), "", $AE$99/1000)), "", (IF(OR(ISBLANK($AE$99)), "", $AE$99/1000))) = ""), 179,IF(ISERROR(IF(OR(ISBLANK($AE$99)), "", $AE$99/1000)), "", (IF(OR(ISBLANK($AE$99)), "", $AE$99/1000))))</f>
        <v>175.5</v>
      </c>
      <c r="AF54">
        <f>IF(OR(ISBLANK(IF(ISERROR(IF(OR(ISBLANK($AF$99)), "", $AF$99/1000)), "", (IF(OR(ISBLANK($AF$99)), "", $AF$99/1000)))), IF(ISERROR(IF(OR(ISBLANK($AF$99)), "", $AF$99/1000)), "", (IF(OR(ISBLANK($AF$99)), "", $AF$99/1000))) = ""), 178.5,IF(ISERROR(IF(OR(ISBLANK($AF$99)), "", $AF$99/1000)), "", (IF(OR(ISBLANK($AF$99)), "", $AF$99/1000))))</f>
        <v>175.5</v>
      </c>
      <c r="AG54">
        <f>IF(OR(ISBLANK(IF(ISERROR(IF(OR(ISBLANK($AG$99)), "", $AG$99/1000)), "", (IF(OR(ISBLANK($AG$99)), "", $AG$99/1000)))), IF(ISERROR(IF(OR(ISBLANK($AG$99)), "", $AG$99/1000)), "", (IF(OR(ISBLANK($AG$99)), "", $AG$99/1000))) = ""), 178.5,IF(ISERROR(IF(OR(ISBLANK($AG$99)), "", $AG$99/1000)), "", (IF(OR(ISBLANK($AG$99)), "", $AG$99/1000))))</f>
        <v>175.5</v>
      </c>
      <c r="AH54">
        <f>IF(OR(ISBLANK(IF(ISERROR(IF(OR(ISBLANK($AH$99)), "", $AH$99/1000)), "", (IF(OR(ISBLANK($AH$99)), "", $AH$99/1000)))), IF(ISERROR(IF(OR(ISBLANK($AH$99)), "", $AH$99/1000)), "", (IF(OR(ISBLANK($AH$99)), "", $AH$99/1000))) = ""), 184,IF(ISERROR(IF(OR(ISBLANK($AH$99)), "", $AH$99/1000)), "", (IF(OR(ISBLANK($AH$99)), "", $AH$99/1000))))</f>
        <v>175.5</v>
      </c>
      <c r="AI54">
        <f>IF(OR(ISBLANK(IF(ISERROR(IF(OR(ISBLANK($AI$99)), "", $AI$99/1000)), "", (IF(OR(ISBLANK($AI$99)), "", $AI$99/1000)))), IF(ISERROR(IF(OR(ISBLANK($AI$99)), "", $AI$99/1000)), "", (IF(OR(ISBLANK($AI$99)), "", $AI$99/1000))) = ""), 184,IF(ISERROR(IF(OR(ISBLANK($AI$99)), "", $AI$99/1000)), "", (IF(OR(ISBLANK($AI$99)), "", $AI$99/1000))))</f>
        <v>175.5</v>
      </c>
      <c r="AJ54">
        <f>IF(OR(ISBLANK(IF(ISERROR(IF(OR(ISBLANK($AJ$99)), "", $AJ$99/1000)), "", (IF(OR(ISBLANK($AJ$99)), "", $AJ$99/1000)))), IF(ISERROR(IF(OR(ISBLANK($AJ$99)), "", $AJ$99/1000)), "", (IF(OR(ISBLANK($AJ$99)), "", $AJ$99/1000))) = ""), 184,IF(ISERROR(IF(OR(ISBLANK($AJ$99)), "", $AJ$99/1000)), "", (IF(OR(ISBLANK($AJ$99)), "", $AJ$99/1000))))</f>
        <v>175.5</v>
      </c>
      <c r="AK54">
        <f>IF(OR(ISBLANK(IF(ISERROR(IF(OR(ISBLANK($AK$99)), "", $AK$99/1000)), "", (IF(OR(ISBLANK($AK$99)), "", $AK$99/1000)))), IF(ISERROR(IF(OR(ISBLANK($AK$99)), "", $AK$99/1000)), "", (IF(OR(ISBLANK($AK$99)), "", $AK$99/1000))) = ""), 184,IF(ISERROR(IF(OR(ISBLANK($AK$99)), "", $AK$99/1000)), "", (IF(OR(ISBLANK($AK$99)), "", $AK$99/1000))))</f>
        <v>175.5</v>
      </c>
      <c r="AL54">
        <f>IF(OR(ISBLANK(IF(ISERROR(IF(OR(ISBLANK($AL$99)), "", $AL$99/1000)), "", (IF(OR(ISBLANK($AL$99)), "", $AL$99/1000)))), IF(ISERROR(IF(OR(ISBLANK($AL$99)), "", $AL$99/1000)), "", (IF(OR(ISBLANK($AL$99)), "", $AL$99/1000))) = ""), 184,IF(ISERROR(IF(OR(ISBLANK($AL$99)), "", $AL$99/1000)), "", (IF(OR(ISBLANK($AL$99)), "", $AL$99/1000))))</f>
        <v>175.5</v>
      </c>
      <c r="AM54">
        <f>IF(OR(ISBLANK(IF(ISERROR(IF(OR(ISBLANK($AM$99)), "", $AM$99/1000)), "", (IF(OR(ISBLANK($AM$99)), "", $AM$99/1000)))), IF(ISERROR(IF(OR(ISBLANK($AM$99)), "", $AM$99/1000)), "", (IF(OR(ISBLANK($AM$99)), "", $AM$99/1000))) = ""), 184,IF(ISERROR(IF(OR(ISBLANK($AM$99)), "", $AM$99/1000)), "", (IF(OR(ISBLANK($AM$99)), "", $AM$99/1000))))</f>
        <v>177.5</v>
      </c>
      <c r="AN54">
        <f>IF(OR(ISBLANK(IF(ISERROR(IF(OR(ISBLANK($AN$99)), "", $AN$99/1000)), "", (IF(OR(ISBLANK($AN$99)), "", $AN$99/1000)))), IF(ISERROR(IF(OR(ISBLANK($AN$99)), "", $AN$99/1000)), "", (IF(OR(ISBLANK($AN$99)), "", $AN$99/1000))) = ""), 184,IF(ISERROR(IF(OR(ISBLANK($AN$99)), "", $AN$99/1000)), "", (IF(OR(ISBLANK($AN$99)), "", $AN$99/1000))))</f>
        <v>177.5</v>
      </c>
      <c r="AO54">
        <f>IF(OR(ISBLANK(IF(ISERROR(IF(OR(ISBLANK($AO$99)), "", $AO$99/1000)), "", (IF(OR(ISBLANK($AO$99)), "", $AO$99/1000)))), IF(ISERROR(IF(OR(ISBLANK($AO$99)), "", $AO$99/1000)), "", (IF(OR(ISBLANK($AO$99)), "", $AO$99/1000))) = ""), 188,IF(ISERROR(IF(OR(ISBLANK($AO$99)), "", $AO$99/1000)), "", (IF(OR(ISBLANK($AO$99)), "", $AO$99/1000))))</f>
        <v>179</v>
      </c>
      <c r="AP54">
        <f>IF(OR(ISBLANK(IF(ISERROR(IF(OR(ISBLANK($AP$99)), "", $AP$99/1000)), "", (IF(OR(ISBLANK($AP$99)), "", $AP$99/1000)))), IF(ISERROR(IF(OR(ISBLANK($AP$99)), "", $AP$99/1000)), "", (IF(OR(ISBLANK($AP$99)), "", $AP$99/1000))) = ""), 188,IF(ISERROR(IF(OR(ISBLANK($AP$99)), "", $AP$99/1000)), "", (IF(OR(ISBLANK($AP$99)), "", $AP$99/1000))))</f>
        <v>179</v>
      </c>
      <c r="AQ54">
        <f>IF(OR(ISBLANK(IF(ISERROR(IF(OR(ISBLANK($AQ$99)), "", $AQ$99/1000)), "", (IF(OR(ISBLANK($AQ$99)), "", $AQ$99/1000)))), IF(ISERROR(IF(OR(ISBLANK($AQ$99)), "", $AQ$99/1000)), "", (IF(OR(ISBLANK($AQ$99)), "", $AQ$99/1000))) = ""), 188,IF(ISERROR(IF(OR(ISBLANK($AQ$99)), "", $AQ$99/1000)), "", (IF(OR(ISBLANK($AQ$99)), "", $AQ$99/1000))))</f>
        <v>178.5</v>
      </c>
      <c r="AR54">
        <f>IF(OR(ISBLANK(IF(ISERROR(IF(OR(ISBLANK($AR$99)), "", $AR$99/1000)), "", (IF(OR(ISBLANK($AR$99)), "", $AR$99/1000)))), IF(ISERROR(IF(OR(ISBLANK($AR$99)), "", $AR$99/1000)), "", (IF(OR(ISBLANK($AR$99)), "", $AR$99/1000))) = ""), 188,IF(ISERROR(IF(OR(ISBLANK($AR$99)), "", $AR$99/1000)), "", (IF(OR(ISBLANK($AR$99)), "", $AR$99/1000))))</f>
        <v>178.5</v>
      </c>
      <c r="AS54">
        <f>IF(OR(ISBLANK(IF(ISERROR(IF(OR(ISBLANK($AS$99)), "", $AS$99/1000)), "", (IF(OR(ISBLANK($AS$99)), "", $AS$99/1000)))), IF(ISERROR(IF(OR(ISBLANK($AS$99)), "", $AS$99/1000)), "", (IF(OR(ISBLANK($AS$99)), "", $AS$99/1000))) = ""), 187.5,IF(ISERROR(IF(OR(ISBLANK($AS$99)), "", $AS$99/1000)), "", (IF(OR(ISBLANK($AS$99)), "", $AS$99/1000))))</f>
        <v>184</v>
      </c>
      <c r="AT54">
        <f>IF(OR(ISBLANK(IF(ISERROR(IF(OR(ISBLANK($AT$99)), "", $AT$99/1000)), "", (IF(OR(ISBLANK($AT$99)), "", $AT$99/1000)))), IF(ISERROR(IF(OR(ISBLANK($AT$99)), "", $AT$99/1000)), "", (IF(OR(ISBLANK($AT$99)), "", $AT$99/1000))) = ""), 190.5,IF(ISERROR(IF(OR(ISBLANK($AT$99)), "", $AT$99/1000)), "", (IF(OR(ISBLANK($AT$99)), "", $AT$99/1000))))</f>
        <v>184</v>
      </c>
      <c r="AU54">
        <f>IF(OR(ISBLANK(IF(ISERROR(IF(OR(ISBLANK($AU$99)), "", $AU$99/1000)), "", (IF(OR(ISBLANK($AU$99)), "", $AU$99/1000)))), IF(ISERROR(IF(OR(ISBLANK($AU$99)), "", $AU$99/1000)), "", (IF(OR(ISBLANK($AU$99)), "", $AU$99/1000))) = ""), 190.5,IF(ISERROR(IF(OR(ISBLANK($AU$99)), "", $AU$99/1000)), "", (IF(OR(ISBLANK($AU$99)), "", $AU$99/1000))))</f>
        <v>184</v>
      </c>
      <c r="AV54">
        <f>IF(OR(ISBLANK(IF(ISERROR(IF(OR(ISBLANK($AV$99)), "", $AV$99/1000)), "", (IF(OR(ISBLANK($AV$99)), "", $AV$99/1000)))), IF(ISERROR(IF(OR(ISBLANK($AV$99)), "", $AV$99/1000)), "", (IF(OR(ISBLANK($AV$99)), "", $AV$99/1000))) = ""), 190.5,IF(ISERROR(IF(OR(ISBLANK($AV$99)), "", $AV$99/1000)), "", (IF(OR(ISBLANK($AV$99)), "", $AV$99/1000))))</f>
        <v>184</v>
      </c>
      <c r="AW54">
        <f>IF(OR(ISBLANK(IF(ISERROR(IF(OR(ISBLANK($AW$99)), "", $AW$99/1000)), "", (IF(OR(ISBLANK($AW$99)), "", $AW$99/1000)))), IF(ISERROR(IF(OR(ISBLANK($AW$99)), "", $AW$99/1000)), "", (IF(OR(ISBLANK($AW$99)), "", $AW$99/1000))) = ""), 190.5,IF(ISERROR(IF(OR(ISBLANK($AW$99)), "", $AW$99/1000)), "", (IF(OR(ISBLANK($AW$99)), "", $AW$99/1000))))</f>
        <v>184</v>
      </c>
      <c r="AX54">
        <f>IF(OR(ISBLANK(IF(ISERROR(IF(OR(ISBLANK($AX$99)), "", $AX$99/1000)), "", (IF(OR(ISBLANK($AX$99)), "", $AX$99/1000)))), IF(ISERROR(IF(OR(ISBLANK($AX$99)), "", $AX$99/1000)), "", (IF(OR(ISBLANK($AX$99)), "", $AX$99/1000))) = ""), 190.5,IF(ISERROR(IF(OR(ISBLANK($AX$99)), "", $AX$99/1000)), "", (IF(OR(ISBLANK($AX$99)), "", $AX$99/1000))))</f>
        <v>184</v>
      </c>
      <c r="AY54">
        <f>IF(OR(ISBLANK(IF(ISERROR(IF(OR(ISBLANK($AY$99)), "", $AY$99/1000)), "", (IF(OR(ISBLANK($AY$99)), "", $AY$99/1000)))), IF(ISERROR(IF(OR(ISBLANK($AY$99)), "", $AY$99/1000)), "", (IF(OR(ISBLANK($AY$99)), "", $AY$99/1000))) = ""), 192.5,IF(ISERROR(IF(OR(ISBLANK($AY$99)), "", $AY$99/1000)), "", (IF(OR(ISBLANK($AY$99)), "", $AY$99/1000))))</f>
        <v>184</v>
      </c>
      <c r="AZ54">
        <f>IF(OR(ISBLANK(IF(ISERROR(IF(OR(ISBLANK($AZ$99)), "", $AZ$99/1000)), "", (IF(OR(ISBLANK($AZ$99)), "", $AZ$99/1000)))), IF(ISERROR(IF(OR(ISBLANK($AZ$99)), "", $AZ$99/1000)), "", (IF(OR(ISBLANK($AZ$99)), "", $AZ$99/1000))) = ""), 192.5,IF(ISERROR(IF(OR(ISBLANK($AZ$99)), "", $AZ$99/1000)), "", (IF(OR(ISBLANK($AZ$99)), "", $AZ$99/1000))))</f>
        <v>188</v>
      </c>
      <c r="BA54">
        <f>IF(OR(ISBLANK(IF(ISERROR(IF(OR(ISBLANK($BA$99)), "", $BA$99/1000)), "", (IF(OR(ISBLANK($BA$99)), "", $BA$99/1000)))), IF(ISERROR(IF(OR(ISBLANK($BA$99)), "", $BA$99/1000)), "", (IF(OR(ISBLANK($BA$99)), "", $BA$99/1000))) = ""), 192.5,IF(ISERROR(IF(OR(ISBLANK($BA$99)), "", $BA$99/1000)), "", (IF(OR(ISBLANK($BA$99)), "", $BA$99/1000))))</f>
        <v>188</v>
      </c>
      <c r="BB54">
        <f>IF(OR(ISBLANK(IF(ISERROR(IF(OR(ISBLANK($BB$99)), "", $BB$99/1000)), "", (IF(OR(ISBLANK($BB$99)), "", $BB$99/1000)))), IF(ISERROR(IF(OR(ISBLANK($BB$99)), "", $BB$99/1000)), "", (IF(OR(ISBLANK($BB$99)), "", $BB$99/1000))) = ""), 195.5,IF(ISERROR(IF(OR(ISBLANK($BB$99)), "", $BB$99/1000)), "", (IF(OR(ISBLANK($BB$99)), "", $BB$99/1000))))</f>
        <v>188</v>
      </c>
      <c r="BC54">
        <f>IF(OR(ISBLANK(IF(ISERROR(IF(OR(ISBLANK($BC$99)), "", $BC$99/1000)), "", (IF(OR(ISBLANK($BC$99)), "", $BC$99/1000)))), IF(ISERROR(IF(OR(ISBLANK($BC$99)), "", $BC$99/1000)), "", (IF(OR(ISBLANK($BC$99)), "", $BC$99/1000))) = ""), 195.5,IF(ISERROR(IF(OR(ISBLANK($BC$99)), "", $BC$99/1000)), "", (IF(OR(ISBLANK($BC$99)), "", $BC$99/1000))))</f>
        <v>188</v>
      </c>
      <c r="BD54">
        <f>IF(OR(ISBLANK(IF(ISERROR(IF(OR(ISBLANK($BD$99)), "", $BD$99/1000)), "", (IF(OR(ISBLANK($BD$99)), "", $BD$99/1000)))), IF(ISERROR(IF(OR(ISBLANK($BD$99)), "", $BD$99/1000)), "", (IF(OR(ISBLANK($BD$99)), "", $BD$99/1000))) = ""), 195.5,IF(ISERROR(IF(OR(ISBLANK($BD$99)), "", $BD$99/1000)), "", (IF(OR(ISBLANK($BD$99)), "", $BD$99/1000))))</f>
        <v>187.5</v>
      </c>
      <c r="BE54">
        <f>IF(OR(ISBLANK(IF(ISERROR(IF(OR(ISBLANK($BE$99)), "", $BE$99/1000)), "", (IF(OR(ISBLANK($BE$99)), "", $BE$99/1000)))), IF(ISERROR(IF(OR(ISBLANK($BE$99)), "", $BE$99/1000)), "", (IF(OR(ISBLANK($BE$99)), "", $BE$99/1000))) = ""), 195.5,IF(ISERROR(IF(OR(ISBLANK($BE$99)), "", $BE$99/1000)), "", (IF(OR(ISBLANK($BE$99)), "", $BE$99/1000))))</f>
        <v>190.5</v>
      </c>
      <c r="BF54">
        <f>IF(OR(ISBLANK(IF(ISERROR(IF(OR(ISBLANK($BF$99)), "", $BF$99/1000)), "", (IF(OR(ISBLANK($BF$99)), "", $BF$99/1000)))), IF(ISERROR(IF(OR(ISBLANK($BF$99)), "", $BF$99/1000)), "", (IF(OR(ISBLANK($BF$99)), "", $BF$99/1000))) = ""), 195,IF(ISERROR(IF(OR(ISBLANK($BF$99)), "", $BF$99/1000)), "", (IF(OR(ISBLANK($BF$99)), "", $BF$99/1000))))</f>
        <v>190.5</v>
      </c>
      <c r="BG54">
        <f>IF(OR(ISBLANK(IF(ISERROR(IF(OR(ISBLANK($BG$99)), "", $BG$99/1000)), "", (IF(OR(ISBLANK($BG$99)), "", $BG$99/1000)))), IF(ISERROR(IF(OR(ISBLANK($BG$99)), "", $BG$99/1000)), "", (IF(OR(ISBLANK($BG$99)), "", $BG$99/1000))) = ""), 195,IF(ISERROR(IF(OR(ISBLANK($BG$99)), "", $BG$99/1000)), "", (IF(OR(ISBLANK($BG$99)), "", $BG$99/1000))))</f>
        <v>190.5</v>
      </c>
      <c r="BH54">
        <f>IF(OR(ISBLANK(IF(ISERROR(IF(OR(ISBLANK($BH$99)), "", $BH$99/1000)), "", (IF(OR(ISBLANK($BH$99)), "", $BH$99/1000)))), IF(ISERROR(IF(OR(ISBLANK($BH$99)), "", $BH$99/1000)), "", (IF(OR(ISBLANK($BH$99)), "", $BH$99/1000))) = ""), 195,IF(ISERROR(IF(OR(ISBLANK($BH$99)), "", $BH$99/1000)), "", (IF(OR(ISBLANK($BH$99)), "", $BH$99/1000))))</f>
        <v>190.5</v>
      </c>
      <c r="BI54">
        <f>IF(OR(ISBLANK(IF(ISERROR(IF(OR(ISBLANK($BI$99)), "", $BI$99/1000)), "", (IF(OR(ISBLANK($BI$99)), "", $BI$99/1000)))), IF(ISERROR(IF(OR(ISBLANK($BI$99)), "", $BI$99/1000)), "", (IF(OR(ISBLANK($BI$99)), "", $BI$99/1000))) = ""), 195,IF(ISERROR(IF(OR(ISBLANK($BI$99)), "", $BI$99/1000)), "", (IF(OR(ISBLANK($BI$99)), "", $BI$99/1000))))</f>
        <v>190.5</v>
      </c>
      <c r="BJ54">
        <f>IF(OR(ISBLANK(IF(ISERROR(IF(OR(ISBLANK($BJ$99)), "", $BJ$99/1000)), "", (IF(OR(ISBLANK($BJ$99)), "", $BJ$99/1000)))), IF(ISERROR(IF(OR(ISBLANK($BJ$99)), "", $BJ$99/1000)), "", (IF(OR(ISBLANK($BJ$99)), "", $BJ$99/1000))) = ""), 197,IF(ISERROR(IF(OR(ISBLANK($BJ$99)), "", $BJ$99/1000)), "", (IF(OR(ISBLANK($BJ$99)), "", $BJ$99/1000))))</f>
        <v>192.5</v>
      </c>
      <c r="BK54">
        <f>IF(OR(ISBLANK(IF(ISERROR(IF(OR(ISBLANK($BK$99)), "", $BK$99/1000)), "", (IF(OR(ISBLANK($BK$99)), "", $BK$99/1000)))), IF(ISERROR(IF(OR(ISBLANK($BK$99)), "", $BK$99/1000)), "", (IF(OR(ISBLANK($BK$99)), "", $BK$99/1000))) = ""), 197,IF(ISERROR(IF(OR(ISBLANK($BK$99)), "", $BK$99/1000)), "", (IF(OR(ISBLANK($BK$99)), "", $BK$99/1000))))</f>
        <v>192.5</v>
      </c>
      <c r="BL54">
        <f>IF(OR(ISBLANK(IF(ISERROR(IF(OR(ISBLANK($BL$99)), "", $BL$99/1000)), "", (IF(OR(ISBLANK($BL$99)), "", $BL$99/1000)))), IF(ISERROR(IF(OR(ISBLANK($BL$99)), "", $BL$99/1000)), "", (IF(OR(ISBLANK($BL$99)), "", $BL$99/1000))) = ""), 201,IF(ISERROR(IF(OR(ISBLANK($BL$99)), "", $BL$99/1000)), "", (IF(OR(ISBLANK($BL$99)), "", $BL$99/1000))))</f>
        <v>192.5</v>
      </c>
      <c r="BM54">
        <f>IF(OR(ISBLANK(IF(ISERROR(IF(OR(ISBLANK($BM$99)), "", $BM$99/1000)), "", (IF(OR(ISBLANK($BM$99)), "", $BM$99/1000)))), IF(ISERROR(IF(OR(ISBLANK($BM$99)), "", $BM$99/1000)), "", (IF(OR(ISBLANK($BM$99)), "", $BM$99/1000))) = ""), 201,IF(ISERROR(IF(OR(ISBLANK($BM$99)), "", $BM$99/1000)), "", (IF(OR(ISBLANK($BM$99)), "", $BM$99/1000))))</f>
        <v>195.5</v>
      </c>
      <c r="BN54">
        <f>IF(OR(ISBLANK(IF(ISERROR(IF(OR(ISBLANK($BN$99)), "", $BN$99/1000)), "", (IF(OR(ISBLANK($BN$99)), "", $BN$99/1000)))), IF(ISERROR(IF(OR(ISBLANK($BN$99)), "", $BN$99/1000)), "", (IF(OR(ISBLANK($BN$99)), "", $BN$99/1000))) = ""), 201,IF(ISERROR(IF(OR(ISBLANK($BN$99)), "", $BN$99/1000)), "", (IF(OR(ISBLANK($BN$99)), "", $BN$99/1000))))</f>
        <v>195.5</v>
      </c>
      <c r="BO54">
        <f>IF(OR(ISBLANK(IF(ISERROR(IF(OR(ISBLANK($BO$99)), "", $BO$99/1000)), "", (IF(OR(ISBLANK($BO$99)), "", $BO$99/1000)))), IF(ISERROR(IF(OR(ISBLANK($BO$99)), "", $BO$99/1000)), "", (IF(OR(ISBLANK($BO$99)), "", $BO$99/1000))) = ""), 202.5,IF(ISERROR(IF(OR(ISBLANK($BO$99)), "", $BO$99/1000)), "", (IF(OR(ISBLANK($BO$99)), "", $BO$99/1000))))</f>
        <v>195.5</v>
      </c>
      <c r="BP54">
        <f>IF(OR(ISBLANK(IF(ISERROR(IF(OR(ISBLANK($BP$99)), "", $BP$99/1000)), "", (IF(OR(ISBLANK($BP$99)), "", $BP$99/1000)))), IF(ISERROR(IF(OR(ISBLANK($BP$99)), "", $BP$99/1000)), "", (IF(OR(ISBLANK($BP$99)), "", $BP$99/1000))) = ""), 203,IF(ISERROR(IF(OR(ISBLANK($BP$99)), "", $BP$99/1000)), "", (IF(OR(ISBLANK($BP$99)), "", $BP$99/1000))))</f>
        <v>195.5</v>
      </c>
      <c r="BQ54">
        <f>IF(OR(ISBLANK(IF(ISERROR(IF(OR(ISBLANK($BQ$99)), "", $BQ$99/1000)), "", (IF(OR(ISBLANK($BQ$99)), "", $BQ$99/1000)))), IF(ISERROR(IF(OR(ISBLANK($BQ$99)), "", $BQ$99/1000)), "", (IF(OR(ISBLANK($BQ$99)), "", $BQ$99/1000))) = ""), 206,IF(ISERROR(IF(OR(ISBLANK($BQ$99)), "", $BQ$99/1000)), "", (IF(OR(ISBLANK($BQ$99)), "", $BQ$99/1000))))</f>
        <v>195</v>
      </c>
      <c r="BR54">
        <f>IF(OR(ISBLANK(IF(ISERROR(IF(OR(ISBLANK($BR$99)), "", $BR$99/1000)), "", (IF(OR(ISBLANK($BR$99)), "", $BR$99/1000)))), IF(ISERROR(IF(OR(ISBLANK($BR$99)), "", $BR$99/1000)), "", (IF(OR(ISBLANK($BR$99)), "", $BR$99/1000))) = ""), 206,IF(ISERROR(IF(OR(ISBLANK($BR$99)), "", $BR$99/1000)), "", (IF(OR(ISBLANK($BR$99)), "", $BR$99/1000))))</f>
        <v>195</v>
      </c>
      <c r="BS54">
        <f>IF(OR(ISBLANK(IF(ISERROR(IF(OR(ISBLANK($BS$99)), "", $BS$99/1000)), "", (IF(OR(ISBLANK($BS$99)), "", $BS$99/1000)))), IF(ISERROR(IF(OR(ISBLANK($BS$99)), "", $BS$99/1000)), "", (IF(OR(ISBLANK($BS$99)), "", $BS$99/1000))) = ""), 205.5,IF(ISERROR(IF(OR(ISBLANK($BS$99)), "", $BS$99/1000)), "", (IF(OR(ISBLANK($BS$99)), "", $BS$99/1000))))</f>
        <v>195</v>
      </c>
      <c r="BT54">
        <f>IF(OR(ISBLANK(IF(ISERROR(IF(OR(ISBLANK($BT$99)), "", $BT$99/1000)), "", (IF(OR(ISBLANK($BT$99)), "", $BT$99/1000)))), IF(ISERROR(IF(OR(ISBLANK($BT$99)), "", $BT$99/1000)), "", (IF(OR(ISBLANK($BT$99)), "", $BT$99/1000))) = ""), 205.5,IF(ISERROR(IF(OR(ISBLANK($BT$99)), "", $BT$99/1000)), "", (IF(OR(ISBLANK($BT$99)), "", $BT$99/1000))))</f>
        <v>195</v>
      </c>
      <c r="BU54">
        <f>IF(OR(ISBLANK(IF(ISERROR(IF(OR(ISBLANK($BU$99)), "", $BU$99/1000)), "", (IF(OR(ISBLANK($BU$99)), "", $BU$99/1000)))), IF(ISERROR(IF(OR(ISBLANK($BU$99)), "", $BU$99/1000)), "", (IF(OR(ISBLANK($BU$99)), "", $BU$99/1000))) = ""), 205.5,IF(ISERROR(IF(OR(ISBLANK($BU$99)), "", $BU$99/1000)), "", (IF(OR(ISBLANK($BU$99)), "", $BU$99/1000))))</f>
        <v>197</v>
      </c>
      <c r="BV54">
        <f>IF(OR(ISBLANK(IF(ISERROR(IF(OR(ISBLANK($BV$99)), "", $BV$99/1000)), "", (IF(OR(ISBLANK($BV$99)), "", $BV$99/1000)))), IF(ISERROR(IF(OR(ISBLANK($BV$99)), "", $BV$99/1000)), "", (IF(OR(ISBLANK($BV$99)), "", $BV$99/1000))) = ""), 205.5,IF(ISERROR(IF(OR(ISBLANK($BV$99)), "", $BV$99/1000)), "", (IF(OR(ISBLANK($BV$99)), "", $BV$99/1000))))</f>
        <v>197</v>
      </c>
      <c r="BW54">
        <f>IF(OR(ISBLANK(IF(ISERROR(IF(OR(ISBLANK($BW$99)), "", $BW$99/1000)), "", (IF(OR(ISBLANK($BW$99)), "", $BW$99/1000)))), IF(ISERROR(IF(OR(ISBLANK($BW$99)), "", $BW$99/1000)), "", (IF(OR(ISBLANK($BW$99)), "", $BW$99/1000))) = ""), 205.5,IF(ISERROR(IF(OR(ISBLANK($BW$99)), "", $BW$99/1000)), "", (IF(OR(ISBLANK($BW$99)), "", $BW$99/1000))))</f>
        <v>201</v>
      </c>
      <c r="BX54">
        <f>IF(OR(ISBLANK(IF(ISERROR(IF(OR(ISBLANK($BX$99)), "", $BX$99/1000)), "", (IF(OR(ISBLANK($BX$99)), "", $BX$99/1000)))), IF(ISERROR(IF(OR(ISBLANK($BX$99)), "", $BX$99/1000)), "", (IF(OR(ISBLANK($BX$99)), "", $BX$99/1000))) = ""), 205.5,IF(ISERROR(IF(OR(ISBLANK($BX$99)), "", $BX$99/1000)), "", (IF(OR(ISBLANK($BX$99)), "", $BX$99/1000))))</f>
        <v>201</v>
      </c>
      <c r="BY54">
        <f>IF(OR(ISBLANK(IF(ISERROR(IF(OR(ISBLANK($BY$99)), "", $BY$99/1000)), "", (IF(OR(ISBLANK($BY$99)), "", $BY$99/1000)))), IF(ISERROR(IF(OR(ISBLANK($BY$99)), "", $BY$99/1000)), "", (IF(OR(ISBLANK($BY$99)), "", $BY$99/1000))) = ""), 205.5,IF(ISERROR(IF(OR(ISBLANK($BY$99)), "", $BY$99/1000)), "", (IF(OR(ISBLANK($BY$99)), "", $BY$99/1000))))</f>
        <v>201</v>
      </c>
      <c r="BZ54">
        <f>IF(OR(ISBLANK(IF(ISERROR(IF(OR(ISBLANK($BZ$99)), "", $BZ$99/1000)), "", (IF(OR(ISBLANK($BZ$99)), "", $BZ$99/1000)))), IF(ISERROR(IF(OR(ISBLANK($BZ$99)), "", $BZ$99/1000)), "", (IF(OR(ISBLANK($BZ$99)), "", $BZ$99/1000))) = ""), 205.5,IF(ISERROR(IF(OR(ISBLANK($BZ$99)), "", $BZ$99/1000)), "", (IF(OR(ISBLANK($BZ$99)), "", $BZ$99/1000))))</f>
        <v>202.5</v>
      </c>
      <c r="CA54">
        <f>IF(OR(ISBLANK(IF(ISERROR(IF(OR(ISBLANK($CA$99)), "", $CA$99/1000)), "", (IF(OR(ISBLANK($CA$99)), "", $CA$99/1000)))), IF(ISERROR(IF(OR(ISBLANK($CA$99)), "", $CA$99/1000)), "", (IF(OR(ISBLANK($CA$99)), "", $CA$99/1000))) = ""), 205.5,IF(ISERROR(IF(OR(ISBLANK($CA$99)), "", $CA$99/1000)), "", (IF(OR(ISBLANK($CA$99)), "", $CA$99/1000))))</f>
        <v>203</v>
      </c>
      <c r="CB54">
        <f>IF(OR(ISBLANK(IF(ISERROR(IF(OR(ISBLANK($CB$99)), "", $CB$99/1000)), "", (IF(OR(ISBLANK($CB$99)), "", $CB$99/1000)))), IF(ISERROR(IF(OR(ISBLANK($CB$99)), "", $CB$99/1000)), "", (IF(OR(ISBLANK($CB$99)), "", $CB$99/1000))) = ""), 208.5,IF(ISERROR(IF(OR(ISBLANK($CB$99)), "", $CB$99/1000)), "", (IF(OR(ISBLANK($CB$99)), "", $CB$99/1000))))</f>
        <v>206</v>
      </c>
      <c r="CC54">
        <f>IF(OR(ISBLANK(IF(ISERROR(IF(OR(ISBLANK($CC$99)), "", $CC$99/1000)), "", (IF(OR(ISBLANK($CC$99)), "", $CC$99/1000)))), IF(ISERROR(IF(OR(ISBLANK($CC$99)), "", $CC$99/1000)), "", (IF(OR(ISBLANK($CC$99)), "", $CC$99/1000))) = ""), 208.5,IF(ISERROR(IF(OR(ISBLANK($CC$99)), "", $CC$99/1000)), "", (IF(OR(ISBLANK($CC$99)), "", $CC$99/1000))))</f>
        <v>206</v>
      </c>
      <c r="CD54">
        <f>IF(OR(ISBLANK(IF(ISERROR(IF(OR(ISBLANK($CD$99)), "", $CD$99/1000)), "", (IF(OR(ISBLANK($CD$99)), "", $CD$99/1000)))), IF(ISERROR(IF(OR(ISBLANK($CD$99)), "", $CD$99/1000)), "", (IF(OR(ISBLANK($CD$99)), "", $CD$99/1000))) = ""), 208.5,IF(ISERROR(IF(OR(ISBLANK($CD$99)), "", $CD$99/1000)), "", (IF(OR(ISBLANK($CD$99)), "", $CD$99/1000))))</f>
        <v>205.5</v>
      </c>
      <c r="CE54">
        <f>IF(OR(ISBLANK(IF(ISERROR(IF(OR(ISBLANK($CE$99)), "", $CE$99/1000)), "", (IF(OR(ISBLANK($CE$99)), "", $CE$99/1000)))), IF(ISERROR(IF(OR(ISBLANK($CE$99)), "", $CE$99/1000)), "", (IF(OR(ISBLANK($CE$99)), "", $CE$99/1000))) = ""), 208.5,IF(ISERROR(IF(OR(ISBLANK($CE$99)), "", $CE$99/1000)), "", (IF(OR(ISBLANK($CE$99)), "", $CE$99/1000))))</f>
        <v>205.5</v>
      </c>
      <c r="CF54">
        <f>IF(OR(ISBLANK(IF(ISERROR(IF(OR(ISBLANK($CF$99)), "", $CF$99/1000)), "", (IF(OR(ISBLANK($CF$99)), "", $CF$99/1000)))), IF(ISERROR(IF(OR(ISBLANK($CF$99)), "", $CF$99/1000)), "", (IF(OR(ISBLANK($CF$99)), "", $CF$99/1000))) = ""), 208.5,IF(ISERROR(IF(OR(ISBLANK($CF$99)), "", $CF$99/1000)), "", (IF(OR(ISBLANK($CF$99)), "", $CF$99/1000))))</f>
        <v>205.5</v>
      </c>
      <c r="CG54">
        <f>IF(OR(ISBLANK(IF(ISERROR(IF(OR(ISBLANK($CG$99)), "", $CG$99/1000)), "", (IF(OR(ISBLANK($CG$99)), "", $CG$99/1000)))), IF(ISERROR(IF(OR(ISBLANK($CG$99)), "", $CG$99/1000)), "", (IF(OR(ISBLANK($CG$99)), "", $CG$99/1000))) = ""), 208.5,IF(ISERROR(IF(OR(ISBLANK($CG$99)), "", $CG$99/1000)), "", (IF(OR(ISBLANK($CG$99)), "", $CG$99/1000))))</f>
        <v>205.5</v>
      </c>
    </row>
    <row r="55" spans="1:85" x14ac:dyDescent="0.25">
      <c r="A55" t="str">
        <f>"    Covered Bond Purchase Programme"</f>
        <v xml:space="preserve">    Covered Bond Purchase Programme</v>
      </c>
      <c r="B55" t="str">
        <f>"ECBCBOND Index"</f>
        <v>ECBCBOND Index</v>
      </c>
      <c r="C55" t="str">
        <f>""</f>
        <v/>
      </c>
      <c r="D55" t="str">
        <f>""</f>
        <v/>
      </c>
      <c r="E55" t="str">
        <f>"Expression"</f>
        <v>Expression</v>
      </c>
      <c r="F55" t="str">
        <f ca="1">IF(OR(ISBLANK(IF(ISERROR(IF(OR(ISBLANK($F$100)), "", $F$100/1000)), "", (IF(OR(ISBLANK($F$100)), "", $F$100/1000)))), IF(ISERROR(IF(OR(ISBLANK($F$100)), "", $F$100/1000)), "", (IF(OR(ISBLANK($F$100)), "", $F$100/1000))) = ""), "",IF(ISERROR(IF(OR(ISBLANK($F$100)), "", $F$100/1000)), "", (IF(OR(ISBLANK($F$100)), "", $F$100/1000))))</f>
        <v/>
      </c>
      <c r="G55">
        <f>IF(OR(ISBLANK(IF(ISERROR(IF(OR(ISBLANK($G$100)), "", $G$100/1000)), "", (IF(OR(ISBLANK($G$100)), "", $G$100/1000)))), IF(ISERROR(IF(OR(ISBLANK($G$100)), "", $G$100/1000)), "", (IF(OR(ISBLANK($G$100)), "", $G$100/1000))) = ""), 35.117,IF(ISERROR(IF(OR(ISBLANK($G$100)), "", $G$100/1000)), "", (IF(OR(ISBLANK($G$100)), "", $G$100/1000))))</f>
        <v>32.887999999999998</v>
      </c>
      <c r="H55">
        <f>IF(OR(ISBLANK(IF(ISERROR(IF(OR(ISBLANK($H$100)), "", $H$100/1000)), "", (IF(OR(ISBLANK($H$100)), "", $H$100/1000)))), IF(ISERROR(IF(OR(ISBLANK($H$100)), "", $H$100/1000)), "", (IF(OR(ISBLANK($H$100)), "", $H$100/1000))) = ""), 35.608,IF(ISERROR(IF(OR(ISBLANK($H$100)), "", $H$100/1000)), "", (IF(OR(ISBLANK($H$100)), "", $H$100/1000))))</f>
        <v>32.887999999999998</v>
      </c>
      <c r="I55">
        <f>IF(OR(ISBLANK(IF(ISERROR(IF(OR(ISBLANK($I$100)), "", $I$100/1000)), "", (IF(OR(ISBLANK($I$100)), "", $I$100/1000)))), IF(ISERROR(IF(OR(ISBLANK($I$100)), "", $I$100/1000)), "", (IF(OR(ISBLANK($I$100)), "", $I$100/1000))) = ""), 35.867,IF(ISERROR(IF(OR(ISBLANK($I$100)), "", $I$100/1000)), "", (IF(OR(ISBLANK($I$100)), "", $I$100/1000))))</f>
        <v>32.887999999999998</v>
      </c>
      <c r="J55">
        <f>IF(OR(ISBLANK(IF(ISERROR(IF(OR(ISBLANK($J$100)), "", $J$100/1000)), "", (IF(OR(ISBLANK($J$100)), "", $J$100/1000)))), IF(ISERROR(IF(OR(ISBLANK($J$100)), "", $J$100/1000)), "", (IF(OR(ISBLANK($J$100)), "", $J$100/1000))) = ""), 36.465,IF(ISERROR(IF(OR(ISBLANK($J$100)), "", $J$100/1000)), "", (IF(OR(ISBLANK($J$100)), "", $J$100/1000))))</f>
        <v>32.887999999999998</v>
      </c>
      <c r="K55">
        <f>IF(OR(ISBLANK(IF(ISERROR(IF(OR(ISBLANK($K$100)), "", $K$100/1000)), "", (IF(OR(ISBLANK($K$100)), "", $K$100/1000)))), IF(ISERROR(IF(OR(ISBLANK($K$100)), "", $K$100/1000)), "", (IF(OR(ISBLANK($K$100)), "", $K$100/1000))) = ""), 37.768,IF(ISERROR(IF(OR(ISBLANK($K$100)), "", $K$100/1000)), "", (IF(OR(ISBLANK($K$100)), "", $K$100/1000))))</f>
        <v>32.887999999999998</v>
      </c>
      <c r="L55">
        <f>IF(OR(ISBLANK(IF(ISERROR(IF(OR(ISBLANK($L$100)), "", $L$100/1000)), "", (IF(OR(ISBLANK($L$100)), "", $L$100/1000)))), IF(ISERROR(IF(OR(ISBLANK($L$100)), "", $L$100/1000)), "", (IF(OR(ISBLANK($L$100)), "", $L$100/1000))) = ""), 37.768,IF(ISERROR(IF(OR(ISBLANK($L$100)), "", $L$100/1000)), "", (IF(OR(ISBLANK($L$100)), "", $L$100/1000))))</f>
        <v>32.887999999999998</v>
      </c>
      <c r="M55">
        <f>IF(OR(ISBLANK(IF(ISERROR(IF(OR(ISBLANK($M$100)), "", $M$100/1000)), "", (IF(OR(ISBLANK($M$100)), "", $M$100/1000)))), IF(ISERROR(IF(OR(ISBLANK($M$100)), "", $M$100/1000)), "", (IF(OR(ISBLANK($M$100)), "", $M$100/1000))) = ""), 37.768,IF(ISERROR(IF(OR(ISBLANK($M$100)), "", $M$100/1000)), "", (IF(OR(ISBLANK($M$100)), "", $M$100/1000))))</f>
        <v>33.180999999999997</v>
      </c>
      <c r="N55">
        <f>IF(OR(ISBLANK(IF(ISERROR(IF(OR(ISBLANK($N$100)), "", $N$100/1000)), "", (IF(OR(ISBLANK($N$100)), "", $N$100/1000)))), IF(ISERROR(IF(OR(ISBLANK($N$100)), "", $N$100/1000)), "", (IF(OR(ISBLANK($N$100)), "", $N$100/1000))) = ""), 37.768,IF(ISERROR(IF(OR(ISBLANK($N$100)), "", $N$100/1000)), "", (IF(OR(ISBLANK($N$100)), "", $N$100/1000))))</f>
        <v>33.798000000000002</v>
      </c>
      <c r="O55">
        <f>IF(OR(ISBLANK(IF(ISERROR(IF(OR(ISBLANK($O$100)), "", $O$100/1000)), "", (IF(OR(ISBLANK($O$100)), "", $O$100/1000)))), IF(ISERROR(IF(OR(ISBLANK($O$100)), "", $O$100/1000)), "", (IF(OR(ISBLANK($O$100)), "", $O$100/1000))) = ""), 37.768,IF(ISERROR(IF(OR(ISBLANK($O$100)), "", $O$100/1000)), "", (IF(OR(ISBLANK($O$100)), "", $O$100/1000))))</f>
        <v>34.375999999999998</v>
      </c>
      <c r="P55">
        <f>IF(OR(ISBLANK(IF(ISERROR(IF(OR(ISBLANK($P$100)), "", $P$100/1000)), "", (IF(OR(ISBLANK($P$100)), "", $P$100/1000)))), IF(ISERROR(IF(OR(ISBLANK($P$100)), "", $P$100/1000)), "", (IF(OR(ISBLANK($P$100)), "", $P$100/1000))) = ""), 37.768,IF(ISERROR(IF(OR(ISBLANK($P$100)), "", $P$100/1000)), "", (IF(OR(ISBLANK($P$100)), "", $P$100/1000))))</f>
        <v>34.808</v>
      </c>
      <c r="Q55">
        <f>IF(OR(ISBLANK(IF(ISERROR(IF(OR(ISBLANK($Q$100)), "", $Q$100/1000)), "", (IF(OR(ISBLANK($Q$100)), "", $Q$100/1000)))), IF(ISERROR(IF(OR(ISBLANK($Q$100)), "", $Q$100/1000)), "", (IF(OR(ISBLANK($Q$100)), "", $Q$100/1000))) = ""), 37.768,IF(ISERROR(IF(OR(ISBLANK($Q$100)), "", $Q$100/1000)), "", (IF(OR(ISBLANK($Q$100)), "", $Q$100/1000))))</f>
        <v>35.116999999999997</v>
      </c>
      <c r="R55">
        <f>IF(OR(ISBLANK(IF(ISERROR(IF(OR(ISBLANK($R$100)), "", $R$100/1000)), "", (IF(OR(ISBLANK($R$100)), "", $R$100/1000)))), IF(ISERROR(IF(OR(ISBLANK($R$100)), "", $R$100/1000)), "", (IF(OR(ISBLANK($R$100)), "", $R$100/1000))) = ""), 37.863,IF(ISERROR(IF(OR(ISBLANK($R$100)), "", $R$100/1000)), "", (IF(OR(ISBLANK($R$100)), "", $R$100/1000))))</f>
        <v>35.116999999999997</v>
      </c>
      <c r="S55">
        <f>IF(OR(ISBLANK(IF(ISERROR(IF(OR(ISBLANK($S$100)), "", $S$100/1000)), "", (IF(OR(ISBLANK($S$100)), "", $S$100/1000)))), IF(ISERROR(IF(OR(ISBLANK($S$100)), "", $S$100/1000)), "", (IF(OR(ISBLANK($S$100)), "", $S$100/1000))) = ""), 37.941,IF(ISERROR(IF(OR(ISBLANK($S$100)), "", $S$100/1000)), "", (IF(OR(ISBLANK($S$100)), "", $S$100/1000))))</f>
        <v>35.607999999999997</v>
      </c>
      <c r="T55">
        <f>IF(OR(ISBLANK(IF(ISERROR(IF(OR(ISBLANK($T$100)), "", $T$100/1000)), "", (IF(OR(ISBLANK($T$100)), "", $T$100/1000)))), IF(ISERROR(IF(OR(ISBLANK($T$100)), "", $T$100/1000)), "", (IF(OR(ISBLANK($T$100)), "", $T$100/1000))) = ""), 38.076,IF(ISERROR(IF(OR(ISBLANK($T$100)), "", $T$100/1000)), "", (IF(OR(ISBLANK($T$100)), "", $T$100/1000))))</f>
        <v>35.866999999999997</v>
      </c>
      <c r="U55">
        <f>IF(OR(ISBLANK(IF(ISERROR(IF(OR(ISBLANK($U$100)), "", $U$100/1000)), "", (IF(OR(ISBLANK($U$100)), "", $U$100/1000)))), IF(ISERROR(IF(OR(ISBLANK($U$100)), "", $U$100/1000)), "", (IF(OR(ISBLANK($U$100)), "", $U$100/1000))) = ""), 38.305,IF(ISERROR(IF(OR(ISBLANK($U$100)), "", $U$100/1000)), "", (IF(OR(ISBLANK($U$100)), "", $U$100/1000))))</f>
        <v>36.465000000000003</v>
      </c>
      <c r="V55">
        <f>IF(OR(ISBLANK(IF(ISERROR(IF(OR(ISBLANK($V$100)), "", $V$100/1000)), "", (IF(OR(ISBLANK($V$100)), "", $V$100/1000)))), IF(ISERROR(IF(OR(ISBLANK($V$100)), "", $V$100/1000)), "", (IF(OR(ISBLANK($V$100)), "", $V$100/1000))) = ""), 38.772,IF(ISERROR(IF(OR(ISBLANK($V$100)), "", $V$100/1000)), "", (IF(OR(ISBLANK($V$100)), "", $V$100/1000))))</f>
        <v>37.768000000000001</v>
      </c>
      <c r="W55">
        <f>IF(OR(ISBLANK(IF(ISERROR(IF(OR(ISBLANK($W$100)), "", $W$100/1000)), "", (IF(OR(ISBLANK($W$100)), "", $W$100/1000)))), IF(ISERROR(IF(OR(ISBLANK($W$100)), "", $W$100/1000)), "", (IF(OR(ISBLANK($W$100)), "", $W$100/1000))) = ""), 38.772,IF(ISERROR(IF(OR(ISBLANK($W$100)), "", $W$100/1000)), "", (IF(OR(ISBLANK($W$100)), "", $W$100/1000))))</f>
        <v>37.768000000000001</v>
      </c>
      <c r="X55">
        <f>IF(OR(ISBLANK(IF(ISERROR(IF(OR(ISBLANK($X$100)), "", $X$100/1000)), "", (IF(OR(ISBLANK($X$100)), "", $X$100/1000)))), IF(ISERROR(IF(OR(ISBLANK($X$100)), "", $X$100/1000)), "", (IF(OR(ISBLANK($X$100)), "", $X$100/1000))) = ""), 38.772,IF(ISERROR(IF(OR(ISBLANK($X$100)), "", $X$100/1000)), "", (IF(OR(ISBLANK($X$100)), "", $X$100/1000))))</f>
        <v>37.768000000000001</v>
      </c>
      <c r="Y55">
        <f>IF(OR(ISBLANK(IF(ISERROR(IF(OR(ISBLANK($Y$100)), "", $Y$100/1000)), "", (IF(OR(ISBLANK($Y$100)), "", $Y$100/1000)))), IF(ISERROR(IF(OR(ISBLANK($Y$100)), "", $Y$100/1000)), "", (IF(OR(ISBLANK($Y$100)), "", $Y$100/1000))) = ""), 39.266,IF(ISERROR(IF(OR(ISBLANK($Y$100)), "", $Y$100/1000)), "", (IF(OR(ISBLANK($Y$100)), "", $Y$100/1000))))</f>
        <v>37.768000000000001</v>
      </c>
      <c r="Z55">
        <f>IF(OR(ISBLANK(IF(ISERROR(IF(OR(ISBLANK($Z$100)), "", $Z$100/1000)), "", (IF(OR(ISBLANK($Z$100)), "", $Z$100/1000)))), IF(ISERROR(IF(OR(ISBLANK($Z$100)), "", $Z$100/1000)), "", (IF(OR(ISBLANK($Z$100)), "", $Z$100/1000))) = ""), 39.751,IF(ISERROR(IF(OR(ISBLANK($Z$100)), "", $Z$100/1000)), "", (IF(OR(ISBLANK($Z$100)), "", $Z$100/1000))))</f>
        <v>37.768000000000001</v>
      </c>
      <c r="AA55">
        <f>IF(OR(ISBLANK(IF(ISERROR(IF(OR(ISBLANK($AA$100)), "", $AA$100/1000)), "", (IF(OR(ISBLANK($AA$100)), "", $AA$100/1000)))), IF(ISERROR(IF(OR(ISBLANK($AA$100)), "", $AA$100/1000)), "", (IF(OR(ISBLANK($AA$100)), "", $AA$100/1000))) = ""), 40.375,IF(ISERROR(IF(OR(ISBLANK($AA$100)), "", $AA$100/1000)), "", (IF(OR(ISBLANK($AA$100)), "", $AA$100/1000))))</f>
        <v>37.768000000000001</v>
      </c>
      <c r="AB55">
        <f>IF(OR(ISBLANK(IF(ISERROR(IF(OR(ISBLANK($AB$100)), "", $AB$100/1000)), "", (IF(OR(ISBLANK($AB$100)), "", $AB$100/1000)))), IF(ISERROR(IF(OR(ISBLANK($AB$100)), "", $AB$100/1000)), "", (IF(OR(ISBLANK($AB$100)), "", $AB$100/1000))) = ""), 40.865,IF(ISERROR(IF(OR(ISBLANK($AB$100)), "", $AB$100/1000)), "", (IF(OR(ISBLANK($AB$100)), "", $AB$100/1000))))</f>
        <v>37.768000000000001</v>
      </c>
      <c r="AC55">
        <f>IF(OR(ISBLANK(IF(ISERROR(IF(OR(ISBLANK($AC$100)), "", $AC$100/1000)), "", (IF(OR(ISBLANK($AC$100)), "", $AC$100/1000)))), IF(ISERROR(IF(OR(ISBLANK($AC$100)), "", $AC$100/1000)), "", (IF(OR(ISBLANK($AC$100)), "", $AC$100/1000))) = ""), 41.379,IF(ISERROR(IF(OR(ISBLANK($AC$100)), "", $AC$100/1000)), "", (IF(OR(ISBLANK($AC$100)), "", $AC$100/1000))))</f>
        <v>37.863</v>
      </c>
      <c r="AD55">
        <f>IF(OR(ISBLANK(IF(ISERROR(IF(OR(ISBLANK($AD$100)), "", $AD$100/1000)), "", (IF(OR(ISBLANK($AD$100)), "", $AD$100/1000)))), IF(ISERROR(IF(OR(ISBLANK($AD$100)), "", $AD$100/1000)), "", (IF(OR(ISBLANK($AD$100)), "", $AD$100/1000))) = ""), 41.648,IF(ISERROR(IF(OR(ISBLANK($AD$100)), "", $AD$100/1000)), "", (IF(OR(ISBLANK($AD$100)), "", $AD$100/1000))))</f>
        <v>37.941000000000003</v>
      </c>
      <c r="AE55">
        <f>IF(OR(ISBLANK(IF(ISERROR(IF(OR(ISBLANK($AE$100)), "", $AE$100/1000)), "", (IF(OR(ISBLANK($AE$100)), "", $AE$100/1000)))), IF(ISERROR(IF(OR(ISBLANK($AE$100)), "", $AE$100/1000)), "", (IF(OR(ISBLANK($AE$100)), "", $AE$100/1000))) = ""), 41.647,IF(ISERROR(IF(OR(ISBLANK($AE$100)), "", $AE$100/1000)), "", (IF(OR(ISBLANK($AE$100)), "", $AE$100/1000))))</f>
        <v>38.076000000000001</v>
      </c>
      <c r="AF55">
        <f>IF(OR(ISBLANK(IF(ISERROR(IF(OR(ISBLANK($AF$100)), "", $AF$100/1000)), "", (IF(OR(ISBLANK($AF$100)), "", $AF$100/1000)))), IF(ISERROR(IF(OR(ISBLANK($AF$100)), "", $AF$100/1000)), "", (IF(OR(ISBLANK($AF$100)), "", $AF$100/1000))) = ""), 41.68,IF(ISERROR(IF(OR(ISBLANK($AF$100)), "", $AF$100/1000)), "", (IF(OR(ISBLANK($AF$100)), "", $AF$100/1000))))</f>
        <v>38.305</v>
      </c>
      <c r="AG55">
        <f>IF(OR(ISBLANK(IF(ISERROR(IF(OR(ISBLANK($AG$100)), "", $AG$100/1000)), "", (IF(OR(ISBLANK($AG$100)), "", $AG$100/1000)))), IF(ISERROR(IF(OR(ISBLANK($AG$100)), "", $AG$100/1000)), "", (IF(OR(ISBLANK($AG$100)), "", $AG$100/1000))) = ""), 41.68,IF(ISERROR(IF(OR(ISBLANK($AG$100)), "", $AG$100/1000)), "", (IF(OR(ISBLANK($AG$100)), "", $AG$100/1000))))</f>
        <v>38.771999999999998</v>
      </c>
      <c r="AH55">
        <f>IF(OR(ISBLANK(IF(ISERROR(IF(OR(ISBLANK($AH$100)), "", $AH$100/1000)), "", (IF(OR(ISBLANK($AH$100)), "", $AH$100/1000)))), IF(ISERROR(IF(OR(ISBLANK($AH$100)), "", $AH$100/1000)), "", (IF(OR(ISBLANK($AH$100)), "", $AH$100/1000))) = ""), 41.69,IF(ISERROR(IF(OR(ISBLANK($AH$100)), "", $AH$100/1000)), "", (IF(OR(ISBLANK($AH$100)), "", $AH$100/1000))))</f>
        <v>38.771999999999998</v>
      </c>
      <c r="AI55">
        <f>IF(OR(ISBLANK(IF(ISERROR(IF(OR(ISBLANK($AI$100)), "", $AI$100/1000)), "", (IF(OR(ISBLANK($AI$100)), "", $AI$100/1000)))), IF(ISERROR(IF(OR(ISBLANK($AI$100)), "", $AI$100/1000)), "", (IF(OR(ISBLANK($AI$100)), "", $AI$100/1000))) = ""), 41.86,IF(ISERROR(IF(OR(ISBLANK($AI$100)), "", $AI$100/1000)), "", (IF(OR(ISBLANK($AI$100)), "", $AI$100/1000))))</f>
        <v>38.771999999999998</v>
      </c>
      <c r="AJ55">
        <f>IF(OR(ISBLANK(IF(ISERROR(IF(OR(ISBLANK($AJ$100)), "", $AJ$100/1000)), "", (IF(OR(ISBLANK($AJ$100)), "", $AJ$100/1000)))), IF(ISERROR(IF(OR(ISBLANK($AJ$100)), "", $AJ$100/1000)), "", (IF(OR(ISBLANK($AJ$100)), "", $AJ$100/1000))) = ""), 41.86,IF(ISERROR(IF(OR(ISBLANK($AJ$100)), "", $AJ$100/1000)), "", (IF(OR(ISBLANK($AJ$100)), "", $AJ$100/1000))))</f>
        <v>39.265999999999998</v>
      </c>
      <c r="AK55">
        <f>IF(OR(ISBLANK(IF(ISERROR(IF(OR(ISBLANK($AK$100)), "", $AK$100/1000)), "", (IF(OR(ISBLANK($AK$100)), "", $AK$100/1000)))), IF(ISERROR(IF(OR(ISBLANK($AK$100)), "", $AK$100/1000)), "", (IF(OR(ISBLANK($AK$100)), "", $AK$100/1000))) = ""), 41.895,IF(ISERROR(IF(OR(ISBLANK($AK$100)), "", $AK$100/1000)), "", (IF(OR(ISBLANK($AK$100)), "", $AK$100/1000))))</f>
        <v>39.750999999999998</v>
      </c>
      <c r="AL55">
        <f>IF(OR(ISBLANK(IF(ISERROR(IF(OR(ISBLANK($AL$100)), "", $AL$100/1000)), "", (IF(OR(ISBLANK($AL$100)), "", $AL$100/1000)))), IF(ISERROR(IF(OR(ISBLANK($AL$100)), "", $AL$100/1000)), "", (IF(OR(ISBLANK($AL$100)), "", $AL$100/1000))) = ""), 41.978,IF(ISERROR(IF(OR(ISBLANK($AL$100)), "", $AL$100/1000)), "", (IF(OR(ISBLANK($AL$100)), "", $AL$100/1000))))</f>
        <v>40.375</v>
      </c>
      <c r="AM55">
        <f>IF(OR(ISBLANK(IF(ISERROR(IF(OR(ISBLANK($AM$100)), "", $AM$100/1000)), "", (IF(OR(ISBLANK($AM$100)), "", $AM$100/1000)))), IF(ISERROR(IF(OR(ISBLANK($AM$100)), "", $AM$100/1000)), "", (IF(OR(ISBLANK($AM$100)), "", $AM$100/1000))) = ""), 41.978,IF(ISERROR(IF(OR(ISBLANK($AM$100)), "", $AM$100/1000)), "", (IF(OR(ISBLANK($AM$100)), "", $AM$100/1000))))</f>
        <v>40.865000000000002</v>
      </c>
      <c r="AN55">
        <f>IF(OR(ISBLANK(IF(ISERROR(IF(OR(ISBLANK($AN$100)), "", $AN$100/1000)), "", (IF(OR(ISBLANK($AN$100)), "", $AN$100/1000)))), IF(ISERROR(IF(OR(ISBLANK($AN$100)), "", $AN$100/1000)), "", (IF(OR(ISBLANK($AN$100)), "", $AN$100/1000))) = ""), 42.008,IF(ISERROR(IF(OR(ISBLANK($AN$100)), "", $AN$100/1000)), "", (IF(OR(ISBLANK($AN$100)), "", $AN$100/1000))))</f>
        <v>41.378999999999998</v>
      </c>
      <c r="AO55">
        <f>IF(OR(ISBLANK(IF(ISERROR(IF(OR(ISBLANK($AO$100)), "", $AO$100/1000)), "", (IF(OR(ISBLANK($AO$100)), "", $AO$100/1000)))), IF(ISERROR(IF(OR(ISBLANK($AO$100)), "", $AO$100/1000)), "", (IF(OR(ISBLANK($AO$100)), "", $AO$100/1000))) = ""), 42.019,IF(ISERROR(IF(OR(ISBLANK($AO$100)), "", $AO$100/1000)), "", (IF(OR(ISBLANK($AO$100)), "", $AO$100/1000))))</f>
        <v>41.648000000000003</v>
      </c>
      <c r="AP55">
        <f>IF(OR(ISBLANK(IF(ISERROR(IF(OR(ISBLANK($AP$100)), "", $AP$100/1000)), "", (IF(OR(ISBLANK($AP$100)), "", $AP$100/1000)))), IF(ISERROR(IF(OR(ISBLANK($AP$100)), "", $AP$100/1000)), "", (IF(OR(ISBLANK($AP$100)), "", $AP$100/1000))) = ""), 42.847,IF(ISERROR(IF(OR(ISBLANK($AP$100)), "", $AP$100/1000)), "", (IF(OR(ISBLANK($AP$100)), "", $AP$100/1000))))</f>
        <v>41.646999999999998</v>
      </c>
      <c r="AQ55">
        <f>IF(OR(ISBLANK(IF(ISERROR(IF(OR(ISBLANK($AQ$100)), "", $AQ$100/1000)), "", (IF(OR(ISBLANK($AQ$100)), "", $AQ$100/1000)))), IF(ISERROR(IF(OR(ISBLANK($AQ$100)), "", $AQ$100/1000)), "", (IF(OR(ISBLANK($AQ$100)), "", $AQ$100/1000))) = ""), 42.847,IF(ISERROR(IF(OR(ISBLANK($AQ$100)), "", $AQ$100/1000)), "", (IF(OR(ISBLANK($AQ$100)), "", $AQ$100/1000))))</f>
        <v>41.68</v>
      </c>
      <c r="AR55">
        <f>IF(OR(ISBLANK(IF(ISERROR(IF(OR(ISBLANK($AR$100)), "", $AR$100/1000)), "", (IF(OR(ISBLANK($AR$100)), "", $AR$100/1000)))), IF(ISERROR(IF(OR(ISBLANK($AR$100)), "", $AR$100/1000)), "", (IF(OR(ISBLANK($AR$100)), "", $AR$100/1000))) = ""), 43.147,IF(ISERROR(IF(OR(ISBLANK($AR$100)), "", $AR$100/1000)), "", (IF(OR(ISBLANK($AR$100)), "", $AR$100/1000))))</f>
        <v>41.68</v>
      </c>
      <c r="AS55">
        <f>IF(OR(ISBLANK(IF(ISERROR(IF(OR(ISBLANK($AS$100)), "", $AS$100/1000)), "", (IF(OR(ISBLANK($AS$100)), "", $AS$100/1000)))), IF(ISERROR(IF(OR(ISBLANK($AS$100)), "", $AS$100/1000)), "", (IF(OR(ISBLANK($AS$100)), "", $AS$100/1000))) = ""), 43.282,IF(ISERROR(IF(OR(ISBLANK($AS$100)), "", $AS$100/1000)), "", (IF(OR(ISBLANK($AS$100)), "", $AS$100/1000))))</f>
        <v>41.69</v>
      </c>
      <c r="AT55">
        <f>IF(OR(ISBLANK(IF(ISERROR(IF(OR(ISBLANK($AT$100)), "", $AT$100/1000)), "", (IF(OR(ISBLANK($AT$100)), "", $AT$100/1000)))), IF(ISERROR(IF(OR(ISBLANK($AT$100)), "", $AT$100/1000)), "", (IF(OR(ISBLANK($AT$100)), "", $AT$100/1000))) = ""), 43.282,IF(ISERROR(IF(OR(ISBLANK($AT$100)), "", $AT$100/1000)), "", (IF(OR(ISBLANK($AT$100)), "", $AT$100/1000))))</f>
        <v>41.86</v>
      </c>
      <c r="AU55">
        <f>IF(OR(ISBLANK(IF(ISERROR(IF(OR(ISBLANK($AU$100)), "", $AU$100/1000)), "", (IF(OR(ISBLANK($AU$100)), "", $AU$100/1000)))), IF(ISERROR(IF(OR(ISBLANK($AU$100)), "", $AU$100/1000)), "", (IF(OR(ISBLANK($AU$100)), "", $AU$100/1000))) = ""), 43.601,IF(ISERROR(IF(OR(ISBLANK($AU$100)), "", $AU$100/1000)), "", (IF(OR(ISBLANK($AU$100)), "", $AU$100/1000))))</f>
        <v>41.86</v>
      </c>
      <c r="AV55">
        <f>IF(OR(ISBLANK(IF(ISERROR(IF(OR(ISBLANK($AV$100)), "", $AV$100/1000)), "", (IF(OR(ISBLANK($AV$100)), "", $AV$100/1000)))), IF(ISERROR(IF(OR(ISBLANK($AV$100)), "", $AV$100/1000)), "", (IF(OR(ISBLANK($AV$100)), "", $AV$100/1000))) = ""), 43.648,IF(ISERROR(IF(OR(ISBLANK($AV$100)), "", $AV$100/1000)), "", (IF(OR(ISBLANK($AV$100)), "", $AV$100/1000))))</f>
        <v>41.895000000000003</v>
      </c>
      <c r="AW55">
        <f>IF(OR(ISBLANK(IF(ISERROR(IF(OR(ISBLANK($AW$100)), "", $AW$100/1000)), "", (IF(OR(ISBLANK($AW$100)), "", $AW$100/1000)))), IF(ISERROR(IF(OR(ISBLANK($AW$100)), "", $AW$100/1000)), "", (IF(OR(ISBLANK($AW$100)), "", $AW$100/1000))) = ""), 43.648,IF(ISERROR(IF(OR(ISBLANK($AW$100)), "", $AW$100/1000)), "", (IF(OR(ISBLANK($AW$100)), "", $AW$100/1000))))</f>
        <v>41.978000000000002</v>
      </c>
      <c r="AX55">
        <f>IF(OR(ISBLANK(IF(ISERROR(IF(OR(ISBLANK($AX$100)), "", $AX$100/1000)), "", (IF(OR(ISBLANK($AX$100)), "", $AX$100/1000)))), IF(ISERROR(IF(OR(ISBLANK($AX$100)), "", $AX$100/1000)), "", (IF(OR(ISBLANK($AX$100)), "", $AX$100/1000))) = ""), 44.082,IF(ISERROR(IF(OR(ISBLANK($AX$100)), "", $AX$100/1000)), "", (IF(OR(ISBLANK($AX$100)), "", $AX$100/1000))))</f>
        <v>41.978000000000002</v>
      </c>
      <c r="AY55">
        <f>IF(OR(ISBLANK(IF(ISERROR(IF(OR(ISBLANK($AY$100)), "", $AY$100/1000)), "", (IF(OR(ISBLANK($AY$100)), "", $AY$100/1000)))), IF(ISERROR(IF(OR(ISBLANK($AY$100)), "", $AY$100/1000)), "", (IF(OR(ISBLANK($AY$100)), "", $AY$100/1000))) = ""), 44.082,IF(ISERROR(IF(OR(ISBLANK($AY$100)), "", $AY$100/1000)), "", (IF(OR(ISBLANK($AY$100)), "", $AY$100/1000))))</f>
        <v>42.008000000000003</v>
      </c>
      <c r="AZ55">
        <f>IF(OR(ISBLANK(IF(ISERROR(IF(OR(ISBLANK($AZ$100)), "", $AZ$100/1000)), "", (IF(OR(ISBLANK($AZ$100)), "", $AZ$100/1000)))), IF(ISERROR(IF(OR(ISBLANK($AZ$100)), "", $AZ$100/1000)), "", (IF(OR(ISBLANK($AZ$100)), "", $AZ$100/1000))) = ""), 44.082,IF(ISERROR(IF(OR(ISBLANK($AZ$100)), "", $AZ$100/1000)), "", (IF(OR(ISBLANK($AZ$100)), "", $AZ$100/1000))))</f>
        <v>42.018999999999998</v>
      </c>
      <c r="BA55">
        <f>IF(OR(ISBLANK(IF(ISERROR(IF(OR(ISBLANK($BA$100)), "", $BA$100/1000)), "", (IF(OR(ISBLANK($BA$100)), "", $BA$100/1000)))), IF(ISERROR(IF(OR(ISBLANK($BA$100)), "", $BA$100/1000)), "", (IF(OR(ISBLANK($BA$100)), "", $BA$100/1000))) = ""), 44.082,IF(ISERROR(IF(OR(ISBLANK($BA$100)), "", $BA$100/1000)), "", (IF(OR(ISBLANK($BA$100)), "", $BA$100/1000))))</f>
        <v>42.847000000000001</v>
      </c>
      <c r="BB55">
        <f>IF(OR(ISBLANK(IF(ISERROR(IF(OR(ISBLANK($BB$100)), "", $BB$100/1000)), "", (IF(OR(ISBLANK($BB$100)), "", $BB$100/1000)))), IF(ISERROR(IF(OR(ISBLANK($BB$100)), "", $BB$100/1000)), "", (IF(OR(ISBLANK($BB$100)), "", $BB$100/1000))) = ""), 44.082,IF(ISERROR(IF(OR(ISBLANK($BB$100)), "", $BB$100/1000)), "", (IF(OR(ISBLANK($BB$100)), "", $BB$100/1000))))</f>
        <v>42.847000000000001</v>
      </c>
      <c r="BC55">
        <f>IF(OR(ISBLANK(IF(ISERROR(IF(OR(ISBLANK($BC$100)), "", $BC$100/1000)), "", (IF(OR(ISBLANK($BC$100)), "", $BC$100/1000)))), IF(ISERROR(IF(OR(ISBLANK($BC$100)), "", $BC$100/1000)), "", (IF(OR(ISBLANK($BC$100)), "", $BC$100/1000))) = ""), 44.337,IF(ISERROR(IF(OR(ISBLANK($BC$100)), "", $BC$100/1000)), "", (IF(OR(ISBLANK($BC$100)), "", $BC$100/1000))))</f>
        <v>43.146999999999998</v>
      </c>
      <c r="BD55">
        <f>IF(OR(ISBLANK(IF(ISERROR(IF(OR(ISBLANK($BD$100)), "", $BD$100/1000)), "", (IF(OR(ISBLANK($BD$100)), "", $BD$100/1000)))), IF(ISERROR(IF(OR(ISBLANK($BD$100)), "", $BD$100/1000)), "", (IF(OR(ISBLANK($BD$100)), "", $BD$100/1000))) = ""), 44.73,IF(ISERROR(IF(OR(ISBLANK($BD$100)), "", $BD$100/1000)), "", (IF(OR(ISBLANK($BD$100)), "", $BD$100/1000))))</f>
        <v>43.281999999999996</v>
      </c>
      <c r="BE55">
        <f>IF(OR(ISBLANK(IF(ISERROR(IF(OR(ISBLANK($BE$100)), "", $BE$100/1000)), "", (IF(OR(ISBLANK($BE$100)), "", $BE$100/1000)))), IF(ISERROR(IF(OR(ISBLANK($BE$100)), "", $BE$100/1000)), "", (IF(OR(ISBLANK($BE$100)), "", $BE$100/1000))) = ""), 44.979,IF(ISERROR(IF(OR(ISBLANK($BE$100)), "", $BE$100/1000)), "", (IF(OR(ISBLANK($BE$100)), "", $BE$100/1000))))</f>
        <v>43.281999999999996</v>
      </c>
      <c r="BF55">
        <f>IF(OR(ISBLANK(IF(ISERROR(IF(OR(ISBLANK($BF$100)), "", $BF$100/1000)), "", (IF(OR(ISBLANK($BF$100)), "", $BF$100/1000)))), IF(ISERROR(IF(OR(ISBLANK($BF$100)), "", $BF$100/1000)), "", (IF(OR(ISBLANK($BF$100)), "", $BF$100/1000))) = ""), 45.259,IF(ISERROR(IF(OR(ISBLANK($BF$100)), "", $BF$100/1000)), "", (IF(OR(ISBLANK($BF$100)), "", $BF$100/1000))))</f>
        <v>43.600999999999999</v>
      </c>
      <c r="BG55">
        <f>IF(OR(ISBLANK(IF(ISERROR(IF(OR(ISBLANK($BG$100)), "", $BG$100/1000)), "", (IF(OR(ISBLANK($BG$100)), "", $BG$100/1000)))), IF(ISERROR(IF(OR(ISBLANK($BG$100)), "", $BG$100/1000)), "", (IF(OR(ISBLANK($BG$100)), "", $BG$100/1000))) = ""), 45.44,IF(ISERROR(IF(OR(ISBLANK($BG$100)), "", $BG$100/1000)), "", (IF(OR(ISBLANK($BG$100)), "", $BG$100/1000))))</f>
        <v>43.648000000000003</v>
      </c>
      <c r="BH55">
        <f>IF(OR(ISBLANK(IF(ISERROR(IF(OR(ISBLANK($BH$100)), "", $BH$100/1000)), "", (IF(OR(ISBLANK($BH$100)), "", $BH$100/1000)))), IF(ISERROR(IF(OR(ISBLANK($BH$100)), "", $BH$100/1000)), "", (IF(OR(ISBLANK($BH$100)), "", $BH$100/1000))) = ""), 45.44,IF(ISERROR(IF(OR(ISBLANK($BH$100)), "", $BH$100/1000)), "", (IF(OR(ISBLANK($BH$100)), "", $BH$100/1000))))</f>
        <v>43.648000000000003</v>
      </c>
      <c r="BI55">
        <f>IF(OR(ISBLANK(IF(ISERROR(IF(OR(ISBLANK($BI$100)), "", $BI$100/1000)), "", (IF(OR(ISBLANK($BI$100)), "", $BI$100/1000)))), IF(ISERROR(IF(OR(ISBLANK($BI$100)), "", $BI$100/1000)), "", (IF(OR(ISBLANK($BI$100)), "", $BI$100/1000))) = ""), 45.618,IF(ISERROR(IF(OR(ISBLANK($BI$100)), "", $BI$100/1000)), "", (IF(OR(ISBLANK($BI$100)), "", $BI$100/1000))))</f>
        <v>44.082000000000001</v>
      </c>
      <c r="BJ55">
        <f>IF(OR(ISBLANK(IF(ISERROR(IF(OR(ISBLANK($BJ$100)), "", $BJ$100/1000)), "", (IF(OR(ISBLANK($BJ$100)), "", $BJ$100/1000)))), IF(ISERROR(IF(OR(ISBLANK($BJ$100)), "", $BJ$100/1000)), "", (IF(OR(ISBLANK($BJ$100)), "", $BJ$100/1000))) = ""), 46,IF(ISERROR(IF(OR(ISBLANK($BJ$100)), "", $BJ$100/1000)), "", (IF(OR(ISBLANK($BJ$100)), "", $BJ$100/1000))))</f>
        <v>44.082000000000001</v>
      </c>
      <c r="BK55">
        <f>IF(OR(ISBLANK(IF(ISERROR(IF(OR(ISBLANK($BK$100)), "", $BK$100/1000)), "", (IF(OR(ISBLANK($BK$100)), "", $BK$100/1000)))), IF(ISERROR(IF(OR(ISBLANK($BK$100)), "", $BK$100/1000)), "", (IF(OR(ISBLANK($BK$100)), "", $BK$100/1000))) = ""), 46.15,IF(ISERROR(IF(OR(ISBLANK($BK$100)), "", $BK$100/1000)), "", (IF(OR(ISBLANK($BK$100)), "", $BK$100/1000))))</f>
        <v>44.082000000000001</v>
      </c>
      <c r="BL55">
        <f>IF(OR(ISBLANK(IF(ISERROR(IF(OR(ISBLANK($BL$100)), "", $BL$100/1000)), "", (IF(OR(ISBLANK($BL$100)), "", $BL$100/1000)))), IF(ISERROR(IF(OR(ISBLANK($BL$100)), "", $BL$100/1000)), "", (IF(OR(ISBLANK($BL$100)), "", $BL$100/1000))) = ""), 46.15,IF(ISERROR(IF(OR(ISBLANK($BL$100)), "", $BL$100/1000)), "", (IF(OR(ISBLANK($BL$100)), "", $BL$100/1000))))</f>
        <v>44.082000000000001</v>
      </c>
      <c r="BM55">
        <f>IF(OR(ISBLANK(IF(ISERROR(IF(OR(ISBLANK($BM$100)), "", $BM$100/1000)), "", (IF(OR(ISBLANK($BM$100)), "", $BM$100/1000)))), IF(ISERROR(IF(OR(ISBLANK($BM$100)), "", $BM$100/1000)), "", (IF(OR(ISBLANK($BM$100)), "", $BM$100/1000))) = ""), 46.15,IF(ISERROR(IF(OR(ISBLANK($BM$100)), "", $BM$100/1000)), "", (IF(OR(ISBLANK($BM$100)), "", $BM$100/1000))))</f>
        <v>44.082000000000001</v>
      </c>
      <c r="BN55">
        <f>IF(OR(ISBLANK(IF(ISERROR(IF(OR(ISBLANK($BN$100)), "", $BN$100/1000)), "", (IF(OR(ISBLANK($BN$100)), "", $BN$100/1000)))), IF(ISERROR(IF(OR(ISBLANK($BN$100)), "", $BN$100/1000)), "", (IF(OR(ISBLANK($BN$100)), "", $BN$100/1000))) = ""), 46.364,IF(ISERROR(IF(OR(ISBLANK($BN$100)), "", $BN$100/1000)), "", (IF(OR(ISBLANK($BN$100)), "", $BN$100/1000))))</f>
        <v>44.337000000000003</v>
      </c>
      <c r="BO55">
        <f>IF(OR(ISBLANK(IF(ISERROR(IF(OR(ISBLANK($BO$100)), "", $BO$100/1000)), "", (IF(OR(ISBLANK($BO$100)), "", $BO$100/1000)))), IF(ISERROR(IF(OR(ISBLANK($BO$100)), "", $BO$100/1000)), "", (IF(OR(ISBLANK($BO$100)), "", $BO$100/1000))) = ""), 46.781,IF(ISERROR(IF(OR(ISBLANK($BO$100)), "", $BO$100/1000)), "", (IF(OR(ISBLANK($BO$100)), "", $BO$100/1000))))</f>
        <v>44.73</v>
      </c>
      <c r="BP55">
        <f>IF(OR(ISBLANK(IF(ISERROR(IF(OR(ISBLANK($BP$100)), "", $BP$100/1000)), "", (IF(OR(ISBLANK($BP$100)), "", $BP$100/1000)))), IF(ISERROR(IF(OR(ISBLANK($BP$100)), "", $BP$100/1000)), "", (IF(OR(ISBLANK($BP$100)), "", $BP$100/1000))) = ""), 46.781,IF(ISERROR(IF(OR(ISBLANK($BP$100)), "", $BP$100/1000)), "", (IF(OR(ISBLANK($BP$100)), "", $BP$100/1000))))</f>
        <v>44.978999999999999</v>
      </c>
      <c r="BQ55">
        <f>IF(OR(ISBLANK(IF(ISERROR(IF(OR(ISBLANK($BQ$100)), "", $BQ$100/1000)), "", (IF(OR(ISBLANK($BQ$100)), "", $BQ$100/1000)))), IF(ISERROR(IF(OR(ISBLANK($BQ$100)), "", $BQ$100/1000)), "", (IF(OR(ISBLANK($BQ$100)), "", $BQ$100/1000))) = ""), 47.002,IF(ISERROR(IF(OR(ISBLANK($BQ$100)), "", $BQ$100/1000)), "", (IF(OR(ISBLANK($BQ$100)), "", $BQ$100/1000))))</f>
        <v>45.259</v>
      </c>
      <c r="BR55">
        <f>IF(OR(ISBLANK(IF(ISERROR(IF(OR(ISBLANK($BR$100)), "", $BR$100/1000)), "", (IF(OR(ISBLANK($BR$100)), "", $BR$100/1000)))), IF(ISERROR(IF(OR(ISBLANK($BR$100)), "", $BR$100/1000)), "", (IF(OR(ISBLANK($BR$100)), "", $BR$100/1000))) = ""), 47.302,IF(ISERROR(IF(OR(ISBLANK($BR$100)), "", $BR$100/1000)), "", (IF(OR(ISBLANK($BR$100)), "", $BR$100/1000))))</f>
        <v>45.44</v>
      </c>
      <c r="BS55">
        <f>IF(OR(ISBLANK(IF(ISERROR(IF(OR(ISBLANK($BS$100)), "", $BS$100/1000)), "", (IF(OR(ISBLANK($BS$100)), "", $BS$100/1000)))), IF(ISERROR(IF(OR(ISBLANK($BS$100)), "", $BS$100/1000)), "", (IF(OR(ISBLANK($BS$100)), "", $BS$100/1000))) = ""), 47.349,IF(ISERROR(IF(OR(ISBLANK($BS$100)), "", $BS$100/1000)), "", (IF(OR(ISBLANK($BS$100)), "", $BS$100/1000))))</f>
        <v>45.44</v>
      </c>
      <c r="BT55">
        <f>IF(OR(ISBLANK(IF(ISERROR(IF(OR(ISBLANK($BT$100)), "", $BT$100/1000)), "", (IF(OR(ISBLANK($BT$100)), "", $BT$100/1000)))), IF(ISERROR(IF(OR(ISBLANK($BT$100)), "", $BT$100/1000)), "", (IF(OR(ISBLANK($BT$100)), "", $BT$100/1000))) = ""), 47.667,IF(ISERROR(IF(OR(ISBLANK($BT$100)), "", $BT$100/1000)), "", (IF(OR(ISBLANK($BT$100)), "", $BT$100/1000))))</f>
        <v>45.618000000000002</v>
      </c>
      <c r="BU55">
        <f>IF(OR(ISBLANK(IF(ISERROR(IF(OR(ISBLANK($BU$100)), "", $BU$100/1000)), "", (IF(OR(ISBLANK($BU$100)), "", $BU$100/1000)))), IF(ISERROR(IF(OR(ISBLANK($BU$100)), "", $BU$100/1000)), "", (IF(OR(ISBLANK($BU$100)), "", $BU$100/1000))) = ""), 47.732,IF(ISERROR(IF(OR(ISBLANK($BU$100)), "", $BU$100/1000)), "", (IF(OR(ISBLANK($BU$100)), "", $BU$100/1000))))</f>
        <v>46</v>
      </c>
      <c r="BV55">
        <f>IF(OR(ISBLANK(IF(ISERROR(IF(OR(ISBLANK($BV$100)), "", $BV$100/1000)), "", (IF(OR(ISBLANK($BV$100)), "", $BV$100/1000)))), IF(ISERROR(IF(OR(ISBLANK($BV$100)), "", $BV$100/1000)), "", (IF(OR(ISBLANK($BV$100)), "", $BV$100/1000))) = ""), 47.99,IF(ISERROR(IF(OR(ISBLANK($BV$100)), "", $BV$100/1000)), "", (IF(OR(ISBLANK($BV$100)), "", $BV$100/1000))))</f>
        <v>46.15</v>
      </c>
      <c r="BW55">
        <f>IF(OR(ISBLANK(IF(ISERROR(IF(OR(ISBLANK($BW$100)), "", $BW$100/1000)), "", (IF(OR(ISBLANK($BW$100)), "", $BW$100/1000)))), IF(ISERROR(IF(OR(ISBLANK($BW$100)), "", $BW$100/1000)), "", (IF(OR(ISBLANK($BW$100)), "", $BW$100/1000))) = ""), 48.043,IF(ISERROR(IF(OR(ISBLANK($BW$100)), "", $BW$100/1000)), "", (IF(OR(ISBLANK($BW$100)), "", $BW$100/1000))))</f>
        <v>46.15</v>
      </c>
      <c r="BX55">
        <f>IF(OR(ISBLANK(IF(ISERROR(IF(OR(ISBLANK($BX$100)), "", $BX$100/1000)), "", (IF(OR(ISBLANK($BX$100)), "", $BX$100/1000)))), IF(ISERROR(IF(OR(ISBLANK($BX$100)), "", $BX$100/1000)), "", (IF(OR(ISBLANK($BX$100)), "", $BX$100/1000))) = ""), 48.354,IF(ISERROR(IF(OR(ISBLANK($BX$100)), "", $BX$100/1000)), "", (IF(OR(ISBLANK($BX$100)), "", $BX$100/1000))))</f>
        <v>46.15</v>
      </c>
      <c r="BY55">
        <f>IF(OR(ISBLANK(IF(ISERROR(IF(OR(ISBLANK($BY$100)), "", $BY$100/1000)), "", (IF(OR(ISBLANK($BY$100)), "", $BY$100/1000)))), IF(ISERROR(IF(OR(ISBLANK($BY$100)), "", $BY$100/1000)), "", (IF(OR(ISBLANK($BY$100)), "", $BY$100/1000))) = ""), 48.845,IF(ISERROR(IF(OR(ISBLANK($BY$100)), "", $BY$100/1000)), "", (IF(OR(ISBLANK($BY$100)), "", $BY$100/1000))))</f>
        <v>46.363999999999997</v>
      </c>
      <c r="BZ55">
        <f>IF(OR(ISBLANK(IF(ISERROR(IF(OR(ISBLANK($BZ$100)), "", $BZ$100/1000)), "", (IF(OR(ISBLANK($BZ$100)), "", $BZ$100/1000)))), IF(ISERROR(IF(OR(ISBLANK($BZ$100)), "", $BZ$100/1000)), "", (IF(OR(ISBLANK($BZ$100)), "", $BZ$100/1000))) = ""), 48.941,IF(ISERROR(IF(OR(ISBLANK($BZ$100)), "", $BZ$100/1000)), "", (IF(OR(ISBLANK($BZ$100)), "", $BZ$100/1000))))</f>
        <v>46.780999999999999</v>
      </c>
      <c r="CA55">
        <f>IF(OR(ISBLANK(IF(ISERROR(IF(OR(ISBLANK($CA$100)), "", $CA$100/1000)), "", (IF(OR(ISBLANK($CA$100)), "", $CA$100/1000)))), IF(ISERROR(IF(OR(ISBLANK($CA$100)), "", $CA$100/1000)), "", (IF(OR(ISBLANK($CA$100)), "", $CA$100/1000))) = ""), 49.149,IF(ISERROR(IF(OR(ISBLANK($CA$100)), "", $CA$100/1000)), "", (IF(OR(ISBLANK($CA$100)), "", $CA$100/1000))))</f>
        <v>46.780999999999999</v>
      </c>
      <c r="CB55">
        <f>IF(OR(ISBLANK(IF(ISERROR(IF(OR(ISBLANK($CB$100)), "", $CB$100/1000)), "", (IF(OR(ISBLANK($CB$100)), "", $CB$100/1000)))), IF(ISERROR(IF(OR(ISBLANK($CB$100)), "", $CB$100/1000)), "", (IF(OR(ISBLANK($CB$100)), "", $CB$100/1000))) = ""), 50.162,IF(ISERROR(IF(OR(ISBLANK($CB$100)), "", $CB$100/1000)), "", (IF(OR(ISBLANK($CB$100)), "", $CB$100/1000))))</f>
        <v>47.002000000000002</v>
      </c>
      <c r="CC55">
        <f>IF(OR(ISBLANK(IF(ISERROR(IF(OR(ISBLANK($CC$100)), "", $CC$100/1000)), "", (IF(OR(ISBLANK($CC$100)), "", $CC$100/1000)))), IF(ISERROR(IF(OR(ISBLANK($CC$100)), "", $CC$100/1000)), "", (IF(OR(ISBLANK($CC$100)), "", $CC$100/1000))) = ""), 51.085,IF(ISERROR(IF(OR(ISBLANK($CC$100)), "", $CC$100/1000)), "", (IF(OR(ISBLANK($CC$100)), "", $CC$100/1000))))</f>
        <v>47.302</v>
      </c>
      <c r="CD55">
        <f>IF(OR(ISBLANK(IF(ISERROR(IF(OR(ISBLANK($CD$100)), "", $CD$100/1000)), "", (IF(OR(ISBLANK($CD$100)), "", $CD$100/1000)))), IF(ISERROR(IF(OR(ISBLANK($CD$100)), "", $CD$100/1000)), "", (IF(OR(ISBLANK($CD$100)), "", $CD$100/1000))) = ""), 51.464,IF(ISERROR(IF(OR(ISBLANK($CD$100)), "", $CD$100/1000)), "", (IF(OR(ISBLANK($CD$100)), "", $CD$100/1000))))</f>
        <v>47.348999999999997</v>
      </c>
      <c r="CE55">
        <f>IF(OR(ISBLANK(IF(ISERROR(IF(OR(ISBLANK($CE$100)), "", $CE$100/1000)), "", (IF(OR(ISBLANK($CE$100)), "", $CE$100/1000)))), IF(ISERROR(IF(OR(ISBLANK($CE$100)), "", $CE$100/1000)), "", (IF(OR(ISBLANK($CE$100)), "", $CE$100/1000))) = ""), 51.759,IF(ISERROR(IF(OR(ISBLANK($CE$100)), "", $CE$100/1000)), "", (IF(OR(ISBLANK($CE$100)), "", $CE$100/1000))))</f>
        <v>47.667000000000002</v>
      </c>
      <c r="CF55">
        <f>IF(OR(ISBLANK(IF(ISERROR(IF(OR(ISBLANK($CF$100)), "", $CF$100/1000)), "", (IF(OR(ISBLANK($CF$100)), "", $CF$100/1000)))), IF(ISERROR(IF(OR(ISBLANK($CF$100)), "", $CF$100/1000)), "", (IF(OR(ISBLANK($CF$100)), "", $CF$100/1000))) = ""), 52.069,IF(ISERROR(IF(OR(ISBLANK($CF$100)), "", $CF$100/1000)), "", (IF(OR(ISBLANK($CF$100)), "", $CF$100/1000))))</f>
        <v>47.731999999999999</v>
      </c>
      <c r="CG55">
        <f>IF(OR(ISBLANK(IF(ISERROR(IF(OR(ISBLANK($CG$100)), "", $CG$100/1000)), "", (IF(OR(ISBLANK($CG$100)), "", $CG$100/1000)))), IF(ISERROR(IF(OR(ISBLANK($CG$100)), "", $CG$100/1000)), "", (IF(OR(ISBLANK($CG$100)), "", $CG$100/1000))) = ""), 52.069,IF(ISERROR(IF(OR(ISBLANK($CG$100)), "", $CG$100/1000)), "", (IF(OR(ISBLANK($CG$100)), "", $CG$100/1000))))</f>
        <v>47.99</v>
      </c>
    </row>
    <row r="56" spans="1:85" x14ac:dyDescent="0.25">
      <c r="A56" t="str">
        <f>"    Covered Bond Purchase Programme 2"</f>
        <v xml:space="preserve">    Covered Bond Purchase Programme 2</v>
      </c>
      <c r="B56" t="str">
        <f>"ECBCBND2 Index"</f>
        <v>ECBCBND2 Index</v>
      </c>
      <c r="C56" t="str">
        <f>""</f>
        <v/>
      </c>
      <c r="D56" t="str">
        <f>""</f>
        <v/>
      </c>
      <c r="E56" t="str">
        <f>"Expression"</f>
        <v>Expression</v>
      </c>
      <c r="F56" t="str">
        <f ca="1">IF(OR(ISBLANK(IF(ISERROR(IF(OR(ISBLANK($F$101)), "", $F$101/1000)), "", (IF(OR(ISBLANK($F$101)), "", $F$101/1000)))), IF(ISERROR(IF(OR(ISBLANK($F$101)), "", $F$101/1000)), "", (IF(OR(ISBLANK($F$101)), "", $F$101/1000))) = ""), "",IF(ISERROR(IF(OR(ISBLANK($F$101)), "", $F$101/1000)), "", (IF(OR(ISBLANK($F$101)), "", $F$101/1000))))</f>
        <v/>
      </c>
      <c r="G56">
        <f>IF(OR(ISBLANK(IF(ISERROR(IF(OR(ISBLANK($G$101)), "", $G$101/1000)), "", (IF(OR(ISBLANK($G$101)), "", $G$101/1000)))), IF(ISERROR(IF(OR(ISBLANK($G$101)), "", $G$101/1000)), "", (IF(OR(ISBLANK($G$101)), "", $G$101/1000))) = ""), 14.188,IF(ISERROR(IF(OR(ISBLANK($G$101)), "", $G$101/1000)), "", (IF(OR(ISBLANK($G$101)), "", $G$101/1000))))</f>
        <v>13.829000000000001</v>
      </c>
      <c r="H56">
        <f>IF(OR(ISBLANK(IF(ISERROR(IF(OR(ISBLANK($H$101)), "", $H$101/1000)), "", (IF(OR(ISBLANK($H$101)), "", $H$101/1000)))), IF(ISERROR(IF(OR(ISBLANK($H$101)), "", $H$101/1000)), "", (IF(OR(ISBLANK($H$101)), "", $H$101/1000))) = ""), 14.188,IF(ISERROR(IF(OR(ISBLANK($H$101)), "", $H$101/1000)), "", (IF(OR(ISBLANK($H$101)), "", $H$101/1000))))</f>
        <v>13.829000000000001</v>
      </c>
      <c r="I56">
        <f>IF(OR(ISBLANK(IF(ISERROR(IF(OR(ISBLANK($I$101)), "", $I$101/1000)), "", (IF(OR(ISBLANK($I$101)), "", $I$101/1000)))), IF(ISERROR(IF(OR(ISBLANK($I$101)), "", $I$101/1000)), "", (IF(OR(ISBLANK($I$101)), "", $I$101/1000))) = ""), 14.233,IF(ISERROR(IF(OR(ISBLANK($I$101)), "", $I$101/1000)), "", (IF(OR(ISBLANK($I$101)), "", $I$101/1000))))</f>
        <v>13.829000000000001</v>
      </c>
      <c r="J56">
        <f>IF(OR(ISBLANK(IF(ISERROR(IF(OR(ISBLANK($J$101)), "", $J$101/1000)), "", (IF(OR(ISBLANK($J$101)), "", $J$101/1000)))), IF(ISERROR(IF(OR(ISBLANK($J$101)), "", $J$101/1000)), "", (IF(OR(ISBLANK($J$101)), "", $J$101/1000))) = ""), 14.257,IF(ISERROR(IF(OR(ISBLANK($J$101)), "", $J$101/1000)), "", (IF(OR(ISBLANK($J$101)), "", $J$101/1000))))</f>
        <v>13.829000000000001</v>
      </c>
      <c r="K56">
        <f>IF(OR(ISBLANK(IF(ISERROR(IF(OR(ISBLANK($K$101)), "", $K$101/1000)), "", (IF(OR(ISBLANK($K$101)), "", $K$101/1000)))), IF(ISERROR(IF(OR(ISBLANK($K$101)), "", $K$101/1000)), "", (IF(OR(ISBLANK($K$101)), "", $K$101/1000))) = ""), 14.364,IF(ISERROR(IF(OR(ISBLANK($K$101)), "", $K$101/1000)), "", (IF(OR(ISBLANK($K$101)), "", $K$101/1000))))</f>
        <v>13.829000000000001</v>
      </c>
      <c r="L56">
        <f>IF(OR(ISBLANK(IF(ISERROR(IF(OR(ISBLANK($L$101)), "", $L$101/1000)), "", (IF(OR(ISBLANK($L$101)), "", $L$101/1000)))), IF(ISERROR(IF(OR(ISBLANK($L$101)), "", $L$101/1000)), "", (IF(OR(ISBLANK($L$101)), "", $L$101/1000))) = ""), 14.364,IF(ISERROR(IF(OR(ISBLANK($L$101)), "", $L$101/1000)), "", (IF(OR(ISBLANK($L$101)), "", $L$101/1000))))</f>
        <v>13.829000000000001</v>
      </c>
      <c r="M56">
        <f>IF(OR(ISBLANK(IF(ISERROR(IF(OR(ISBLANK($M$101)), "", $M$101/1000)), "", (IF(OR(ISBLANK($M$101)), "", $M$101/1000)))), IF(ISERROR(IF(OR(ISBLANK($M$101)), "", $M$101/1000)), "", (IF(OR(ISBLANK($M$101)), "", $M$101/1000))) = ""), 14.364,IF(ISERROR(IF(OR(ISBLANK($M$101)), "", $M$101/1000)), "", (IF(OR(ISBLANK($M$101)), "", $M$101/1000))))</f>
        <v>13.972</v>
      </c>
      <c r="N56">
        <f>IF(OR(ISBLANK(IF(ISERROR(IF(OR(ISBLANK($N$101)), "", $N$101/1000)), "", (IF(OR(ISBLANK($N$101)), "", $N$101/1000)))), IF(ISERROR(IF(OR(ISBLANK($N$101)), "", $N$101/1000)), "", (IF(OR(ISBLANK($N$101)), "", $N$101/1000))) = ""), 14.407,IF(ISERROR(IF(OR(ISBLANK($N$101)), "", $N$101/1000)), "", (IF(OR(ISBLANK($N$101)), "", $N$101/1000))))</f>
        <v>14.002000000000001</v>
      </c>
      <c r="O56">
        <f>IF(OR(ISBLANK(IF(ISERROR(IF(OR(ISBLANK($O$101)), "", $O$101/1000)), "", (IF(OR(ISBLANK($O$101)), "", $O$101/1000)))), IF(ISERROR(IF(OR(ISBLANK($O$101)), "", $O$101/1000)), "", (IF(OR(ISBLANK($O$101)), "", $O$101/1000))) = ""), 14.407,IF(ISERROR(IF(OR(ISBLANK($O$101)), "", $O$101/1000)), "", (IF(OR(ISBLANK($O$101)), "", $O$101/1000))))</f>
        <v>14.08</v>
      </c>
      <c r="P56">
        <f>IF(OR(ISBLANK(IF(ISERROR(IF(OR(ISBLANK($P$101)), "", $P$101/1000)), "", (IF(OR(ISBLANK($P$101)), "", $P$101/1000)))), IF(ISERROR(IF(OR(ISBLANK($P$101)), "", $P$101/1000)), "", (IF(OR(ISBLANK($P$101)), "", $P$101/1000))) = ""), 14.407,IF(ISERROR(IF(OR(ISBLANK($P$101)), "", $P$101/1000)), "", (IF(OR(ISBLANK($P$101)), "", $P$101/1000))))</f>
        <v>14.089</v>
      </c>
      <c r="Q56">
        <f>IF(OR(ISBLANK(IF(ISERROR(IF(OR(ISBLANK($Q$101)), "", $Q$101/1000)), "", (IF(OR(ISBLANK($Q$101)), "", $Q$101/1000)))), IF(ISERROR(IF(OR(ISBLANK($Q$101)), "", $Q$101/1000)), "", (IF(OR(ISBLANK($Q$101)), "", $Q$101/1000))) = ""), 14.407,IF(ISERROR(IF(OR(ISBLANK($Q$101)), "", $Q$101/1000)), "", (IF(OR(ISBLANK($Q$101)), "", $Q$101/1000))))</f>
        <v>14.188000000000001</v>
      </c>
      <c r="R56">
        <f>IF(OR(ISBLANK(IF(ISERROR(IF(OR(ISBLANK($R$101)), "", $R$101/1000)), "", (IF(OR(ISBLANK($R$101)), "", $R$101/1000)))), IF(ISERROR(IF(OR(ISBLANK($R$101)), "", $R$101/1000)), "", (IF(OR(ISBLANK($R$101)), "", $R$101/1000))) = ""), 14.552,IF(ISERROR(IF(OR(ISBLANK($R$101)), "", $R$101/1000)), "", (IF(OR(ISBLANK($R$101)), "", $R$101/1000))))</f>
        <v>14.188000000000001</v>
      </c>
      <c r="S56">
        <f>IF(OR(ISBLANK(IF(ISERROR(IF(OR(ISBLANK($S$101)), "", $S$101/1000)), "", (IF(OR(ISBLANK($S$101)), "", $S$101/1000)))), IF(ISERROR(IF(OR(ISBLANK($S$101)), "", $S$101/1000)), "", (IF(OR(ISBLANK($S$101)), "", $S$101/1000))) = ""), 14.716,IF(ISERROR(IF(OR(ISBLANK($S$101)), "", $S$101/1000)), "", (IF(OR(ISBLANK($S$101)), "", $S$101/1000))))</f>
        <v>14.188000000000001</v>
      </c>
      <c r="T56">
        <f>IF(OR(ISBLANK(IF(ISERROR(IF(OR(ISBLANK($T$101)), "", $T$101/1000)), "", (IF(OR(ISBLANK($T$101)), "", $T$101/1000)))), IF(ISERROR(IF(OR(ISBLANK($T$101)), "", $T$101/1000)), "", (IF(OR(ISBLANK($T$101)), "", $T$101/1000))) = ""), 14.793,IF(ISERROR(IF(OR(ISBLANK($T$101)), "", $T$101/1000)), "", (IF(OR(ISBLANK($T$101)), "", $T$101/1000))))</f>
        <v>14.233000000000001</v>
      </c>
      <c r="U56">
        <f>IF(OR(ISBLANK(IF(ISERROR(IF(OR(ISBLANK($U$101)), "", $U$101/1000)), "", (IF(OR(ISBLANK($U$101)), "", $U$101/1000)))), IF(ISERROR(IF(OR(ISBLANK($U$101)), "", $U$101/1000)), "", (IF(OR(ISBLANK($U$101)), "", $U$101/1000))) = ""), 14.814,IF(ISERROR(IF(OR(ISBLANK($U$101)), "", $U$101/1000)), "", (IF(OR(ISBLANK($U$101)), "", $U$101/1000))))</f>
        <v>14.257</v>
      </c>
      <c r="V56">
        <f>IF(OR(ISBLANK(IF(ISERROR(IF(OR(ISBLANK($V$101)), "", $V$101/1000)), "", (IF(OR(ISBLANK($V$101)), "", $V$101/1000)))), IF(ISERROR(IF(OR(ISBLANK($V$101)), "", $V$101/1000)), "", (IF(OR(ISBLANK($V$101)), "", $V$101/1000))) = ""), 14.814,IF(ISERROR(IF(OR(ISBLANK($V$101)), "", $V$101/1000)), "", (IF(OR(ISBLANK($V$101)), "", $V$101/1000))))</f>
        <v>14.364000000000001</v>
      </c>
      <c r="W56">
        <f>IF(OR(ISBLANK(IF(ISERROR(IF(OR(ISBLANK($W$101)), "", $W$101/1000)), "", (IF(OR(ISBLANK($W$101)), "", $W$101/1000)))), IF(ISERROR(IF(OR(ISBLANK($W$101)), "", $W$101/1000)), "", (IF(OR(ISBLANK($W$101)), "", $W$101/1000))) = ""), 14.814,IF(ISERROR(IF(OR(ISBLANK($W$101)), "", $W$101/1000)), "", (IF(OR(ISBLANK($W$101)), "", $W$101/1000))))</f>
        <v>14.364000000000001</v>
      </c>
      <c r="X56">
        <f>IF(OR(ISBLANK(IF(ISERROR(IF(OR(ISBLANK($X$101)), "", $X$101/1000)), "", (IF(OR(ISBLANK($X$101)), "", $X$101/1000)))), IF(ISERROR(IF(OR(ISBLANK($X$101)), "", $X$101/1000)), "", (IF(OR(ISBLANK($X$101)), "", $X$101/1000))) = ""), 14.866,IF(ISERROR(IF(OR(ISBLANK($X$101)), "", $X$101/1000)), "", (IF(OR(ISBLANK($X$101)), "", $X$101/1000))))</f>
        <v>14.364000000000001</v>
      </c>
      <c r="Y56">
        <f>IF(OR(ISBLANK(IF(ISERROR(IF(OR(ISBLANK($Y$101)), "", $Y$101/1000)), "", (IF(OR(ISBLANK($Y$101)), "", $Y$101/1000)))), IF(ISERROR(IF(OR(ISBLANK($Y$101)), "", $Y$101/1000)), "", (IF(OR(ISBLANK($Y$101)), "", $Y$101/1000))) = ""), 14.949,IF(ISERROR(IF(OR(ISBLANK($Y$101)), "", $Y$101/1000)), "", (IF(OR(ISBLANK($Y$101)), "", $Y$101/1000))))</f>
        <v>14.407</v>
      </c>
      <c r="Z56">
        <f>IF(OR(ISBLANK(IF(ISERROR(IF(OR(ISBLANK($Z$101)), "", $Z$101/1000)), "", (IF(OR(ISBLANK($Z$101)), "", $Z$101/1000)))), IF(ISERROR(IF(OR(ISBLANK($Z$101)), "", $Z$101/1000)), "", (IF(OR(ISBLANK($Z$101)), "", $Z$101/1000))) = ""), 15.137,IF(ISERROR(IF(OR(ISBLANK($Z$101)), "", $Z$101/1000)), "", (IF(OR(ISBLANK($Z$101)), "", $Z$101/1000))))</f>
        <v>14.407</v>
      </c>
      <c r="AA56">
        <f>IF(OR(ISBLANK(IF(ISERROR(IF(OR(ISBLANK($AA$101)), "", $AA$101/1000)), "", (IF(OR(ISBLANK($AA$101)), "", $AA$101/1000)))), IF(ISERROR(IF(OR(ISBLANK($AA$101)), "", $AA$101/1000)), "", (IF(OR(ISBLANK($AA$101)), "", $AA$101/1000))) = ""), 15.225,IF(ISERROR(IF(OR(ISBLANK($AA$101)), "", $AA$101/1000)), "", (IF(OR(ISBLANK($AA$101)), "", $AA$101/1000))))</f>
        <v>14.407</v>
      </c>
      <c r="AB56">
        <f>IF(OR(ISBLANK(IF(ISERROR(IF(OR(ISBLANK($AB$101)), "", $AB$101/1000)), "", (IF(OR(ISBLANK($AB$101)), "", $AB$101/1000)))), IF(ISERROR(IF(OR(ISBLANK($AB$101)), "", $AB$101/1000)), "", (IF(OR(ISBLANK($AB$101)), "", $AB$101/1000))) = ""), 15.245,IF(ISERROR(IF(OR(ISBLANK($AB$101)), "", $AB$101/1000)), "", (IF(OR(ISBLANK($AB$101)), "", $AB$101/1000))))</f>
        <v>14.407</v>
      </c>
      <c r="AC56">
        <f>IF(OR(ISBLANK(IF(ISERROR(IF(OR(ISBLANK($AC$101)), "", $AC$101/1000)), "", (IF(OR(ISBLANK($AC$101)), "", $AC$101/1000)))), IF(ISERROR(IF(OR(ISBLANK($AC$101)), "", $AC$101/1000)), "", (IF(OR(ISBLANK($AC$101)), "", $AC$101/1000))) = ""), 15.245,IF(ISERROR(IF(OR(ISBLANK($AC$101)), "", $AC$101/1000)), "", (IF(OR(ISBLANK($AC$101)), "", $AC$101/1000))))</f>
        <v>14.552</v>
      </c>
      <c r="AD56">
        <f>IF(OR(ISBLANK(IF(ISERROR(IF(OR(ISBLANK($AD$101)), "", $AD$101/1000)), "", (IF(OR(ISBLANK($AD$101)), "", $AD$101/1000)))), IF(ISERROR(IF(OR(ISBLANK($AD$101)), "", $AD$101/1000)), "", (IF(OR(ISBLANK($AD$101)), "", $AD$101/1000))) = ""), 15.446,IF(ISERROR(IF(OR(ISBLANK($AD$101)), "", $AD$101/1000)), "", (IF(OR(ISBLANK($AD$101)), "", $AD$101/1000))))</f>
        <v>14.715999999999999</v>
      </c>
      <c r="AE56">
        <f>IF(OR(ISBLANK(IF(ISERROR(IF(OR(ISBLANK($AE$101)), "", $AE$101/1000)), "", (IF(OR(ISBLANK($AE$101)), "", $AE$101/1000)))), IF(ISERROR(IF(OR(ISBLANK($AE$101)), "", $AE$101/1000)), "", (IF(OR(ISBLANK($AE$101)), "", $AE$101/1000))) = ""), 15.446,IF(ISERROR(IF(OR(ISBLANK($AE$101)), "", $AE$101/1000)), "", (IF(OR(ISBLANK($AE$101)), "", $AE$101/1000))))</f>
        <v>14.792999999999999</v>
      </c>
      <c r="AF56">
        <f>IF(OR(ISBLANK(IF(ISERROR(IF(OR(ISBLANK($AF$101)), "", $AF$101/1000)), "", (IF(OR(ISBLANK($AF$101)), "", $AF$101/1000)))), IF(ISERROR(IF(OR(ISBLANK($AF$101)), "", $AF$101/1000)), "", (IF(OR(ISBLANK($AF$101)), "", $AF$101/1000))) = ""), 15.448,IF(ISERROR(IF(OR(ISBLANK($AF$101)), "", $AF$101/1000)), "", (IF(OR(ISBLANK($AF$101)), "", $AF$101/1000))))</f>
        <v>14.814</v>
      </c>
      <c r="AG56">
        <f>IF(OR(ISBLANK(IF(ISERROR(IF(OR(ISBLANK($AG$101)), "", $AG$101/1000)), "", (IF(OR(ISBLANK($AG$101)), "", $AG$101/1000)))), IF(ISERROR(IF(OR(ISBLANK($AG$101)), "", $AG$101/1000)), "", (IF(OR(ISBLANK($AG$101)), "", $AG$101/1000))) = ""), 15.448,IF(ISERROR(IF(OR(ISBLANK($AG$101)), "", $AG$101/1000)), "", (IF(OR(ISBLANK($AG$101)), "", $AG$101/1000))))</f>
        <v>14.814</v>
      </c>
      <c r="AH56">
        <f>IF(OR(ISBLANK(IF(ISERROR(IF(OR(ISBLANK($AH$101)), "", $AH$101/1000)), "", (IF(OR(ISBLANK($AH$101)), "", $AH$101/1000)))), IF(ISERROR(IF(OR(ISBLANK($AH$101)), "", $AH$101/1000)), "", (IF(OR(ISBLANK($AH$101)), "", $AH$101/1000))) = ""), 15.448,IF(ISERROR(IF(OR(ISBLANK($AH$101)), "", $AH$101/1000)), "", (IF(OR(ISBLANK($AH$101)), "", $AH$101/1000))))</f>
        <v>14.814</v>
      </c>
      <c r="AI56">
        <f>IF(OR(ISBLANK(IF(ISERROR(IF(OR(ISBLANK($AI$101)), "", $AI$101/1000)), "", (IF(OR(ISBLANK($AI$101)), "", $AI$101/1000)))), IF(ISERROR(IF(OR(ISBLANK($AI$101)), "", $AI$101/1000)), "", (IF(OR(ISBLANK($AI$101)), "", $AI$101/1000))) = ""), 15.448,IF(ISERROR(IF(OR(ISBLANK($AI$101)), "", $AI$101/1000)), "", (IF(OR(ISBLANK($AI$101)), "", $AI$101/1000))))</f>
        <v>14.866</v>
      </c>
      <c r="AJ56">
        <f>IF(OR(ISBLANK(IF(ISERROR(IF(OR(ISBLANK($AJ$101)), "", $AJ$101/1000)), "", (IF(OR(ISBLANK($AJ$101)), "", $AJ$101/1000)))), IF(ISERROR(IF(OR(ISBLANK($AJ$101)), "", $AJ$101/1000)), "", (IF(OR(ISBLANK($AJ$101)), "", $AJ$101/1000))) = ""), 15.448,IF(ISERROR(IF(OR(ISBLANK($AJ$101)), "", $AJ$101/1000)), "", (IF(OR(ISBLANK($AJ$101)), "", $AJ$101/1000))))</f>
        <v>14.949</v>
      </c>
      <c r="AK56">
        <f>IF(OR(ISBLANK(IF(ISERROR(IF(OR(ISBLANK($AK$101)), "", $AK$101/1000)), "", (IF(OR(ISBLANK($AK$101)), "", $AK$101/1000)))), IF(ISERROR(IF(OR(ISBLANK($AK$101)), "", $AK$101/1000)), "", (IF(OR(ISBLANK($AK$101)), "", $AK$101/1000))) = ""), 15.448,IF(ISERROR(IF(OR(ISBLANK($AK$101)), "", $AK$101/1000)), "", (IF(OR(ISBLANK($AK$101)), "", $AK$101/1000))))</f>
        <v>15.137</v>
      </c>
      <c r="AL56">
        <f>IF(OR(ISBLANK(IF(ISERROR(IF(OR(ISBLANK($AL$101)), "", $AL$101/1000)), "", (IF(OR(ISBLANK($AL$101)), "", $AL$101/1000)))), IF(ISERROR(IF(OR(ISBLANK($AL$101)), "", $AL$101/1000)), "", (IF(OR(ISBLANK($AL$101)), "", $AL$101/1000))) = ""), 15.463,IF(ISERROR(IF(OR(ISBLANK($AL$101)), "", $AL$101/1000)), "", (IF(OR(ISBLANK($AL$101)), "", $AL$101/1000))))</f>
        <v>15.225</v>
      </c>
      <c r="AM56">
        <f>IF(OR(ISBLANK(IF(ISERROR(IF(OR(ISBLANK($AM$101)), "", $AM$101/1000)), "", (IF(OR(ISBLANK($AM$101)), "", $AM$101/1000)))), IF(ISERROR(IF(OR(ISBLANK($AM$101)), "", $AM$101/1000)), "", (IF(OR(ISBLANK($AM$101)), "", $AM$101/1000))) = ""), 15.463,IF(ISERROR(IF(OR(ISBLANK($AM$101)), "", $AM$101/1000)), "", (IF(OR(ISBLANK($AM$101)), "", $AM$101/1000))))</f>
        <v>15.244999999999999</v>
      </c>
      <c r="AN56">
        <f>IF(OR(ISBLANK(IF(ISERROR(IF(OR(ISBLANK($AN$101)), "", $AN$101/1000)), "", (IF(OR(ISBLANK($AN$101)), "", $AN$101/1000)))), IF(ISERROR(IF(OR(ISBLANK($AN$101)), "", $AN$101/1000)), "", (IF(OR(ISBLANK($AN$101)), "", $AN$101/1000))) = ""), 15.493,IF(ISERROR(IF(OR(ISBLANK($AN$101)), "", $AN$101/1000)), "", (IF(OR(ISBLANK($AN$101)), "", $AN$101/1000))))</f>
        <v>15.244999999999999</v>
      </c>
      <c r="AO56">
        <f>IF(OR(ISBLANK(IF(ISERROR(IF(OR(ISBLANK($AO$101)), "", $AO$101/1000)), "", (IF(OR(ISBLANK($AO$101)), "", $AO$101/1000)))), IF(ISERROR(IF(OR(ISBLANK($AO$101)), "", $AO$101/1000)), "", (IF(OR(ISBLANK($AO$101)), "", $AO$101/1000))) = ""), 15.533,IF(ISERROR(IF(OR(ISBLANK($AO$101)), "", $AO$101/1000)), "", (IF(OR(ISBLANK($AO$101)), "", $AO$101/1000))))</f>
        <v>15.446</v>
      </c>
      <c r="AP56">
        <f>IF(OR(ISBLANK(IF(ISERROR(IF(OR(ISBLANK($AP$101)), "", $AP$101/1000)), "", (IF(OR(ISBLANK($AP$101)), "", $AP$101/1000)))), IF(ISERROR(IF(OR(ISBLANK($AP$101)), "", $AP$101/1000)), "", (IF(OR(ISBLANK($AP$101)), "", $AP$101/1000))) = ""), 15.533,IF(ISERROR(IF(OR(ISBLANK($AP$101)), "", $AP$101/1000)), "", (IF(OR(ISBLANK($AP$101)), "", $AP$101/1000))))</f>
        <v>15.446</v>
      </c>
      <c r="AQ56">
        <f>IF(OR(ISBLANK(IF(ISERROR(IF(OR(ISBLANK($AQ$101)), "", $AQ$101/1000)), "", (IF(OR(ISBLANK($AQ$101)), "", $AQ$101/1000)))), IF(ISERROR(IF(OR(ISBLANK($AQ$101)), "", $AQ$101/1000)), "", (IF(OR(ISBLANK($AQ$101)), "", $AQ$101/1000))) = ""), 15.533,IF(ISERROR(IF(OR(ISBLANK($AQ$101)), "", $AQ$101/1000)), "", (IF(OR(ISBLANK($AQ$101)), "", $AQ$101/1000))))</f>
        <v>15.448</v>
      </c>
      <c r="AR56">
        <f>IF(OR(ISBLANK(IF(ISERROR(IF(OR(ISBLANK($AR$101)), "", $AR$101/1000)), "", (IF(OR(ISBLANK($AR$101)), "", $AR$101/1000)))), IF(ISERROR(IF(OR(ISBLANK($AR$101)), "", $AR$101/1000)), "", (IF(OR(ISBLANK($AR$101)), "", $AR$101/1000))) = ""), 15.653,IF(ISERROR(IF(OR(ISBLANK($AR$101)), "", $AR$101/1000)), "", (IF(OR(ISBLANK($AR$101)), "", $AR$101/1000))))</f>
        <v>15.448</v>
      </c>
      <c r="AS56">
        <f>IF(OR(ISBLANK(IF(ISERROR(IF(OR(ISBLANK($AS$101)), "", $AS$101/1000)), "", (IF(OR(ISBLANK($AS$101)), "", $AS$101/1000)))), IF(ISERROR(IF(OR(ISBLANK($AS$101)), "", $AS$101/1000)), "", (IF(OR(ISBLANK($AS$101)), "", $AS$101/1000))) = ""), 15.71,IF(ISERROR(IF(OR(ISBLANK($AS$101)), "", $AS$101/1000)), "", (IF(OR(ISBLANK($AS$101)), "", $AS$101/1000))))</f>
        <v>15.448</v>
      </c>
      <c r="AT56">
        <f>IF(OR(ISBLANK(IF(ISERROR(IF(OR(ISBLANK($AT$101)), "", $AT$101/1000)), "", (IF(OR(ISBLANK($AT$101)), "", $AT$101/1000)))), IF(ISERROR(IF(OR(ISBLANK($AT$101)), "", $AT$101/1000)), "", (IF(OR(ISBLANK($AT$101)), "", $AT$101/1000))) = ""), 15.809,IF(ISERROR(IF(OR(ISBLANK($AT$101)), "", $AT$101/1000)), "", (IF(OR(ISBLANK($AT$101)), "", $AT$101/1000))))</f>
        <v>15.448</v>
      </c>
      <c r="AU56">
        <f>IF(OR(ISBLANK(IF(ISERROR(IF(OR(ISBLANK($AU$101)), "", $AU$101/1000)), "", (IF(OR(ISBLANK($AU$101)), "", $AU$101/1000)))), IF(ISERROR(IF(OR(ISBLANK($AU$101)), "", $AU$101/1000)), "", (IF(OR(ISBLANK($AU$101)), "", $AU$101/1000))) = ""), 15.809,IF(ISERROR(IF(OR(ISBLANK($AU$101)), "", $AU$101/1000)), "", (IF(OR(ISBLANK($AU$101)), "", $AU$101/1000))))</f>
        <v>15.448</v>
      </c>
      <c r="AV56">
        <f>IF(OR(ISBLANK(IF(ISERROR(IF(OR(ISBLANK($AV$101)), "", $AV$101/1000)), "", (IF(OR(ISBLANK($AV$101)), "", $AV$101/1000)))), IF(ISERROR(IF(OR(ISBLANK($AV$101)), "", $AV$101/1000)), "", (IF(OR(ISBLANK($AV$101)), "", $AV$101/1000))) = ""), 15.815,IF(ISERROR(IF(OR(ISBLANK($AV$101)), "", $AV$101/1000)), "", (IF(OR(ISBLANK($AV$101)), "", $AV$101/1000))))</f>
        <v>15.448</v>
      </c>
      <c r="AW56">
        <f>IF(OR(ISBLANK(IF(ISERROR(IF(OR(ISBLANK($AW$101)), "", $AW$101/1000)), "", (IF(OR(ISBLANK($AW$101)), "", $AW$101/1000)))), IF(ISERROR(IF(OR(ISBLANK($AW$101)), "", $AW$101/1000)), "", (IF(OR(ISBLANK($AW$101)), "", $AW$101/1000))) = ""), 15.815,IF(ISERROR(IF(OR(ISBLANK($AW$101)), "", $AW$101/1000)), "", (IF(OR(ISBLANK($AW$101)), "", $AW$101/1000))))</f>
        <v>15.462999999999999</v>
      </c>
      <c r="AX56">
        <f>IF(OR(ISBLANK(IF(ISERROR(IF(OR(ISBLANK($AX$101)), "", $AX$101/1000)), "", (IF(OR(ISBLANK($AX$101)), "", $AX$101/1000)))), IF(ISERROR(IF(OR(ISBLANK($AX$101)), "", $AX$101/1000)), "", (IF(OR(ISBLANK($AX$101)), "", $AX$101/1000))) = ""), 15.839,IF(ISERROR(IF(OR(ISBLANK($AX$101)), "", $AX$101/1000)), "", (IF(OR(ISBLANK($AX$101)), "", $AX$101/1000))))</f>
        <v>15.462999999999999</v>
      </c>
      <c r="AY56">
        <f>IF(OR(ISBLANK(IF(ISERROR(IF(OR(ISBLANK($AY$101)), "", $AY$101/1000)), "", (IF(OR(ISBLANK($AY$101)), "", $AY$101/1000)))), IF(ISERROR(IF(OR(ISBLANK($AY$101)), "", $AY$101/1000)), "", (IF(OR(ISBLANK($AY$101)), "", $AY$101/1000))) = ""), 15.839,IF(ISERROR(IF(OR(ISBLANK($AY$101)), "", $AY$101/1000)), "", (IF(OR(ISBLANK($AY$101)), "", $AY$101/1000))))</f>
        <v>15.493</v>
      </c>
      <c r="AZ56">
        <f>IF(OR(ISBLANK(IF(ISERROR(IF(OR(ISBLANK($AZ$101)), "", $AZ$101/1000)), "", (IF(OR(ISBLANK($AZ$101)), "", $AZ$101/1000)))), IF(ISERROR(IF(OR(ISBLANK($AZ$101)), "", $AZ$101/1000)), "", (IF(OR(ISBLANK($AZ$101)), "", $AZ$101/1000))) = ""), 15.839,IF(ISERROR(IF(OR(ISBLANK($AZ$101)), "", $AZ$101/1000)), "", (IF(OR(ISBLANK($AZ$101)), "", $AZ$101/1000))))</f>
        <v>15.532999999999999</v>
      </c>
      <c r="BA56">
        <f>IF(OR(ISBLANK(IF(ISERROR(IF(OR(ISBLANK($BA$101)), "", $BA$101/1000)), "", (IF(OR(ISBLANK($BA$101)), "", $BA$101/1000)))), IF(ISERROR(IF(OR(ISBLANK($BA$101)), "", $BA$101/1000)), "", (IF(OR(ISBLANK($BA$101)), "", $BA$101/1000))) = ""), 15.839,IF(ISERROR(IF(OR(ISBLANK($BA$101)), "", $BA$101/1000)), "", (IF(OR(ISBLANK($BA$101)), "", $BA$101/1000))))</f>
        <v>15.532999999999999</v>
      </c>
      <c r="BB56">
        <f>IF(OR(ISBLANK(IF(ISERROR(IF(OR(ISBLANK($BB$101)), "", $BB$101/1000)), "", (IF(OR(ISBLANK($BB$101)), "", $BB$101/1000)))), IF(ISERROR(IF(OR(ISBLANK($BB$101)), "", $BB$101/1000)), "", (IF(OR(ISBLANK($BB$101)), "", $BB$101/1000))) = ""), 15.839,IF(ISERROR(IF(OR(ISBLANK($BB$101)), "", $BB$101/1000)), "", (IF(OR(ISBLANK($BB$101)), "", $BB$101/1000))))</f>
        <v>15.532999999999999</v>
      </c>
      <c r="BC56">
        <f>IF(OR(ISBLANK(IF(ISERROR(IF(OR(ISBLANK($BC$101)), "", $BC$101/1000)), "", (IF(OR(ISBLANK($BC$101)), "", $BC$101/1000)))), IF(ISERROR(IF(OR(ISBLANK($BC$101)), "", $BC$101/1000)), "", (IF(OR(ISBLANK($BC$101)), "", $BC$101/1000))) = ""), 15.909,IF(ISERROR(IF(OR(ISBLANK($BC$101)), "", $BC$101/1000)), "", (IF(OR(ISBLANK($BC$101)), "", $BC$101/1000))))</f>
        <v>15.653</v>
      </c>
      <c r="BD56">
        <f>IF(OR(ISBLANK(IF(ISERROR(IF(OR(ISBLANK($BD$101)), "", $BD$101/1000)), "", (IF(OR(ISBLANK($BD$101)), "", $BD$101/1000)))), IF(ISERROR(IF(OR(ISBLANK($BD$101)), "", $BD$101/1000)), "", (IF(OR(ISBLANK($BD$101)), "", $BD$101/1000))) = ""), 15.922,IF(ISERROR(IF(OR(ISBLANK($BD$101)), "", $BD$101/1000)), "", (IF(OR(ISBLANK($BD$101)), "", $BD$101/1000))))</f>
        <v>15.71</v>
      </c>
      <c r="BE56">
        <f>IF(OR(ISBLANK(IF(ISERROR(IF(OR(ISBLANK($BE$101)), "", $BE$101/1000)), "", (IF(OR(ISBLANK($BE$101)), "", $BE$101/1000)))), IF(ISERROR(IF(OR(ISBLANK($BE$101)), "", $BE$101/1000)), "", (IF(OR(ISBLANK($BE$101)), "", $BE$101/1000))) = ""), 15.99,IF(ISERROR(IF(OR(ISBLANK($BE$101)), "", $BE$101/1000)), "", (IF(OR(ISBLANK($BE$101)), "", $BE$101/1000))))</f>
        <v>15.808999999999999</v>
      </c>
      <c r="BF56">
        <f>IF(OR(ISBLANK(IF(ISERROR(IF(OR(ISBLANK($BF$101)), "", $BF$101/1000)), "", (IF(OR(ISBLANK($BF$101)), "", $BF$101/1000)))), IF(ISERROR(IF(OR(ISBLANK($BF$101)), "", $BF$101/1000)), "", (IF(OR(ISBLANK($BF$101)), "", $BF$101/1000))) = ""), 16.067,IF(ISERROR(IF(OR(ISBLANK($BF$101)), "", $BF$101/1000)), "", (IF(OR(ISBLANK($BF$101)), "", $BF$101/1000))))</f>
        <v>15.808999999999999</v>
      </c>
      <c r="BG56">
        <f>IF(OR(ISBLANK(IF(ISERROR(IF(OR(ISBLANK($BG$101)), "", $BG$101/1000)), "", (IF(OR(ISBLANK($BG$101)), "", $BG$101/1000)))), IF(ISERROR(IF(OR(ISBLANK($BG$101)), "", $BG$101/1000)), "", (IF(OR(ISBLANK($BG$101)), "", $BG$101/1000))) = ""), 16.067,IF(ISERROR(IF(OR(ISBLANK($BG$101)), "", $BG$101/1000)), "", (IF(OR(ISBLANK($BG$101)), "", $BG$101/1000))))</f>
        <v>15.815</v>
      </c>
      <c r="BH56">
        <f>IF(OR(ISBLANK(IF(ISERROR(IF(OR(ISBLANK($BH$101)), "", $BH$101/1000)), "", (IF(OR(ISBLANK($BH$101)), "", $BH$101/1000)))), IF(ISERROR(IF(OR(ISBLANK($BH$101)), "", $BH$101/1000)), "", (IF(OR(ISBLANK($BH$101)), "", $BH$101/1000))) = ""), 16.067,IF(ISERROR(IF(OR(ISBLANK($BH$101)), "", $BH$101/1000)), "", (IF(OR(ISBLANK($BH$101)), "", $BH$101/1000))))</f>
        <v>15.815</v>
      </c>
      <c r="BI56">
        <f>IF(OR(ISBLANK(IF(ISERROR(IF(OR(ISBLANK($BI$101)), "", $BI$101/1000)), "", (IF(OR(ISBLANK($BI$101)), "", $BI$101/1000)))), IF(ISERROR(IF(OR(ISBLANK($BI$101)), "", $BI$101/1000)), "", (IF(OR(ISBLANK($BI$101)), "", $BI$101/1000))) = ""), 16.077,IF(ISERROR(IF(OR(ISBLANK($BI$101)), "", $BI$101/1000)), "", (IF(OR(ISBLANK($BI$101)), "", $BI$101/1000))))</f>
        <v>15.839</v>
      </c>
      <c r="BJ56">
        <f>IF(OR(ISBLANK(IF(ISERROR(IF(OR(ISBLANK($BJ$101)), "", $BJ$101/1000)), "", (IF(OR(ISBLANK($BJ$101)), "", $BJ$101/1000)))), IF(ISERROR(IF(OR(ISBLANK($BJ$101)), "", $BJ$101/1000)), "", (IF(OR(ISBLANK($BJ$101)), "", $BJ$101/1000))) = ""), 16.077,IF(ISERROR(IF(OR(ISBLANK($BJ$101)), "", $BJ$101/1000)), "", (IF(OR(ISBLANK($BJ$101)), "", $BJ$101/1000))))</f>
        <v>15.839</v>
      </c>
      <c r="BK56">
        <f>IF(OR(ISBLANK(IF(ISERROR(IF(OR(ISBLANK($BK$101)), "", $BK$101/1000)), "", (IF(OR(ISBLANK($BK$101)), "", $BK$101/1000)))), IF(ISERROR(IF(OR(ISBLANK($BK$101)), "", $BK$101/1000)), "", (IF(OR(ISBLANK($BK$101)), "", $BK$101/1000))) = ""), 16.077,IF(ISERROR(IF(OR(ISBLANK($BK$101)), "", $BK$101/1000)), "", (IF(OR(ISBLANK($BK$101)), "", $BK$101/1000))))</f>
        <v>15.839</v>
      </c>
      <c r="BL56">
        <f>IF(OR(ISBLANK(IF(ISERROR(IF(OR(ISBLANK($BL$101)), "", $BL$101/1000)), "", (IF(OR(ISBLANK($BL$101)), "", $BL$101/1000)))), IF(ISERROR(IF(OR(ISBLANK($BL$101)), "", $BL$101/1000)), "", (IF(OR(ISBLANK($BL$101)), "", $BL$101/1000))) = ""), 16.077,IF(ISERROR(IF(OR(ISBLANK($BL$101)), "", $BL$101/1000)), "", (IF(OR(ISBLANK($BL$101)), "", $BL$101/1000))))</f>
        <v>15.839</v>
      </c>
      <c r="BM56">
        <f>IF(OR(ISBLANK(IF(ISERROR(IF(OR(ISBLANK($BM$101)), "", $BM$101/1000)), "", (IF(OR(ISBLANK($BM$101)), "", $BM$101/1000)))), IF(ISERROR(IF(OR(ISBLANK($BM$101)), "", $BM$101/1000)), "", (IF(OR(ISBLANK($BM$101)), "", $BM$101/1000))) = ""), 16.077,IF(ISERROR(IF(OR(ISBLANK($BM$101)), "", $BM$101/1000)), "", (IF(OR(ISBLANK($BM$101)), "", $BM$101/1000))))</f>
        <v>15.839</v>
      </c>
      <c r="BN56">
        <f>IF(OR(ISBLANK(IF(ISERROR(IF(OR(ISBLANK($BN$101)), "", $BN$101/1000)), "", (IF(OR(ISBLANK($BN$101)), "", $BN$101/1000)))), IF(ISERROR(IF(OR(ISBLANK($BN$101)), "", $BN$101/1000)), "", (IF(OR(ISBLANK($BN$101)), "", $BN$101/1000))) = ""), 16.087,IF(ISERROR(IF(OR(ISBLANK($BN$101)), "", $BN$101/1000)), "", (IF(OR(ISBLANK($BN$101)), "", $BN$101/1000))))</f>
        <v>15.909000000000001</v>
      </c>
      <c r="BO56">
        <f>IF(OR(ISBLANK(IF(ISERROR(IF(OR(ISBLANK($BO$101)), "", $BO$101/1000)), "", (IF(OR(ISBLANK($BO$101)), "", $BO$101/1000)))), IF(ISERROR(IF(OR(ISBLANK($BO$101)), "", $BO$101/1000)), "", (IF(OR(ISBLANK($BO$101)), "", $BO$101/1000))) = ""), 16.119,IF(ISERROR(IF(OR(ISBLANK($BO$101)), "", $BO$101/1000)), "", (IF(OR(ISBLANK($BO$101)), "", $BO$101/1000))))</f>
        <v>15.922000000000001</v>
      </c>
      <c r="BP56">
        <f>IF(OR(ISBLANK(IF(ISERROR(IF(OR(ISBLANK($BP$101)), "", $BP$101/1000)), "", (IF(OR(ISBLANK($BP$101)), "", $BP$101/1000)))), IF(ISERROR(IF(OR(ISBLANK($BP$101)), "", $BP$101/1000)), "", (IF(OR(ISBLANK($BP$101)), "", $BP$101/1000))) = ""), 16.119,IF(ISERROR(IF(OR(ISBLANK($BP$101)), "", $BP$101/1000)), "", (IF(OR(ISBLANK($BP$101)), "", $BP$101/1000))))</f>
        <v>15.99</v>
      </c>
      <c r="BQ56">
        <f>IF(OR(ISBLANK(IF(ISERROR(IF(OR(ISBLANK($BQ$101)), "", $BQ$101/1000)), "", (IF(OR(ISBLANK($BQ$101)), "", $BQ$101/1000)))), IF(ISERROR(IF(OR(ISBLANK($BQ$101)), "", $BQ$101/1000)), "", (IF(OR(ISBLANK($BQ$101)), "", $BQ$101/1000))) = ""), 16.143,IF(ISERROR(IF(OR(ISBLANK($BQ$101)), "", $BQ$101/1000)), "", (IF(OR(ISBLANK($BQ$101)), "", $BQ$101/1000))))</f>
        <v>16.067</v>
      </c>
      <c r="BR56">
        <f>IF(OR(ISBLANK(IF(ISERROR(IF(OR(ISBLANK($BR$101)), "", $BR$101/1000)), "", (IF(OR(ISBLANK($BR$101)), "", $BR$101/1000)))), IF(ISERROR(IF(OR(ISBLANK($BR$101)), "", $BR$101/1000)), "", (IF(OR(ISBLANK($BR$101)), "", $BR$101/1000))) = ""), 16.161,IF(ISERROR(IF(OR(ISBLANK($BR$101)), "", $BR$101/1000)), "", (IF(OR(ISBLANK($BR$101)), "", $BR$101/1000))))</f>
        <v>16.067</v>
      </c>
      <c r="BS56">
        <f>IF(OR(ISBLANK(IF(ISERROR(IF(OR(ISBLANK($BS$101)), "", $BS$101/1000)), "", (IF(OR(ISBLANK($BS$101)), "", $BS$101/1000)))), IF(ISERROR(IF(OR(ISBLANK($BS$101)), "", $BS$101/1000)), "", (IF(OR(ISBLANK($BS$101)), "", $BS$101/1000))) = ""), 16.163,IF(ISERROR(IF(OR(ISBLANK($BS$101)), "", $BS$101/1000)), "", (IF(OR(ISBLANK($BS$101)), "", $BS$101/1000))))</f>
        <v>16.067</v>
      </c>
      <c r="BT56">
        <f>IF(OR(ISBLANK(IF(ISERROR(IF(OR(ISBLANK($BT$101)), "", $BT$101/1000)), "", (IF(OR(ISBLANK($BT$101)), "", $BT$101/1000)))), IF(ISERROR(IF(OR(ISBLANK($BT$101)), "", $BT$101/1000)), "", (IF(OR(ISBLANK($BT$101)), "", $BT$101/1000))) = ""), 16.163,IF(ISERROR(IF(OR(ISBLANK($BT$101)), "", $BT$101/1000)), "", (IF(OR(ISBLANK($BT$101)), "", $BT$101/1000))))</f>
        <v>16.077000000000002</v>
      </c>
      <c r="BU56">
        <f>IF(OR(ISBLANK(IF(ISERROR(IF(OR(ISBLANK($BU$101)), "", $BU$101/1000)), "", (IF(OR(ISBLANK($BU$101)), "", $BU$101/1000)))), IF(ISERROR(IF(OR(ISBLANK($BU$101)), "", $BU$101/1000)), "", (IF(OR(ISBLANK($BU$101)), "", $BU$101/1000))) = ""), 16.178,IF(ISERROR(IF(OR(ISBLANK($BU$101)), "", $BU$101/1000)), "", (IF(OR(ISBLANK($BU$101)), "", $BU$101/1000))))</f>
        <v>16.077000000000002</v>
      </c>
      <c r="BV56">
        <f>IF(OR(ISBLANK(IF(ISERROR(IF(OR(ISBLANK($BV$101)), "", $BV$101/1000)), "", (IF(OR(ISBLANK($BV$101)), "", $BV$101/1000)))), IF(ISERROR(IF(OR(ISBLANK($BV$101)), "", $BV$101/1000)), "", (IF(OR(ISBLANK($BV$101)), "", $BV$101/1000))) = ""), 16.253,IF(ISERROR(IF(OR(ISBLANK($BV$101)), "", $BV$101/1000)), "", (IF(OR(ISBLANK($BV$101)), "", $BV$101/1000))))</f>
        <v>16.077000000000002</v>
      </c>
      <c r="BW56">
        <f>IF(OR(ISBLANK(IF(ISERROR(IF(OR(ISBLANK($BW$101)), "", $BW$101/1000)), "", (IF(OR(ISBLANK($BW$101)), "", $BW$101/1000)))), IF(ISERROR(IF(OR(ISBLANK($BW$101)), "", $BW$101/1000)), "", (IF(OR(ISBLANK($BW$101)), "", $BW$101/1000))) = ""), 16.253,IF(ISERROR(IF(OR(ISBLANK($BW$101)), "", $BW$101/1000)), "", (IF(OR(ISBLANK($BW$101)), "", $BW$101/1000))))</f>
        <v>16.077000000000002</v>
      </c>
      <c r="BX56">
        <f>IF(OR(ISBLANK(IF(ISERROR(IF(OR(ISBLANK($BX$101)), "", $BX$101/1000)), "", (IF(OR(ISBLANK($BX$101)), "", $BX$101/1000)))), IF(ISERROR(IF(OR(ISBLANK($BX$101)), "", $BX$101/1000)), "", (IF(OR(ISBLANK($BX$101)), "", $BX$101/1000))) = ""), 16.263,IF(ISERROR(IF(OR(ISBLANK($BX$101)), "", $BX$101/1000)), "", (IF(OR(ISBLANK($BX$101)), "", $BX$101/1000))))</f>
        <v>16.077000000000002</v>
      </c>
      <c r="BY56">
        <f>IF(OR(ISBLANK(IF(ISERROR(IF(OR(ISBLANK($BY$101)), "", $BY$101/1000)), "", (IF(OR(ISBLANK($BY$101)), "", $BY$101/1000)))), IF(ISERROR(IF(OR(ISBLANK($BY$101)), "", $BY$101/1000)), "", (IF(OR(ISBLANK($BY$101)), "", $BY$101/1000))) = ""), 16.283,IF(ISERROR(IF(OR(ISBLANK($BY$101)), "", $BY$101/1000)), "", (IF(OR(ISBLANK($BY$101)), "", $BY$101/1000))))</f>
        <v>16.087</v>
      </c>
      <c r="BZ56">
        <f>IF(OR(ISBLANK(IF(ISERROR(IF(OR(ISBLANK($BZ$101)), "", $BZ$101/1000)), "", (IF(OR(ISBLANK($BZ$101)), "", $BZ$101/1000)))), IF(ISERROR(IF(OR(ISBLANK($BZ$101)), "", $BZ$101/1000)), "", (IF(OR(ISBLANK($BZ$101)), "", $BZ$101/1000))) = ""), 16.293,IF(ISERROR(IF(OR(ISBLANK($BZ$101)), "", $BZ$101/1000)), "", (IF(OR(ISBLANK($BZ$101)), "", $BZ$101/1000))))</f>
        <v>16.119</v>
      </c>
      <c r="CA56">
        <f>IF(OR(ISBLANK(IF(ISERROR(IF(OR(ISBLANK($CA$101)), "", $CA$101/1000)), "", (IF(OR(ISBLANK($CA$101)), "", $CA$101/1000)))), IF(ISERROR(IF(OR(ISBLANK($CA$101)), "", $CA$101/1000)), "", (IF(OR(ISBLANK($CA$101)), "", $CA$101/1000))) = ""), 16.337,IF(ISERROR(IF(OR(ISBLANK($CA$101)), "", $CA$101/1000)), "", (IF(OR(ISBLANK($CA$101)), "", $CA$101/1000))))</f>
        <v>16.119</v>
      </c>
      <c r="CB56">
        <f>IF(OR(ISBLANK(IF(ISERROR(IF(OR(ISBLANK($CB$101)), "", $CB$101/1000)), "", (IF(OR(ISBLANK($CB$101)), "", $CB$101/1000)))), IF(ISERROR(IF(OR(ISBLANK($CB$101)), "", $CB$101/1000)), "", (IF(OR(ISBLANK($CB$101)), "", $CB$101/1000))) = ""), 16.342,IF(ISERROR(IF(OR(ISBLANK($CB$101)), "", $CB$101/1000)), "", (IF(OR(ISBLANK($CB$101)), "", $CB$101/1000))))</f>
        <v>16.143000000000001</v>
      </c>
      <c r="CC56">
        <f>IF(OR(ISBLANK(IF(ISERROR(IF(OR(ISBLANK($CC$101)), "", $CC$101/1000)), "", (IF(OR(ISBLANK($CC$101)), "", $CC$101/1000)))), IF(ISERROR(IF(OR(ISBLANK($CC$101)), "", $CC$101/1000)), "", (IF(OR(ISBLANK($CC$101)), "", $CC$101/1000))) = ""), 16.342,IF(ISERROR(IF(OR(ISBLANK($CC$101)), "", $CC$101/1000)), "", (IF(OR(ISBLANK($CC$101)), "", $CC$101/1000))))</f>
        <v>16.161000000000001</v>
      </c>
      <c r="CD56">
        <f>IF(OR(ISBLANK(IF(ISERROR(IF(OR(ISBLANK($CD$101)), "", $CD$101/1000)), "", (IF(OR(ISBLANK($CD$101)), "", $CD$101/1000)))), IF(ISERROR(IF(OR(ISBLANK($CD$101)), "", $CD$101/1000)), "", (IF(OR(ISBLANK($CD$101)), "", $CD$101/1000))) = ""), 16.401,IF(ISERROR(IF(OR(ISBLANK($CD$101)), "", $CD$101/1000)), "", (IF(OR(ISBLANK($CD$101)), "", $CD$101/1000))))</f>
        <v>16.163</v>
      </c>
      <c r="CE56">
        <f>IF(OR(ISBLANK(IF(ISERROR(IF(OR(ISBLANK($CE$101)), "", $CE$101/1000)), "", (IF(OR(ISBLANK($CE$101)), "", $CE$101/1000)))), IF(ISERROR(IF(OR(ISBLANK($CE$101)), "", $CE$101/1000)), "", (IF(OR(ISBLANK($CE$101)), "", $CE$101/1000))) = ""), 16.411,IF(ISERROR(IF(OR(ISBLANK($CE$101)), "", $CE$101/1000)), "", (IF(OR(ISBLANK($CE$101)), "", $CE$101/1000))))</f>
        <v>16.163</v>
      </c>
      <c r="CF56">
        <f>IF(OR(ISBLANK(IF(ISERROR(IF(OR(ISBLANK($CF$101)), "", $CF$101/1000)), "", (IF(OR(ISBLANK($CF$101)), "", $CF$101/1000)))), IF(ISERROR(IF(OR(ISBLANK($CF$101)), "", $CF$101/1000)), "", (IF(OR(ISBLANK($CF$101)), "", $CF$101/1000))) = ""), 16.414,IF(ISERROR(IF(OR(ISBLANK($CF$101)), "", $CF$101/1000)), "", (IF(OR(ISBLANK($CF$101)), "", $CF$101/1000))))</f>
        <v>16.178000000000001</v>
      </c>
      <c r="CG56">
        <f>IF(OR(ISBLANK(IF(ISERROR(IF(OR(ISBLANK($CG$101)), "", $CG$101/1000)), "", (IF(OR(ISBLANK($CG$101)), "", $CG$101/1000)))), IF(ISERROR(IF(OR(ISBLANK($CG$101)), "", $CG$101/1000)), "", (IF(OR(ISBLANK($CG$101)), "", $CG$101/1000))) = ""), 16.414,IF(ISERROR(IF(OR(ISBLANK($CG$101)), "", $CG$101/1000)), "", (IF(OR(ISBLANK($CG$101)), "", $CG$101/1000))))</f>
        <v>16.253</v>
      </c>
    </row>
    <row r="57" spans="1:85" x14ac:dyDescent="0.25">
      <c r="A57" t="str">
        <f>"    "</f>
        <v xml:space="preserve">    </v>
      </c>
      <c r="B57" t="str">
        <f>""</f>
        <v/>
      </c>
      <c r="C57" t="str">
        <f>""</f>
        <v/>
      </c>
      <c r="D57" t="str">
        <f>""</f>
        <v/>
      </c>
      <c r="E57" t="str">
        <f>"Static"</f>
        <v>Static</v>
      </c>
      <c r="F57" t="str">
        <f>""</f>
        <v/>
      </c>
      <c r="G57" t="str">
        <f>""</f>
        <v/>
      </c>
      <c r="H57" t="str">
        <f>""</f>
        <v/>
      </c>
      <c r="I57" t="str">
        <f>""</f>
        <v/>
      </c>
      <c r="J57" t="str">
        <f>""</f>
        <v/>
      </c>
      <c r="K57" t="str">
        <f>""</f>
        <v/>
      </c>
      <c r="L57" t="str">
        <f>""</f>
        <v/>
      </c>
      <c r="M57" t="str">
        <f>""</f>
        <v/>
      </c>
      <c r="N57" t="str">
        <f>""</f>
        <v/>
      </c>
      <c r="O57" t="str">
        <f>""</f>
        <v/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t="str">
        <f>""</f>
        <v/>
      </c>
      <c r="AC57" t="str">
        <f>""</f>
        <v/>
      </c>
      <c r="AD57" t="str">
        <f>""</f>
        <v/>
      </c>
      <c r="AE57" t="str">
        <f>""</f>
        <v/>
      </c>
      <c r="AF57" t="str">
        <f>""</f>
        <v/>
      </c>
      <c r="AG57" t="str">
        <f>""</f>
        <v/>
      </c>
      <c r="AH57" t="str">
        <f>""</f>
        <v/>
      </c>
      <c r="AI57" t="str">
        <f>""</f>
        <v/>
      </c>
      <c r="AJ57" t="str">
        <f>""</f>
        <v/>
      </c>
      <c r="AK57" t="str">
        <f>""</f>
        <v/>
      </c>
      <c r="AL57" t="str">
        <f>""</f>
        <v/>
      </c>
      <c r="AM57" t="str">
        <f>""</f>
        <v/>
      </c>
      <c r="AN57" t="str">
        <f>""</f>
        <v/>
      </c>
      <c r="AO57" t="str">
        <f>""</f>
        <v/>
      </c>
      <c r="AP57" t="str">
        <f>""</f>
        <v/>
      </c>
      <c r="AQ57" t="str">
        <f>""</f>
        <v/>
      </c>
      <c r="AR57" t="str">
        <f>""</f>
        <v/>
      </c>
      <c r="AS57" t="str">
        <f>""</f>
        <v/>
      </c>
      <c r="AT57" t="str">
        <f>""</f>
        <v/>
      </c>
      <c r="AU57" t="str">
        <f>""</f>
        <v/>
      </c>
      <c r="AV57" t="str">
        <f>""</f>
        <v/>
      </c>
      <c r="AW57" t="str">
        <f>""</f>
        <v/>
      </c>
      <c r="AX57" t="str">
        <f>""</f>
        <v/>
      </c>
      <c r="AY57" t="str">
        <f>""</f>
        <v/>
      </c>
      <c r="AZ57" t="str">
        <f>""</f>
        <v/>
      </c>
      <c r="BA57" t="str">
        <f>""</f>
        <v/>
      </c>
      <c r="BB57" t="str">
        <f>""</f>
        <v/>
      </c>
      <c r="BC57" t="str">
        <f>""</f>
        <v/>
      </c>
      <c r="BD57" t="str">
        <f>""</f>
        <v/>
      </c>
      <c r="BE57" t="str">
        <f>""</f>
        <v/>
      </c>
      <c r="BF57" t="str">
        <f>""</f>
        <v/>
      </c>
      <c r="BG57" t="str">
        <f>""</f>
        <v/>
      </c>
      <c r="BH57" t="str">
        <f>""</f>
        <v/>
      </c>
      <c r="BI57" t="str">
        <f>""</f>
        <v/>
      </c>
      <c r="BJ57" t="str">
        <f>""</f>
        <v/>
      </c>
      <c r="BK57" t="str">
        <f>""</f>
        <v/>
      </c>
      <c r="BL57" t="str">
        <f>""</f>
        <v/>
      </c>
      <c r="BM57" t="str">
        <f>""</f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</row>
    <row r="58" spans="1:85" x14ac:dyDescent="0.25">
      <c r="A58" t="str">
        <f>"    Securities Market Program-Weekly Amount"</f>
        <v xml:space="preserve">    Securities Market Program-Weekly Amount</v>
      </c>
      <c r="B58" t="str">
        <f>"ECBCSMPW Index"</f>
        <v>ECBCSMPW Index</v>
      </c>
      <c r="C58" t="str">
        <f>""</f>
        <v/>
      </c>
      <c r="D58" t="str">
        <f>""</f>
        <v/>
      </c>
      <c r="E58" t="str">
        <f>"Expression"</f>
        <v>Expression</v>
      </c>
      <c r="F58" t="str">
        <f ca="1">IF(OR(ISBLANK(IF(ISERROR(IF(OR(ISBLANK($F$102)), "", $F$102/1000)), "", (IF(OR(ISBLANK($F$102)), "", $F$102/1000)))), IF(ISERROR(IF(OR(ISBLANK($F$102)), "", $F$102/1000)), "", (IF(OR(ISBLANK($F$102)), "", $F$102/1000))) = ""), "",IF(ISERROR(IF(OR(ISBLANK($F$102)), "", $F$102/1000)), "", (IF(OR(ISBLANK($F$102)), "", $F$102/1000))))</f>
        <v/>
      </c>
      <c r="G58" t="str">
        <f>IF(OR(ISBLANK(IF(ISERROR(IF(OR(ISBLANK($G$102)), "", $G$102/1000)), "", (IF(OR(ISBLANK($G$102)), "", $G$102/1000)))), IF(ISERROR(IF(OR(ISBLANK($G$102)), "", $G$102/1000)), "", (IF(OR(ISBLANK($G$102)), "", $G$102/1000))) = ""), "",IF(ISERROR(IF(OR(ISBLANK($G$102)), "", $G$102/1000)), "", (IF(OR(ISBLANK($G$102)), "", $G$102/1000))))</f>
        <v/>
      </c>
      <c r="H58" t="str">
        <f>IF(OR(ISBLANK(IF(ISERROR(IF(OR(ISBLANK($H$102)), "", $H$102/1000)), "", (IF(OR(ISBLANK($H$102)), "", $H$102/1000)))), IF(ISERROR(IF(OR(ISBLANK($H$102)), "", $H$102/1000)), "", (IF(OR(ISBLANK($H$102)), "", $H$102/1000))) = ""), "",IF(ISERROR(IF(OR(ISBLANK($H$102)), "", $H$102/1000)), "", (IF(OR(ISBLANK($H$102)), "", $H$102/1000))))</f>
        <v/>
      </c>
      <c r="I58">
        <f>IF(OR(ISBLANK(IF(ISERROR(IF(OR(ISBLANK($I$102)), "", $I$102/1000)), "", (IF(OR(ISBLANK($I$102)), "", $I$102/1000)))), IF(ISERROR(IF(OR(ISBLANK($I$102)), "", $I$102/1000)), "", (IF(OR(ISBLANK($I$102)), "", $I$102/1000))) = ""), 0,IF(ISERROR(IF(OR(ISBLANK($I$102)), "", $I$102/1000)), "", (IF(OR(ISBLANK($I$102)), "", $I$102/1000))))</f>
        <v>0</v>
      </c>
      <c r="J58">
        <f>IF(OR(ISBLANK(IF(ISERROR(IF(OR(ISBLANK($J$102)), "", $J$102/1000)), "", (IF(OR(ISBLANK($J$102)), "", $J$102/1000)))), IF(ISERROR(IF(OR(ISBLANK($J$102)), "", $J$102/1000)), "", (IF(OR(ISBLANK($J$102)), "", $J$102/1000))) = ""), 0,IF(ISERROR(IF(OR(ISBLANK($J$102)), "", $J$102/1000)), "", (IF(OR(ISBLANK($J$102)), "", $J$102/1000))))</f>
        <v>0</v>
      </c>
      <c r="K58">
        <f>IF(OR(ISBLANK(IF(ISERROR(IF(OR(ISBLANK($K$102)), "", $K$102/1000)), "", (IF(OR(ISBLANK($K$102)), "", $K$102/1000)))), IF(ISERROR(IF(OR(ISBLANK($K$102)), "", $K$102/1000)), "", (IF(OR(ISBLANK($K$102)), "", $K$102/1000))) = ""), 0,IF(ISERROR(IF(OR(ISBLANK($K$102)), "", $K$102/1000)), "", (IF(OR(ISBLANK($K$102)), "", $K$102/1000))))</f>
        <v>0</v>
      </c>
      <c r="L58">
        <f>IF(OR(ISBLANK(IF(ISERROR(IF(OR(ISBLANK($L$102)), "", $L$102/1000)), "", (IF(OR(ISBLANK($L$102)), "", $L$102/1000)))), IF(ISERROR(IF(OR(ISBLANK($L$102)), "", $L$102/1000)), "", (IF(OR(ISBLANK($L$102)), "", $L$102/1000))) = ""), 0,IF(ISERROR(IF(OR(ISBLANK($L$102)), "", $L$102/1000)), "", (IF(OR(ISBLANK($L$102)), "", $L$102/1000))))</f>
        <v>0</v>
      </c>
      <c r="M58">
        <f>IF(OR(ISBLANK(IF(ISERROR(IF(OR(ISBLANK($M$102)), "", $M$102/1000)), "", (IF(OR(ISBLANK($M$102)), "", $M$102/1000)))), IF(ISERROR(IF(OR(ISBLANK($M$102)), "", $M$102/1000)), "", (IF(OR(ISBLANK($M$102)), "", $M$102/1000))) = ""), 0,IF(ISERROR(IF(OR(ISBLANK($M$102)), "", $M$102/1000)), "", (IF(OR(ISBLANK($M$102)), "", $M$102/1000))))</f>
        <v>0</v>
      </c>
      <c r="N58">
        <f>IF(OR(ISBLANK(IF(ISERROR(IF(OR(ISBLANK($N$102)), "", $N$102/1000)), "", (IF(OR(ISBLANK($N$102)), "", $N$102/1000)))), IF(ISERROR(IF(OR(ISBLANK($N$102)), "", $N$102/1000)), "", (IF(OR(ISBLANK($N$102)), "", $N$102/1000))) = ""), 0,IF(ISERROR(IF(OR(ISBLANK($N$102)), "", $N$102/1000)), "", (IF(OR(ISBLANK($N$102)), "", $N$102/1000))))</f>
        <v>0</v>
      </c>
      <c r="O58">
        <f>IF(OR(ISBLANK(IF(ISERROR(IF(OR(ISBLANK($O$102)), "", $O$102/1000)), "", (IF(OR(ISBLANK($O$102)), "", $O$102/1000)))), IF(ISERROR(IF(OR(ISBLANK($O$102)), "", $O$102/1000)), "", (IF(OR(ISBLANK($O$102)), "", $O$102/1000))) = ""), 0,IF(ISERROR(IF(OR(ISBLANK($O$102)), "", $O$102/1000)), "", (IF(OR(ISBLANK($O$102)), "", $O$102/1000))))</f>
        <v>0</v>
      </c>
      <c r="P58">
        <f>IF(OR(ISBLANK(IF(ISERROR(IF(OR(ISBLANK($P$102)), "", $P$102/1000)), "", (IF(OR(ISBLANK($P$102)), "", $P$102/1000)))), IF(ISERROR(IF(OR(ISBLANK($P$102)), "", $P$102/1000)), "", (IF(OR(ISBLANK($P$102)), "", $P$102/1000))) = ""), 0,IF(ISERROR(IF(OR(ISBLANK($P$102)), "", $P$102/1000)), "", (IF(OR(ISBLANK($P$102)), "", $P$102/1000))))</f>
        <v>0</v>
      </c>
      <c r="Q58">
        <f>IF(OR(ISBLANK(IF(ISERROR(IF(OR(ISBLANK($Q$102)), "", $Q$102/1000)), "", (IF(OR(ISBLANK($Q$102)), "", $Q$102/1000)))), IF(ISERROR(IF(OR(ISBLANK($Q$102)), "", $Q$102/1000)), "", (IF(OR(ISBLANK($Q$102)), "", $Q$102/1000))) = ""), 0,IF(ISERROR(IF(OR(ISBLANK($Q$102)), "", $Q$102/1000)), "", (IF(OR(ISBLANK($Q$102)), "", $Q$102/1000))))</f>
        <v>0</v>
      </c>
      <c r="R58">
        <f>IF(OR(ISBLANK(IF(ISERROR(IF(OR(ISBLANK($R$102)), "", $R$102/1000)), "", (IF(OR(ISBLANK($R$102)), "", $R$102/1000)))), IF(ISERROR(IF(OR(ISBLANK($R$102)), "", $R$102/1000)), "", (IF(OR(ISBLANK($R$102)), "", $R$102/1000))) = ""), 0,IF(ISERROR(IF(OR(ISBLANK($R$102)), "", $R$102/1000)), "", (IF(OR(ISBLANK($R$102)), "", $R$102/1000))))</f>
        <v>0</v>
      </c>
      <c r="S58">
        <f>IF(OR(ISBLANK(IF(ISERROR(IF(OR(ISBLANK($S$102)), "", $S$102/1000)), "", (IF(OR(ISBLANK($S$102)), "", $S$102/1000)))), IF(ISERROR(IF(OR(ISBLANK($S$102)), "", $S$102/1000)), "", (IF(OR(ISBLANK($S$102)), "", $S$102/1000))) = ""), 0,IF(ISERROR(IF(OR(ISBLANK($S$102)), "", $S$102/1000)), "", (IF(OR(ISBLANK($S$102)), "", $S$102/1000))))</f>
        <v>0</v>
      </c>
      <c r="T58">
        <f>IF(OR(ISBLANK(IF(ISERROR(IF(OR(ISBLANK($T$102)), "", $T$102/1000)), "", (IF(OR(ISBLANK($T$102)), "", $T$102/1000)))), IF(ISERROR(IF(OR(ISBLANK($T$102)), "", $T$102/1000)), "", (IF(OR(ISBLANK($T$102)), "", $T$102/1000))) = ""), 0,IF(ISERROR(IF(OR(ISBLANK($T$102)), "", $T$102/1000)), "", (IF(OR(ISBLANK($T$102)), "", $T$102/1000))))</f>
        <v>0</v>
      </c>
      <c r="U58">
        <f>IF(OR(ISBLANK(IF(ISERROR(IF(OR(ISBLANK($U$102)), "", $U$102/1000)), "", (IF(OR(ISBLANK($U$102)), "", $U$102/1000)))), IF(ISERROR(IF(OR(ISBLANK($U$102)), "", $U$102/1000)), "", (IF(OR(ISBLANK($U$102)), "", $U$102/1000))) = ""), 0,IF(ISERROR(IF(OR(ISBLANK($U$102)), "", $U$102/1000)), "", (IF(OR(ISBLANK($U$102)), "", $U$102/1000))))</f>
        <v>0</v>
      </c>
      <c r="V58">
        <f>IF(OR(ISBLANK(IF(ISERROR(IF(OR(ISBLANK($V$102)), "", $V$102/1000)), "", (IF(OR(ISBLANK($V$102)), "", $V$102/1000)))), IF(ISERROR(IF(OR(ISBLANK($V$102)), "", $V$102/1000)), "", (IF(OR(ISBLANK($V$102)), "", $V$102/1000))) = ""), 0,IF(ISERROR(IF(OR(ISBLANK($V$102)), "", $V$102/1000)), "", (IF(OR(ISBLANK($V$102)), "", $V$102/1000))))</f>
        <v>0</v>
      </c>
      <c r="W58">
        <f>IF(OR(ISBLANK(IF(ISERROR(IF(OR(ISBLANK($W$102)), "", $W$102/1000)), "", (IF(OR(ISBLANK($W$102)), "", $W$102/1000)))), IF(ISERROR(IF(OR(ISBLANK($W$102)), "", $W$102/1000)), "", (IF(OR(ISBLANK($W$102)), "", $W$102/1000))) = ""), 0,IF(ISERROR(IF(OR(ISBLANK($W$102)), "", $W$102/1000)), "", (IF(OR(ISBLANK($W$102)), "", $W$102/1000))))</f>
        <v>0</v>
      </c>
      <c r="X58">
        <f>IF(OR(ISBLANK(IF(ISERROR(IF(OR(ISBLANK($X$102)), "", $X$102/1000)), "", (IF(OR(ISBLANK($X$102)), "", $X$102/1000)))), IF(ISERROR(IF(OR(ISBLANK($X$102)), "", $X$102/1000)), "", (IF(OR(ISBLANK($X$102)), "", $X$102/1000))) = ""), 0,IF(ISERROR(IF(OR(ISBLANK($X$102)), "", $X$102/1000)), "", (IF(OR(ISBLANK($X$102)), "", $X$102/1000))))</f>
        <v>0</v>
      </c>
      <c r="Y58">
        <f>IF(OR(ISBLANK(IF(ISERROR(IF(OR(ISBLANK($Y$102)), "", $Y$102/1000)), "", (IF(OR(ISBLANK($Y$102)), "", $Y$102/1000)))), IF(ISERROR(IF(OR(ISBLANK($Y$102)), "", $Y$102/1000)), "", (IF(OR(ISBLANK($Y$102)), "", $Y$102/1000))) = ""), 0,IF(ISERROR(IF(OR(ISBLANK($Y$102)), "", $Y$102/1000)), "", (IF(OR(ISBLANK($Y$102)), "", $Y$102/1000))))</f>
        <v>0</v>
      </c>
      <c r="Z58">
        <f>IF(OR(ISBLANK(IF(ISERROR(IF(OR(ISBLANK($Z$102)), "", $Z$102/1000)), "", (IF(OR(ISBLANK($Z$102)), "", $Z$102/1000)))), IF(ISERROR(IF(OR(ISBLANK($Z$102)), "", $Z$102/1000)), "", (IF(OR(ISBLANK($Z$102)), "", $Z$102/1000))) = ""), 0,IF(ISERROR(IF(OR(ISBLANK($Z$102)), "", $Z$102/1000)), "", (IF(OR(ISBLANK($Z$102)), "", $Z$102/1000))))</f>
        <v>0</v>
      </c>
      <c r="AA58">
        <f>IF(OR(ISBLANK(IF(ISERROR(IF(OR(ISBLANK($AA$102)), "", $AA$102/1000)), "", (IF(OR(ISBLANK($AA$102)), "", $AA$102/1000)))), IF(ISERROR(IF(OR(ISBLANK($AA$102)), "", $AA$102/1000)), "", (IF(OR(ISBLANK($AA$102)), "", $AA$102/1000))) = ""), 0,IF(ISERROR(IF(OR(ISBLANK($AA$102)), "", $AA$102/1000)), "", (IF(OR(ISBLANK($AA$102)), "", $AA$102/1000))))</f>
        <v>0</v>
      </c>
      <c r="AB58">
        <f>IF(OR(ISBLANK(IF(ISERROR(IF(OR(ISBLANK($AB$102)), "", $AB$102/1000)), "", (IF(OR(ISBLANK($AB$102)), "", $AB$102/1000)))), IF(ISERROR(IF(OR(ISBLANK($AB$102)), "", $AB$102/1000)), "", (IF(OR(ISBLANK($AB$102)), "", $AB$102/1000))) = ""), 0,IF(ISERROR(IF(OR(ISBLANK($AB$102)), "", $AB$102/1000)), "", (IF(OR(ISBLANK($AB$102)), "", $AB$102/1000))))</f>
        <v>0</v>
      </c>
      <c r="AC58">
        <f>IF(OR(ISBLANK(IF(ISERROR(IF(OR(ISBLANK($AC$102)), "", $AC$102/1000)), "", (IF(OR(ISBLANK($AC$102)), "", $AC$102/1000)))), IF(ISERROR(IF(OR(ISBLANK($AC$102)), "", $AC$102/1000)), "", (IF(OR(ISBLANK($AC$102)), "", $AC$102/1000))) = ""), 0,IF(ISERROR(IF(OR(ISBLANK($AC$102)), "", $AC$102/1000)), "", (IF(OR(ISBLANK($AC$102)), "", $AC$102/1000))))</f>
        <v>0</v>
      </c>
      <c r="AD58">
        <f>IF(OR(ISBLANK(IF(ISERROR(IF(OR(ISBLANK($AD$102)), "", $AD$102/1000)), "", (IF(OR(ISBLANK($AD$102)), "", $AD$102/1000)))), IF(ISERROR(IF(OR(ISBLANK($AD$102)), "", $AD$102/1000)), "", (IF(OR(ISBLANK($AD$102)), "", $AD$102/1000))) = ""), 0,IF(ISERROR(IF(OR(ISBLANK($AD$102)), "", $AD$102/1000)), "", (IF(OR(ISBLANK($AD$102)), "", $AD$102/1000))))</f>
        <v>0</v>
      </c>
      <c r="AE58">
        <f>IF(OR(ISBLANK(IF(ISERROR(IF(OR(ISBLANK($AE$102)), "", $AE$102/1000)), "", (IF(OR(ISBLANK($AE$102)), "", $AE$102/1000)))), IF(ISERROR(IF(OR(ISBLANK($AE$102)), "", $AE$102/1000)), "", (IF(OR(ISBLANK($AE$102)), "", $AE$102/1000))) = ""), 0,IF(ISERROR(IF(OR(ISBLANK($AE$102)), "", $AE$102/1000)), "", (IF(OR(ISBLANK($AE$102)), "", $AE$102/1000))))</f>
        <v>0</v>
      </c>
      <c r="AF58">
        <f>IF(OR(ISBLANK(IF(ISERROR(IF(OR(ISBLANK($AF$102)), "", $AF$102/1000)), "", (IF(OR(ISBLANK($AF$102)), "", $AF$102/1000)))), IF(ISERROR(IF(OR(ISBLANK($AF$102)), "", $AF$102/1000)), "", (IF(OR(ISBLANK($AF$102)), "", $AF$102/1000))) = ""), 0,IF(ISERROR(IF(OR(ISBLANK($AF$102)), "", $AF$102/1000)), "", (IF(OR(ISBLANK($AF$102)), "", $AF$102/1000))))</f>
        <v>0</v>
      </c>
      <c r="AG58">
        <f>IF(OR(ISBLANK(IF(ISERROR(IF(OR(ISBLANK($AG$102)), "", $AG$102/1000)), "", (IF(OR(ISBLANK($AG$102)), "", $AG$102/1000)))), IF(ISERROR(IF(OR(ISBLANK($AG$102)), "", $AG$102/1000)), "", (IF(OR(ISBLANK($AG$102)), "", $AG$102/1000))) = ""), 0,IF(ISERROR(IF(OR(ISBLANK($AG$102)), "", $AG$102/1000)), "", (IF(OR(ISBLANK($AG$102)), "", $AG$102/1000))))</f>
        <v>0</v>
      </c>
      <c r="AH58">
        <f>IF(OR(ISBLANK(IF(ISERROR(IF(OR(ISBLANK($AH$102)), "", $AH$102/1000)), "", (IF(OR(ISBLANK($AH$102)), "", $AH$102/1000)))), IF(ISERROR(IF(OR(ISBLANK($AH$102)), "", $AH$102/1000)), "", (IF(OR(ISBLANK($AH$102)), "", $AH$102/1000))) = ""), 0,IF(ISERROR(IF(OR(ISBLANK($AH$102)), "", $AH$102/1000)), "", (IF(OR(ISBLANK($AH$102)), "", $AH$102/1000))))</f>
        <v>0</v>
      </c>
      <c r="AI58">
        <f>IF(OR(ISBLANK(IF(ISERROR(IF(OR(ISBLANK($AI$102)), "", $AI$102/1000)), "", (IF(OR(ISBLANK($AI$102)), "", $AI$102/1000)))), IF(ISERROR(IF(OR(ISBLANK($AI$102)), "", $AI$102/1000)), "", (IF(OR(ISBLANK($AI$102)), "", $AI$102/1000))) = ""), 0,IF(ISERROR(IF(OR(ISBLANK($AI$102)), "", $AI$102/1000)), "", (IF(OR(ISBLANK($AI$102)), "", $AI$102/1000))))</f>
        <v>0</v>
      </c>
      <c r="AJ58">
        <f>IF(OR(ISBLANK(IF(ISERROR(IF(OR(ISBLANK($AJ$102)), "", $AJ$102/1000)), "", (IF(OR(ISBLANK($AJ$102)), "", $AJ$102/1000)))), IF(ISERROR(IF(OR(ISBLANK($AJ$102)), "", $AJ$102/1000)), "", (IF(OR(ISBLANK($AJ$102)), "", $AJ$102/1000))) = ""), 0,IF(ISERROR(IF(OR(ISBLANK($AJ$102)), "", $AJ$102/1000)), "", (IF(OR(ISBLANK($AJ$102)), "", $AJ$102/1000))))</f>
        <v>0</v>
      </c>
      <c r="AK58">
        <f>IF(OR(ISBLANK(IF(ISERROR(IF(OR(ISBLANK($AK$102)), "", $AK$102/1000)), "", (IF(OR(ISBLANK($AK$102)), "", $AK$102/1000)))), IF(ISERROR(IF(OR(ISBLANK($AK$102)), "", $AK$102/1000)), "", (IF(OR(ISBLANK($AK$102)), "", $AK$102/1000))) = ""), 0,IF(ISERROR(IF(OR(ISBLANK($AK$102)), "", $AK$102/1000)), "", (IF(OR(ISBLANK($AK$102)), "", $AK$102/1000))))</f>
        <v>0</v>
      </c>
      <c r="AL58">
        <f>IF(OR(ISBLANK(IF(ISERROR(IF(OR(ISBLANK($AL$102)), "", $AL$102/1000)), "", (IF(OR(ISBLANK($AL$102)), "", $AL$102/1000)))), IF(ISERROR(IF(OR(ISBLANK($AL$102)), "", $AL$102/1000)), "", (IF(OR(ISBLANK($AL$102)), "", $AL$102/1000))) = ""), 0,IF(ISERROR(IF(OR(ISBLANK($AL$102)), "", $AL$102/1000)), "", (IF(OR(ISBLANK($AL$102)), "", $AL$102/1000))))</f>
        <v>0</v>
      </c>
      <c r="AM58">
        <f>IF(OR(ISBLANK(IF(ISERROR(IF(OR(ISBLANK($AM$102)), "", $AM$102/1000)), "", (IF(OR(ISBLANK($AM$102)), "", $AM$102/1000)))), IF(ISERROR(IF(OR(ISBLANK($AM$102)), "", $AM$102/1000)), "", (IF(OR(ISBLANK($AM$102)), "", $AM$102/1000))) = ""), 0,IF(ISERROR(IF(OR(ISBLANK($AM$102)), "", $AM$102/1000)), "", (IF(OR(ISBLANK($AM$102)), "", $AM$102/1000))))</f>
        <v>0</v>
      </c>
      <c r="AN58">
        <f>IF(OR(ISBLANK(IF(ISERROR(IF(OR(ISBLANK($AN$102)), "", $AN$102/1000)), "", (IF(OR(ISBLANK($AN$102)), "", $AN$102/1000)))), IF(ISERROR(IF(OR(ISBLANK($AN$102)), "", $AN$102/1000)), "", (IF(OR(ISBLANK($AN$102)), "", $AN$102/1000))) = ""), 0,IF(ISERROR(IF(OR(ISBLANK($AN$102)), "", $AN$102/1000)), "", (IF(OR(ISBLANK($AN$102)), "", $AN$102/1000))))</f>
        <v>0</v>
      </c>
      <c r="AO58">
        <f>IF(OR(ISBLANK(IF(ISERROR(IF(OR(ISBLANK($AO$102)), "", $AO$102/1000)), "", (IF(OR(ISBLANK($AO$102)), "", $AO$102/1000)))), IF(ISERROR(IF(OR(ISBLANK($AO$102)), "", $AO$102/1000)), "", (IF(OR(ISBLANK($AO$102)), "", $AO$102/1000))) = ""), 0,IF(ISERROR(IF(OR(ISBLANK($AO$102)), "", $AO$102/1000)), "", (IF(OR(ISBLANK($AO$102)), "", $AO$102/1000))))</f>
        <v>0</v>
      </c>
      <c r="AP58">
        <f>IF(OR(ISBLANK(IF(ISERROR(IF(OR(ISBLANK($AP$102)), "", $AP$102/1000)), "", (IF(OR(ISBLANK($AP$102)), "", $AP$102/1000)))), IF(ISERROR(IF(OR(ISBLANK($AP$102)), "", $AP$102/1000)), "", (IF(OR(ISBLANK($AP$102)), "", $AP$102/1000))) = ""), 0,IF(ISERROR(IF(OR(ISBLANK($AP$102)), "", $AP$102/1000)), "", (IF(OR(ISBLANK($AP$102)), "", $AP$102/1000))))</f>
        <v>0</v>
      </c>
      <c r="AQ58">
        <f>IF(OR(ISBLANK(IF(ISERROR(IF(OR(ISBLANK($AQ$102)), "", $AQ$102/1000)), "", (IF(OR(ISBLANK($AQ$102)), "", $AQ$102/1000)))), IF(ISERROR(IF(OR(ISBLANK($AQ$102)), "", $AQ$102/1000)), "", (IF(OR(ISBLANK($AQ$102)), "", $AQ$102/1000))) = ""), 0,IF(ISERROR(IF(OR(ISBLANK($AQ$102)), "", $AQ$102/1000)), "", (IF(OR(ISBLANK($AQ$102)), "", $AQ$102/1000))))</f>
        <v>0</v>
      </c>
      <c r="AR58">
        <f>IF(OR(ISBLANK(IF(ISERROR(IF(OR(ISBLANK($AR$102)), "", $AR$102/1000)), "", (IF(OR(ISBLANK($AR$102)), "", $AR$102/1000)))), IF(ISERROR(IF(OR(ISBLANK($AR$102)), "", $AR$102/1000)), "", (IF(OR(ISBLANK($AR$102)), "", $AR$102/1000))) = ""), 0,IF(ISERROR(IF(OR(ISBLANK($AR$102)), "", $AR$102/1000)), "", (IF(OR(ISBLANK($AR$102)), "", $AR$102/1000))))</f>
        <v>0</v>
      </c>
      <c r="AS58">
        <f>IF(OR(ISBLANK(IF(ISERROR(IF(OR(ISBLANK($AS$102)), "", $AS$102/1000)), "", (IF(OR(ISBLANK($AS$102)), "", $AS$102/1000)))), IF(ISERROR(IF(OR(ISBLANK($AS$102)), "", $AS$102/1000)), "", (IF(OR(ISBLANK($AS$102)), "", $AS$102/1000))) = ""), 0,IF(ISERROR(IF(OR(ISBLANK($AS$102)), "", $AS$102/1000)), "", (IF(OR(ISBLANK($AS$102)), "", $AS$102/1000))))</f>
        <v>0</v>
      </c>
      <c r="AT58">
        <f>IF(OR(ISBLANK(IF(ISERROR(IF(OR(ISBLANK($AT$102)), "", $AT$102/1000)), "", (IF(OR(ISBLANK($AT$102)), "", $AT$102/1000)))), IF(ISERROR(IF(OR(ISBLANK($AT$102)), "", $AT$102/1000)), "", (IF(OR(ISBLANK($AT$102)), "", $AT$102/1000))) = ""), 0,IF(ISERROR(IF(OR(ISBLANK($AT$102)), "", $AT$102/1000)), "", (IF(OR(ISBLANK($AT$102)), "", $AT$102/1000))))</f>
        <v>0</v>
      </c>
      <c r="AU58">
        <f>IF(OR(ISBLANK(IF(ISERROR(IF(OR(ISBLANK($AU$102)), "", $AU$102/1000)), "", (IF(OR(ISBLANK($AU$102)), "", $AU$102/1000)))), IF(ISERROR(IF(OR(ISBLANK($AU$102)), "", $AU$102/1000)), "", (IF(OR(ISBLANK($AU$102)), "", $AU$102/1000))) = ""), 0,IF(ISERROR(IF(OR(ISBLANK($AU$102)), "", $AU$102/1000)), "", (IF(OR(ISBLANK($AU$102)), "", $AU$102/1000))))</f>
        <v>0</v>
      </c>
      <c r="AV58">
        <f>IF(OR(ISBLANK(IF(ISERROR(IF(OR(ISBLANK($AV$102)), "", $AV$102/1000)), "", (IF(OR(ISBLANK($AV$102)), "", $AV$102/1000)))), IF(ISERROR(IF(OR(ISBLANK($AV$102)), "", $AV$102/1000)), "", (IF(OR(ISBLANK($AV$102)), "", $AV$102/1000))) = ""), 0,IF(ISERROR(IF(OR(ISBLANK($AV$102)), "", $AV$102/1000)), "", (IF(OR(ISBLANK($AV$102)), "", $AV$102/1000))))</f>
        <v>0</v>
      </c>
      <c r="AW58">
        <f>IF(OR(ISBLANK(IF(ISERROR(IF(OR(ISBLANK($AW$102)), "", $AW$102/1000)), "", (IF(OR(ISBLANK($AW$102)), "", $AW$102/1000)))), IF(ISERROR(IF(OR(ISBLANK($AW$102)), "", $AW$102/1000)), "", (IF(OR(ISBLANK($AW$102)), "", $AW$102/1000))) = ""), 0,IF(ISERROR(IF(OR(ISBLANK($AW$102)), "", $AW$102/1000)), "", (IF(OR(ISBLANK($AW$102)), "", $AW$102/1000))))</f>
        <v>0</v>
      </c>
      <c r="AX58">
        <f>IF(OR(ISBLANK(IF(ISERROR(IF(OR(ISBLANK($AX$102)), "", $AX$102/1000)), "", (IF(OR(ISBLANK($AX$102)), "", $AX$102/1000)))), IF(ISERROR(IF(OR(ISBLANK($AX$102)), "", $AX$102/1000)), "", (IF(OR(ISBLANK($AX$102)), "", $AX$102/1000))) = ""), 0,IF(ISERROR(IF(OR(ISBLANK($AX$102)), "", $AX$102/1000)), "", (IF(OR(ISBLANK($AX$102)), "", $AX$102/1000))))</f>
        <v>0</v>
      </c>
      <c r="AY58">
        <f>IF(OR(ISBLANK(IF(ISERROR(IF(OR(ISBLANK($AY$102)), "", $AY$102/1000)), "", (IF(OR(ISBLANK($AY$102)), "", $AY$102/1000)))), IF(ISERROR(IF(OR(ISBLANK($AY$102)), "", $AY$102/1000)), "", (IF(OR(ISBLANK($AY$102)), "", $AY$102/1000))) = ""), 0,IF(ISERROR(IF(OR(ISBLANK($AY$102)), "", $AY$102/1000)), "", (IF(OR(ISBLANK($AY$102)), "", $AY$102/1000))))</f>
        <v>0</v>
      </c>
      <c r="AZ58">
        <f>IF(OR(ISBLANK(IF(ISERROR(IF(OR(ISBLANK($AZ$102)), "", $AZ$102/1000)), "", (IF(OR(ISBLANK($AZ$102)), "", $AZ$102/1000)))), IF(ISERROR(IF(OR(ISBLANK($AZ$102)), "", $AZ$102/1000)), "", (IF(OR(ISBLANK($AZ$102)), "", $AZ$102/1000))) = ""), 0,IF(ISERROR(IF(OR(ISBLANK($AZ$102)), "", $AZ$102/1000)), "", (IF(OR(ISBLANK($AZ$102)), "", $AZ$102/1000))))</f>
        <v>0</v>
      </c>
      <c r="BA58">
        <f>IF(OR(ISBLANK(IF(ISERROR(IF(OR(ISBLANK($BA$102)), "", $BA$102/1000)), "", (IF(OR(ISBLANK($BA$102)), "", $BA$102/1000)))), IF(ISERROR(IF(OR(ISBLANK($BA$102)), "", $BA$102/1000)), "", (IF(OR(ISBLANK($BA$102)), "", $BA$102/1000))) = ""), 0,IF(ISERROR(IF(OR(ISBLANK($BA$102)), "", $BA$102/1000)), "", (IF(OR(ISBLANK($BA$102)), "", $BA$102/1000))))</f>
        <v>0</v>
      </c>
      <c r="BB58">
        <f>IF(OR(ISBLANK(IF(ISERROR(IF(OR(ISBLANK($BB$102)), "", $BB$102/1000)), "", (IF(OR(ISBLANK($BB$102)), "", $BB$102/1000)))), IF(ISERROR(IF(OR(ISBLANK($BB$102)), "", $BB$102/1000)), "", (IF(OR(ISBLANK($BB$102)), "", $BB$102/1000))) = ""), 0,IF(ISERROR(IF(OR(ISBLANK($BB$102)), "", $BB$102/1000)), "", (IF(OR(ISBLANK($BB$102)), "", $BB$102/1000))))</f>
        <v>0</v>
      </c>
      <c r="BC58">
        <f>IF(OR(ISBLANK(IF(ISERROR(IF(OR(ISBLANK($BC$102)), "", $BC$102/1000)), "", (IF(OR(ISBLANK($BC$102)), "", $BC$102/1000)))), IF(ISERROR(IF(OR(ISBLANK($BC$102)), "", $BC$102/1000)), "", (IF(OR(ISBLANK($BC$102)), "", $BC$102/1000))) = ""), 0,IF(ISERROR(IF(OR(ISBLANK($BC$102)), "", $BC$102/1000)), "", (IF(OR(ISBLANK($BC$102)), "", $BC$102/1000))))</f>
        <v>0</v>
      </c>
      <c r="BD58">
        <f>IF(OR(ISBLANK(IF(ISERROR(IF(OR(ISBLANK($BD$102)), "", $BD$102/1000)), "", (IF(OR(ISBLANK($BD$102)), "", $BD$102/1000)))), IF(ISERROR(IF(OR(ISBLANK($BD$102)), "", $BD$102/1000)), "", (IF(OR(ISBLANK($BD$102)), "", $BD$102/1000))) = ""), 0,IF(ISERROR(IF(OR(ISBLANK($BD$102)), "", $BD$102/1000)), "", (IF(OR(ISBLANK($BD$102)), "", $BD$102/1000))))</f>
        <v>0</v>
      </c>
      <c r="BE58">
        <f>IF(OR(ISBLANK(IF(ISERROR(IF(OR(ISBLANK($BE$102)), "", $BE$102/1000)), "", (IF(OR(ISBLANK($BE$102)), "", $BE$102/1000)))), IF(ISERROR(IF(OR(ISBLANK($BE$102)), "", $BE$102/1000)), "", (IF(OR(ISBLANK($BE$102)), "", $BE$102/1000))) = ""), 0,IF(ISERROR(IF(OR(ISBLANK($BE$102)), "", $BE$102/1000)), "", (IF(OR(ISBLANK($BE$102)), "", $BE$102/1000))))</f>
        <v>0</v>
      </c>
      <c r="BF58">
        <f>IF(OR(ISBLANK(IF(ISERROR(IF(OR(ISBLANK($BF$102)), "", $BF$102/1000)), "", (IF(OR(ISBLANK($BF$102)), "", $BF$102/1000)))), IF(ISERROR(IF(OR(ISBLANK($BF$102)), "", $BF$102/1000)), "", (IF(OR(ISBLANK($BF$102)), "", $BF$102/1000))) = ""), 0,IF(ISERROR(IF(OR(ISBLANK($BF$102)), "", $BF$102/1000)), "", (IF(OR(ISBLANK($BF$102)), "", $BF$102/1000))))</f>
        <v>0</v>
      </c>
      <c r="BG58">
        <f>IF(OR(ISBLANK(IF(ISERROR(IF(OR(ISBLANK($BG$102)), "", $BG$102/1000)), "", (IF(OR(ISBLANK($BG$102)), "", $BG$102/1000)))), IF(ISERROR(IF(OR(ISBLANK($BG$102)), "", $BG$102/1000)), "", (IF(OR(ISBLANK($BG$102)), "", $BG$102/1000))) = ""), 0,IF(ISERROR(IF(OR(ISBLANK($BG$102)), "", $BG$102/1000)), "", (IF(OR(ISBLANK($BG$102)), "", $BG$102/1000))))</f>
        <v>0</v>
      </c>
      <c r="BH58">
        <f>IF(OR(ISBLANK(IF(ISERROR(IF(OR(ISBLANK($BH$102)), "", $BH$102/1000)), "", (IF(OR(ISBLANK($BH$102)), "", $BH$102/1000)))), IF(ISERROR(IF(OR(ISBLANK($BH$102)), "", $BH$102/1000)), "", (IF(OR(ISBLANK($BH$102)), "", $BH$102/1000))) = ""), 0,IF(ISERROR(IF(OR(ISBLANK($BH$102)), "", $BH$102/1000)), "", (IF(OR(ISBLANK($BH$102)), "", $BH$102/1000))))</f>
        <v>0</v>
      </c>
      <c r="BI58">
        <f>IF(OR(ISBLANK(IF(ISERROR(IF(OR(ISBLANK($BI$102)), "", $BI$102/1000)), "", (IF(OR(ISBLANK($BI$102)), "", $BI$102/1000)))), IF(ISERROR(IF(OR(ISBLANK($BI$102)), "", $BI$102/1000)), "", (IF(OR(ISBLANK($BI$102)), "", $BI$102/1000))) = ""), 0,IF(ISERROR(IF(OR(ISBLANK($BI$102)), "", $BI$102/1000)), "", (IF(OR(ISBLANK($BI$102)), "", $BI$102/1000))))</f>
        <v>0</v>
      </c>
      <c r="BJ58">
        <f>IF(OR(ISBLANK(IF(ISERROR(IF(OR(ISBLANK($BJ$102)), "", $BJ$102/1000)), "", (IF(OR(ISBLANK($BJ$102)), "", $BJ$102/1000)))), IF(ISERROR(IF(OR(ISBLANK($BJ$102)), "", $BJ$102/1000)), "", (IF(OR(ISBLANK($BJ$102)), "", $BJ$102/1000))) = ""), 0,IF(ISERROR(IF(OR(ISBLANK($BJ$102)), "", $BJ$102/1000)), "", (IF(OR(ISBLANK($BJ$102)), "", $BJ$102/1000))))</f>
        <v>0</v>
      </c>
      <c r="BK58">
        <f>IF(OR(ISBLANK(IF(ISERROR(IF(OR(ISBLANK($BK$102)), "", $BK$102/1000)), "", (IF(OR(ISBLANK($BK$102)), "", $BK$102/1000)))), IF(ISERROR(IF(OR(ISBLANK($BK$102)), "", $BK$102/1000)), "", (IF(OR(ISBLANK($BK$102)), "", $BK$102/1000))) = ""), 0,IF(ISERROR(IF(OR(ISBLANK($BK$102)), "", $BK$102/1000)), "", (IF(OR(ISBLANK($BK$102)), "", $BK$102/1000))))</f>
        <v>0</v>
      </c>
      <c r="BL58">
        <f>IF(OR(ISBLANK(IF(ISERROR(IF(OR(ISBLANK($BL$102)), "", $BL$102/1000)), "", (IF(OR(ISBLANK($BL$102)), "", $BL$102/1000)))), IF(ISERROR(IF(OR(ISBLANK($BL$102)), "", $BL$102/1000)), "", (IF(OR(ISBLANK($BL$102)), "", $BL$102/1000))) = ""), 0,IF(ISERROR(IF(OR(ISBLANK($BL$102)), "", $BL$102/1000)), "", (IF(OR(ISBLANK($BL$102)), "", $BL$102/1000))))</f>
        <v>0</v>
      </c>
      <c r="BM58">
        <f>IF(OR(ISBLANK(IF(ISERROR(IF(OR(ISBLANK($BM$102)), "", $BM$102/1000)), "", (IF(OR(ISBLANK($BM$102)), "", $BM$102/1000)))), IF(ISERROR(IF(OR(ISBLANK($BM$102)), "", $BM$102/1000)), "", (IF(OR(ISBLANK($BM$102)), "", $BM$102/1000))) = ""), 0,IF(ISERROR(IF(OR(ISBLANK($BM$102)), "", $BM$102/1000)), "", (IF(OR(ISBLANK($BM$102)), "", $BM$102/1000))))</f>
        <v>0</v>
      </c>
      <c r="BN58">
        <f>IF(OR(ISBLANK(IF(ISERROR(IF(OR(ISBLANK($BN$102)), "", $BN$102/1000)), "", (IF(OR(ISBLANK($BN$102)), "", $BN$102/1000)))), IF(ISERROR(IF(OR(ISBLANK($BN$102)), "", $BN$102/1000)), "", (IF(OR(ISBLANK($BN$102)), "", $BN$102/1000))) = ""), 0,IF(ISERROR(IF(OR(ISBLANK($BN$102)), "", $BN$102/1000)), "", (IF(OR(ISBLANK($BN$102)), "", $BN$102/1000))))</f>
        <v>0</v>
      </c>
      <c r="BO58">
        <f>IF(OR(ISBLANK(IF(ISERROR(IF(OR(ISBLANK($BO$102)), "", $BO$102/1000)), "", (IF(OR(ISBLANK($BO$102)), "", $BO$102/1000)))), IF(ISERROR(IF(OR(ISBLANK($BO$102)), "", $BO$102/1000)), "", (IF(OR(ISBLANK($BO$102)), "", $BO$102/1000))) = ""), 0,IF(ISERROR(IF(OR(ISBLANK($BO$102)), "", $BO$102/1000)), "", (IF(OR(ISBLANK($BO$102)), "", $BO$102/1000))))</f>
        <v>0</v>
      </c>
      <c r="BP58">
        <f>IF(OR(ISBLANK(IF(ISERROR(IF(OR(ISBLANK($BP$102)), "", $BP$102/1000)), "", (IF(OR(ISBLANK($BP$102)), "", $BP$102/1000)))), IF(ISERROR(IF(OR(ISBLANK($BP$102)), "", $BP$102/1000)), "", (IF(OR(ISBLANK($BP$102)), "", $BP$102/1000))) = ""), 0,IF(ISERROR(IF(OR(ISBLANK($BP$102)), "", $BP$102/1000)), "", (IF(OR(ISBLANK($BP$102)), "", $BP$102/1000))))</f>
        <v>0</v>
      </c>
      <c r="BQ58">
        <f>IF(OR(ISBLANK(IF(ISERROR(IF(OR(ISBLANK($BQ$102)), "", $BQ$102/1000)), "", (IF(OR(ISBLANK($BQ$102)), "", $BQ$102/1000)))), IF(ISERROR(IF(OR(ISBLANK($BQ$102)), "", $BQ$102/1000)), "", (IF(OR(ISBLANK($BQ$102)), "", $BQ$102/1000))) = ""), 0,IF(ISERROR(IF(OR(ISBLANK($BQ$102)), "", $BQ$102/1000)), "", (IF(OR(ISBLANK($BQ$102)), "", $BQ$102/1000))))</f>
        <v>0</v>
      </c>
      <c r="BR58">
        <f>IF(OR(ISBLANK(IF(ISERROR(IF(OR(ISBLANK($BR$102)), "", $BR$102/1000)), "", (IF(OR(ISBLANK($BR$102)), "", $BR$102/1000)))), IF(ISERROR(IF(OR(ISBLANK($BR$102)), "", $BR$102/1000)), "", (IF(OR(ISBLANK($BR$102)), "", $BR$102/1000))) = ""), 0,IF(ISERROR(IF(OR(ISBLANK($BR$102)), "", $BR$102/1000)), "", (IF(OR(ISBLANK($BR$102)), "", $BR$102/1000))))</f>
        <v>0</v>
      </c>
      <c r="BS58">
        <f>IF(OR(ISBLANK(IF(ISERROR(IF(OR(ISBLANK($BS$102)), "", $BS$102/1000)), "", (IF(OR(ISBLANK($BS$102)), "", $BS$102/1000)))), IF(ISERROR(IF(OR(ISBLANK($BS$102)), "", $BS$102/1000)), "", (IF(OR(ISBLANK($BS$102)), "", $BS$102/1000))) = ""), 0,IF(ISERROR(IF(OR(ISBLANK($BS$102)), "", $BS$102/1000)), "", (IF(OR(ISBLANK($BS$102)), "", $BS$102/1000))))</f>
        <v>0</v>
      </c>
      <c r="BT58">
        <f>IF(OR(ISBLANK(IF(ISERROR(IF(OR(ISBLANK($BT$102)), "", $BT$102/1000)), "", (IF(OR(ISBLANK($BT$102)), "", $BT$102/1000)))), IF(ISERROR(IF(OR(ISBLANK($BT$102)), "", $BT$102/1000)), "", (IF(OR(ISBLANK($BT$102)), "", $BT$102/1000))) = ""), 0,IF(ISERROR(IF(OR(ISBLANK($BT$102)), "", $BT$102/1000)), "", (IF(OR(ISBLANK($BT$102)), "", $BT$102/1000))))</f>
        <v>0</v>
      </c>
      <c r="BU58">
        <f>IF(OR(ISBLANK(IF(ISERROR(IF(OR(ISBLANK($BU$102)), "", $BU$102/1000)), "", (IF(OR(ISBLANK($BU$102)), "", $BU$102/1000)))), IF(ISERROR(IF(OR(ISBLANK($BU$102)), "", $BU$102/1000)), "", (IF(OR(ISBLANK($BU$102)), "", $BU$102/1000))) = ""), 0,IF(ISERROR(IF(OR(ISBLANK($BU$102)), "", $BU$102/1000)), "", (IF(OR(ISBLANK($BU$102)), "", $BU$102/1000))))</f>
        <v>0</v>
      </c>
      <c r="BV58">
        <f>IF(OR(ISBLANK(IF(ISERROR(IF(OR(ISBLANK($BV$102)), "", $BV$102/1000)), "", (IF(OR(ISBLANK($BV$102)), "", $BV$102/1000)))), IF(ISERROR(IF(OR(ISBLANK($BV$102)), "", $BV$102/1000)), "", (IF(OR(ISBLANK($BV$102)), "", $BV$102/1000))) = ""), 0,IF(ISERROR(IF(OR(ISBLANK($BV$102)), "", $BV$102/1000)), "", (IF(OR(ISBLANK($BV$102)), "", $BV$102/1000))))</f>
        <v>0</v>
      </c>
      <c r="BW58">
        <f>IF(OR(ISBLANK(IF(ISERROR(IF(OR(ISBLANK($BW$102)), "", $BW$102/1000)), "", (IF(OR(ISBLANK($BW$102)), "", $BW$102/1000)))), IF(ISERROR(IF(OR(ISBLANK($BW$102)), "", $BW$102/1000)), "", (IF(OR(ISBLANK($BW$102)), "", $BW$102/1000))) = ""), 0,IF(ISERROR(IF(OR(ISBLANK($BW$102)), "", $BW$102/1000)), "", (IF(OR(ISBLANK($BW$102)), "", $BW$102/1000))))</f>
        <v>0</v>
      </c>
      <c r="BX58">
        <f>IF(OR(ISBLANK(IF(ISERROR(IF(OR(ISBLANK($BX$102)), "", $BX$102/1000)), "", (IF(OR(ISBLANK($BX$102)), "", $BX$102/1000)))), IF(ISERROR(IF(OR(ISBLANK($BX$102)), "", $BX$102/1000)), "", (IF(OR(ISBLANK($BX$102)), "", $BX$102/1000))) = ""), 0,IF(ISERROR(IF(OR(ISBLANK($BX$102)), "", $BX$102/1000)), "", (IF(OR(ISBLANK($BX$102)), "", $BX$102/1000))))</f>
        <v>0</v>
      </c>
      <c r="BY58">
        <f>IF(OR(ISBLANK(IF(ISERROR(IF(OR(ISBLANK($BY$102)), "", $BY$102/1000)), "", (IF(OR(ISBLANK($BY$102)), "", $BY$102/1000)))), IF(ISERROR(IF(OR(ISBLANK($BY$102)), "", $BY$102/1000)), "", (IF(OR(ISBLANK($BY$102)), "", $BY$102/1000))) = ""), 0,IF(ISERROR(IF(OR(ISBLANK($BY$102)), "", $BY$102/1000)), "", (IF(OR(ISBLANK($BY$102)), "", $BY$102/1000))))</f>
        <v>0</v>
      </c>
      <c r="BZ58">
        <f>IF(OR(ISBLANK(IF(ISERROR(IF(OR(ISBLANK($BZ$102)), "", $BZ$102/1000)), "", (IF(OR(ISBLANK($BZ$102)), "", $BZ$102/1000)))), IF(ISERROR(IF(OR(ISBLANK($BZ$102)), "", $BZ$102/1000)), "", (IF(OR(ISBLANK($BZ$102)), "", $BZ$102/1000))) = ""), 0,IF(ISERROR(IF(OR(ISBLANK($BZ$102)), "", $BZ$102/1000)), "", (IF(OR(ISBLANK($BZ$102)), "", $BZ$102/1000))))</f>
        <v>0</v>
      </c>
      <c r="CA58">
        <f>IF(OR(ISBLANK(IF(ISERROR(IF(OR(ISBLANK($CA$102)), "", $CA$102/1000)), "", (IF(OR(ISBLANK($CA$102)), "", $CA$102/1000)))), IF(ISERROR(IF(OR(ISBLANK($CA$102)), "", $CA$102/1000)), "", (IF(OR(ISBLANK($CA$102)), "", $CA$102/1000))) = ""), 0,IF(ISERROR(IF(OR(ISBLANK($CA$102)), "", $CA$102/1000)), "", (IF(OR(ISBLANK($CA$102)), "", $CA$102/1000))))</f>
        <v>0</v>
      </c>
      <c r="CB58">
        <f>IF(OR(ISBLANK(IF(ISERROR(IF(OR(ISBLANK($CB$102)), "", $CB$102/1000)), "", (IF(OR(ISBLANK($CB$102)), "", $CB$102/1000)))), IF(ISERROR(IF(OR(ISBLANK($CB$102)), "", $CB$102/1000)), "", (IF(OR(ISBLANK($CB$102)), "", $CB$102/1000))) = ""), 0,IF(ISERROR(IF(OR(ISBLANK($CB$102)), "", $CB$102/1000)), "", (IF(OR(ISBLANK($CB$102)), "", $CB$102/1000))))</f>
        <v>0</v>
      </c>
      <c r="CC58">
        <f>IF(OR(ISBLANK(IF(ISERROR(IF(OR(ISBLANK($CC$102)), "", $CC$102/1000)), "", (IF(OR(ISBLANK($CC$102)), "", $CC$102/1000)))), IF(ISERROR(IF(OR(ISBLANK($CC$102)), "", $CC$102/1000)), "", (IF(OR(ISBLANK($CC$102)), "", $CC$102/1000))) = ""), 0,IF(ISERROR(IF(OR(ISBLANK($CC$102)), "", $CC$102/1000)), "", (IF(OR(ISBLANK($CC$102)), "", $CC$102/1000))))</f>
        <v>0</v>
      </c>
      <c r="CD58">
        <f>IF(OR(ISBLANK(IF(ISERROR(IF(OR(ISBLANK($CD$102)), "", $CD$102/1000)), "", (IF(OR(ISBLANK($CD$102)), "", $CD$102/1000)))), IF(ISERROR(IF(OR(ISBLANK($CD$102)), "", $CD$102/1000)), "", (IF(OR(ISBLANK($CD$102)), "", $CD$102/1000))) = ""), 0,IF(ISERROR(IF(OR(ISBLANK($CD$102)), "", $CD$102/1000)), "", (IF(OR(ISBLANK($CD$102)), "", $CD$102/1000))))</f>
        <v>0</v>
      </c>
      <c r="CE58">
        <f>IF(OR(ISBLANK(IF(ISERROR(IF(OR(ISBLANK($CE$102)), "", $CE$102/1000)), "", (IF(OR(ISBLANK($CE$102)), "", $CE$102/1000)))), IF(ISERROR(IF(OR(ISBLANK($CE$102)), "", $CE$102/1000)), "", (IF(OR(ISBLANK($CE$102)), "", $CE$102/1000))) = ""), 0,IF(ISERROR(IF(OR(ISBLANK($CE$102)), "", $CE$102/1000)), "", (IF(OR(ISBLANK($CE$102)), "", $CE$102/1000))))</f>
        <v>0</v>
      </c>
      <c r="CF58">
        <f>IF(OR(ISBLANK(IF(ISERROR(IF(OR(ISBLANK($CF$102)), "", $CF$102/1000)), "", (IF(OR(ISBLANK($CF$102)), "", $CF$102/1000)))), IF(ISERROR(IF(OR(ISBLANK($CF$102)), "", $CF$102/1000)), "", (IF(OR(ISBLANK($CF$102)), "", $CF$102/1000))) = ""), 0,IF(ISERROR(IF(OR(ISBLANK($CF$102)), "", $CF$102/1000)), "", (IF(OR(ISBLANK($CF$102)), "", $CF$102/1000))))</f>
        <v>0</v>
      </c>
      <c r="CG58">
        <f>IF(OR(ISBLANK(IF(ISERROR(IF(OR(ISBLANK($CG$102)), "", $CG$102/1000)), "", (IF(OR(ISBLANK($CG$102)), "", $CG$102/1000)))), IF(ISERROR(IF(OR(ISBLANK($CG$102)), "", $CG$102/1000)), "", (IF(OR(ISBLANK($CG$102)), "", $CG$102/1000))) = ""), 0,IF(ISERROR(IF(OR(ISBLANK($CG$102)), "", $CG$102/1000)), "", (IF(OR(ISBLANK($CG$102)), "", $CG$102/1000))))</f>
        <v>0</v>
      </c>
    </row>
    <row r="59" spans="1:85" x14ac:dyDescent="0.25">
      <c r="A59" t="str">
        <f>"    7 Day Average Rate"</f>
        <v xml:space="preserve">    7 Day Average Rate</v>
      </c>
      <c r="B59" t="str">
        <f>"ECBA7DAV Index"</f>
        <v>ECBA7DAV Index</v>
      </c>
      <c r="C59" t="str">
        <f>"PR005"</f>
        <v>PR005</v>
      </c>
      <c r="D59" t="str">
        <f>"PX_LAST"</f>
        <v>PX_LAST</v>
      </c>
      <c r="E59" t="str">
        <f>"Dynamic"</f>
        <v>Dynamic</v>
      </c>
      <c r="F59" t="e">
        <f ca="1">IF(OR(ISBLANK($F$136), $F$136 = ""), "",$F$136)</f>
        <v>#N/A</v>
      </c>
      <c r="G59" t="str">
        <f>IF(OR(ISBLANK($G$136), $G$136 = ""), "",$G$136)</f>
        <v/>
      </c>
      <c r="H59">
        <f>IF(OR(ISBLANK($H$136), $H$136 = ""), 0.129999995,$H$136)</f>
        <v>0.12999999500000001</v>
      </c>
      <c r="I59">
        <f>IF(OR(ISBLANK($I$136), $I$136 = ""), 0.239999995,$I$136)</f>
        <v>0.23999999499999999</v>
      </c>
      <c r="J59">
        <f>IF(OR(ISBLANK($J$136), $J$136 = ""), 0.25,$J$136)</f>
        <v>0.25</v>
      </c>
      <c r="K59">
        <f>IF(OR(ISBLANK($K$136), $K$136 = ""), 0.239999995,$K$136)</f>
        <v>0.23999999499999999</v>
      </c>
      <c r="L59">
        <f>IF(OR(ISBLANK($L$136), $L$136 = ""), 0.239999995,$L$136)</f>
        <v>0.23999999499999999</v>
      </c>
      <c r="M59">
        <f>IF(OR(ISBLANK($M$136), $M$136 = ""), 0.230000004,$M$136)</f>
        <v>0.23000000400000001</v>
      </c>
      <c r="N59">
        <f>IF(OR(ISBLANK($N$136), $N$136 = ""), 0.239999995,$N$136)</f>
        <v>0.23999999499999999</v>
      </c>
      <c r="O59">
        <f>IF(OR(ISBLANK($O$136), $O$136 = ""), 0.230000004,$O$136)</f>
        <v>0.23000000400000001</v>
      </c>
      <c r="P59">
        <f>IF(OR(ISBLANK($P$136), $P$136 = ""), 0.230000004,$P$136)</f>
        <v>0.23000000400000001</v>
      </c>
      <c r="Q59">
        <f>IF(OR(ISBLANK($Q$136), $Q$136 = ""), 0.219999999,$Q$136)</f>
        <v>0.219999999</v>
      </c>
      <c r="R59">
        <f>IF(OR(ISBLANK($R$136), $R$136 = ""), 0.209999993,$R$136)</f>
        <v>0.209999993</v>
      </c>
      <c r="S59">
        <f>IF(OR(ISBLANK($S$136), $S$136 = ""), 0.219999999,$S$136)</f>
        <v>0.13</v>
      </c>
      <c r="T59">
        <f>IF(OR(ISBLANK($T$136), $T$136 = ""), 0.209999993,$T$136)</f>
        <v>0.24</v>
      </c>
      <c r="U59">
        <f>IF(OR(ISBLANK($U$136), $U$136 = ""), 0.209999993,$U$136)</f>
        <v>0.25</v>
      </c>
      <c r="V59">
        <f>IF(OR(ISBLANK($V$136), $V$136 = ""), 0.219999999,$V$136)</f>
        <v>0.24</v>
      </c>
      <c r="W59">
        <f>IF(OR(ISBLANK($W$136), $W$136 = ""), 0.230000004,$W$136)</f>
        <v>0.24</v>
      </c>
      <c r="X59">
        <f>IF(OR(ISBLANK($X$136), $X$136 = ""), 0.230000004,$X$136)</f>
        <v>0.23</v>
      </c>
      <c r="Y59">
        <f>IF(OR(ISBLANK($Y$136), $Y$136 = ""), 0.230000004,$Y$136)</f>
        <v>0.24</v>
      </c>
      <c r="Z59">
        <f>IF(OR(ISBLANK($Z$136), $Z$136 = ""), 0.230000004,$Z$136)</f>
        <v>0.23</v>
      </c>
      <c r="AA59">
        <f>IF(OR(ISBLANK($AA$136), $AA$136 = ""), 0.239999995,$AA$136)</f>
        <v>0.23</v>
      </c>
      <c r="AB59">
        <f>IF(OR(ISBLANK($AB$136), $AB$136 = ""), 0.230000004,$AB$136)</f>
        <v>0.22</v>
      </c>
      <c r="AC59">
        <f>IF(OR(ISBLANK($AC$136), $AC$136 = ""), 0.209999993,$AC$136)</f>
        <v>0.21</v>
      </c>
      <c r="AD59">
        <f>IF(OR(ISBLANK($AD$136), $AD$136 = ""), 0.170000002,$AD$136)</f>
        <v>0.22</v>
      </c>
      <c r="AE59">
        <f>IF(OR(ISBLANK($AE$136), $AE$136 = ""), 0.239999995,$AE$136)</f>
        <v>0.21</v>
      </c>
      <c r="AF59">
        <f>IF(OR(ISBLANK($AF$136), $AF$136 = ""), 0.239999995,$AF$136)</f>
        <v>0.21</v>
      </c>
      <c r="AG59">
        <f>IF(OR(ISBLANK($AG$136), $AG$136 = ""), 0.230000004,$AG$136)</f>
        <v>0.22</v>
      </c>
      <c r="AH59">
        <f>IF(OR(ISBLANK($AH$136), $AH$136 = ""), 0.189999998,$AH$136)</f>
        <v>0.23</v>
      </c>
      <c r="AI59">
        <f>IF(OR(ISBLANK($AI$136), $AI$136 = ""), 0.140000001,$AI$136)</f>
        <v>0.23</v>
      </c>
      <c r="AJ59">
        <f>IF(OR(ISBLANK($AJ$136), $AJ$136 = ""), 0.159999996,$AJ$136)</f>
        <v>0.23</v>
      </c>
      <c r="AK59">
        <f>IF(OR(ISBLANK($AK$136), $AK$136 = ""), 0.090000004,$AK$136)</f>
        <v>0.23</v>
      </c>
      <c r="AL59">
        <f>IF(OR(ISBLANK($AL$136), $AL$136 = ""), 0.090000004,$AL$136)</f>
        <v>0.24</v>
      </c>
      <c r="AM59">
        <f>IF(OR(ISBLANK($AM$136), $AM$136 = ""), 0.100000002,$AM$136)</f>
        <v>0.23</v>
      </c>
      <c r="AN59">
        <f>IF(OR(ISBLANK($AN$136), $AN$136 = ""), 0.119999997,$AN$136)</f>
        <v>0.21</v>
      </c>
      <c r="AO59">
        <f>IF(OR(ISBLANK($AO$136), $AO$136 = ""), 0.090000004,$AO$136)</f>
        <v>0.17</v>
      </c>
      <c r="AP59">
        <f>IF(OR(ISBLANK($AP$136), $AP$136 = ""), 0.090000004,$AP$136)</f>
        <v>0.24</v>
      </c>
      <c r="AQ59">
        <f>IF(OR(ISBLANK($AQ$136), $AQ$136 = ""), 0.079999998,$AQ$136)</f>
        <v>0.24</v>
      </c>
      <c r="AR59">
        <f>IF(OR(ISBLANK($AR$136), $AR$136 = ""), 0.079999998,$AR$136)</f>
        <v>0.23</v>
      </c>
      <c r="AS59">
        <f>IF(OR(ISBLANK($AS$136), $AS$136 = ""), 0.109999999,$AS$136)</f>
        <v>0.19</v>
      </c>
      <c r="AT59">
        <f>IF(OR(ISBLANK($AT$136), $AT$136 = ""), 0.079999998,$AT$136)</f>
        <v>0.14000000000000001</v>
      </c>
      <c r="AU59">
        <f>IF(OR(ISBLANK($AU$136), $AU$136 = ""), 0.079999998,$AU$136)</f>
        <v>0.16</v>
      </c>
      <c r="AV59">
        <f>IF(OR(ISBLANK($AV$136), $AV$136 = ""), 0.090000004,$AV$136)</f>
        <v>0.09</v>
      </c>
      <c r="AW59">
        <f>IF(OR(ISBLANK($AW$136), $AW$136 = ""), 0.109999999,$AW$136)</f>
        <v>0.09</v>
      </c>
      <c r="AX59">
        <f>IF(OR(ISBLANK($AX$136), $AX$136 = ""), 0.100000002,$AX$136)</f>
        <v>0.1</v>
      </c>
      <c r="AY59">
        <f>IF(OR(ISBLANK($AY$136), $AY$136 = ""), 0.100000002,$AY$136)</f>
        <v>0.12</v>
      </c>
      <c r="AZ59">
        <f>IF(OR(ISBLANK($AZ$136), $AZ$136 = ""), 0.109999999,$AZ$136)</f>
        <v>0.09</v>
      </c>
      <c r="BA59">
        <f>IF(OR(ISBLANK($BA$136), $BA$136 = ""), 0.129999995,$BA$136)</f>
        <v>0.09</v>
      </c>
      <c r="BB59">
        <f>IF(OR(ISBLANK($BB$136), $BB$136 = ""), 0.109999999,$BB$136)</f>
        <v>0.08</v>
      </c>
      <c r="BC59">
        <f>IF(OR(ISBLANK($BC$136), $BC$136 = ""), 0.100000002,$BC$136)</f>
        <v>0.08</v>
      </c>
      <c r="BD59">
        <f>IF(OR(ISBLANK($BD$136), $BD$136 = ""), 0.090000004,$BD$136)</f>
        <v>0.11</v>
      </c>
      <c r="BE59">
        <f>IF(OR(ISBLANK($BE$136), $BE$136 = ""), 0.090000004,$BE$136)</f>
        <v>0.08</v>
      </c>
      <c r="BF59">
        <f>IF(OR(ISBLANK($BF$136), $BF$136 = ""), 0.180000007,$BF$136)</f>
        <v>0.08</v>
      </c>
      <c r="BG59">
        <f>IF(OR(ISBLANK($BG$136), $BG$136 = ""), 0.07,$BG$136)</f>
        <v>0.09</v>
      </c>
      <c r="BH59">
        <f>IF(OR(ISBLANK($BH$136), $BH$136 = ""), 0.07,$BH$136)</f>
        <v>0.11</v>
      </c>
      <c r="BI59">
        <f>IF(OR(ISBLANK($BI$136), $BI$136 = ""), 0.07,$BI$136)</f>
        <v>0.1</v>
      </c>
      <c r="BJ59">
        <f>IF(OR(ISBLANK($BJ$136), $BJ$136 = ""), 0.07,$BJ$136)</f>
        <v>0.1</v>
      </c>
      <c r="BK59">
        <f>IF(OR(ISBLANK($BK$136), $BK$136 = ""), 0.059999999,$BK$136)</f>
        <v>0.11</v>
      </c>
      <c r="BL59">
        <f>IF(OR(ISBLANK($BL$136), $BL$136 = ""), 0.050000001,$BL$136)</f>
        <v>0.13</v>
      </c>
      <c r="BM59">
        <f>IF(OR(ISBLANK($BM$136), $BM$136 = ""), 0.050000001,$BM$136)</f>
        <v>0.11</v>
      </c>
      <c r="BN59">
        <f>IF(OR(ISBLANK($BN$136), $BN$136 = ""), 0.050000001,$BN$136)</f>
        <v>0.1</v>
      </c>
      <c r="BO59">
        <f>IF(OR(ISBLANK($BO$136), $BO$136 = ""), 0.050000001,$BO$136)</f>
        <v>0.09</v>
      </c>
      <c r="BP59">
        <f>IF(OR(ISBLANK($BP$136), $BP$136 = ""), 0.039999999,$BP$136)</f>
        <v>0.09</v>
      </c>
      <c r="BQ59">
        <f>IF(OR(ISBLANK($BQ$136), $BQ$136 = ""), 0.039999999,$BQ$136)</f>
        <v>0.18</v>
      </c>
      <c r="BR59">
        <f>IF(OR(ISBLANK($BR$136), $BR$136 = ""), 0.039999999,$BR$136)</f>
        <v>7.0000000000000007E-2</v>
      </c>
      <c r="BS59">
        <f>IF(OR(ISBLANK($BS$136), $BS$136 = ""), 0.059999999,$BS$136)</f>
        <v>7.0000000000000007E-2</v>
      </c>
      <c r="BT59">
        <f>IF(OR(ISBLANK($BT$136), $BT$136 = ""), 0.029999999,$BT$136)</f>
        <v>7.0000000000000007E-2</v>
      </c>
      <c r="BU59">
        <f>IF(OR(ISBLANK($BU$136), $BU$136 = ""), 0.029999999,$BU$136)</f>
        <v>7.0000000000000007E-2</v>
      </c>
      <c r="BV59">
        <f>IF(OR(ISBLANK($BV$136), $BV$136 = ""), 0.029999999,$BV$136)</f>
        <v>0.06</v>
      </c>
      <c r="BW59">
        <f>IF(OR(ISBLANK($BW$136), $BW$136 = ""), 0.029999999,$BW$136)</f>
        <v>0.05</v>
      </c>
      <c r="BX59">
        <f>IF(OR(ISBLANK($BX$136), $BX$136 = ""), 0.029999999,$BX$136)</f>
        <v>0.05</v>
      </c>
      <c r="BY59">
        <f>IF(OR(ISBLANK($BY$136), $BY$136 = ""), 0.039999999,$BY$136)</f>
        <v>0.05</v>
      </c>
      <c r="BZ59">
        <f>IF(OR(ISBLANK($BZ$136), $BZ$136 = ""), 0.039999999,$BZ$136)</f>
        <v>0.05</v>
      </c>
      <c r="CA59">
        <f>IF(OR(ISBLANK($CA$136), $CA$136 = ""), 0.039999999,$CA$136)</f>
        <v>0.04</v>
      </c>
      <c r="CB59">
        <f>IF(OR(ISBLANK($CB$136), $CB$136 = ""), 0.01,$CB$136)</f>
        <v>0.04</v>
      </c>
      <c r="CC59">
        <f>IF(OR(ISBLANK($CC$136), $CC$136 = ""), 0.01,$CC$136)</f>
        <v>0.04</v>
      </c>
      <c r="CD59">
        <f>IF(OR(ISBLANK($CD$136), $CD$136 = ""), 0.01,$CD$136)</f>
        <v>0.06</v>
      </c>
      <c r="CE59">
        <f>IF(OR(ISBLANK($CE$136), $CE$136 = ""), 0.01,$CE$136)</f>
        <v>0.03</v>
      </c>
      <c r="CF59">
        <f>IF(OR(ISBLANK($CF$136), $CF$136 = ""), 0.029999999,$CF$136)</f>
        <v>0.03</v>
      </c>
      <c r="CG59">
        <f>IF(OR(ISBLANK($CG$136), $CG$136 = ""), 0.01,$CG$136)</f>
        <v>0.03</v>
      </c>
    </row>
    <row r="60" spans="1:85" x14ac:dyDescent="0.25">
      <c r="A60" t="str">
        <f>"    7 Day Bid to Cover Ratio"</f>
        <v xml:space="preserve">    7 Day Bid to Cover Ratio</v>
      </c>
      <c r="B60" t="str">
        <f>"ECBA7DBC Index"</f>
        <v>ECBA7DBC Index</v>
      </c>
      <c r="C60" t="str">
        <f>"PR005"</f>
        <v>PR005</v>
      </c>
      <c r="D60" t="str">
        <f>"PX_LAST"</f>
        <v>PX_LAST</v>
      </c>
      <c r="E60" t="str">
        <f>"Dynamic"</f>
        <v>Dynamic</v>
      </c>
      <c r="F60" t="e">
        <f ca="1">IF(OR(ISBLANK($F$137), $F$137 = ""), "",$F$137)</f>
        <v>#N/A</v>
      </c>
      <c r="G60" t="str">
        <f>IF(OR(ISBLANK($G$137), $G$137 = ""), "",$G$137)</f>
        <v/>
      </c>
      <c r="H60">
        <f>IF(OR(ISBLANK($H$137), $H$137 = ""), 0.670000017,$H$137)</f>
        <v>0.670000017</v>
      </c>
      <c r="I60">
        <f>IF(OR(ISBLANK($I$137), $I$137 = ""), 0.720000029,$I$137)</f>
        <v>0.72000002900000004</v>
      </c>
      <c r="J60">
        <f>IF(OR(ISBLANK($J$137), $J$137 = ""), 0.629999995,$J$137)</f>
        <v>0.62999999500000003</v>
      </c>
      <c r="K60">
        <f>IF(OR(ISBLANK($K$137), $K$137 = ""), 0.819999993,$K$137)</f>
        <v>0.81999999300000004</v>
      </c>
      <c r="L60">
        <f>IF(OR(ISBLANK($L$137), $L$137 = ""), 0.860000014,$L$137)</f>
        <v>0.86000001400000003</v>
      </c>
      <c r="M60">
        <f>IF(OR(ISBLANK($M$137), $M$137 = ""), 0.99000001,$M$137)</f>
        <v>0.99000001000000004</v>
      </c>
      <c r="N60">
        <f>IF(OR(ISBLANK($N$137), $N$137 = ""), 0.600000024,$N$137)</f>
        <v>0.60000002399999997</v>
      </c>
      <c r="O60">
        <f>IF(OR(ISBLANK($O$137), $O$137 = ""), 0.970000029,$O$137)</f>
        <v>0.97000002900000004</v>
      </c>
      <c r="P60">
        <f>IF(OR(ISBLANK($P$137), $P$137 = ""), 0.889999986,$P$137)</f>
        <v>0.88999998599999997</v>
      </c>
      <c r="Q60">
        <f>IF(OR(ISBLANK($Q$137), $Q$137 = ""), 1.120000005,$Q$137)</f>
        <v>1.1200000050000001</v>
      </c>
      <c r="R60">
        <f>IF(OR(ISBLANK($R$137), $R$137 = ""), 1.139999986,$R$137)</f>
        <v>1.1399999860000001</v>
      </c>
      <c r="S60">
        <f>IF(OR(ISBLANK($S$137), $S$137 = ""), 1.029999971,$S$137)</f>
        <v>0.67</v>
      </c>
      <c r="T60">
        <f>IF(OR(ISBLANK($T$137), $T$137 = ""), 1.269999981,$T$137)</f>
        <v>0.72</v>
      </c>
      <c r="U60">
        <f>IF(OR(ISBLANK($U$137), $U$137 = ""), 1.25,$U$137)</f>
        <v>0.63</v>
      </c>
      <c r="V60">
        <f>IF(OR(ISBLANK($V$137), $V$137 = ""), 1.25,$V$137)</f>
        <v>0.82</v>
      </c>
      <c r="W60">
        <f>IF(OR(ISBLANK($W$137), $W$137 = ""), 1.110000014,$W$137)</f>
        <v>0.86</v>
      </c>
      <c r="X60">
        <f>IF(OR(ISBLANK($X$137), $X$137 = ""), 1.230000019,$X$137)</f>
        <v>0.99</v>
      </c>
      <c r="Y60">
        <f>IF(OR(ISBLANK($Y$137), $Y$137 = ""), 1.120000005,$Y$137)</f>
        <v>0.6</v>
      </c>
      <c r="Z60">
        <f>IF(OR(ISBLANK($Z$137), $Z$137 = ""), 1.200000048,$Z$137)</f>
        <v>0.97</v>
      </c>
      <c r="AA60">
        <f>IF(OR(ISBLANK($AA$137), $AA$137 = ""), 0.850000024,$AA$137)</f>
        <v>0.89</v>
      </c>
      <c r="AB60">
        <f>IF(OR(ISBLANK($AB$137), $AB$137 = ""), 0.860000014,$AB$137)</f>
        <v>1.1200000000000001</v>
      </c>
      <c r="AC60">
        <f>IF(OR(ISBLANK($AC$137), $AC$137 = ""), 1.00999999,$AC$137)</f>
        <v>1.1400000000000001</v>
      </c>
      <c r="AD60">
        <f>IF(OR(ISBLANK($AD$137), $AD$137 = ""), 1.039999962,$AD$137)</f>
        <v>1.03</v>
      </c>
      <c r="AE60">
        <f>IF(OR(ISBLANK($AE$137), $AE$137 = ""), 0.589999974,$AE$137)</f>
        <v>1.27</v>
      </c>
      <c r="AF60">
        <f>IF(OR(ISBLANK($AF$137), $AF$137 = ""), 0.779999971,$AF$137)</f>
        <v>1.25</v>
      </c>
      <c r="AG60">
        <f>IF(OR(ISBLANK($AG$137), $AG$137 = ""), 0.829999983,$AG$137)</f>
        <v>1.25</v>
      </c>
      <c r="AH60">
        <f>IF(OR(ISBLANK($AH$137), $AH$137 = ""), 1.00999999,$AH$137)</f>
        <v>1.1100000000000001</v>
      </c>
      <c r="AI60">
        <f>IF(OR(ISBLANK($AI$137), $AI$137 = ""), 1.029999971,$AI$137)</f>
        <v>1.23</v>
      </c>
      <c r="AJ60">
        <f>IF(OR(ISBLANK($AJ$137), $AJ$137 = ""), 0.860000014,$AJ$137)</f>
        <v>1.1200000000000001</v>
      </c>
      <c r="AK60">
        <f>IF(OR(ISBLANK($AK$137), $AK$137 = ""), 1.190000057,$AK$137)</f>
        <v>1.2</v>
      </c>
      <c r="AL60">
        <f>IF(OR(ISBLANK($AL$137), $AL$137 = ""), 1.379999995,$AL$137)</f>
        <v>0.85</v>
      </c>
      <c r="AM60">
        <f>IF(OR(ISBLANK($AM$137), $AM$137 = ""), 1.399999976,$AM$137)</f>
        <v>0.86</v>
      </c>
      <c r="AN60">
        <f>IF(OR(ISBLANK($AN$137), $AN$137 = ""), 1.149999976,$AN$137)</f>
        <v>1.01</v>
      </c>
      <c r="AO60">
        <f>IF(OR(ISBLANK($AO$137), $AO$137 = ""), 1.279999971,$AO$137)</f>
        <v>1.04</v>
      </c>
      <c r="AP60">
        <f>IF(OR(ISBLANK($AP$137), $AP$137 = ""), 1.169999957,$AP$137)</f>
        <v>0.59</v>
      </c>
      <c r="AQ60">
        <f>IF(OR(ISBLANK($AQ$137), $AQ$137 = ""), 1.340000033,$AQ$137)</f>
        <v>0.78</v>
      </c>
      <c r="AR60">
        <f>IF(OR(ISBLANK($AR$137), $AR$137 = ""), 1.409999967,$AR$137)</f>
        <v>0.83</v>
      </c>
      <c r="AS60">
        <f>IF(OR(ISBLANK($AS$137), $AS$137 = ""), 1.299999952,$AS$137)</f>
        <v>1.01</v>
      </c>
      <c r="AT60">
        <f>IF(OR(ISBLANK($AT$137), $AT$137 = ""), 1.429999948,$AT$137)</f>
        <v>1.03</v>
      </c>
      <c r="AU60">
        <f>IF(OR(ISBLANK($AU$137), $AU$137 = ""), 1.559999943,$AU$137)</f>
        <v>0.86</v>
      </c>
      <c r="AV60">
        <f>IF(OR(ISBLANK($AV$137), $AV$137 = ""), 1.649999976,$AV$137)</f>
        <v>1.19</v>
      </c>
      <c r="AW60">
        <f>IF(OR(ISBLANK($AW$137), $AW$137 = ""), 1.50999999,$AW$137)</f>
        <v>1.38</v>
      </c>
      <c r="AX60">
        <f>IF(OR(ISBLANK($AX$137), $AX$137 = ""), 1.480000019,$AX$137)</f>
        <v>1.4</v>
      </c>
      <c r="AY60">
        <f>IF(OR(ISBLANK($AY$137), $AY$137 = ""), 1.350000024,$AY$137)</f>
        <v>1.1499999999999999</v>
      </c>
      <c r="AZ60">
        <f>IF(OR(ISBLANK($AZ$137), $AZ$137 = ""), 1.399999976,$AZ$137)</f>
        <v>1.28</v>
      </c>
      <c r="BA60">
        <f>IF(OR(ISBLANK($BA$137), $BA$137 = ""), 1.179999948,$BA$137)</f>
        <v>1.17</v>
      </c>
      <c r="BB60">
        <f>IF(OR(ISBLANK($BB$137), $BB$137 = ""), 1.179999948,$BB$137)</f>
        <v>1.34</v>
      </c>
      <c r="BC60">
        <f>IF(OR(ISBLANK($BC$137), $BC$137 = ""), 1.220000029,$BC$137)</f>
        <v>1.41</v>
      </c>
      <c r="BD60">
        <f>IF(OR(ISBLANK($BD$137), $BD$137 = ""), 1.279999971,$BD$137)</f>
        <v>1.3</v>
      </c>
      <c r="BE60">
        <f>IF(OR(ISBLANK($BE$137), $BE$137 = ""), 1.230000019,$BE$137)</f>
        <v>1.43</v>
      </c>
      <c r="BF60">
        <f>IF(OR(ISBLANK($BF$137), $BF$137 = ""), 1.100000024,$BF$137)</f>
        <v>1.56</v>
      </c>
      <c r="BG60">
        <f>IF(OR(ISBLANK($BG$137), $BG$137 = ""), 1.289999962,$BG$137)</f>
        <v>1.65</v>
      </c>
      <c r="BH60">
        <f>IF(OR(ISBLANK($BH$137), $BH$137 = ""), 1.429999948,$BH$137)</f>
        <v>1.51</v>
      </c>
      <c r="BI60">
        <f>IF(OR(ISBLANK($BI$137), $BI$137 = ""), 1.399999976,$BI$137)</f>
        <v>1.48</v>
      </c>
      <c r="BJ60">
        <f>IF(OR(ISBLANK($BJ$137), $BJ$137 = ""), 1.190000057,$BJ$137)</f>
        <v>1.35</v>
      </c>
      <c r="BK60">
        <f>IF(OR(ISBLANK($BK$137), $BK$137 = ""), 1.25999999,$BK$137)</f>
        <v>1.4</v>
      </c>
      <c r="BL60">
        <f>IF(OR(ISBLANK($BL$137), $BL$137 = ""), 1.24000001,$BL$137)</f>
        <v>1.18</v>
      </c>
      <c r="BM60">
        <f>IF(OR(ISBLANK($BM$137), $BM$137 = ""), 1.330000043,$BM$137)</f>
        <v>1.18</v>
      </c>
      <c r="BN60">
        <f>IF(OR(ISBLANK($BN$137), $BN$137 = ""), 1.25999999,$BN$137)</f>
        <v>1.22</v>
      </c>
      <c r="BO60">
        <f>IF(OR(ISBLANK($BO$137), $BO$137 = ""), 1.25,$BO$137)</f>
        <v>1.28</v>
      </c>
      <c r="BP60">
        <f>IF(OR(ISBLANK($BP$137), $BP$137 = ""), 1.279999971,$BP$137)</f>
        <v>1.23</v>
      </c>
      <c r="BQ60">
        <f>IF(OR(ISBLANK($BQ$137), $BQ$137 = ""), 1.399999976,$BQ$137)</f>
        <v>1.1000000000000001</v>
      </c>
      <c r="BR60">
        <f>IF(OR(ISBLANK($BR$137), $BR$137 = ""), 1.320000052,$BR$137)</f>
        <v>1.29</v>
      </c>
      <c r="BS60">
        <f>IF(OR(ISBLANK($BS$137), $BS$137 = ""), 1.100000024,$BS$137)</f>
        <v>1.43</v>
      </c>
      <c r="BT60">
        <f>IF(OR(ISBLANK($BT$137), $BT$137 = ""), 1.330000043,$BT$137)</f>
        <v>1.4</v>
      </c>
      <c r="BU60">
        <f>IF(OR(ISBLANK($BU$137), $BU$137 = ""), 1.389999986,$BU$137)</f>
        <v>1.19</v>
      </c>
      <c r="BV60">
        <f>IF(OR(ISBLANK($BV$137), $BV$137 = ""), 1.470000029,$BV$137)</f>
        <v>1.26</v>
      </c>
      <c r="BW60">
        <f>IF(OR(ISBLANK($BW$137), $BW$137 = ""), 1.519999981,$BW$137)</f>
        <v>1.24</v>
      </c>
      <c r="BX60">
        <f>IF(OR(ISBLANK($BX$137), $BX$137 = ""), 1.700000048,$BX$137)</f>
        <v>1.33</v>
      </c>
      <c r="BY60">
        <f>IF(OR(ISBLANK($BY$137), $BY$137 = ""), 1.700000048,$BY$137)</f>
        <v>1.26</v>
      </c>
      <c r="BZ60">
        <f>IF(OR(ISBLANK($BZ$137), $BZ$137 = ""), 1.629999995,$BZ$137)</f>
        <v>1.25</v>
      </c>
      <c r="CA60">
        <f>IF(OR(ISBLANK($CA$137), $CA$137 = ""), 1.360000014,$CA$137)</f>
        <v>1.28</v>
      </c>
      <c r="CB60">
        <f>IF(OR(ISBLANK($CB$137), $CB$137 = ""), 1.429999948,$CB$137)</f>
        <v>1.4</v>
      </c>
      <c r="CC60">
        <f>IF(OR(ISBLANK($CC$137), $CC$137 = ""), 1.710000038,$CC$137)</f>
        <v>1.32</v>
      </c>
      <c r="CD60">
        <f>IF(OR(ISBLANK($CD$137), $CD$137 = ""), 1.649999976,$CD$137)</f>
        <v>1.1000000000000001</v>
      </c>
      <c r="CE60">
        <f>IF(OR(ISBLANK($CE$137), $CE$137 = ""), 1.549999952,$CE$137)</f>
        <v>1.33</v>
      </c>
      <c r="CF60">
        <f>IF(OR(ISBLANK($CF$137), $CF$137 = ""), 0.949999988,$CF$137)</f>
        <v>1.3900000000000001</v>
      </c>
      <c r="CG60">
        <f>IF(OR(ISBLANK($CG$137), $CG$137 = ""), 1.700000048,$CG$137)</f>
        <v>1.47</v>
      </c>
    </row>
    <row r="61" spans="1:85" x14ac:dyDescent="0.25">
      <c r="A61" t="str">
        <f>"    "</f>
        <v xml:space="preserve">    </v>
      </c>
      <c r="B61" t="str">
        <f>""</f>
        <v/>
      </c>
      <c r="C61" t="str">
        <f>""</f>
        <v/>
      </c>
      <c r="D61" t="str">
        <f>""</f>
        <v/>
      </c>
      <c r="E61" t="str">
        <f>"Static"</f>
        <v>Static</v>
      </c>
      <c r="F61" t="str">
        <f>""</f>
        <v/>
      </c>
      <c r="G61" t="str">
        <f>""</f>
        <v/>
      </c>
      <c r="H61" t="str">
        <f>""</f>
        <v/>
      </c>
      <c r="I61" t="str">
        <f>""</f>
        <v/>
      </c>
      <c r="J61" t="str">
        <f>""</f>
        <v/>
      </c>
      <c r="K61" t="str">
        <f>""</f>
        <v/>
      </c>
      <c r="L61" t="str">
        <f>""</f>
        <v/>
      </c>
      <c r="M61" t="str">
        <f>""</f>
        <v/>
      </c>
      <c r="N61" t="str">
        <f>""</f>
        <v/>
      </c>
      <c r="O61" t="str">
        <f>""</f>
        <v/>
      </c>
      <c r="P61" t="str">
        <f>""</f>
        <v/>
      </c>
      <c r="Q61" t="str">
        <f>""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  <c r="AD61" t="str">
        <f>""</f>
        <v/>
      </c>
      <c r="AE61" t="str">
        <f>""</f>
        <v/>
      </c>
      <c r="AF61" t="str">
        <f>""</f>
        <v/>
      </c>
      <c r="AG61" t="str">
        <f>""</f>
        <v/>
      </c>
      <c r="AH61" t="str">
        <f>""</f>
        <v/>
      </c>
      <c r="AI61" t="str">
        <f>""</f>
        <v/>
      </c>
      <c r="AJ61" t="str">
        <f>""</f>
        <v/>
      </c>
      <c r="AK61" t="str">
        <f>""</f>
        <v/>
      </c>
      <c r="AL61" t="str">
        <f>""</f>
        <v/>
      </c>
      <c r="AM61" t="str">
        <f>""</f>
        <v/>
      </c>
      <c r="AN61" t="str">
        <f>""</f>
        <v/>
      </c>
      <c r="AO61" t="str">
        <f>""</f>
        <v/>
      </c>
      <c r="AP61" t="str">
        <f>""</f>
        <v/>
      </c>
      <c r="AQ61" t="str">
        <f>""</f>
        <v/>
      </c>
      <c r="AR61" t="str">
        <f>""</f>
        <v/>
      </c>
      <c r="AS61" t="str">
        <f>""</f>
        <v/>
      </c>
      <c r="AT61" t="str">
        <f>""</f>
        <v/>
      </c>
      <c r="AU61" t="str">
        <f>""</f>
        <v/>
      </c>
      <c r="AV61" t="str">
        <f>""</f>
        <v/>
      </c>
      <c r="AW61" t="str">
        <f>""</f>
        <v/>
      </c>
      <c r="AX61" t="str">
        <f>""</f>
        <v/>
      </c>
      <c r="AY61" t="str">
        <f>""</f>
        <v/>
      </c>
      <c r="AZ61" t="str">
        <f>""</f>
        <v/>
      </c>
      <c r="BA61" t="str">
        <f>""</f>
        <v/>
      </c>
      <c r="BB61" t="str">
        <f>""</f>
        <v/>
      </c>
      <c r="BC61" t="str">
        <f>""</f>
        <v/>
      </c>
      <c r="BD61" t="str">
        <f>""</f>
        <v/>
      </c>
      <c r="BE61" t="str">
        <f>""</f>
        <v/>
      </c>
      <c r="BF61" t="str">
        <f>""</f>
        <v/>
      </c>
      <c r="BG61" t="str">
        <f>""</f>
        <v/>
      </c>
      <c r="BH61" t="str">
        <f>""</f>
        <v/>
      </c>
      <c r="BI61" t="str">
        <f>""</f>
        <v/>
      </c>
      <c r="BJ61" t="str">
        <f>""</f>
        <v/>
      </c>
      <c r="BK61" t="str">
        <f>""</f>
        <v/>
      </c>
      <c r="BL61" t="str">
        <f>""</f>
        <v/>
      </c>
      <c r="BM61" t="str">
        <f>""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</row>
    <row r="62" spans="1:85" x14ac:dyDescent="0.25">
      <c r="A62" t="str">
        <f>"ECB LIQUIDITY CONDITIONS (DAILY)  (EUR B)"</f>
        <v>ECB LIQUIDITY CONDITIONS (DAILY)  (EUR B)</v>
      </c>
      <c r="B62" t="str">
        <f>""</f>
        <v/>
      </c>
      <c r="C62" t="str">
        <f>""</f>
        <v/>
      </c>
      <c r="D62" t="str">
        <f>""</f>
        <v/>
      </c>
      <c r="E62" t="str">
        <f>"Static"</f>
        <v>Static</v>
      </c>
      <c r="F62" t="str">
        <f>""</f>
        <v/>
      </c>
      <c r="G62" t="str">
        <f>""</f>
        <v/>
      </c>
      <c r="H62" t="str">
        <f>""</f>
        <v/>
      </c>
      <c r="I62" t="str">
        <f>""</f>
        <v/>
      </c>
      <c r="J62" t="str">
        <f>""</f>
        <v/>
      </c>
      <c r="K62" t="str">
        <f>""</f>
        <v/>
      </c>
      <c r="L62" t="str">
        <f>""</f>
        <v/>
      </c>
      <c r="M62" t="str">
        <f>""</f>
        <v/>
      </c>
      <c r="N62" t="str">
        <f>""</f>
        <v/>
      </c>
      <c r="O62" t="str">
        <f>""</f>
        <v/>
      </c>
      <c r="P62" t="str">
        <f>""</f>
        <v/>
      </c>
      <c r="Q62" t="str">
        <f>""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  <c r="AD62" t="str">
        <f>""</f>
        <v/>
      </c>
      <c r="AE62" t="str">
        <f>""</f>
        <v/>
      </c>
      <c r="AF62" t="str">
        <f>""</f>
        <v/>
      </c>
      <c r="AG62" t="str">
        <f>""</f>
        <v/>
      </c>
      <c r="AH62" t="str">
        <f>""</f>
        <v/>
      </c>
      <c r="AI62" t="str">
        <f>""</f>
        <v/>
      </c>
      <c r="AJ62" t="str">
        <f>""</f>
        <v/>
      </c>
      <c r="AK62" t="str">
        <f>""</f>
        <v/>
      </c>
      <c r="AL62" t="str">
        <f>""</f>
        <v/>
      </c>
      <c r="AM62" t="str">
        <f>""</f>
        <v/>
      </c>
      <c r="AN62" t="str">
        <f>""</f>
        <v/>
      </c>
      <c r="AO62" t="str">
        <f>""</f>
        <v/>
      </c>
      <c r="AP62" t="str">
        <f>""</f>
        <v/>
      </c>
      <c r="AQ62" t="str">
        <f>""</f>
        <v/>
      </c>
      <c r="AR62" t="str">
        <f>""</f>
        <v/>
      </c>
      <c r="AS62" t="str">
        <f>""</f>
        <v/>
      </c>
      <c r="AT62" t="str">
        <f>""</f>
        <v/>
      </c>
      <c r="AU62" t="str">
        <f>""</f>
        <v/>
      </c>
      <c r="AV62" t="str">
        <f>""</f>
        <v/>
      </c>
      <c r="AW62" t="str">
        <f>""</f>
        <v/>
      </c>
      <c r="AX62" t="str">
        <f>""</f>
        <v/>
      </c>
      <c r="AY62" t="str">
        <f>""</f>
        <v/>
      </c>
      <c r="AZ62" t="str">
        <f>""</f>
        <v/>
      </c>
      <c r="BA62" t="str">
        <f>""</f>
        <v/>
      </c>
      <c r="BB62" t="str">
        <f>""</f>
        <v/>
      </c>
      <c r="BC62" t="str">
        <f>""</f>
        <v/>
      </c>
      <c r="BD62" t="str">
        <f>""</f>
        <v/>
      </c>
      <c r="BE62" t="str">
        <f>""</f>
        <v/>
      </c>
      <c r="BF62" t="str">
        <f>""</f>
        <v/>
      </c>
      <c r="BG62" t="str">
        <f>""</f>
        <v/>
      </c>
      <c r="BH62" t="str">
        <f>""</f>
        <v/>
      </c>
      <c r="BI62" t="str">
        <f>""</f>
        <v/>
      </c>
      <c r="BJ62" t="str">
        <f>""</f>
        <v/>
      </c>
      <c r="BK62" t="str">
        <f>""</f>
        <v/>
      </c>
      <c r="BL62" t="str">
        <f>""</f>
        <v/>
      </c>
      <c r="BM62" t="str">
        <f>""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</row>
    <row r="63" spans="1:85" x14ac:dyDescent="0.25">
      <c r="A63" t="str">
        <f>"    Deposit Facility + Current Account"</f>
        <v xml:space="preserve">    Deposit Facility + Current Account</v>
      </c>
      <c r="B63" t="str">
        <f>""</f>
        <v/>
      </c>
      <c r="C63" t="str">
        <f>""</f>
        <v/>
      </c>
      <c r="D63" t="str">
        <f>""</f>
        <v/>
      </c>
      <c r="E63" t="str">
        <f>"Sum"</f>
        <v>Sum</v>
      </c>
      <c r="F63" t="str">
        <f ca="1">IF(OR(ISBLANK(IF(ISERROR(IF(SUM($F$64:$F$65) = 0, "", SUM($F$64:$F$65))), "", (IF(SUM($F$64:$F$65) = 0, "", SUM($F$64:$F$65))))), IF(ISERROR(IF(SUM($F$64:$F$65) = 0, "", SUM($F$64:$F$65))), "", (IF(SUM($F$64:$F$65) = 0, "", SUM($F$64:$F$65)))) = ""), "",IF(ISERROR(IF(SUM($F$64:$F$65) = 0, "", SUM($F$64:$F$65))), "", (IF(SUM($F$64:$F$65) = 0, "", SUM($F$64:$F$65)))))</f>
        <v/>
      </c>
      <c r="G63">
        <f>IF(OR(ISBLANK(IF(ISERROR(IF(SUM($G$64:$G$65) = 0, "", SUM($G$64:$G$65))), "", (IF(SUM($G$64:$G$65) = 0, "", SUM($G$64:$G$65))))), IF(ISERROR(IF(SUM($G$64:$G$65) = 0, "", SUM($G$64:$G$65))), "", (IF(SUM($G$64:$G$65) = 0, "", SUM($G$64:$G$65)))) = ""), 237.77,IF(ISERROR(IF(SUM($G$64:$G$65) = 0, "", SUM($G$64:$G$65))), "", (IF(SUM($G$64:$G$65) = 0, "", SUM($G$64:$G$65)))))</f>
        <v>220.369</v>
      </c>
      <c r="H63">
        <f>IF(OR(ISBLANK(IF(ISERROR(IF(SUM($H$64:$H$65) = 0, "", SUM($H$64:$H$65))), "", (IF(SUM($H$64:$H$65) = 0, "", SUM($H$64:$H$65))))), IF(ISERROR(IF(SUM($H$64:$H$65) = 0, "", SUM($H$64:$H$65))), "", (IF(SUM($H$64:$H$65) = 0, "", SUM($H$64:$H$65)))) = ""), 217.006,IF(ISERROR(IF(SUM($H$64:$H$65) = 0, "", SUM($H$64:$H$65))), "", (IF(SUM($H$64:$H$65) = 0, "", SUM($H$64:$H$65)))))</f>
        <v>253.62100000000001</v>
      </c>
      <c r="I63">
        <f>IF(OR(ISBLANK(IF(ISERROR(IF(SUM($I$64:$I$65) = 0, "", SUM($I$64:$I$65))), "", (IF(SUM($I$64:$I$65) = 0, "", SUM($I$64:$I$65))))), IF(ISERROR(IF(SUM($I$64:$I$65) = 0, "", SUM($I$64:$I$65))), "", (IF(SUM($I$64:$I$65) = 0, "", SUM($I$64:$I$65)))) = ""), 224.435,IF(ISERROR(IF(SUM($I$64:$I$65) = 0, "", SUM($I$64:$I$65))), "", (IF(SUM($I$64:$I$65) = 0, "", SUM($I$64:$I$65)))))</f>
        <v>230.84200000000001</v>
      </c>
      <c r="J63">
        <f>IF(OR(ISBLANK(IF(ISERROR(IF(SUM($J$64:$J$65) = 0, "", SUM($J$64:$J$65))), "", (IF(SUM($J$64:$J$65) = 0, "", SUM($J$64:$J$65))))), IF(ISERROR(IF(SUM($J$64:$J$65) = 0, "", SUM($J$64:$J$65))), "", (IF(SUM($J$64:$J$65) = 0, "", SUM($J$64:$J$65)))) = ""), 249.302,IF(ISERROR(IF(SUM($J$64:$J$65) = 0, "", SUM($J$64:$J$65))), "", (IF(SUM($J$64:$J$65) = 0, "", SUM($J$64:$J$65)))))</f>
        <v>241.46899999999999</v>
      </c>
      <c r="K63">
        <f>IF(OR(ISBLANK(IF(ISERROR(IF(SUM($K$64:$K$65) = 0, "", SUM($K$64:$K$65))), "", (IF(SUM($K$64:$K$65) = 0, "", SUM($K$64:$K$65))))), IF(ISERROR(IF(SUM($K$64:$K$65) = 0, "", SUM($K$64:$K$65))), "", (IF(SUM($K$64:$K$65) = 0, "", SUM($K$64:$K$65)))) = ""), 192.319,IF(ISERROR(IF(SUM($K$64:$K$65) = 0, "", SUM($K$64:$K$65))), "", (IF(SUM($K$64:$K$65) = 0, "", SUM($K$64:$K$65)))))</f>
        <v>235.62099999999998</v>
      </c>
      <c r="L63">
        <f>IF(OR(ISBLANK(IF(ISERROR(IF(SUM($L$64:$L$65) = 0, "", SUM($L$64:$L$65))), "", (IF(SUM($L$64:$L$65) = 0, "", SUM($L$64:$L$65))))), IF(ISERROR(IF(SUM($L$64:$L$65) = 0, "", SUM($L$64:$L$65))), "", (IF(SUM($L$64:$L$65) = 0, "", SUM($L$64:$L$65)))) = ""), 218.897,IF(ISERROR(IF(SUM($L$64:$L$65) = 0, "", SUM($L$64:$L$65))), "", (IF(SUM($L$64:$L$65) = 0, "", SUM($L$64:$L$65)))))</f>
        <v>263.83300000000003</v>
      </c>
      <c r="M63">
        <f>IF(OR(ISBLANK(IF(ISERROR(IF(SUM($M$64:$M$65) = 0, "", SUM($M$64:$M$65))), "", (IF(SUM($M$64:$M$65) = 0, "", SUM($M$64:$M$65))))), IF(ISERROR(IF(SUM($M$64:$M$65) = 0, "", SUM($M$64:$M$65))), "", (IF(SUM($M$64:$M$65) = 0, "", SUM($M$64:$M$65)))) = ""), 183.863,IF(ISERROR(IF(SUM($M$64:$M$65) = 0, "", SUM($M$64:$M$65))), "", (IF(SUM($M$64:$M$65) = 0, "", SUM($M$64:$M$65)))))</f>
        <v>217.70099999999999</v>
      </c>
      <c r="N63">
        <f>IF(OR(ISBLANK(IF(ISERROR(IF(SUM($N$64:$N$65) = 0, "", SUM($N$64:$N$65))), "", (IF(SUM($N$64:$N$65) = 0, "", SUM($N$64:$N$65))))), IF(ISERROR(IF(SUM($N$64:$N$65) = 0, "", SUM($N$64:$N$65))), "", (IF(SUM($N$64:$N$65) = 0, "", SUM($N$64:$N$65)))) = ""), 279.27,IF(ISERROR(IF(SUM($N$64:$N$65) = 0, "", SUM($N$64:$N$65))), "", (IF(SUM($N$64:$N$65) = 0, "", SUM($N$64:$N$65)))))</f>
        <v>233.80199999999999</v>
      </c>
      <c r="O63">
        <f>IF(OR(ISBLANK(IF(ISERROR(IF(SUM($O$64:$O$65) = 0, "", SUM($O$64:$O$65))), "", (IF(SUM($O$64:$O$65) = 0, "", SUM($O$64:$O$65))))), IF(ISERROR(IF(SUM($O$64:$O$65) = 0, "", SUM($O$64:$O$65))), "", (IF(SUM($O$64:$O$65) = 0, "", SUM($O$64:$O$65)))) = ""), 190.119,IF(ISERROR(IF(SUM($O$64:$O$65) = 0, "", SUM($O$64:$O$65))), "", (IF(SUM($O$64:$O$65) = 0, "", SUM($O$64:$O$65)))))</f>
        <v>226.339</v>
      </c>
      <c r="P63">
        <f>IF(OR(ISBLANK(IF(ISERROR(IF(SUM($P$64:$P$65) = 0, "", SUM($P$64:$P$65))), "", (IF(SUM($P$64:$P$65) = 0, "", SUM($P$64:$P$65))))), IF(ISERROR(IF(SUM($P$64:$P$65) = 0, "", SUM($P$64:$P$65))), "", (IF(SUM($P$64:$P$65) = 0, "", SUM($P$64:$P$65)))) = ""), 235.391,IF(ISERROR(IF(SUM($P$64:$P$65) = 0, "", SUM($P$64:$P$65))), "", (IF(SUM($P$64:$P$65) = 0, "", SUM($P$64:$P$65)))))</f>
        <v>241.52100000000002</v>
      </c>
      <c r="Q63">
        <f>IF(OR(ISBLANK(IF(ISERROR(IF(SUM($Q$64:$Q$65) = 0, "", SUM($Q$64:$Q$65))), "", (IF(SUM($Q$64:$Q$65) = 0, "", SUM($Q$64:$Q$65))))), IF(ISERROR(IF(SUM($Q$64:$Q$65) = 0, "", SUM($Q$64:$Q$65))), "", (IF(SUM($Q$64:$Q$65) = 0, "", SUM($Q$64:$Q$65)))) = ""), 219.386,IF(ISERROR(IF(SUM($Q$64:$Q$65) = 0, "", SUM($Q$64:$Q$65))), "", (IF(SUM($Q$64:$Q$65) = 0, "", SUM($Q$64:$Q$65)))))</f>
        <v>243.15</v>
      </c>
      <c r="R63">
        <f>IF(OR(ISBLANK(IF(ISERROR(IF(SUM($R$64:$R$65) = 0, "", SUM($R$64:$R$65))), "", (IF(SUM($R$64:$R$65) = 0, "", SUM($R$64:$R$65))))), IF(ISERROR(IF(SUM($R$64:$R$65) = 0, "", SUM($R$64:$R$65))), "", (IF(SUM($R$64:$R$65) = 0, "", SUM($R$64:$R$65)))) = ""), 206.861,IF(ISERROR(IF(SUM($R$64:$R$65) = 0, "", SUM($R$64:$R$65))), "", (IF(SUM($R$64:$R$65) = 0, "", SUM($R$64:$R$65)))))</f>
        <v>237.77</v>
      </c>
      <c r="S63">
        <f>IF(OR(ISBLANK(IF(ISERROR(IF(SUM($S$64:$S$65) = 0, "", SUM($S$64:$S$65))), "", (IF(SUM($S$64:$S$65) = 0, "", SUM($S$64:$S$65))))), IF(ISERROR(IF(SUM($S$64:$S$65) = 0, "", SUM($S$64:$S$65))), "", (IF(SUM($S$64:$S$65) = 0, "", SUM($S$64:$S$65)))) = ""), 207.418,IF(ISERROR(IF(SUM($S$64:$S$65) = 0, "", SUM($S$64:$S$65))), "", (IF(SUM($S$64:$S$65) = 0, "", SUM($S$64:$S$65)))))</f>
        <v>217.006</v>
      </c>
      <c r="T63">
        <f>IF(OR(ISBLANK(IF(ISERROR(IF(SUM($T$64:$T$65) = 0, "", SUM($T$64:$T$65))), "", (IF(SUM($T$64:$T$65) = 0, "", SUM($T$64:$T$65))))), IF(ISERROR(IF(SUM($T$64:$T$65) = 0, "", SUM($T$64:$T$65))), "", (IF(SUM($T$64:$T$65) = 0, "", SUM($T$64:$T$65)))) = ""), 229.737,IF(ISERROR(IF(SUM($T$64:$T$65) = 0, "", SUM($T$64:$T$65))), "", (IF(SUM($T$64:$T$65) = 0, "", SUM($T$64:$T$65)))))</f>
        <v>224.435</v>
      </c>
      <c r="U63">
        <f>IF(OR(ISBLANK(IF(ISERROR(IF(SUM($U$64:$U$65) = 0, "", SUM($U$64:$U$65))), "", (IF(SUM($U$64:$U$65) = 0, "", SUM($U$64:$U$65))))), IF(ISERROR(IF(SUM($U$64:$U$65) = 0, "", SUM($U$64:$U$65))), "", (IF(SUM($U$64:$U$65) = 0, "", SUM($U$64:$U$65)))) = ""), 250.25,IF(ISERROR(IF(SUM($U$64:$U$65) = 0, "", SUM($U$64:$U$65))), "", (IF(SUM($U$64:$U$65) = 0, "", SUM($U$64:$U$65)))))</f>
        <v>249.30199999999999</v>
      </c>
      <c r="V63">
        <f>IF(OR(ISBLANK(IF(ISERROR(IF(SUM($V$64:$V$65) = 0, "", SUM($V$64:$V$65))), "", (IF(SUM($V$64:$V$65) = 0, "", SUM($V$64:$V$65))))), IF(ISERROR(IF(SUM($V$64:$V$65) = 0, "", SUM($V$64:$V$65))), "", (IF(SUM($V$64:$V$65) = 0, "", SUM($V$64:$V$65)))) = ""), 218.051,IF(ISERROR(IF(SUM($V$64:$V$65) = 0, "", SUM($V$64:$V$65))), "", (IF(SUM($V$64:$V$65) = 0, "", SUM($V$64:$V$65)))))</f>
        <v>192.31899999999999</v>
      </c>
      <c r="W63">
        <f>IF(OR(ISBLANK(IF(ISERROR(IF(SUM($W$64:$W$65) = 0, "", SUM($W$64:$W$65))), "", (IF(SUM($W$64:$W$65) = 0, "", SUM($W$64:$W$65))))), IF(ISERROR(IF(SUM($W$64:$W$65) = 0, "", SUM($W$64:$W$65))), "", (IF(SUM($W$64:$W$65) = 0, "", SUM($W$64:$W$65)))) = ""), 216.764,IF(ISERROR(IF(SUM($W$64:$W$65) = 0, "", SUM($W$64:$W$65))), "", (IF(SUM($W$64:$W$65) = 0, "", SUM($W$64:$W$65)))))</f>
        <v>218.89699999999999</v>
      </c>
      <c r="X63">
        <f>IF(OR(ISBLANK(IF(ISERROR(IF(SUM($X$64:$X$65) = 0, "", SUM($X$64:$X$65))), "", (IF(SUM($X$64:$X$65) = 0, "", SUM($X$64:$X$65))))), IF(ISERROR(IF(SUM($X$64:$X$65) = 0, "", SUM($X$64:$X$65))), "", (IF(SUM($X$64:$X$65) = 0, "", SUM($X$64:$X$65)))) = ""), 228.276,IF(ISERROR(IF(SUM($X$64:$X$65) = 0, "", SUM($X$64:$X$65))), "", (IF(SUM($X$64:$X$65) = 0, "", SUM($X$64:$X$65)))))</f>
        <v>183.863</v>
      </c>
      <c r="Y63">
        <f>IF(OR(ISBLANK(IF(ISERROR(IF(SUM($Y$64:$Y$65) = 0, "", SUM($Y$64:$Y$65))), "", (IF(SUM($Y$64:$Y$65) = 0, "", SUM($Y$64:$Y$65))))), IF(ISERROR(IF(SUM($Y$64:$Y$65) = 0, "", SUM($Y$64:$Y$65))), "", (IF(SUM($Y$64:$Y$65) = 0, "", SUM($Y$64:$Y$65)))) = ""), 253.626,IF(ISERROR(IF(SUM($Y$64:$Y$65) = 0, "", SUM($Y$64:$Y$65))), "", (IF(SUM($Y$64:$Y$65) = 0, "", SUM($Y$64:$Y$65)))))</f>
        <v>279.27</v>
      </c>
      <c r="Z63">
        <f>IF(OR(ISBLANK(IF(ISERROR(IF(SUM($Z$64:$Z$65) = 0, "", SUM($Z$64:$Z$65))), "", (IF(SUM($Z$64:$Z$65) = 0, "", SUM($Z$64:$Z$65))))), IF(ISERROR(IF(SUM($Z$64:$Z$65) = 0, "", SUM($Z$64:$Z$65))), "", (IF(SUM($Z$64:$Z$65) = 0, "", SUM($Z$64:$Z$65)))) = ""), 247.665,IF(ISERROR(IF(SUM($Z$64:$Z$65) = 0, "", SUM($Z$64:$Z$65))), "", (IF(SUM($Z$64:$Z$65) = 0, "", SUM($Z$64:$Z$65)))))</f>
        <v>190.119</v>
      </c>
      <c r="AA63">
        <f>IF(OR(ISBLANK(IF(ISERROR(IF(SUM($AA$64:$AA$65) = 0, "", SUM($AA$64:$AA$65))), "", (IF(SUM($AA$64:$AA$65) = 0, "", SUM($AA$64:$AA$65))))), IF(ISERROR(IF(SUM($AA$64:$AA$65) = 0, "", SUM($AA$64:$AA$65))), "", (IF(SUM($AA$64:$AA$65) = 0, "", SUM($AA$64:$AA$65)))) = ""), 271.754,IF(ISERROR(IF(SUM($AA$64:$AA$65) = 0, "", SUM($AA$64:$AA$65))), "", (IF(SUM($AA$64:$AA$65) = 0, "", SUM($AA$64:$AA$65)))))</f>
        <v>235.39099999999999</v>
      </c>
      <c r="AB63">
        <f>IF(OR(ISBLANK(IF(ISERROR(IF(SUM($AB$64:$AB$65) = 0, "", SUM($AB$64:$AB$65))), "", (IF(SUM($AB$64:$AB$65) = 0, "", SUM($AB$64:$AB$65))))), IF(ISERROR(IF(SUM($AB$64:$AB$65) = 0, "", SUM($AB$64:$AB$65))), "", (IF(SUM($AB$64:$AB$65) = 0, "", SUM($AB$64:$AB$65)))) = ""), 271.894,IF(ISERROR(IF(SUM($AB$64:$AB$65) = 0, "", SUM($AB$64:$AB$65))), "", (IF(SUM($AB$64:$AB$65) = 0, "", SUM($AB$64:$AB$65)))))</f>
        <v>219.386</v>
      </c>
      <c r="AC63">
        <f>IF(OR(ISBLANK(IF(ISERROR(IF(SUM($AC$64:$AC$65) = 0, "", SUM($AC$64:$AC$65))), "", (IF(SUM($AC$64:$AC$65) = 0, "", SUM($AC$64:$AC$65))))), IF(ISERROR(IF(SUM($AC$64:$AC$65) = 0, "", SUM($AC$64:$AC$65))), "", (IF(SUM($AC$64:$AC$65) = 0, "", SUM($AC$64:$AC$65)))) = ""), 238.938,IF(ISERROR(IF(SUM($AC$64:$AC$65) = 0, "", SUM($AC$64:$AC$65))), "", (IF(SUM($AC$64:$AC$65) = 0, "", SUM($AC$64:$AC$65)))))</f>
        <v>206.86099999999999</v>
      </c>
      <c r="AD63">
        <f>IF(OR(ISBLANK(IF(ISERROR(IF(SUM($AD$64:$AD$65) = 0, "", SUM($AD$64:$AD$65))), "", (IF(SUM($AD$64:$AD$65) = 0, "", SUM($AD$64:$AD$65))))), IF(ISERROR(IF(SUM($AD$64:$AD$65) = 0, "", SUM($AD$64:$AD$65))), "", (IF(SUM($AD$64:$AD$65) = 0, "", SUM($AD$64:$AD$65)))) = ""), 262.08,IF(ISERROR(IF(SUM($AD$64:$AD$65) = 0, "", SUM($AD$64:$AD$65))), "", (IF(SUM($AD$64:$AD$65) = 0, "", SUM($AD$64:$AD$65)))))</f>
        <v>207.41800000000001</v>
      </c>
      <c r="AE63">
        <f>IF(OR(ISBLANK(IF(ISERROR(IF(SUM($AE$64:$AE$65) = 0, "", SUM($AE$64:$AE$65))), "", (IF(SUM($AE$64:$AE$65) = 0, "", SUM($AE$64:$AE$65))))), IF(ISERROR(IF(SUM($AE$64:$AE$65) = 0, "", SUM($AE$64:$AE$65))), "", (IF(SUM($AE$64:$AE$65) = 0, "", SUM($AE$64:$AE$65)))) = ""), 387.156,IF(ISERROR(IF(SUM($AE$64:$AE$65) = 0, "", SUM($AE$64:$AE$65))), "", (IF(SUM($AE$64:$AE$65) = 0, "", SUM($AE$64:$AE$65)))))</f>
        <v>229.73699999999999</v>
      </c>
      <c r="AF63">
        <f>IF(OR(ISBLANK(IF(ISERROR(IF(SUM($AF$64:$AF$65) = 0, "", SUM($AF$64:$AF$65))), "", (IF(SUM($AF$64:$AF$65) = 0, "", SUM($AF$64:$AF$65))))), IF(ISERROR(IF(SUM($AF$64:$AF$65) = 0, "", SUM($AF$64:$AF$65))), "", (IF(SUM($AF$64:$AF$65) = 0, "", SUM($AF$64:$AF$65)))) = ""), 303.711,IF(ISERROR(IF(SUM($AF$64:$AF$65) = 0, "", SUM($AF$64:$AF$65))), "", (IF(SUM($AF$64:$AF$65) = 0, "", SUM($AF$64:$AF$65)))))</f>
        <v>250.25</v>
      </c>
      <c r="AG63">
        <f>IF(OR(ISBLANK(IF(ISERROR(IF(SUM($AG$64:$AG$65) = 0, "", SUM($AG$64:$AG$65))), "", (IF(SUM($AG$64:$AG$65) = 0, "", SUM($AG$64:$AG$65))))), IF(ISERROR(IF(SUM($AG$64:$AG$65) = 0, "", SUM($AG$64:$AG$65))), "", (IF(SUM($AG$64:$AG$65) = 0, "", SUM($AG$64:$AG$65)))) = ""), 309.423,IF(ISERROR(IF(SUM($AG$64:$AG$65) = 0, "", SUM($AG$64:$AG$65))), "", (IF(SUM($AG$64:$AG$65) = 0, "", SUM($AG$64:$AG$65)))))</f>
        <v>218.05099999999999</v>
      </c>
      <c r="AH63">
        <f>IF(OR(ISBLANK(IF(ISERROR(IF(SUM($AH$64:$AH$65) = 0, "", SUM($AH$64:$AH$65))), "", (IF(SUM($AH$64:$AH$65) = 0, "", SUM($AH$64:$AH$65))))), IF(ISERROR(IF(SUM($AH$64:$AH$65) = 0, "", SUM($AH$64:$AH$65))), "", (IF(SUM($AH$64:$AH$65) = 0, "", SUM($AH$64:$AH$65)))) = ""), 261.978,IF(ISERROR(IF(SUM($AH$64:$AH$65) = 0, "", SUM($AH$64:$AH$65))), "", (IF(SUM($AH$64:$AH$65) = 0, "", SUM($AH$64:$AH$65)))))</f>
        <v>216.76400000000001</v>
      </c>
      <c r="AI63">
        <f>IF(OR(ISBLANK(IF(ISERROR(IF(SUM($AI$64:$AI$65) = 0, "", SUM($AI$64:$AI$65))), "", (IF(SUM($AI$64:$AI$65) = 0, "", SUM($AI$64:$AI$65))))), IF(ISERROR(IF(SUM($AI$64:$AI$65) = 0, "", SUM($AI$64:$AI$65))), "", (IF(SUM($AI$64:$AI$65) = 0, "", SUM($AI$64:$AI$65)))) = ""), 257.743,IF(ISERROR(IF(SUM($AI$64:$AI$65) = 0, "", SUM($AI$64:$AI$65))), "", (IF(SUM($AI$64:$AI$65) = 0, "", SUM($AI$64:$AI$65)))))</f>
        <v>228.27600000000001</v>
      </c>
      <c r="AJ63">
        <f>IF(OR(ISBLANK(IF(ISERROR(IF(SUM($AJ$64:$AJ$65) = 0, "", SUM($AJ$64:$AJ$65))), "", (IF(SUM($AJ$64:$AJ$65) = 0, "", SUM($AJ$64:$AJ$65))))), IF(ISERROR(IF(SUM($AJ$64:$AJ$65) = 0, "", SUM($AJ$64:$AJ$65))), "", (IF(SUM($AJ$64:$AJ$65) = 0, "", SUM($AJ$64:$AJ$65)))) = ""), 271.599,IF(ISERROR(IF(SUM($AJ$64:$AJ$65) = 0, "", SUM($AJ$64:$AJ$65))), "", (IF(SUM($AJ$64:$AJ$65) = 0, "", SUM($AJ$64:$AJ$65)))))</f>
        <v>253.626</v>
      </c>
      <c r="AK63">
        <f>IF(OR(ISBLANK(IF(ISERROR(IF(SUM($AK$64:$AK$65) = 0, "", SUM($AK$64:$AK$65))), "", (IF(SUM($AK$64:$AK$65) = 0, "", SUM($AK$64:$AK$65))))), IF(ISERROR(IF(SUM($AK$64:$AK$65) = 0, "", SUM($AK$64:$AK$65))), "", (IF(SUM($AK$64:$AK$65) = 0, "", SUM($AK$64:$AK$65)))) = ""), 261.996,IF(ISERROR(IF(SUM($AK$64:$AK$65) = 0, "", SUM($AK$64:$AK$65))), "", (IF(SUM($AK$64:$AK$65) = 0, "", SUM($AK$64:$AK$65)))))</f>
        <v>247.66499999999999</v>
      </c>
      <c r="AL63">
        <f>IF(OR(ISBLANK(IF(ISERROR(IF(SUM($AL$64:$AL$65) = 0, "", SUM($AL$64:$AL$65))), "", (IF(SUM($AL$64:$AL$65) = 0, "", SUM($AL$64:$AL$65))))), IF(ISERROR(IF(SUM($AL$64:$AL$65) = 0, "", SUM($AL$64:$AL$65))), "", (IF(SUM($AL$64:$AL$65) = 0, "", SUM($AL$64:$AL$65)))) = ""), 275.749,IF(ISERROR(IF(SUM($AL$64:$AL$65) = 0, "", SUM($AL$64:$AL$65))), "", (IF(SUM($AL$64:$AL$65) = 0, "", SUM($AL$64:$AL$65)))))</f>
        <v>271.75400000000002</v>
      </c>
      <c r="AM63">
        <f>IF(OR(ISBLANK(IF(ISERROR(IF(SUM($AM$64:$AM$65) = 0, "", SUM($AM$64:$AM$65))), "", (IF(SUM($AM$64:$AM$65) = 0, "", SUM($AM$64:$AM$65))))), IF(ISERROR(IF(SUM($AM$64:$AM$65) = 0, "", SUM($AM$64:$AM$65))), "", (IF(SUM($AM$64:$AM$65) = 0, "", SUM($AM$64:$AM$65)))) = ""), 293.011,IF(ISERROR(IF(SUM($AM$64:$AM$65) = 0, "", SUM($AM$64:$AM$65))), "", (IF(SUM($AM$64:$AM$65) = 0, "", SUM($AM$64:$AM$65)))))</f>
        <v>271.89400000000001</v>
      </c>
      <c r="AN63">
        <f>IF(OR(ISBLANK(IF(ISERROR(IF(SUM($AN$64:$AN$65) = 0, "", SUM($AN$64:$AN$65))), "", (IF(SUM($AN$64:$AN$65) = 0, "", SUM($AN$64:$AN$65))))), IF(ISERROR(IF(SUM($AN$64:$AN$65) = 0, "", SUM($AN$64:$AN$65))), "", (IF(SUM($AN$64:$AN$65) = 0, "", SUM($AN$64:$AN$65)))) = ""), 279.062,IF(ISERROR(IF(SUM($AN$64:$AN$65) = 0, "", SUM($AN$64:$AN$65))), "", (IF(SUM($AN$64:$AN$65) = 0, "", SUM($AN$64:$AN$65)))))</f>
        <v>238.93800000000002</v>
      </c>
      <c r="AO63">
        <f>IF(OR(ISBLANK(IF(ISERROR(IF(SUM($AO$64:$AO$65) = 0, "", SUM($AO$64:$AO$65))), "", (IF(SUM($AO$64:$AO$65) = 0, "", SUM($AO$64:$AO$65))))), IF(ISERROR(IF(SUM($AO$64:$AO$65) = 0, "", SUM($AO$64:$AO$65))), "", (IF(SUM($AO$64:$AO$65) = 0, "", SUM($AO$64:$AO$65)))) = ""), 281.492,IF(ISERROR(IF(SUM($AO$64:$AO$65) = 0, "", SUM($AO$64:$AO$65))), "", (IF(SUM($AO$64:$AO$65) = 0, "", SUM($AO$64:$AO$65)))))</f>
        <v>262.08</v>
      </c>
      <c r="AP63">
        <f>IF(OR(ISBLANK(IF(ISERROR(IF(SUM($AP$64:$AP$65) = 0, "", SUM($AP$64:$AP$65))), "", (IF(SUM($AP$64:$AP$65) = 0, "", SUM($AP$64:$AP$65))))), IF(ISERROR(IF(SUM($AP$64:$AP$65) = 0, "", SUM($AP$64:$AP$65))), "", (IF(SUM($AP$64:$AP$65) = 0, "", SUM($AP$64:$AP$65)))) = ""), 314.772,IF(ISERROR(IF(SUM($AP$64:$AP$65) = 0, "", SUM($AP$64:$AP$65))), "", (IF(SUM($AP$64:$AP$65) = 0, "", SUM($AP$64:$AP$65)))))</f>
        <v>387.15599999999995</v>
      </c>
      <c r="AQ63">
        <f>IF(OR(ISBLANK(IF(ISERROR(IF(SUM($AQ$64:$AQ$65) = 0, "", SUM($AQ$64:$AQ$65))), "", (IF(SUM($AQ$64:$AQ$65) = 0, "", SUM($AQ$64:$AQ$65))))), IF(ISERROR(IF(SUM($AQ$64:$AQ$65) = 0, "", SUM($AQ$64:$AQ$65))), "", (IF(SUM($AQ$64:$AQ$65) = 0, "", SUM($AQ$64:$AQ$65)))) = ""), 320.6,IF(ISERROR(IF(SUM($AQ$64:$AQ$65) = 0, "", SUM($AQ$64:$AQ$65))), "", (IF(SUM($AQ$64:$AQ$65) = 0, "", SUM($AQ$64:$AQ$65)))))</f>
        <v>303.71100000000001</v>
      </c>
      <c r="AR63">
        <f>IF(OR(ISBLANK(IF(ISERROR(IF(SUM($AR$64:$AR$65) = 0, "", SUM($AR$64:$AR$65))), "", (IF(SUM($AR$64:$AR$65) = 0, "", SUM($AR$64:$AR$65))))), IF(ISERROR(IF(SUM($AR$64:$AR$65) = 0, "", SUM($AR$64:$AR$65))), "", (IF(SUM($AR$64:$AR$65) = 0, "", SUM($AR$64:$AR$65)))) = ""), 320.702,IF(ISERROR(IF(SUM($AR$64:$AR$65) = 0, "", SUM($AR$64:$AR$65))), "", (IF(SUM($AR$64:$AR$65) = 0, "", SUM($AR$64:$AR$65)))))</f>
        <v>309.423</v>
      </c>
      <c r="AS63">
        <f>IF(OR(ISBLANK(IF(ISERROR(IF(SUM($AS$64:$AS$65) = 0, "", SUM($AS$64:$AS$65))), "", (IF(SUM($AS$64:$AS$65) = 0, "", SUM($AS$64:$AS$65))))), IF(ISERROR(IF(SUM($AS$64:$AS$65) = 0, "", SUM($AS$64:$AS$65))), "", (IF(SUM($AS$64:$AS$65) = 0, "", SUM($AS$64:$AS$65)))) = ""), 311.63,IF(ISERROR(IF(SUM($AS$64:$AS$65) = 0, "", SUM($AS$64:$AS$65))), "", (IF(SUM($AS$64:$AS$65) = 0, "", SUM($AS$64:$AS$65)))))</f>
        <v>261.97800000000001</v>
      </c>
      <c r="AT63">
        <f>IF(OR(ISBLANK(IF(ISERROR(IF(SUM($AT$64:$AT$65) = 0, "", SUM($AT$64:$AT$65))), "", (IF(SUM($AT$64:$AT$65) = 0, "", SUM($AT$64:$AT$65))))), IF(ISERROR(IF(SUM($AT$64:$AT$65) = 0, "", SUM($AT$64:$AT$65))), "", (IF(SUM($AT$64:$AT$65) = 0, "", SUM($AT$64:$AT$65)))) = ""), 324.538,IF(ISERROR(IF(SUM($AT$64:$AT$65) = 0, "", SUM($AT$64:$AT$65))), "", (IF(SUM($AT$64:$AT$65) = 0, "", SUM($AT$64:$AT$65)))))</f>
        <v>257.74299999999999</v>
      </c>
      <c r="AU63">
        <f>IF(OR(ISBLANK(IF(ISERROR(IF(SUM($AU$64:$AU$65) = 0, "", SUM($AU$64:$AU$65))), "", (IF(SUM($AU$64:$AU$65) = 0, "", SUM($AU$64:$AU$65))))), IF(ISERROR(IF(SUM($AU$64:$AU$65) = 0, "", SUM($AU$64:$AU$65))), "", (IF(SUM($AU$64:$AU$65) = 0, "", SUM($AU$64:$AU$65)))) = ""), 347.244,IF(ISERROR(IF(SUM($AU$64:$AU$65) = 0, "", SUM($AU$64:$AU$65))), "", (IF(SUM($AU$64:$AU$65) = 0, "", SUM($AU$64:$AU$65)))))</f>
        <v>271.59899999999999</v>
      </c>
      <c r="AV63">
        <f>IF(OR(ISBLANK(IF(ISERROR(IF(SUM($AV$64:$AV$65) = 0, "", SUM($AV$64:$AV$65))), "", (IF(SUM($AV$64:$AV$65) = 0, "", SUM($AV$64:$AV$65))))), IF(ISERROR(IF(SUM($AV$64:$AV$65) = 0, "", SUM($AV$64:$AV$65))), "", (IF(SUM($AV$64:$AV$65) = 0, "", SUM($AV$64:$AV$65)))) = ""), 349.115,IF(ISERROR(IF(SUM($AV$64:$AV$65) = 0, "", SUM($AV$64:$AV$65))), "", (IF(SUM($AV$64:$AV$65) = 0, "", SUM($AV$64:$AV$65)))))</f>
        <v>261.99599999999998</v>
      </c>
      <c r="AW63">
        <f>IF(OR(ISBLANK(IF(ISERROR(IF(SUM($AW$64:$AW$65) = 0, "", SUM($AW$64:$AW$65))), "", (IF(SUM($AW$64:$AW$65) = 0, "", SUM($AW$64:$AW$65))))), IF(ISERROR(IF(SUM($AW$64:$AW$65) = 0, "", SUM($AW$64:$AW$65))), "", (IF(SUM($AW$64:$AW$65) = 0, "", SUM($AW$64:$AW$65)))) = ""), 342.829,IF(ISERROR(IF(SUM($AW$64:$AW$65) = 0, "", SUM($AW$64:$AW$65))), "", (IF(SUM($AW$64:$AW$65) = 0, "", SUM($AW$64:$AW$65)))))</f>
        <v>275.74900000000002</v>
      </c>
      <c r="AX63">
        <f>IF(OR(ISBLANK(IF(ISERROR(IF(SUM($AX$64:$AX$65) = 0, "", SUM($AX$64:$AX$65))), "", (IF(SUM($AX$64:$AX$65) = 0, "", SUM($AX$64:$AX$65))))), IF(ISERROR(IF(SUM($AX$64:$AX$65) = 0, "", SUM($AX$64:$AX$65))), "", (IF(SUM($AX$64:$AX$65) = 0, "", SUM($AX$64:$AX$65)))) = ""), 343.372,IF(ISERROR(IF(SUM($AX$64:$AX$65) = 0, "", SUM($AX$64:$AX$65))), "", (IF(SUM($AX$64:$AX$65) = 0, "", SUM($AX$64:$AX$65)))))</f>
        <v>293.01099999999997</v>
      </c>
      <c r="AY63">
        <f>IF(OR(ISBLANK(IF(ISERROR(IF(SUM($AY$64:$AY$65) = 0, "", SUM($AY$64:$AY$65))), "", (IF(SUM($AY$64:$AY$65) = 0, "", SUM($AY$64:$AY$65))))), IF(ISERROR(IF(SUM($AY$64:$AY$65) = 0, "", SUM($AY$64:$AY$65))), "", (IF(SUM($AY$64:$AY$65) = 0, "", SUM($AY$64:$AY$65)))) = ""), 362.741,IF(ISERROR(IF(SUM($AY$64:$AY$65) = 0, "", SUM($AY$64:$AY$65))), "", (IF(SUM($AY$64:$AY$65) = 0, "", SUM($AY$64:$AY$65)))))</f>
        <v>279.06200000000001</v>
      </c>
      <c r="AZ63">
        <f>IF(OR(ISBLANK(IF(ISERROR(IF(SUM($AZ$64:$AZ$65) = 0, "", SUM($AZ$64:$AZ$65))), "", (IF(SUM($AZ$64:$AZ$65) = 0, "", SUM($AZ$64:$AZ$65))))), IF(ISERROR(IF(SUM($AZ$64:$AZ$65) = 0, "", SUM($AZ$64:$AZ$65))), "", (IF(SUM($AZ$64:$AZ$65) = 0, "", SUM($AZ$64:$AZ$65)))) = ""), 361.032,IF(ISERROR(IF(SUM($AZ$64:$AZ$65) = 0, "", SUM($AZ$64:$AZ$65))), "", (IF(SUM($AZ$64:$AZ$65) = 0, "", SUM($AZ$64:$AZ$65)))))</f>
        <v>281.49200000000002</v>
      </c>
      <c r="BA63">
        <f>IF(OR(ISBLANK(IF(ISERROR(IF(SUM($BA$64:$BA$65) = 0, "", SUM($BA$64:$BA$65))), "", (IF(SUM($BA$64:$BA$65) = 0, "", SUM($BA$64:$BA$65))))), IF(ISERROR(IF(SUM($BA$64:$BA$65) = 0, "", SUM($BA$64:$BA$65))), "", (IF(SUM($BA$64:$BA$65) = 0, "", SUM($BA$64:$BA$65)))) = ""), 359.677,IF(ISERROR(IF(SUM($BA$64:$BA$65) = 0, "", SUM($BA$64:$BA$65))), "", (IF(SUM($BA$64:$BA$65) = 0, "", SUM($BA$64:$BA$65)))))</f>
        <v>314.77200000000005</v>
      </c>
      <c r="BB63">
        <f>IF(OR(ISBLANK(IF(ISERROR(IF(SUM($BB$64:$BB$65) = 0, "", SUM($BB$64:$BB$65))), "", (IF(SUM($BB$64:$BB$65) = 0, "", SUM($BB$64:$BB$65))))), IF(ISERROR(IF(SUM($BB$64:$BB$65) = 0, "", SUM($BB$64:$BB$65))), "", (IF(SUM($BB$64:$BB$65) = 0, "", SUM($BB$64:$BB$65)))) = ""), 335.063,IF(ISERROR(IF(SUM($BB$64:$BB$65) = 0, "", SUM($BB$64:$BB$65))), "", (IF(SUM($BB$64:$BB$65) = 0, "", SUM($BB$64:$BB$65)))))</f>
        <v>320.60000000000002</v>
      </c>
      <c r="BC63">
        <f>IF(OR(ISBLANK(IF(ISERROR(IF(SUM($BC$64:$BC$65) = 0, "", SUM($BC$64:$BC$65))), "", (IF(SUM($BC$64:$BC$65) = 0, "", SUM($BC$64:$BC$65))))), IF(ISERROR(IF(SUM($BC$64:$BC$65) = 0, "", SUM($BC$64:$BC$65))), "", (IF(SUM($BC$64:$BC$65) = 0, "", SUM($BC$64:$BC$65)))) = ""), 341.093,IF(ISERROR(IF(SUM($BC$64:$BC$65) = 0, "", SUM($BC$64:$BC$65))), "", (IF(SUM($BC$64:$BC$65) = 0, "", SUM($BC$64:$BC$65)))))</f>
        <v>320.702</v>
      </c>
      <c r="BD63">
        <f>IF(OR(ISBLANK(IF(ISERROR(IF(SUM($BD$64:$BD$65) = 0, "", SUM($BD$64:$BD$65))), "", (IF(SUM($BD$64:$BD$65) = 0, "", SUM($BD$64:$BD$65))))), IF(ISERROR(IF(SUM($BD$64:$BD$65) = 0, "", SUM($BD$64:$BD$65))), "", (IF(SUM($BD$64:$BD$65) = 0, "", SUM($BD$64:$BD$65)))) = ""), 369.966,IF(ISERROR(IF(SUM($BD$64:$BD$65) = 0, "", SUM($BD$64:$BD$65))), "", (IF(SUM($BD$64:$BD$65) = 0, "", SUM($BD$64:$BD$65)))))</f>
        <v>311.63</v>
      </c>
      <c r="BE63">
        <f>IF(OR(ISBLANK(IF(ISERROR(IF(SUM($BE$64:$BE$65) = 0, "", SUM($BE$64:$BE$65))), "", (IF(SUM($BE$64:$BE$65) = 0, "", SUM($BE$64:$BE$65))))), IF(ISERROR(IF(SUM($BE$64:$BE$65) = 0, "", SUM($BE$64:$BE$65))), "", (IF(SUM($BE$64:$BE$65) = 0, "", SUM($BE$64:$BE$65)))) = ""), 375.126,IF(ISERROR(IF(SUM($BE$64:$BE$65) = 0, "", SUM($BE$64:$BE$65))), "", (IF(SUM($BE$64:$BE$65) = 0, "", SUM($BE$64:$BE$65)))))</f>
        <v>324.53800000000001</v>
      </c>
      <c r="BF63">
        <f>IF(OR(ISBLANK(IF(ISERROR(IF(SUM($BF$64:$BF$65) = 0, "", SUM($BF$64:$BF$65))), "", (IF(SUM($BF$64:$BF$65) = 0, "", SUM($BF$64:$BF$65))))), IF(ISERROR(IF(SUM($BF$64:$BF$65) = 0, "", SUM($BF$64:$BF$65))), "", (IF(SUM($BF$64:$BF$65) = 0, "", SUM($BF$64:$BF$65)))) = ""), 368.509,IF(ISERROR(IF(SUM($BF$64:$BF$65) = 0, "", SUM($BF$64:$BF$65))), "", (IF(SUM($BF$64:$BF$65) = 0, "", SUM($BF$64:$BF$65)))))</f>
        <v>347.24400000000003</v>
      </c>
      <c r="BG63">
        <f>IF(OR(ISBLANK(IF(ISERROR(IF(SUM($BG$64:$BG$65) = 0, "", SUM($BG$64:$BG$65))), "", (IF(SUM($BG$64:$BG$65) = 0, "", SUM($BG$64:$BG$65))))), IF(ISERROR(IF(SUM($BG$64:$BG$65) = 0, "", SUM($BG$64:$BG$65))), "", (IF(SUM($BG$64:$BG$65) = 0, "", SUM($BG$64:$BG$65)))) = ""), 362.5,IF(ISERROR(IF(SUM($BG$64:$BG$65) = 0, "", SUM($BG$64:$BG$65))), "", (IF(SUM($BG$64:$BG$65) = 0, "", SUM($BG$64:$BG$65)))))</f>
        <v>349.11500000000001</v>
      </c>
      <c r="BH63">
        <f>IF(OR(ISBLANK(IF(ISERROR(IF(SUM($BH$64:$BH$65) = 0, "", SUM($BH$64:$BH$65))), "", (IF(SUM($BH$64:$BH$65) = 0, "", SUM($BH$64:$BH$65))))), IF(ISERROR(IF(SUM($BH$64:$BH$65) = 0, "", SUM($BH$64:$BH$65))), "", (IF(SUM($BH$64:$BH$65) = 0, "", SUM($BH$64:$BH$65)))) = ""), 399.772,IF(ISERROR(IF(SUM($BH$64:$BH$65) = 0, "", SUM($BH$64:$BH$65))), "", (IF(SUM($BH$64:$BH$65) = 0, "", SUM($BH$64:$BH$65)))))</f>
        <v>342.82900000000001</v>
      </c>
      <c r="BI63">
        <f>IF(OR(ISBLANK(IF(ISERROR(IF(SUM($BI$64:$BI$65) = 0, "", SUM($BI$64:$BI$65))), "", (IF(SUM($BI$64:$BI$65) = 0, "", SUM($BI$64:$BI$65))))), IF(ISERROR(IF(SUM($BI$64:$BI$65) = 0, "", SUM($BI$64:$BI$65))), "", (IF(SUM($BI$64:$BI$65) = 0, "", SUM($BI$64:$BI$65)))) = ""), 380.905,IF(ISERROR(IF(SUM($BI$64:$BI$65) = 0, "", SUM($BI$64:$BI$65))), "", (IF(SUM($BI$64:$BI$65) = 0, "", SUM($BI$64:$BI$65)))))</f>
        <v>343.37200000000001</v>
      </c>
      <c r="BJ63">
        <f>IF(OR(ISBLANK(IF(ISERROR(IF(SUM($BJ$64:$BJ$65) = 0, "", SUM($BJ$64:$BJ$65))), "", (IF(SUM($BJ$64:$BJ$65) = 0, "", SUM($BJ$64:$BJ$65))))), IF(ISERROR(IF(SUM($BJ$64:$BJ$65) = 0, "", SUM($BJ$64:$BJ$65))), "", (IF(SUM($BJ$64:$BJ$65) = 0, "", SUM($BJ$64:$BJ$65)))) = ""), 358.994,IF(ISERROR(IF(SUM($BJ$64:$BJ$65) = 0, "", SUM($BJ$64:$BJ$65))), "", (IF(SUM($BJ$64:$BJ$65) = 0, "", SUM($BJ$64:$BJ$65)))))</f>
        <v>362.74099999999999</v>
      </c>
      <c r="BK63">
        <f>IF(OR(ISBLANK(IF(ISERROR(IF(SUM($BK$64:$BK$65) = 0, "", SUM($BK$64:$BK$65))), "", (IF(SUM($BK$64:$BK$65) = 0, "", SUM($BK$64:$BK$65))))), IF(ISERROR(IF(SUM($BK$64:$BK$65) = 0, "", SUM($BK$64:$BK$65))), "", (IF(SUM($BK$64:$BK$65) = 0, "", SUM($BK$64:$BK$65)))) = ""), 383.623,IF(ISERROR(IF(SUM($BK$64:$BK$65) = 0, "", SUM($BK$64:$BK$65))), "", (IF(SUM($BK$64:$BK$65) = 0, "", SUM($BK$64:$BK$65)))))</f>
        <v>361.03200000000004</v>
      </c>
      <c r="BL63">
        <f>IF(OR(ISBLANK(IF(ISERROR(IF(SUM($BL$64:$BL$65) = 0, "", SUM($BL$64:$BL$65))), "", (IF(SUM($BL$64:$BL$65) = 0, "", SUM($BL$64:$BL$65))))), IF(ISERROR(IF(SUM($BL$64:$BL$65) = 0, "", SUM($BL$64:$BL$65))), "", (IF(SUM($BL$64:$BL$65) = 0, "", SUM($BL$64:$BL$65)))) = ""), 402.543,IF(ISERROR(IF(SUM($BL$64:$BL$65) = 0, "", SUM($BL$64:$BL$65))), "", (IF(SUM($BL$64:$BL$65) = 0, "", SUM($BL$64:$BL$65)))))</f>
        <v>359.67700000000002</v>
      </c>
      <c r="BM63">
        <f>IF(OR(ISBLANK(IF(ISERROR(IF(SUM($BM$64:$BM$65) = 0, "", SUM($BM$64:$BM$65))), "", (IF(SUM($BM$64:$BM$65) = 0, "", SUM($BM$64:$BM$65))))), IF(ISERROR(IF(SUM($BM$64:$BM$65) = 0, "", SUM($BM$64:$BM$65))), "", (IF(SUM($BM$64:$BM$65) = 0, "", SUM($BM$64:$BM$65)))) = ""), 429.036,IF(ISERROR(IF(SUM($BM$64:$BM$65) = 0, "", SUM($BM$64:$BM$65))), "", (IF(SUM($BM$64:$BM$65) = 0, "", SUM($BM$64:$BM$65)))))</f>
        <v>335.06299999999999</v>
      </c>
      <c r="BN63">
        <f>IF(OR(ISBLANK(IF(ISERROR(IF(SUM($BN$64:$BN$65) = 0, "", SUM($BN$64:$BN$65))), "", (IF(SUM($BN$64:$BN$65) = 0, "", SUM($BN$64:$BN$65))))), IF(ISERROR(IF(SUM($BN$64:$BN$65) = 0, "", SUM($BN$64:$BN$65))), "", (IF(SUM($BN$64:$BN$65) = 0, "", SUM($BN$64:$BN$65)))) = ""), 420.3,IF(ISERROR(IF(SUM($BN$64:$BN$65) = 0, "", SUM($BN$64:$BN$65))), "", (IF(SUM($BN$64:$BN$65) = 0, "", SUM($BN$64:$BN$65)))))</f>
        <v>341.09299999999996</v>
      </c>
      <c r="BO63">
        <f>IF(OR(ISBLANK(IF(ISERROR(IF(SUM($BO$64:$BO$65) = 0, "", SUM($BO$64:$BO$65))), "", (IF(SUM($BO$64:$BO$65) = 0, "", SUM($BO$64:$BO$65))))), IF(ISERROR(IF(SUM($BO$64:$BO$65) = 0, "", SUM($BO$64:$BO$65))), "", (IF(SUM($BO$64:$BO$65) = 0, "", SUM($BO$64:$BO$65)))) = ""), 425.614,IF(ISERROR(IF(SUM($BO$64:$BO$65) = 0, "", SUM($BO$64:$BO$65))), "", (IF(SUM($BO$64:$BO$65) = 0, "", SUM($BO$64:$BO$65)))))</f>
        <v>369.96600000000001</v>
      </c>
      <c r="BP63">
        <f>IF(OR(ISBLANK(IF(ISERROR(IF(SUM($BP$64:$BP$65) = 0, "", SUM($BP$64:$BP$65))), "", (IF(SUM($BP$64:$BP$65) = 0, "", SUM($BP$64:$BP$65))))), IF(ISERROR(IF(SUM($BP$64:$BP$65) = 0, "", SUM($BP$64:$BP$65))), "", (IF(SUM($BP$64:$BP$65) = 0, "", SUM($BP$64:$BP$65)))) = ""), 435.391,IF(ISERROR(IF(SUM($BP$64:$BP$65) = 0, "", SUM($BP$64:$BP$65))), "", (IF(SUM($BP$64:$BP$65) = 0, "", SUM($BP$64:$BP$65)))))</f>
        <v>375.12599999999998</v>
      </c>
      <c r="BQ63">
        <f>IF(OR(ISBLANK(IF(ISERROR(IF(SUM($BQ$64:$BQ$65) = 0, "", SUM($BQ$64:$BQ$65))), "", (IF(SUM($BQ$64:$BQ$65) = 0, "", SUM($BQ$64:$BQ$65))))), IF(ISERROR(IF(SUM($BQ$64:$BQ$65) = 0, "", SUM($BQ$64:$BQ$65))), "", (IF(SUM($BQ$64:$BQ$65) = 0, "", SUM($BQ$64:$BQ$65)))) = ""), 462.957,IF(ISERROR(IF(SUM($BQ$64:$BQ$65) = 0, "", SUM($BQ$64:$BQ$65))), "", (IF(SUM($BQ$64:$BQ$65) = 0, "", SUM($BQ$64:$BQ$65)))))</f>
        <v>368.50900000000001</v>
      </c>
      <c r="BR63">
        <f>IF(OR(ISBLANK(IF(ISERROR(IF(SUM($BR$64:$BR$65) = 0, "", SUM($BR$64:$BR$65))), "", (IF(SUM($BR$64:$BR$65) = 0, "", SUM($BR$64:$BR$65))))), IF(ISERROR(IF(SUM($BR$64:$BR$65) = 0, "", SUM($BR$64:$BR$65))), "", (IF(SUM($BR$64:$BR$65) = 0, "", SUM($BR$64:$BR$65)))) = ""), 471.814,IF(ISERROR(IF(SUM($BR$64:$BR$65) = 0, "", SUM($BR$64:$BR$65))), "", (IF(SUM($BR$64:$BR$65) = 0, "", SUM($BR$64:$BR$65)))))</f>
        <v>362.5</v>
      </c>
      <c r="BS63">
        <f>IF(OR(ISBLANK(IF(ISERROR(IF(SUM($BS$64:$BS$65) = 0, "", SUM($BS$64:$BS$65))), "", (IF(SUM($BS$64:$BS$65) = 0, "", SUM($BS$64:$BS$65))))), IF(ISERROR(IF(SUM($BS$64:$BS$65) = 0, "", SUM($BS$64:$BS$65))), "", (IF(SUM($BS$64:$BS$65) = 0, "", SUM($BS$64:$BS$65)))) = ""), 463.923,IF(ISERROR(IF(SUM($BS$64:$BS$65) = 0, "", SUM($BS$64:$BS$65))), "", (IF(SUM($BS$64:$BS$65) = 0, "", SUM($BS$64:$BS$65)))))</f>
        <v>399.77199999999999</v>
      </c>
      <c r="BT63">
        <f>IF(OR(ISBLANK(IF(ISERROR(IF(SUM($BT$64:$BT$65) = 0, "", SUM($BT$64:$BT$65))), "", (IF(SUM($BT$64:$BT$65) = 0, "", SUM($BT$64:$BT$65))))), IF(ISERROR(IF(SUM($BT$64:$BT$65) = 0, "", SUM($BT$64:$BT$65))), "", (IF(SUM($BT$64:$BT$65) = 0, "", SUM($BT$64:$BT$65)))) = ""), 478.428,IF(ISERROR(IF(SUM($BT$64:$BT$65) = 0, "", SUM($BT$64:$BT$65))), "", (IF(SUM($BT$64:$BT$65) = 0, "", SUM($BT$64:$BT$65)))))</f>
        <v>380.90499999999997</v>
      </c>
      <c r="BU63">
        <f>IF(OR(ISBLANK(IF(ISERROR(IF(SUM($BU$64:$BU$65) = 0, "", SUM($BU$64:$BU$65))), "", (IF(SUM($BU$64:$BU$65) = 0, "", SUM($BU$64:$BU$65))))), IF(ISERROR(IF(SUM($BU$64:$BU$65) = 0, "", SUM($BU$64:$BU$65))), "", (IF(SUM($BU$64:$BU$65) = 0, "", SUM($BU$64:$BU$65)))) = ""), 499.144,IF(ISERROR(IF(SUM($BU$64:$BU$65) = 0, "", SUM($BU$64:$BU$65))), "", (IF(SUM($BU$64:$BU$65) = 0, "", SUM($BU$64:$BU$65)))))</f>
        <v>358.99399999999997</v>
      </c>
      <c r="BV63">
        <f>IF(OR(ISBLANK(IF(ISERROR(IF(SUM($BV$64:$BV$65) = 0, "", SUM($BV$64:$BV$65))), "", (IF(SUM($BV$64:$BV$65) = 0, "", SUM($BV$64:$BV$65))))), IF(ISERROR(IF(SUM($BV$64:$BV$65) = 0, "", SUM($BV$64:$BV$65))), "", (IF(SUM($BV$64:$BV$65) = 0, "", SUM($BV$64:$BV$65)))) = ""), 488.885,IF(ISERROR(IF(SUM($BV$64:$BV$65) = 0, "", SUM($BV$64:$BV$65))), "", (IF(SUM($BV$64:$BV$65) = 0, "", SUM($BV$64:$BV$65)))))</f>
        <v>383.62300000000005</v>
      </c>
      <c r="BW63">
        <f>IF(OR(ISBLANK(IF(ISERROR(IF(SUM($BW$64:$BW$65) = 0, "", SUM($BW$64:$BW$65))), "", (IF(SUM($BW$64:$BW$65) = 0, "", SUM($BW$64:$BW$65))))), IF(ISERROR(IF(SUM($BW$64:$BW$65) = 0, "", SUM($BW$64:$BW$65))), "", (IF(SUM($BW$64:$BW$65) = 0, "", SUM($BW$64:$BW$65)))) = ""), 518.915,IF(ISERROR(IF(SUM($BW$64:$BW$65) = 0, "", SUM($BW$64:$BW$65))), "", (IF(SUM($BW$64:$BW$65) = 0, "", SUM($BW$64:$BW$65)))))</f>
        <v>402.54300000000001</v>
      </c>
      <c r="BX63">
        <f>IF(OR(ISBLANK(IF(ISERROR(IF(SUM($BX$64:$BX$65) = 0, "", SUM($BX$64:$BX$65))), "", (IF(SUM($BX$64:$BX$65) = 0, "", SUM($BX$64:$BX$65))))), IF(ISERROR(IF(SUM($BX$64:$BX$65) = 0, "", SUM($BX$64:$BX$65))), "", (IF(SUM($BX$64:$BX$65) = 0, "", SUM($BX$64:$BX$65)))) = ""), 582.387,IF(ISERROR(IF(SUM($BX$64:$BX$65) = 0, "", SUM($BX$64:$BX$65))), "", (IF(SUM($BX$64:$BX$65) = 0, "", SUM($BX$64:$BX$65)))))</f>
        <v>429.036</v>
      </c>
      <c r="BY63">
        <f>IF(OR(ISBLANK(IF(ISERROR(IF(SUM($BY$64:$BY$65) = 0, "", SUM($BY$64:$BY$65))), "", (IF(SUM($BY$64:$BY$65) = 0, "", SUM($BY$64:$BY$65))))), IF(ISERROR(IF(SUM($BY$64:$BY$65) = 0, "", SUM($BY$64:$BY$65))), "", (IF(SUM($BY$64:$BY$65) = 0, "", SUM($BY$64:$BY$65)))) = ""), 598.353,IF(ISERROR(IF(SUM($BY$64:$BY$65) = 0, "", SUM($BY$64:$BY$65))), "", (IF(SUM($BY$64:$BY$65) = 0, "", SUM($BY$64:$BY$65)))))</f>
        <v>420.29999999999995</v>
      </c>
      <c r="BZ63">
        <f>IF(OR(ISBLANK(IF(ISERROR(IF(SUM($BZ$64:$BZ$65) = 0, "", SUM($BZ$64:$BZ$65))), "", (IF(SUM($BZ$64:$BZ$65) = 0, "", SUM($BZ$64:$BZ$65))))), IF(ISERROR(IF(SUM($BZ$64:$BZ$65) = 0, "", SUM($BZ$64:$BZ$65))), "", (IF(SUM($BZ$64:$BZ$65) = 0, "", SUM($BZ$64:$BZ$65)))) = ""), 600.3,IF(ISERROR(IF(SUM($BZ$64:$BZ$65) = 0, "", SUM($BZ$64:$BZ$65))), "", (IF(SUM($BZ$64:$BZ$65) = 0, "", SUM($BZ$64:$BZ$65)))))</f>
        <v>425.61400000000003</v>
      </c>
      <c r="CA63">
        <f>IF(OR(ISBLANK(IF(ISERROR(IF(SUM($CA$64:$CA$65) = 0, "", SUM($CA$64:$CA$65))), "", (IF(SUM($CA$64:$CA$65) = 0, "", SUM($CA$64:$CA$65))))), IF(ISERROR(IF(SUM($CA$64:$CA$65) = 0, "", SUM($CA$64:$CA$65))), "", (IF(SUM($CA$64:$CA$65) = 0, "", SUM($CA$64:$CA$65)))) = ""), 589.107,IF(ISERROR(IF(SUM($CA$64:$CA$65) = 0, "", SUM($CA$64:$CA$65))), "", (IF(SUM($CA$64:$CA$65) = 0, "", SUM($CA$64:$CA$65)))))</f>
        <v>435.39099999999996</v>
      </c>
      <c r="CB63">
        <f>IF(OR(ISBLANK(IF(ISERROR(IF(SUM($CB$64:$CB$65) = 0, "", SUM($CB$64:$CB$65))), "", (IF(SUM($CB$64:$CB$65) = 0, "", SUM($CB$64:$CB$65))))), IF(ISERROR(IF(SUM($CB$64:$CB$65) = 0, "", SUM($CB$64:$CB$65))), "", (IF(SUM($CB$64:$CB$65) = 0, "", SUM($CB$64:$CB$65)))) = ""), 686.697,IF(ISERROR(IF(SUM($CB$64:$CB$65) = 0, "", SUM($CB$64:$CB$65))), "", (IF(SUM($CB$64:$CB$65) = 0, "", SUM($CB$64:$CB$65)))))</f>
        <v>462.95699999999999</v>
      </c>
      <c r="CC63">
        <f>IF(OR(ISBLANK(IF(ISERROR(IF(SUM($CC$64:$CC$65) = 0, "", SUM($CC$64:$CC$65))), "", (IF(SUM($CC$64:$CC$65) = 0, "", SUM($CC$64:$CC$65))))), IF(ISERROR(IF(SUM($CC$64:$CC$65) = 0, "", SUM($CC$64:$CC$65))), "", (IF(SUM($CC$64:$CC$65) = 0, "", SUM($CC$64:$CC$65)))) = ""), 736.417,IF(ISERROR(IF(SUM($CC$64:$CC$65) = 0, "", SUM($CC$64:$CC$65))), "", (IF(SUM($CC$64:$CC$65) = 0, "", SUM($CC$64:$CC$65)))))</f>
        <v>471.81399999999996</v>
      </c>
      <c r="CD63">
        <f>IF(OR(ISBLANK(IF(ISERROR(IF(SUM($CD$64:$CD$65) = 0, "", SUM($CD$64:$CD$65))), "", (IF(SUM($CD$64:$CD$65) = 0, "", SUM($CD$64:$CD$65))))), IF(ISERROR(IF(SUM($CD$64:$CD$65) = 0, "", SUM($CD$64:$CD$65))), "", (IF(SUM($CD$64:$CD$65) = 0, "", SUM($CD$64:$CD$65)))) = ""), 730.292,IF(ISERROR(IF(SUM($CD$64:$CD$65) = 0, "", SUM($CD$64:$CD$65))), "", (IF(SUM($CD$64:$CD$65) = 0, "", SUM($CD$64:$CD$65)))))</f>
        <v>463.923</v>
      </c>
      <c r="CE63">
        <f>IF(OR(ISBLANK(IF(ISERROR(IF(SUM($CE$64:$CE$65) = 0, "", SUM($CE$64:$CE$65))), "", (IF(SUM($CE$64:$CE$65) = 0, "", SUM($CE$64:$CE$65))))), IF(ISERROR(IF(SUM($CE$64:$CE$65) = 0, "", SUM($CE$64:$CE$65))), "", (IF(SUM($CE$64:$CE$65) = 0, "", SUM($CE$64:$CE$65)))) = ""), 714.902,IF(ISERROR(IF(SUM($CE$64:$CE$65) = 0, "", SUM($CE$64:$CE$65))), "", (IF(SUM($CE$64:$CE$65) = 0, "", SUM($CE$64:$CE$65)))))</f>
        <v>478.428</v>
      </c>
      <c r="CF63">
        <f>IF(OR(ISBLANK(IF(ISERROR(IF(SUM($CF$64:$CF$65) = 0, "", SUM($CF$64:$CF$65))), "", (IF(SUM($CF$64:$CF$65) = 0, "", SUM($CF$64:$CF$65))))), IF(ISERROR(IF(SUM($CF$64:$CF$65) = 0, "", SUM($CF$64:$CF$65))), "", (IF(SUM($CF$64:$CF$65) = 0, "", SUM($CF$64:$CF$65)))) = ""), 717.791,IF(ISERROR(IF(SUM($CF$64:$CF$65) = 0, "", SUM($CF$64:$CF$65))), "", (IF(SUM($CF$64:$CF$65) = 0, "", SUM($CF$64:$CF$65)))))</f>
        <v>499.14400000000001</v>
      </c>
      <c r="CG63">
        <f>IF(OR(ISBLANK(IF(ISERROR(IF(SUM($CG$64:$CG$65) = 0, "", SUM($CG$64:$CG$65))), "", (IF(SUM($CG$64:$CG$65) = 0, "", SUM($CG$64:$CG$65))))), IF(ISERROR(IF(SUM($CG$64:$CG$65) = 0, "", SUM($CG$64:$CG$65))), "", (IF(SUM($CG$64:$CG$65) = 0, "", SUM($CG$64:$CG$65)))) = ""), 719.064,IF(ISERROR(IF(SUM($CG$64:$CG$65) = 0, "", SUM($CG$64:$CG$65))), "", (IF(SUM($CG$64:$CG$65) = 0, "", SUM($CG$64:$CG$65)))))</f>
        <v>488.88499999999999</v>
      </c>
    </row>
    <row r="64" spans="1:85" x14ac:dyDescent="0.25">
      <c r="A64" t="str">
        <f>"        Current Account Holdings"</f>
        <v xml:space="preserve">        Current Account Holdings</v>
      </c>
      <c r="B64" t="str">
        <f>"ECBLCAHO Index"</f>
        <v>ECBLCAHO Index</v>
      </c>
      <c r="C64" t="str">
        <f>""</f>
        <v/>
      </c>
      <c r="D64" t="str">
        <f>""</f>
        <v/>
      </c>
      <c r="E64" t="str">
        <f t="shared" ref="E64:E69" si="3">"Expression"</f>
        <v>Expression</v>
      </c>
      <c r="F64" t="str">
        <f ca="1">IF(OR(ISBLANK(IF(ISERROR(IF(OR(ISBLANK($F$103)), "", $F$103/1000)), "", (IF(OR(ISBLANK($F$103)), "", $F$103/1000)))), IF(ISERROR(IF(OR(ISBLANK($F$103)), "", $F$103/1000)), "", (IF(OR(ISBLANK($F$103)), "", $F$103/1000))) = ""), "",IF(ISERROR(IF(OR(ISBLANK($F$103)), "", $F$103/1000)), "", (IF(OR(ISBLANK($F$103)), "", $F$103/1000))))</f>
        <v/>
      </c>
      <c r="G64">
        <f>IF(OR(ISBLANK(IF(ISERROR(IF(OR(ISBLANK($G$103)), "", $G$103/1000)), "", (IF(OR(ISBLANK($G$103)), "", $G$103/1000)))), IF(ISERROR(IF(OR(ISBLANK($G$103)), "", $G$103/1000)), "", (IF(OR(ISBLANK($G$103)), "", $G$103/1000))) = ""), 211.226,IF(ISERROR(IF(OR(ISBLANK($G$103)), "", $G$103/1000)), "", (IF(OR(ISBLANK($G$103)), "", $G$103/1000))))</f>
        <v>193.71899999999999</v>
      </c>
      <c r="H64">
        <f>IF(OR(ISBLANK(IF(ISERROR(IF(OR(ISBLANK($H$103)), "", $H$103/1000)), "", (IF(OR(ISBLANK($H$103)), "", $H$103/1000)))), IF(ISERROR(IF(OR(ISBLANK($H$103)), "", $H$103/1000)), "", (IF(OR(ISBLANK($H$103)), "", $H$103/1000))) = ""), 199.831,IF(ISERROR(IF(OR(ISBLANK($H$103)), "", $H$103/1000)), "", (IF(OR(ISBLANK($H$103)), "", $H$103/1000))))</f>
        <v>222.75700000000001</v>
      </c>
      <c r="I64">
        <f>IF(OR(ISBLANK(IF(ISERROR(IF(OR(ISBLANK($I$103)), "", $I$103/1000)), "", (IF(OR(ISBLANK($I$103)), "", $I$103/1000)))), IF(ISERROR(IF(OR(ISBLANK($I$103)), "", $I$103/1000)), "", (IF(OR(ISBLANK($I$103)), "", $I$103/1000))) = ""), 187.123,IF(ISERROR(IF(OR(ISBLANK($I$103)), "", $I$103/1000)), "", (IF(OR(ISBLANK($I$103)), "", $I$103/1000))))</f>
        <v>205.21600000000001</v>
      </c>
      <c r="J64">
        <f>IF(OR(ISBLANK(IF(ISERROR(IF(OR(ISBLANK($J$103)), "", $J$103/1000)), "", (IF(OR(ISBLANK($J$103)), "", $J$103/1000)))), IF(ISERROR(IF(OR(ISBLANK($J$103)), "", $J$103/1000)), "", (IF(OR(ISBLANK($J$103)), "", $J$103/1000))) = ""), 209.392,IF(ISERROR(IF(OR(ISBLANK($J$103)), "", $J$103/1000)), "", (IF(OR(ISBLANK($J$103)), "", $J$103/1000))))</f>
        <v>221.62</v>
      </c>
      <c r="K64">
        <f>IF(OR(ISBLANK(IF(ISERROR(IF(OR(ISBLANK($K$103)), "", $K$103/1000)), "", (IF(OR(ISBLANK($K$103)), "", $K$103/1000)))), IF(ISERROR(IF(OR(ISBLANK($K$103)), "", $K$103/1000)), "", (IF(OR(ISBLANK($K$103)), "", $K$103/1000))) = ""), 168.545,IF(ISERROR(IF(OR(ISBLANK($K$103)), "", $K$103/1000)), "", (IF(OR(ISBLANK($K$103)), "", $K$103/1000))))</f>
        <v>214.47499999999999</v>
      </c>
      <c r="L64">
        <f>IF(OR(ISBLANK(IF(ISERROR(IF(OR(ISBLANK($L$103)), "", $L$103/1000)), "", (IF(OR(ISBLANK($L$103)), "", $L$103/1000)))), IF(ISERROR(IF(OR(ISBLANK($L$103)), "", $L$103/1000)), "", (IF(OR(ISBLANK($L$103)), "", $L$103/1000))) = ""), 201.415,IF(ISERROR(IF(OR(ISBLANK($L$103)), "", $L$103/1000)), "", (IF(OR(ISBLANK($L$103)), "", $L$103/1000))))</f>
        <v>219.715</v>
      </c>
      <c r="M64">
        <f>IF(OR(ISBLANK(IF(ISERROR(IF(OR(ISBLANK($M$103)), "", $M$103/1000)), "", (IF(OR(ISBLANK($M$103)), "", $M$103/1000)))), IF(ISERROR(IF(OR(ISBLANK($M$103)), "", $M$103/1000)), "", (IF(OR(ISBLANK($M$103)), "", $M$103/1000))) = ""), 150.019,IF(ISERROR(IF(OR(ISBLANK($M$103)), "", $M$103/1000)), "", (IF(OR(ISBLANK($M$103)), "", $M$103/1000))))</f>
        <v>196.36699999999999</v>
      </c>
      <c r="N64">
        <f>IF(OR(ISBLANK(IF(ISERROR(IF(OR(ISBLANK($N$103)), "", $N$103/1000)), "", (IF(OR(ISBLANK($N$103)), "", $N$103/1000)))), IF(ISERROR(IF(OR(ISBLANK($N$103)), "", $N$103/1000)), "", (IF(OR(ISBLANK($N$103)), "", $N$103/1000))) = ""), 240.192,IF(ISERROR(IF(OR(ISBLANK($N$103)), "", $N$103/1000)), "", (IF(OR(ISBLANK($N$103)), "", $N$103/1000))))</f>
        <v>211.084</v>
      </c>
      <c r="O64">
        <f>IF(OR(ISBLANK(IF(ISERROR(IF(OR(ISBLANK($O$103)), "", $O$103/1000)), "", (IF(OR(ISBLANK($O$103)), "", $O$103/1000)))), IF(ISERROR(IF(OR(ISBLANK($O$103)), "", $O$103/1000)), "", (IF(OR(ISBLANK($O$103)), "", $O$103/1000))) = ""), 166.145,IF(ISERROR(IF(OR(ISBLANK($O$103)), "", $O$103/1000)), "", (IF(OR(ISBLANK($O$103)), "", $O$103/1000))))</f>
        <v>206.155</v>
      </c>
      <c r="P64">
        <f>IF(OR(ISBLANK(IF(ISERROR(IF(OR(ISBLANK($P$103)), "", $P$103/1000)), "", (IF(OR(ISBLANK($P$103)), "", $P$103/1000)))), IF(ISERROR(IF(OR(ISBLANK($P$103)), "", $P$103/1000)), "", (IF(OR(ISBLANK($P$103)), "", $P$103/1000))) = ""), 206.261,IF(ISERROR(IF(OR(ISBLANK($P$103)), "", $P$103/1000)), "", (IF(OR(ISBLANK($P$103)), "", $P$103/1000))))</f>
        <v>214.24600000000001</v>
      </c>
      <c r="Q64">
        <f>IF(OR(ISBLANK(IF(ISERROR(IF(OR(ISBLANK($Q$103)), "", $Q$103/1000)), "", (IF(OR(ISBLANK($Q$103)), "", $Q$103/1000)))), IF(ISERROR(IF(OR(ISBLANK($Q$103)), "", $Q$103/1000)), "", (IF(OR(ISBLANK($Q$103)), "", $Q$103/1000))) = ""), 198.232,IF(ISERROR(IF(OR(ISBLANK($Q$103)), "", $Q$103/1000)), "", (IF(OR(ISBLANK($Q$103)), "", $Q$103/1000))))</f>
        <v>217.727</v>
      </c>
      <c r="R64">
        <f>IF(OR(ISBLANK(IF(ISERROR(IF(OR(ISBLANK($R$103)), "", $R$103/1000)), "", (IF(OR(ISBLANK($R$103)), "", $R$103/1000)))), IF(ISERROR(IF(OR(ISBLANK($R$103)), "", $R$103/1000)), "", (IF(OR(ISBLANK($R$103)), "", $R$103/1000))) = ""), 181.138,IF(ISERROR(IF(OR(ISBLANK($R$103)), "", $R$103/1000)), "", (IF(OR(ISBLANK($R$103)), "", $R$103/1000))))</f>
        <v>211.226</v>
      </c>
      <c r="S64">
        <f>IF(OR(ISBLANK(IF(ISERROR(IF(OR(ISBLANK($S$103)), "", $S$103/1000)), "", (IF(OR(ISBLANK($S$103)), "", $S$103/1000)))), IF(ISERROR(IF(OR(ISBLANK($S$103)), "", $S$103/1000)), "", (IF(OR(ISBLANK($S$103)), "", $S$103/1000))) = ""), 179.162,IF(ISERROR(IF(OR(ISBLANK($S$103)), "", $S$103/1000)), "", (IF(OR(ISBLANK($S$103)), "", $S$103/1000))))</f>
        <v>199.83099999999999</v>
      </c>
      <c r="T64">
        <f>IF(OR(ISBLANK(IF(ISERROR(IF(OR(ISBLANK($T$103)), "", $T$103/1000)), "", (IF(OR(ISBLANK($T$103)), "", $T$103/1000)))), IF(ISERROR(IF(OR(ISBLANK($T$103)), "", $T$103/1000)), "", (IF(OR(ISBLANK($T$103)), "", $T$103/1000))) = ""), 195.201,IF(ISERROR(IF(OR(ISBLANK($T$103)), "", $T$103/1000)), "", (IF(OR(ISBLANK($T$103)), "", $T$103/1000))))</f>
        <v>187.12299999999999</v>
      </c>
      <c r="U64">
        <f>IF(OR(ISBLANK(IF(ISERROR(IF(OR(ISBLANK($U$103)), "", $U$103/1000)), "", (IF(OR(ISBLANK($U$103)), "", $U$103/1000)))), IF(ISERROR(IF(OR(ISBLANK($U$103)), "", $U$103/1000)), "", (IF(OR(ISBLANK($U$103)), "", $U$103/1000))) = ""), 226.755,IF(ISERROR(IF(OR(ISBLANK($U$103)), "", $U$103/1000)), "", (IF(OR(ISBLANK($U$103)), "", $U$103/1000))))</f>
        <v>209.392</v>
      </c>
      <c r="V64">
        <f>IF(OR(ISBLANK(IF(ISERROR(IF(OR(ISBLANK($V$103)), "", $V$103/1000)), "", (IF(OR(ISBLANK($V$103)), "", $V$103/1000)))), IF(ISERROR(IF(OR(ISBLANK($V$103)), "", $V$103/1000)), "", (IF(OR(ISBLANK($V$103)), "", $V$103/1000))) = ""), 187.112,IF(ISERROR(IF(OR(ISBLANK($V$103)), "", $V$103/1000)), "", (IF(OR(ISBLANK($V$103)), "", $V$103/1000))))</f>
        <v>168.54499999999999</v>
      </c>
      <c r="W64">
        <f>IF(OR(ISBLANK(IF(ISERROR(IF(OR(ISBLANK($W$103)), "", $W$103/1000)), "", (IF(OR(ISBLANK($W$103)), "", $W$103/1000)))), IF(ISERROR(IF(OR(ISBLANK($W$103)), "", $W$103/1000)), "", (IF(OR(ISBLANK($W$103)), "", $W$103/1000))) = ""), 187.393,IF(ISERROR(IF(OR(ISBLANK($W$103)), "", $W$103/1000)), "", (IF(OR(ISBLANK($W$103)), "", $W$103/1000))))</f>
        <v>201.41499999999999</v>
      </c>
      <c r="X64">
        <f>IF(OR(ISBLANK(IF(ISERROR(IF(OR(ISBLANK($X$103)), "", $X$103/1000)), "", (IF(OR(ISBLANK($X$103)), "", $X$103/1000)))), IF(ISERROR(IF(OR(ISBLANK($X$103)), "", $X$103/1000)), "", (IF(OR(ISBLANK($X$103)), "", $X$103/1000))) = ""), 196.262,IF(ISERROR(IF(OR(ISBLANK($X$103)), "", $X$103/1000)), "", (IF(OR(ISBLANK($X$103)), "", $X$103/1000))))</f>
        <v>150.01900000000001</v>
      </c>
      <c r="Y64">
        <f>IF(OR(ISBLANK(IF(ISERROR(IF(OR(ISBLANK($Y$103)), "", $Y$103/1000)), "", (IF(OR(ISBLANK($Y$103)), "", $Y$103/1000)))), IF(ISERROR(IF(OR(ISBLANK($Y$103)), "", $Y$103/1000)), "", (IF(OR(ISBLANK($Y$103)), "", $Y$103/1000))) = ""), 223.735,IF(ISERROR(IF(OR(ISBLANK($Y$103)), "", $Y$103/1000)), "", (IF(OR(ISBLANK($Y$103)), "", $Y$103/1000))))</f>
        <v>240.19200000000001</v>
      </c>
      <c r="Z64">
        <f>IF(OR(ISBLANK(IF(ISERROR(IF(OR(ISBLANK($Z$103)), "", $Z$103/1000)), "", (IF(OR(ISBLANK($Z$103)), "", $Z$103/1000)))), IF(ISERROR(IF(OR(ISBLANK($Z$103)), "", $Z$103/1000)), "", (IF(OR(ISBLANK($Z$103)), "", $Z$103/1000))) = ""), 200.444,IF(ISERROR(IF(OR(ISBLANK($Z$103)), "", $Z$103/1000)), "", (IF(OR(ISBLANK($Z$103)), "", $Z$103/1000))))</f>
        <v>166.14500000000001</v>
      </c>
      <c r="AA64">
        <f>IF(OR(ISBLANK(IF(ISERROR(IF(OR(ISBLANK($AA$103)), "", $AA$103/1000)), "", (IF(OR(ISBLANK($AA$103)), "", $AA$103/1000)))), IF(ISERROR(IF(OR(ISBLANK($AA$103)), "", $AA$103/1000)), "", (IF(OR(ISBLANK($AA$103)), "", $AA$103/1000))) = ""), 215.69,IF(ISERROR(IF(OR(ISBLANK($AA$103)), "", $AA$103/1000)), "", (IF(OR(ISBLANK($AA$103)), "", $AA$103/1000))))</f>
        <v>206.261</v>
      </c>
      <c r="AB64">
        <f>IF(OR(ISBLANK(IF(ISERROR(IF(OR(ISBLANK($AB$103)), "", $AB$103/1000)), "", (IF(OR(ISBLANK($AB$103)), "", $AB$103/1000)))), IF(ISERROR(IF(OR(ISBLANK($AB$103)), "", $AB$103/1000)), "", (IF(OR(ISBLANK($AB$103)), "", $AB$103/1000))) = ""), 227.884,IF(ISERROR(IF(OR(ISBLANK($AB$103)), "", $AB$103/1000)), "", (IF(OR(ISBLANK($AB$103)), "", $AB$103/1000))))</f>
        <v>198.232</v>
      </c>
      <c r="AC64">
        <f>IF(OR(ISBLANK(IF(ISERROR(IF(OR(ISBLANK($AC$103)), "", $AC$103/1000)), "", (IF(OR(ISBLANK($AC$103)), "", $AC$103/1000)))), IF(ISERROR(IF(OR(ISBLANK($AC$103)), "", $AC$103/1000)), "", (IF(OR(ISBLANK($AC$103)), "", $AC$103/1000))) = ""), 202.449,IF(ISERROR(IF(OR(ISBLANK($AC$103)), "", $AC$103/1000)), "", (IF(OR(ISBLANK($AC$103)), "", $AC$103/1000))))</f>
        <v>181.13800000000001</v>
      </c>
      <c r="AD64">
        <f>IF(OR(ISBLANK(IF(ISERROR(IF(OR(ISBLANK($AD$103)), "", $AD$103/1000)), "", (IF(OR(ISBLANK($AD$103)), "", $AD$103/1000)))), IF(ISERROR(IF(OR(ISBLANK($AD$103)), "", $AD$103/1000)), "", (IF(OR(ISBLANK($AD$103)), "", $AD$103/1000))) = ""), 202.327,IF(ISERROR(IF(OR(ISBLANK($AD$103)), "", $AD$103/1000)), "", (IF(OR(ISBLANK($AD$103)), "", $AD$103/1000))))</f>
        <v>179.16200000000001</v>
      </c>
      <c r="AE64">
        <f>IF(OR(ISBLANK(IF(ISERROR(IF(OR(ISBLANK($AE$103)), "", $AE$103/1000)), "", (IF(OR(ISBLANK($AE$103)), "", $AE$103/1000)))), IF(ISERROR(IF(OR(ISBLANK($AE$103)), "", $AE$103/1000)), "", (IF(OR(ISBLANK($AE$103)), "", $AE$103/1000))) = ""), 298.943,IF(ISERROR(IF(OR(ISBLANK($AE$103)), "", $AE$103/1000)), "", (IF(OR(ISBLANK($AE$103)), "", $AE$103/1000))))</f>
        <v>195.20099999999999</v>
      </c>
      <c r="AF64">
        <f>IF(OR(ISBLANK(IF(ISERROR(IF(OR(ISBLANK($AF$103)), "", $AF$103/1000)), "", (IF(OR(ISBLANK($AF$103)), "", $AF$103/1000)))), IF(ISERROR(IF(OR(ISBLANK($AF$103)), "", $AF$103/1000)), "", (IF(OR(ISBLANK($AF$103)), "", $AF$103/1000))) = ""), 244.083,IF(ISERROR(IF(OR(ISBLANK($AF$103)), "", $AF$103/1000)), "", (IF(OR(ISBLANK($AF$103)), "", $AF$103/1000))))</f>
        <v>226.755</v>
      </c>
      <c r="AG64">
        <f>IF(OR(ISBLANK(IF(ISERROR(IF(OR(ISBLANK($AG$103)), "", $AG$103/1000)), "", (IF(OR(ISBLANK($AG$103)), "", $AG$103/1000)))), IF(ISERROR(IF(OR(ISBLANK($AG$103)), "", $AG$103/1000)), "", (IF(OR(ISBLANK($AG$103)), "", $AG$103/1000))) = ""), 256.078,IF(ISERROR(IF(OR(ISBLANK($AG$103)), "", $AG$103/1000)), "", (IF(OR(ISBLANK($AG$103)), "", $AG$103/1000))))</f>
        <v>187.11199999999999</v>
      </c>
      <c r="AH64">
        <f>IF(OR(ISBLANK(IF(ISERROR(IF(OR(ISBLANK($AH$103)), "", $AH$103/1000)), "", (IF(OR(ISBLANK($AH$103)), "", $AH$103/1000)))), IF(ISERROR(IF(OR(ISBLANK($AH$103)), "", $AH$103/1000)), "", (IF(OR(ISBLANK($AH$103)), "", $AH$103/1000))) = ""), 223.637,IF(ISERROR(IF(OR(ISBLANK($AH$103)), "", $AH$103/1000)), "", (IF(OR(ISBLANK($AH$103)), "", $AH$103/1000))))</f>
        <v>187.393</v>
      </c>
      <c r="AI64">
        <f>IF(OR(ISBLANK(IF(ISERROR(IF(OR(ISBLANK($AI$103)), "", $AI$103/1000)), "", (IF(OR(ISBLANK($AI$103)), "", $AI$103/1000)))), IF(ISERROR(IF(OR(ISBLANK($AI$103)), "", $AI$103/1000)), "", (IF(OR(ISBLANK($AI$103)), "", $AI$103/1000))) = ""), 203.674,IF(ISERROR(IF(OR(ISBLANK($AI$103)), "", $AI$103/1000)), "", (IF(OR(ISBLANK($AI$103)), "", $AI$103/1000))))</f>
        <v>196.262</v>
      </c>
      <c r="AJ64">
        <f>IF(OR(ISBLANK(IF(ISERROR(IF(OR(ISBLANK($AJ$103)), "", $AJ$103/1000)), "", (IF(OR(ISBLANK($AJ$103)), "", $AJ$103/1000)))), IF(ISERROR(IF(OR(ISBLANK($AJ$103)), "", $AJ$103/1000)), "", (IF(OR(ISBLANK($AJ$103)), "", $AJ$103/1000))) = ""), 215.452,IF(ISERROR(IF(OR(ISBLANK($AJ$103)), "", $AJ$103/1000)), "", (IF(OR(ISBLANK($AJ$103)), "", $AJ$103/1000))))</f>
        <v>223.73500000000001</v>
      </c>
      <c r="AK64">
        <f>IF(OR(ISBLANK(IF(ISERROR(IF(OR(ISBLANK($AK$103)), "", $AK$103/1000)), "", (IF(OR(ISBLANK($AK$103)), "", $AK$103/1000)))), IF(ISERROR(IF(OR(ISBLANK($AK$103)), "", $AK$103/1000)), "", (IF(OR(ISBLANK($AK$103)), "", $AK$103/1000))) = ""), 217.957,IF(ISERROR(IF(OR(ISBLANK($AK$103)), "", $AK$103/1000)), "", (IF(OR(ISBLANK($AK$103)), "", $AK$103/1000))))</f>
        <v>200.44399999999999</v>
      </c>
      <c r="AL64">
        <f>IF(OR(ISBLANK(IF(ISERROR(IF(OR(ISBLANK($AL$103)), "", $AL$103/1000)), "", (IF(OR(ISBLANK($AL$103)), "", $AL$103/1000)))), IF(ISERROR(IF(OR(ISBLANK($AL$103)), "", $AL$103/1000)), "", (IF(OR(ISBLANK($AL$103)), "", $AL$103/1000))) = ""), 231.888,IF(ISERROR(IF(OR(ISBLANK($AL$103)), "", $AL$103/1000)), "", (IF(OR(ISBLANK($AL$103)), "", $AL$103/1000))))</f>
        <v>215.69</v>
      </c>
      <c r="AM64">
        <f>IF(OR(ISBLANK(IF(ISERROR(IF(OR(ISBLANK($AM$103)), "", $AM$103/1000)), "", (IF(OR(ISBLANK($AM$103)), "", $AM$103/1000)))), IF(ISERROR(IF(OR(ISBLANK($AM$103)), "", $AM$103/1000)), "", (IF(OR(ISBLANK($AM$103)), "", $AM$103/1000))) = ""), 230.569,IF(ISERROR(IF(OR(ISBLANK($AM$103)), "", $AM$103/1000)), "", (IF(OR(ISBLANK($AM$103)), "", $AM$103/1000))))</f>
        <v>227.88399999999999</v>
      </c>
      <c r="AN64">
        <f>IF(OR(ISBLANK(IF(ISERROR(IF(OR(ISBLANK($AN$103)), "", $AN$103/1000)), "", (IF(OR(ISBLANK($AN$103)), "", $AN$103/1000)))), IF(ISERROR(IF(OR(ISBLANK($AN$103)), "", $AN$103/1000)), "", (IF(OR(ISBLANK($AN$103)), "", $AN$103/1000))) = ""), 226.935,IF(ISERROR(IF(OR(ISBLANK($AN$103)), "", $AN$103/1000)), "", (IF(OR(ISBLANK($AN$103)), "", $AN$103/1000))))</f>
        <v>202.44900000000001</v>
      </c>
      <c r="AO64">
        <f>IF(OR(ISBLANK(IF(ISERROR(IF(OR(ISBLANK($AO$103)), "", $AO$103/1000)), "", (IF(OR(ISBLANK($AO$103)), "", $AO$103/1000)))), IF(ISERROR(IF(OR(ISBLANK($AO$103)), "", $AO$103/1000)), "", (IF(OR(ISBLANK($AO$103)), "", $AO$103/1000))) = ""), 230.156,IF(ISERROR(IF(OR(ISBLANK($AO$103)), "", $AO$103/1000)), "", (IF(OR(ISBLANK($AO$103)), "", $AO$103/1000))))</f>
        <v>202.327</v>
      </c>
      <c r="AP64">
        <f>IF(OR(ISBLANK(IF(ISERROR(IF(OR(ISBLANK($AP$103)), "", $AP$103/1000)), "", (IF(OR(ISBLANK($AP$103)), "", $AP$103/1000)))), IF(ISERROR(IF(OR(ISBLANK($AP$103)), "", $AP$103/1000)), "", (IF(OR(ISBLANK($AP$103)), "", $AP$103/1000))) = ""), 269.105,IF(ISERROR(IF(OR(ISBLANK($AP$103)), "", $AP$103/1000)), "", (IF(OR(ISBLANK($AP$103)), "", $AP$103/1000))))</f>
        <v>298.94299999999998</v>
      </c>
      <c r="AQ64">
        <f>IF(OR(ISBLANK(IF(ISERROR(IF(OR(ISBLANK($AQ$103)), "", $AQ$103/1000)), "", (IF(OR(ISBLANK($AQ$103)), "", $AQ$103/1000)))), IF(ISERROR(IF(OR(ISBLANK($AQ$103)), "", $AQ$103/1000)), "", (IF(OR(ISBLANK($AQ$103)), "", $AQ$103/1000))) = ""), 268.047,IF(ISERROR(IF(OR(ISBLANK($AQ$103)), "", $AQ$103/1000)), "", (IF(OR(ISBLANK($AQ$103)), "", $AQ$103/1000))))</f>
        <v>244.083</v>
      </c>
      <c r="AR64">
        <f>IF(OR(ISBLANK(IF(ISERROR(IF(OR(ISBLANK($AR$103)), "", $AR$103/1000)), "", (IF(OR(ISBLANK($AR$103)), "", $AR$103/1000)))), IF(ISERROR(IF(OR(ISBLANK($AR$103)), "", $AR$103/1000)), "", (IF(OR(ISBLANK($AR$103)), "", $AR$103/1000))) = ""), 265.366,IF(ISERROR(IF(OR(ISBLANK($AR$103)), "", $AR$103/1000)), "", (IF(OR(ISBLANK($AR$103)), "", $AR$103/1000))))</f>
        <v>256.07799999999997</v>
      </c>
      <c r="AS64">
        <f>IF(OR(ISBLANK(IF(ISERROR(IF(OR(ISBLANK($AS$103)), "", $AS$103/1000)), "", (IF(OR(ISBLANK($AS$103)), "", $AS$103/1000)))), IF(ISERROR(IF(OR(ISBLANK($AS$103)), "", $AS$103/1000)), "", (IF(OR(ISBLANK($AS$103)), "", $AS$103/1000))) = ""), 258.76,IF(ISERROR(IF(OR(ISBLANK($AS$103)), "", $AS$103/1000)), "", (IF(OR(ISBLANK($AS$103)), "", $AS$103/1000))))</f>
        <v>223.637</v>
      </c>
      <c r="AT64">
        <f>IF(OR(ISBLANK(IF(ISERROR(IF(OR(ISBLANK($AT$103)), "", $AT$103/1000)), "", (IF(OR(ISBLANK($AT$103)), "", $AT$103/1000)))), IF(ISERROR(IF(OR(ISBLANK($AT$103)), "", $AT$103/1000)), "", (IF(OR(ISBLANK($AT$103)), "", $AT$103/1000))) = ""), 274.478,IF(ISERROR(IF(OR(ISBLANK($AT$103)), "", $AT$103/1000)), "", (IF(OR(ISBLANK($AT$103)), "", $AT$103/1000))))</f>
        <v>203.67400000000001</v>
      </c>
      <c r="AU64">
        <f>IF(OR(ISBLANK(IF(ISERROR(IF(OR(ISBLANK($AU$103)), "", $AU$103/1000)), "", (IF(OR(ISBLANK($AU$103)), "", $AU$103/1000)))), IF(ISERROR(IF(OR(ISBLANK($AU$103)), "", $AU$103/1000)), "", (IF(OR(ISBLANK($AU$103)), "", $AU$103/1000))) = ""), 275.819,IF(ISERROR(IF(OR(ISBLANK($AU$103)), "", $AU$103/1000)), "", (IF(OR(ISBLANK($AU$103)), "", $AU$103/1000))))</f>
        <v>215.452</v>
      </c>
      <c r="AV64">
        <f>IF(OR(ISBLANK(IF(ISERROR(IF(OR(ISBLANK($AV$103)), "", $AV$103/1000)), "", (IF(OR(ISBLANK($AV$103)), "", $AV$103/1000)))), IF(ISERROR(IF(OR(ISBLANK($AV$103)), "", $AV$103/1000)), "", (IF(OR(ISBLANK($AV$103)), "", $AV$103/1000))) = ""), 269.181,IF(ISERROR(IF(OR(ISBLANK($AV$103)), "", $AV$103/1000)), "", (IF(OR(ISBLANK($AV$103)), "", $AV$103/1000))))</f>
        <v>217.95699999999999</v>
      </c>
      <c r="AW64">
        <f>IF(OR(ISBLANK(IF(ISERROR(IF(OR(ISBLANK($AW$103)), "", $AW$103/1000)), "", (IF(OR(ISBLANK($AW$103)), "", $AW$103/1000)))), IF(ISERROR(IF(OR(ISBLANK($AW$103)), "", $AW$103/1000)), "", (IF(OR(ISBLANK($AW$103)), "", $AW$103/1000))) = ""), 272.26,IF(ISERROR(IF(OR(ISBLANK($AW$103)), "", $AW$103/1000)), "", (IF(OR(ISBLANK($AW$103)), "", $AW$103/1000))))</f>
        <v>231.88800000000001</v>
      </c>
      <c r="AX64">
        <f>IF(OR(ISBLANK(IF(ISERROR(IF(OR(ISBLANK($AX$103)), "", $AX$103/1000)), "", (IF(OR(ISBLANK($AX$103)), "", $AX$103/1000)))), IF(ISERROR(IF(OR(ISBLANK($AX$103)), "", $AX$103/1000)), "", (IF(OR(ISBLANK($AX$103)), "", $AX$103/1000))) = ""), 256.148,IF(ISERROR(IF(OR(ISBLANK($AX$103)), "", $AX$103/1000)), "", (IF(OR(ISBLANK($AX$103)), "", $AX$103/1000))))</f>
        <v>230.56899999999999</v>
      </c>
      <c r="AY64">
        <f>IF(OR(ISBLANK(IF(ISERROR(IF(OR(ISBLANK($AY$103)), "", $AY$103/1000)), "", (IF(OR(ISBLANK($AY$103)), "", $AY$103/1000)))), IF(ISERROR(IF(OR(ISBLANK($AY$103)), "", $AY$103/1000)), "", (IF(OR(ISBLANK($AY$103)), "", $AY$103/1000))) = ""), 281.539,IF(ISERROR(IF(OR(ISBLANK($AY$103)), "", $AY$103/1000)), "", (IF(OR(ISBLANK($AY$103)), "", $AY$103/1000))))</f>
        <v>226.935</v>
      </c>
      <c r="AZ64">
        <f>IF(OR(ISBLANK(IF(ISERROR(IF(OR(ISBLANK($AZ$103)), "", $AZ$103/1000)), "", (IF(OR(ISBLANK($AZ$103)), "", $AZ$103/1000)))), IF(ISERROR(IF(OR(ISBLANK($AZ$103)), "", $AZ$103/1000)), "", (IF(OR(ISBLANK($AZ$103)), "", $AZ$103/1000))) = ""), 284.035,IF(ISERROR(IF(OR(ISBLANK($AZ$103)), "", $AZ$103/1000)), "", (IF(OR(ISBLANK($AZ$103)), "", $AZ$103/1000))))</f>
        <v>230.15600000000001</v>
      </c>
      <c r="BA64">
        <f>IF(OR(ISBLANK(IF(ISERROR(IF(OR(ISBLANK($BA$103)), "", $BA$103/1000)), "", (IF(OR(ISBLANK($BA$103)), "", $BA$103/1000)))), IF(ISERROR(IF(OR(ISBLANK($BA$103)), "", $BA$103/1000)), "", (IF(OR(ISBLANK($BA$103)), "", $BA$103/1000))) = ""), 272.329,IF(ISERROR(IF(OR(ISBLANK($BA$103)), "", $BA$103/1000)), "", (IF(OR(ISBLANK($BA$103)), "", $BA$103/1000))))</f>
        <v>269.10500000000002</v>
      </c>
      <c r="BB64">
        <f>IF(OR(ISBLANK(IF(ISERROR(IF(OR(ISBLANK($BB$103)), "", $BB$103/1000)), "", (IF(OR(ISBLANK($BB$103)), "", $BB$103/1000)))), IF(ISERROR(IF(OR(ISBLANK($BB$103)), "", $BB$103/1000)), "", (IF(OR(ISBLANK($BB$103)), "", $BB$103/1000))) = ""), 255.821,IF(ISERROR(IF(OR(ISBLANK($BB$103)), "", $BB$103/1000)), "", (IF(OR(ISBLANK($BB$103)), "", $BB$103/1000))))</f>
        <v>268.04700000000003</v>
      </c>
      <c r="BC64">
        <f>IF(OR(ISBLANK(IF(ISERROR(IF(OR(ISBLANK($BC$103)), "", $BC$103/1000)), "", (IF(OR(ISBLANK($BC$103)), "", $BC$103/1000)))), IF(ISERROR(IF(OR(ISBLANK($BC$103)), "", $BC$103/1000)), "", (IF(OR(ISBLANK($BC$103)), "", $BC$103/1000))) = ""), 264.662,IF(ISERROR(IF(OR(ISBLANK($BC$103)), "", $BC$103/1000)), "", (IF(OR(ISBLANK($BC$103)), "", $BC$103/1000))))</f>
        <v>265.36599999999999</v>
      </c>
      <c r="BD64">
        <f>IF(OR(ISBLANK(IF(ISERROR(IF(OR(ISBLANK($BD$103)), "", $BD$103/1000)), "", (IF(OR(ISBLANK($BD$103)), "", $BD$103/1000)))), IF(ISERROR(IF(OR(ISBLANK($BD$103)), "", $BD$103/1000)), "", (IF(OR(ISBLANK($BD$103)), "", $BD$103/1000))) = ""), 275.347,IF(ISERROR(IF(OR(ISBLANK($BD$103)), "", $BD$103/1000)), "", (IF(OR(ISBLANK($BD$103)), "", $BD$103/1000))))</f>
        <v>258.76</v>
      </c>
      <c r="BE64">
        <f>IF(OR(ISBLANK(IF(ISERROR(IF(OR(ISBLANK($BE$103)), "", $BE$103/1000)), "", (IF(OR(ISBLANK($BE$103)), "", $BE$103/1000)))), IF(ISERROR(IF(OR(ISBLANK($BE$103)), "", $BE$103/1000)), "", (IF(OR(ISBLANK($BE$103)), "", $BE$103/1000))) = ""), 271.264,IF(ISERROR(IF(OR(ISBLANK($BE$103)), "", $BE$103/1000)), "", (IF(OR(ISBLANK($BE$103)), "", $BE$103/1000))))</f>
        <v>274.47800000000001</v>
      </c>
      <c r="BF64">
        <f>IF(OR(ISBLANK(IF(ISERROR(IF(OR(ISBLANK($BF$103)), "", $BF$103/1000)), "", (IF(OR(ISBLANK($BF$103)), "", $BF$103/1000)))), IF(ISERROR(IF(OR(ISBLANK($BF$103)), "", $BF$103/1000)), "", (IF(OR(ISBLANK($BF$103)), "", $BF$103/1000))) = ""), 276.329,IF(ISERROR(IF(OR(ISBLANK($BF$103)), "", $BF$103/1000)), "", (IF(OR(ISBLANK($BF$103)), "", $BF$103/1000))))</f>
        <v>275.81900000000002</v>
      </c>
      <c r="BG64">
        <f>IF(OR(ISBLANK(IF(ISERROR(IF(OR(ISBLANK($BG$103)), "", $BG$103/1000)), "", (IF(OR(ISBLANK($BG$103)), "", $BG$103/1000)))), IF(ISERROR(IF(OR(ISBLANK($BG$103)), "", $BG$103/1000)), "", (IF(OR(ISBLANK($BG$103)), "", $BG$103/1000))) = ""), 279.536,IF(ISERROR(IF(OR(ISBLANK($BG$103)), "", $BG$103/1000)), "", (IF(OR(ISBLANK($BG$103)), "", $BG$103/1000))))</f>
        <v>269.18099999999998</v>
      </c>
      <c r="BH64">
        <f>IF(OR(ISBLANK(IF(ISERROR(IF(OR(ISBLANK($BH$103)), "", $BH$103/1000)), "", (IF(OR(ISBLANK($BH$103)), "", $BH$103/1000)))), IF(ISERROR(IF(OR(ISBLANK($BH$103)), "", $BH$103/1000)), "", (IF(OR(ISBLANK($BH$103)), "", $BH$103/1000))) = ""), 309.815,IF(ISERROR(IF(OR(ISBLANK($BH$103)), "", $BH$103/1000)), "", (IF(OR(ISBLANK($BH$103)), "", $BH$103/1000))))</f>
        <v>272.26</v>
      </c>
      <c r="BI64">
        <f>IF(OR(ISBLANK(IF(ISERROR(IF(OR(ISBLANK($BI$103)), "", $BI$103/1000)), "", (IF(OR(ISBLANK($BI$103)), "", $BI$103/1000)))), IF(ISERROR(IF(OR(ISBLANK($BI$103)), "", $BI$103/1000)), "", (IF(OR(ISBLANK($BI$103)), "", $BI$103/1000))) = ""), 280.024,IF(ISERROR(IF(OR(ISBLANK($BI$103)), "", $BI$103/1000)), "", (IF(OR(ISBLANK($BI$103)), "", $BI$103/1000))))</f>
        <v>256.14800000000002</v>
      </c>
      <c r="BJ64">
        <f>IF(OR(ISBLANK(IF(ISERROR(IF(OR(ISBLANK($BJ$103)), "", $BJ$103/1000)), "", (IF(OR(ISBLANK($BJ$103)), "", $BJ$103/1000)))), IF(ISERROR(IF(OR(ISBLANK($BJ$103)), "", $BJ$103/1000)), "", (IF(OR(ISBLANK($BJ$103)), "", $BJ$103/1000))) = ""), 273.354,IF(ISERROR(IF(OR(ISBLANK($BJ$103)), "", $BJ$103/1000)), "", (IF(OR(ISBLANK($BJ$103)), "", $BJ$103/1000))))</f>
        <v>281.53899999999999</v>
      </c>
      <c r="BK64">
        <f>IF(OR(ISBLANK(IF(ISERROR(IF(OR(ISBLANK($BK$103)), "", $BK$103/1000)), "", (IF(OR(ISBLANK($BK$103)), "", $BK$103/1000)))), IF(ISERROR(IF(OR(ISBLANK($BK$103)), "", $BK$103/1000)), "", (IF(OR(ISBLANK($BK$103)), "", $BK$103/1000))) = ""), 302.586,IF(ISERROR(IF(OR(ISBLANK($BK$103)), "", $BK$103/1000)), "", (IF(OR(ISBLANK($BK$103)), "", $BK$103/1000))))</f>
        <v>284.03500000000003</v>
      </c>
      <c r="BL64">
        <f>IF(OR(ISBLANK(IF(ISERROR(IF(OR(ISBLANK($BL$103)), "", $BL$103/1000)), "", (IF(OR(ISBLANK($BL$103)), "", $BL$103/1000)))), IF(ISERROR(IF(OR(ISBLANK($BL$103)), "", $BL$103/1000)), "", (IF(OR(ISBLANK($BL$103)), "", $BL$103/1000))) = ""), 319.504,IF(ISERROR(IF(OR(ISBLANK($BL$103)), "", $BL$103/1000)), "", (IF(OR(ISBLANK($BL$103)), "", $BL$103/1000))))</f>
        <v>272.32900000000001</v>
      </c>
      <c r="BM64">
        <f>IF(OR(ISBLANK(IF(ISERROR(IF(OR(ISBLANK($BM$103)), "", $BM$103/1000)), "", (IF(OR(ISBLANK($BM$103)), "", $BM$103/1000)))), IF(ISERROR(IF(OR(ISBLANK($BM$103)), "", $BM$103/1000)), "", (IF(OR(ISBLANK($BM$103)), "", $BM$103/1000))) = ""), 333.697,IF(ISERROR(IF(OR(ISBLANK($BM$103)), "", $BM$103/1000)), "", (IF(OR(ISBLANK($BM$103)), "", $BM$103/1000))))</f>
        <v>255.821</v>
      </c>
      <c r="BN64">
        <f>IF(OR(ISBLANK(IF(ISERROR(IF(OR(ISBLANK($BN$103)), "", $BN$103/1000)), "", (IF(OR(ISBLANK($BN$103)), "", $BN$103/1000)))), IF(ISERROR(IF(OR(ISBLANK($BN$103)), "", $BN$103/1000)), "", (IF(OR(ISBLANK($BN$103)), "", $BN$103/1000))) = ""), 296.198,IF(ISERROR(IF(OR(ISBLANK($BN$103)), "", $BN$103/1000)), "", (IF(OR(ISBLANK($BN$103)), "", $BN$103/1000))))</f>
        <v>264.66199999999998</v>
      </c>
      <c r="BO64">
        <f>IF(OR(ISBLANK(IF(ISERROR(IF(OR(ISBLANK($BO$103)), "", $BO$103/1000)), "", (IF(OR(ISBLANK($BO$103)), "", $BO$103/1000)))), IF(ISERROR(IF(OR(ISBLANK($BO$103)), "", $BO$103/1000)), "", (IF(OR(ISBLANK($BO$103)), "", $BO$103/1000))) = ""), 315.952,IF(ISERROR(IF(OR(ISBLANK($BO$103)), "", $BO$103/1000)), "", (IF(OR(ISBLANK($BO$103)), "", $BO$103/1000))))</f>
        <v>275.34699999999998</v>
      </c>
      <c r="BP64">
        <f>IF(OR(ISBLANK(IF(ISERROR(IF(OR(ISBLANK($BP$103)), "", $BP$103/1000)), "", (IF(OR(ISBLANK($BP$103)), "", $BP$103/1000)))), IF(ISERROR(IF(OR(ISBLANK($BP$103)), "", $BP$103/1000)), "", (IF(OR(ISBLANK($BP$103)), "", $BP$103/1000))) = ""), 329.801,IF(ISERROR(IF(OR(ISBLANK($BP$103)), "", $BP$103/1000)), "", (IF(OR(ISBLANK($BP$103)), "", $BP$103/1000))))</f>
        <v>271.26400000000001</v>
      </c>
      <c r="BQ64">
        <f>IF(OR(ISBLANK(IF(ISERROR(IF(OR(ISBLANK($BQ$103)), "", $BQ$103/1000)), "", (IF(OR(ISBLANK($BQ$103)), "", $BQ$103/1000)))), IF(ISERROR(IF(OR(ISBLANK($BQ$103)), "", $BQ$103/1000)), "", (IF(OR(ISBLANK($BQ$103)), "", $BQ$103/1000))) = ""), 343.051,IF(ISERROR(IF(OR(ISBLANK($BQ$103)), "", $BQ$103/1000)), "", (IF(OR(ISBLANK($BQ$103)), "", $BQ$103/1000))))</f>
        <v>276.32900000000001</v>
      </c>
      <c r="BR64">
        <f>IF(OR(ISBLANK(IF(ISERROR(IF(OR(ISBLANK($BR$103)), "", $BR$103/1000)), "", (IF(OR(ISBLANK($BR$103)), "", $BR$103/1000)))), IF(ISERROR(IF(OR(ISBLANK($BR$103)), "", $BR$103/1000)), "", (IF(OR(ISBLANK($BR$103)), "", $BR$103/1000))) = ""), 336.912,IF(ISERROR(IF(OR(ISBLANK($BR$103)), "", $BR$103/1000)), "", (IF(OR(ISBLANK($BR$103)), "", $BR$103/1000))))</f>
        <v>279.536</v>
      </c>
      <c r="BS64">
        <f>IF(OR(ISBLANK(IF(ISERROR(IF(OR(ISBLANK($BS$103)), "", $BS$103/1000)), "", (IF(OR(ISBLANK($BS$103)), "", $BS$103/1000)))), IF(ISERROR(IF(OR(ISBLANK($BS$103)), "", $BS$103/1000)), "", (IF(OR(ISBLANK($BS$103)), "", $BS$103/1000))) = ""), 319.275,IF(ISERROR(IF(OR(ISBLANK($BS$103)), "", $BS$103/1000)), "", (IF(OR(ISBLANK($BS$103)), "", $BS$103/1000))))</f>
        <v>309.815</v>
      </c>
      <c r="BT64">
        <f>IF(OR(ISBLANK(IF(ISERROR(IF(OR(ISBLANK($BT$103)), "", $BT$103/1000)), "", (IF(OR(ISBLANK($BT$103)), "", $BT$103/1000)))), IF(ISERROR(IF(OR(ISBLANK($BT$103)), "", $BT$103/1000)), "", (IF(OR(ISBLANK($BT$103)), "", $BT$103/1000))) = ""), 351.673,IF(ISERROR(IF(OR(ISBLANK($BT$103)), "", $BT$103/1000)), "", (IF(OR(ISBLANK($BT$103)), "", $BT$103/1000))))</f>
        <v>280.024</v>
      </c>
      <c r="BU64">
        <f>IF(OR(ISBLANK(IF(ISERROR(IF(OR(ISBLANK($BU$103)), "", $BU$103/1000)), "", (IF(OR(ISBLANK($BU$103)), "", $BU$103/1000)))), IF(ISERROR(IF(OR(ISBLANK($BU$103)), "", $BU$103/1000)), "", (IF(OR(ISBLANK($BU$103)), "", $BU$103/1000))) = ""), 366.51,IF(ISERROR(IF(OR(ISBLANK($BU$103)), "", $BU$103/1000)), "", (IF(OR(ISBLANK($BU$103)), "", $BU$103/1000))))</f>
        <v>273.35399999999998</v>
      </c>
      <c r="BV64">
        <f>IF(OR(ISBLANK(IF(ISERROR(IF(OR(ISBLANK($BV$103)), "", $BV$103/1000)), "", (IF(OR(ISBLANK($BV$103)), "", $BV$103/1000)))), IF(ISERROR(IF(OR(ISBLANK($BV$103)), "", $BV$103/1000)), "", (IF(OR(ISBLANK($BV$103)), "", $BV$103/1000))) = ""), 354.802,IF(ISERROR(IF(OR(ISBLANK($BV$103)), "", $BV$103/1000)), "", (IF(OR(ISBLANK($BV$103)), "", $BV$103/1000))))</f>
        <v>302.58600000000001</v>
      </c>
      <c r="BW64">
        <f>IF(OR(ISBLANK(IF(ISERROR(IF(OR(ISBLANK($BW$103)), "", $BW$103/1000)), "", (IF(OR(ISBLANK($BW$103)), "", $BW$103/1000)))), IF(ISERROR(IF(OR(ISBLANK($BW$103)), "", $BW$103/1000)), "", (IF(OR(ISBLANK($BW$103)), "", $BW$103/1000))) = ""), 374.205,IF(ISERROR(IF(OR(ISBLANK($BW$103)), "", $BW$103/1000)), "", (IF(OR(ISBLANK($BW$103)), "", $BW$103/1000))))</f>
        <v>319.50400000000002</v>
      </c>
      <c r="BX64">
        <f>IF(OR(ISBLANK(IF(ISERROR(IF(OR(ISBLANK($BX$103)), "", $BX$103/1000)), "", (IF(OR(ISBLANK($BX$103)), "", $BX$103/1000)))), IF(ISERROR(IF(OR(ISBLANK($BX$103)), "", $BX$103/1000)), "", (IF(OR(ISBLANK($BX$103)), "", $BX$103/1000))) = ""), 415.95,IF(ISERROR(IF(OR(ISBLANK($BX$103)), "", $BX$103/1000)), "", (IF(OR(ISBLANK($BX$103)), "", $BX$103/1000))))</f>
        <v>333.697</v>
      </c>
      <c r="BY64">
        <f>IF(OR(ISBLANK(IF(ISERROR(IF(OR(ISBLANK($BY$103)), "", $BY$103/1000)), "", (IF(OR(ISBLANK($BY$103)), "", $BY$103/1000)))), IF(ISERROR(IF(OR(ISBLANK($BY$103)), "", $BY$103/1000)), "", (IF(OR(ISBLANK($BY$103)), "", $BY$103/1000))) = ""), 466.468,IF(ISERROR(IF(OR(ISBLANK($BY$103)), "", $BY$103/1000)), "", (IF(OR(ISBLANK($BY$103)), "", $BY$103/1000))))</f>
        <v>296.19799999999998</v>
      </c>
      <c r="BZ64">
        <f>IF(OR(ISBLANK(IF(ISERROR(IF(OR(ISBLANK($BZ$103)), "", $BZ$103/1000)), "", (IF(OR(ISBLANK($BZ$103)), "", $BZ$103/1000)))), IF(ISERROR(IF(OR(ISBLANK($BZ$103)), "", $BZ$103/1000)), "", (IF(OR(ISBLANK($BZ$103)), "", $BZ$103/1000))) = ""), 443.102,IF(ISERROR(IF(OR(ISBLANK($BZ$103)), "", $BZ$103/1000)), "", (IF(OR(ISBLANK($BZ$103)), "", $BZ$103/1000))))</f>
        <v>315.952</v>
      </c>
      <c r="CA64">
        <f>IF(OR(ISBLANK(IF(ISERROR(IF(OR(ISBLANK($CA$103)), "", $CA$103/1000)), "", (IF(OR(ISBLANK($CA$103)), "", $CA$103/1000)))), IF(ISERROR(IF(OR(ISBLANK($CA$103)), "", $CA$103/1000)), "", (IF(OR(ISBLANK($CA$103)), "", $CA$103/1000))) = ""), 408.15,IF(ISERROR(IF(OR(ISBLANK($CA$103)), "", $CA$103/1000)), "", (IF(OR(ISBLANK($CA$103)), "", $CA$103/1000))))</f>
        <v>329.80099999999999</v>
      </c>
      <c r="CB64">
        <f>IF(OR(ISBLANK(IF(ISERROR(IF(OR(ISBLANK($CB$103)), "", $CB$103/1000)), "", (IF(OR(ISBLANK($CB$103)), "", $CB$103/1000)))), IF(ISERROR(IF(OR(ISBLANK($CB$103)), "", $CB$103/1000)), "", (IF(OR(ISBLANK($CB$103)), "", $CB$103/1000))) = ""), 479.499,IF(ISERROR(IF(OR(ISBLANK($CB$103)), "", $CB$103/1000)), "", (IF(OR(ISBLANK($CB$103)), "", $CB$103/1000))))</f>
        <v>343.05099999999999</v>
      </c>
      <c r="CC64">
        <f>IF(OR(ISBLANK(IF(ISERROR(IF(OR(ISBLANK($CC$103)), "", $CC$103/1000)), "", (IF(OR(ISBLANK($CC$103)), "", $CC$103/1000)))), IF(ISERROR(IF(OR(ISBLANK($CC$103)), "", $CC$103/1000)), "", (IF(OR(ISBLANK($CC$103)), "", $CC$103/1000))) = ""), 540.018,IF(ISERROR(IF(OR(ISBLANK($CC$103)), "", $CC$103/1000)), "", (IF(OR(ISBLANK($CC$103)), "", $CC$103/1000))))</f>
        <v>336.91199999999998</v>
      </c>
      <c r="CD64">
        <f>IF(OR(ISBLANK(IF(ISERROR(IF(OR(ISBLANK($CD$103)), "", $CD$103/1000)), "", (IF(OR(ISBLANK($CD$103)), "", $CD$103/1000)))), IF(ISERROR(IF(OR(ISBLANK($CD$103)), "", $CD$103/1000)), "", (IF(OR(ISBLANK($CD$103)), "", $CD$103/1000))) = ""), 507.684,IF(ISERROR(IF(OR(ISBLANK($CD$103)), "", $CD$103/1000)), "", (IF(OR(ISBLANK($CD$103)), "", $CD$103/1000))))</f>
        <v>319.27499999999998</v>
      </c>
      <c r="CE64">
        <f>IF(OR(ISBLANK(IF(ISERROR(IF(OR(ISBLANK($CE$103)), "", $CE$103/1000)), "", (IF(OR(ISBLANK($CE$103)), "", $CE$103/1000)))), IF(ISERROR(IF(OR(ISBLANK($CE$103)), "", $CE$103/1000)), "", (IF(OR(ISBLANK($CE$103)), "", $CE$103/1000))) = ""), 462.287,IF(ISERROR(IF(OR(ISBLANK($CE$103)), "", $CE$103/1000)), "", (IF(OR(ISBLANK($CE$103)), "", $CE$103/1000))))</f>
        <v>351.673</v>
      </c>
      <c r="CF64">
        <f>IF(OR(ISBLANK(IF(ISERROR(IF(OR(ISBLANK($CF$103)), "", $CF$103/1000)), "", (IF(OR(ISBLANK($CF$103)), "", $CF$103/1000)))), IF(ISERROR(IF(OR(ISBLANK($CF$103)), "", $CF$103/1000)), "", (IF(OR(ISBLANK($CF$103)), "", $CF$103/1000))) = ""), 456.102,IF(ISERROR(IF(OR(ISBLANK($CF$103)), "", $CF$103/1000)), "", (IF(OR(ISBLANK($CF$103)), "", $CF$103/1000))))</f>
        <v>366.51</v>
      </c>
      <c r="CG64">
        <f>IF(OR(ISBLANK(IF(ISERROR(IF(OR(ISBLANK($CG$103)), "", $CG$103/1000)), "", (IF(OR(ISBLANK($CG$103)), "", $CG$103/1000)))), IF(ISERROR(IF(OR(ISBLANK($CG$103)), "", $CG$103/1000)), "", (IF(OR(ISBLANK($CG$103)), "", $CG$103/1000))) = ""), 489.68,IF(ISERROR(IF(OR(ISBLANK($CG$103)), "", $CG$103/1000)), "", (IF(OR(ISBLANK($CG$103)), "", $CG$103/1000))))</f>
        <v>354.80200000000002</v>
      </c>
    </row>
    <row r="65" spans="1:85" x14ac:dyDescent="0.25">
      <c r="A65" t="str">
        <f>"        Use of the Deposit Facility"</f>
        <v xml:space="preserve">        Use of the Deposit Facility</v>
      </c>
      <c r="B65" t="str">
        <f>"ECBLDEPO Index"</f>
        <v>ECBLDEPO Index</v>
      </c>
      <c r="C65" t="str">
        <f>""</f>
        <v/>
      </c>
      <c r="D65" t="str">
        <f>""</f>
        <v/>
      </c>
      <c r="E65" t="str">
        <f t="shared" si="3"/>
        <v>Expression</v>
      </c>
      <c r="F65" t="str">
        <f ca="1">IF(OR(ISBLANK(IF(ISERROR(IF(OR(ISBLANK($F$104)), "", $F$104/1000)), "", (IF(OR(ISBLANK($F$104)), "", $F$104/1000)))), IF(ISERROR(IF(OR(ISBLANK($F$104)), "", $F$104/1000)), "", (IF(OR(ISBLANK($F$104)), "", $F$104/1000))) = ""), "",IF(ISERROR(IF(OR(ISBLANK($F$104)), "", $F$104/1000)), "", (IF(OR(ISBLANK($F$104)), "", $F$104/1000))))</f>
        <v/>
      </c>
      <c r="G65">
        <f>IF(OR(ISBLANK(IF(ISERROR(IF(OR(ISBLANK($G$104)), "", $G$104/1000)), "", (IF(OR(ISBLANK($G$104)), "", $G$104/1000)))), IF(ISERROR(IF(OR(ISBLANK($G$104)), "", $G$104/1000)), "", (IF(OR(ISBLANK($G$104)), "", $G$104/1000))) = ""), 26.544,IF(ISERROR(IF(OR(ISBLANK($G$104)), "", $G$104/1000)), "", (IF(OR(ISBLANK($G$104)), "", $G$104/1000))))</f>
        <v>26.65</v>
      </c>
      <c r="H65">
        <f>IF(OR(ISBLANK(IF(ISERROR(IF(OR(ISBLANK($H$104)), "", $H$104/1000)), "", (IF(OR(ISBLANK($H$104)), "", $H$104/1000)))), IF(ISERROR(IF(OR(ISBLANK($H$104)), "", $H$104/1000)), "", (IF(OR(ISBLANK($H$104)), "", $H$104/1000))) = ""), 17.175,IF(ISERROR(IF(OR(ISBLANK($H$104)), "", $H$104/1000)), "", (IF(OR(ISBLANK($H$104)), "", $H$104/1000))))</f>
        <v>30.864000000000001</v>
      </c>
      <c r="I65">
        <f>IF(OR(ISBLANK(IF(ISERROR(IF(OR(ISBLANK($I$104)), "", $I$104/1000)), "", (IF(OR(ISBLANK($I$104)), "", $I$104/1000)))), IF(ISERROR(IF(OR(ISBLANK($I$104)), "", $I$104/1000)), "", (IF(OR(ISBLANK($I$104)), "", $I$104/1000))) = ""), 37.312,IF(ISERROR(IF(OR(ISBLANK($I$104)), "", $I$104/1000)), "", (IF(OR(ISBLANK($I$104)), "", $I$104/1000))))</f>
        <v>25.626000000000001</v>
      </c>
      <c r="J65">
        <f>IF(OR(ISBLANK(IF(ISERROR(IF(OR(ISBLANK($J$104)), "", $J$104/1000)), "", (IF(OR(ISBLANK($J$104)), "", $J$104/1000)))), IF(ISERROR(IF(OR(ISBLANK($J$104)), "", $J$104/1000)), "", (IF(OR(ISBLANK($J$104)), "", $J$104/1000))) = ""), 39.91,IF(ISERROR(IF(OR(ISBLANK($J$104)), "", $J$104/1000)), "", (IF(OR(ISBLANK($J$104)), "", $J$104/1000))))</f>
        <v>19.849</v>
      </c>
      <c r="K65">
        <f>IF(OR(ISBLANK(IF(ISERROR(IF(OR(ISBLANK($K$104)), "", $K$104/1000)), "", (IF(OR(ISBLANK($K$104)), "", $K$104/1000)))), IF(ISERROR(IF(OR(ISBLANK($K$104)), "", $K$104/1000)), "", (IF(OR(ISBLANK($K$104)), "", $K$104/1000))) = ""), 23.774,IF(ISERROR(IF(OR(ISBLANK($K$104)), "", $K$104/1000)), "", (IF(OR(ISBLANK($K$104)), "", $K$104/1000))))</f>
        <v>21.146000000000001</v>
      </c>
      <c r="L65">
        <f>IF(OR(ISBLANK(IF(ISERROR(IF(OR(ISBLANK($L$104)), "", $L$104/1000)), "", (IF(OR(ISBLANK($L$104)), "", $L$104/1000)))), IF(ISERROR(IF(OR(ISBLANK($L$104)), "", $L$104/1000)), "", (IF(OR(ISBLANK($L$104)), "", $L$104/1000))) = ""), 17.482,IF(ISERROR(IF(OR(ISBLANK($L$104)), "", $L$104/1000)), "", (IF(OR(ISBLANK($L$104)), "", $L$104/1000))))</f>
        <v>44.118000000000002</v>
      </c>
      <c r="M65">
        <f>IF(OR(ISBLANK(IF(ISERROR(IF(OR(ISBLANK($M$104)), "", $M$104/1000)), "", (IF(OR(ISBLANK($M$104)), "", $M$104/1000)))), IF(ISERROR(IF(OR(ISBLANK($M$104)), "", $M$104/1000)), "", (IF(OR(ISBLANK($M$104)), "", $M$104/1000))) = ""), 33.844,IF(ISERROR(IF(OR(ISBLANK($M$104)), "", $M$104/1000)), "", (IF(OR(ISBLANK($M$104)), "", $M$104/1000))))</f>
        <v>21.334</v>
      </c>
      <c r="N65">
        <f>IF(OR(ISBLANK(IF(ISERROR(IF(OR(ISBLANK($N$104)), "", $N$104/1000)), "", (IF(OR(ISBLANK($N$104)), "", $N$104/1000)))), IF(ISERROR(IF(OR(ISBLANK($N$104)), "", $N$104/1000)), "", (IF(OR(ISBLANK($N$104)), "", $N$104/1000))) = ""), 39.078,IF(ISERROR(IF(OR(ISBLANK($N$104)), "", $N$104/1000)), "", (IF(OR(ISBLANK($N$104)), "", $N$104/1000))))</f>
        <v>22.718</v>
      </c>
      <c r="O65">
        <f>IF(OR(ISBLANK(IF(ISERROR(IF(OR(ISBLANK($O$104)), "", $O$104/1000)), "", (IF(OR(ISBLANK($O$104)), "", $O$104/1000)))), IF(ISERROR(IF(OR(ISBLANK($O$104)), "", $O$104/1000)), "", (IF(OR(ISBLANK($O$104)), "", $O$104/1000))) = ""), 23.974,IF(ISERROR(IF(OR(ISBLANK($O$104)), "", $O$104/1000)), "", (IF(OR(ISBLANK($O$104)), "", $O$104/1000))))</f>
        <v>20.184000000000001</v>
      </c>
      <c r="P65">
        <f>IF(OR(ISBLANK(IF(ISERROR(IF(OR(ISBLANK($P$104)), "", $P$104/1000)), "", (IF(OR(ISBLANK($P$104)), "", $P$104/1000)))), IF(ISERROR(IF(OR(ISBLANK($P$104)), "", $P$104/1000)), "", (IF(OR(ISBLANK($P$104)), "", $P$104/1000))) = ""), 29.13,IF(ISERROR(IF(OR(ISBLANK($P$104)), "", $P$104/1000)), "", (IF(OR(ISBLANK($P$104)), "", $P$104/1000))))</f>
        <v>27.274999999999999</v>
      </c>
      <c r="Q65">
        <f>IF(OR(ISBLANK(IF(ISERROR(IF(OR(ISBLANK($Q$104)), "", $Q$104/1000)), "", (IF(OR(ISBLANK($Q$104)), "", $Q$104/1000)))), IF(ISERROR(IF(OR(ISBLANK($Q$104)), "", $Q$104/1000)), "", (IF(OR(ISBLANK($Q$104)), "", $Q$104/1000))) = ""), 21.154,IF(ISERROR(IF(OR(ISBLANK($Q$104)), "", $Q$104/1000)), "", (IF(OR(ISBLANK($Q$104)), "", $Q$104/1000))))</f>
        <v>25.422999999999998</v>
      </c>
      <c r="R65">
        <f>IF(OR(ISBLANK(IF(ISERROR(IF(OR(ISBLANK($R$104)), "", $R$104/1000)), "", (IF(OR(ISBLANK($R$104)), "", $R$104/1000)))), IF(ISERROR(IF(OR(ISBLANK($R$104)), "", $R$104/1000)), "", (IF(OR(ISBLANK($R$104)), "", $R$104/1000))) = ""), 25.723,IF(ISERROR(IF(OR(ISBLANK($R$104)), "", $R$104/1000)), "", (IF(OR(ISBLANK($R$104)), "", $R$104/1000))))</f>
        <v>26.544</v>
      </c>
      <c r="S65">
        <f>IF(OR(ISBLANK(IF(ISERROR(IF(OR(ISBLANK($S$104)), "", $S$104/1000)), "", (IF(OR(ISBLANK($S$104)), "", $S$104/1000)))), IF(ISERROR(IF(OR(ISBLANK($S$104)), "", $S$104/1000)), "", (IF(OR(ISBLANK($S$104)), "", $S$104/1000))) = ""), 28.256,IF(ISERROR(IF(OR(ISBLANK($S$104)), "", $S$104/1000)), "", (IF(OR(ISBLANK($S$104)), "", $S$104/1000))))</f>
        <v>17.175000000000001</v>
      </c>
      <c r="T65">
        <f>IF(OR(ISBLANK(IF(ISERROR(IF(OR(ISBLANK($T$104)), "", $T$104/1000)), "", (IF(OR(ISBLANK($T$104)), "", $T$104/1000)))), IF(ISERROR(IF(OR(ISBLANK($T$104)), "", $T$104/1000)), "", (IF(OR(ISBLANK($T$104)), "", $T$104/1000))) = ""), 34.536,IF(ISERROR(IF(OR(ISBLANK($T$104)), "", $T$104/1000)), "", (IF(OR(ISBLANK($T$104)), "", $T$104/1000))))</f>
        <v>37.311999999999998</v>
      </c>
      <c r="U65">
        <f>IF(OR(ISBLANK(IF(ISERROR(IF(OR(ISBLANK($U$104)), "", $U$104/1000)), "", (IF(OR(ISBLANK($U$104)), "", $U$104/1000)))), IF(ISERROR(IF(OR(ISBLANK($U$104)), "", $U$104/1000)), "", (IF(OR(ISBLANK($U$104)), "", $U$104/1000))) = ""), 23.495,IF(ISERROR(IF(OR(ISBLANK($U$104)), "", $U$104/1000)), "", (IF(OR(ISBLANK($U$104)), "", $U$104/1000))))</f>
        <v>39.909999999999997</v>
      </c>
      <c r="V65">
        <f>IF(OR(ISBLANK(IF(ISERROR(IF(OR(ISBLANK($V$104)), "", $V$104/1000)), "", (IF(OR(ISBLANK($V$104)), "", $V$104/1000)))), IF(ISERROR(IF(OR(ISBLANK($V$104)), "", $V$104/1000)), "", (IF(OR(ISBLANK($V$104)), "", $V$104/1000))) = ""), 30.939,IF(ISERROR(IF(OR(ISBLANK($V$104)), "", $V$104/1000)), "", (IF(OR(ISBLANK($V$104)), "", $V$104/1000))))</f>
        <v>23.774000000000001</v>
      </c>
      <c r="W65">
        <f>IF(OR(ISBLANK(IF(ISERROR(IF(OR(ISBLANK($W$104)), "", $W$104/1000)), "", (IF(OR(ISBLANK($W$104)), "", $W$104/1000)))), IF(ISERROR(IF(OR(ISBLANK($W$104)), "", $W$104/1000)), "", (IF(OR(ISBLANK($W$104)), "", $W$104/1000))) = ""), 29.371,IF(ISERROR(IF(OR(ISBLANK($W$104)), "", $W$104/1000)), "", (IF(OR(ISBLANK($W$104)), "", $W$104/1000))))</f>
        <v>17.481999999999999</v>
      </c>
      <c r="X65">
        <f>IF(OR(ISBLANK(IF(ISERROR(IF(OR(ISBLANK($X$104)), "", $X$104/1000)), "", (IF(OR(ISBLANK($X$104)), "", $X$104/1000)))), IF(ISERROR(IF(OR(ISBLANK($X$104)), "", $X$104/1000)), "", (IF(OR(ISBLANK($X$104)), "", $X$104/1000))) = ""), 32.014,IF(ISERROR(IF(OR(ISBLANK($X$104)), "", $X$104/1000)), "", (IF(OR(ISBLANK($X$104)), "", $X$104/1000))))</f>
        <v>33.844000000000001</v>
      </c>
      <c r="Y65">
        <f>IF(OR(ISBLANK(IF(ISERROR(IF(OR(ISBLANK($Y$104)), "", $Y$104/1000)), "", (IF(OR(ISBLANK($Y$104)), "", $Y$104/1000)))), IF(ISERROR(IF(OR(ISBLANK($Y$104)), "", $Y$104/1000)), "", (IF(OR(ISBLANK($Y$104)), "", $Y$104/1000))) = ""), 29.891,IF(ISERROR(IF(OR(ISBLANK($Y$104)), "", $Y$104/1000)), "", (IF(OR(ISBLANK($Y$104)), "", $Y$104/1000))))</f>
        <v>39.078000000000003</v>
      </c>
      <c r="Z65">
        <f>IF(OR(ISBLANK(IF(ISERROR(IF(OR(ISBLANK($Z$104)), "", $Z$104/1000)), "", (IF(OR(ISBLANK($Z$104)), "", $Z$104/1000)))), IF(ISERROR(IF(OR(ISBLANK($Z$104)), "", $Z$104/1000)), "", (IF(OR(ISBLANK($Z$104)), "", $Z$104/1000))) = ""), 47.221,IF(ISERROR(IF(OR(ISBLANK($Z$104)), "", $Z$104/1000)), "", (IF(OR(ISBLANK($Z$104)), "", $Z$104/1000))))</f>
        <v>23.974</v>
      </c>
      <c r="AA65">
        <f>IF(OR(ISBLANK(IF(ISERROR(IF(OR(ISBLANK($AA$104)), "", $AA$104/1000)), "", (IF(OR(ISBLANK($AA$104)), "", $AA$104/1000)))), IF(ISERROR(IF(OR(ISBLANK($AA$104)), "", $AA$104/1000)), "", (IF(OR(ISBLANK($AA$104)), "", $AA$104/1000))) = ""), 56.064,IF(ISERROR(IF(OR(ISBLANK($AA$104)), "", $AA$104/1000)), "", (IF(OR(ISBLANK($AA$104)), "", $AA$104/1000))))</f>
        <v>29.13</v>
      </c>
      <c r="AB65">
        <f>IF(OR(ISBLANK(IF(ISERROR(IF(OR(ISBLANK($AB$104)), "", $AB$104/1000)), "", (IF(OR(ISBLANK($AB$104)), "", $AB$104/1000)))), IF(ISERROR(IF(OR(ISBLANK($AB$104)), "", $AB$104/1000)), "", (IF(OR(ISBLANK($AB$104)), "", $AB$104/1000))) = ""), 44.01,IF(ISERROR(IF(OR(ISBLANK($AB$104)), "", $AB$104/1000)), "", (IF(OR(ISBLANK($AB$104)), "", $AB$104/1000))))</f>
        <v>21.154</v>
      </c>
      <c r="AC65">
        <f>IF(OR(ISBLANK(IF(ISERROR(IF(OR(ISBLANK($AC$104)), "", $AC$104/1000)), "", (IF(OR(ISBLANK($AC$104)), "", $AC$104/1000)))), IF(ISERROR(IF(OR(ISBLANK($AC$104)), "", $AC$104/1000)), "", (IF(OR(ISBLANK($AC$104)), "", $AC$104/1000))) = ""), 36.489,IF(ISERROR(IF(OR(ISBLANK($AC$104)), "", $AC$104/1000)), "", (IF(OR(ISBLANK($AC$104)), "", $AC$104/1000))))</f>
        <v>25.722999999999999</v>
      </c>
      <c r="AD65">
        <f>IF(OR(ISBLANK(IF(ISERROR(IF(OR(ISBLANK($AD$104)), "", $AD$104/1000)), "", (IF(OR(ISBLANK($AD$104)), "", $AD$104/1000)))), IF(ISERROR(IF(OR(ISBLANK($AD$104)), "", $AD$104/1000)), "", (IF(OR(ISBLANK($AD$104)), "", $AD$104/1000))) = ""), 59.753,IF(ISERROR(IF(OR(ISBLANK($AD$104)), "", $AD$104/1000)), "", (IF(OR(ISBLANK($AD$104)), "", $AD$104/1000))))</f>
        <v>28.256</v>
      </c>
      <c r="AE65">
        <f>IF(OR(ISBLANK(IF(ISERROR(IF(OR(ISBLANK($AE$104)), "", $AE$104/1000)), "", (IF(OR(ISBLANK($AE$104)), "", $AE$104/1000)))), IF(ISERROR(IF(OR(ISBLANK($AE$104)), "", $AE$104/1000)), "", (IF(OR(ISBLANK($AE$104)), "", $AE$104/1000))) = ""), 88.213,IF(ISERROR(IF(OR(ISBLANK($AE$104)), "", $AE$104/1000)), "", (IF(OR(ISBLANK($AE$104)), "", $AE$104/1000))))</f>
        <v>34.536000000000001</v>
      </c>
      <c r="AF65">
        <f>IF(OR(ISBLANK(IF(ISERROR(IF(OR(ISBLANK($AF$104)), "", $AF$104/1000)), "", (IF(OR(ISBLANK($AF$104)), "", $AF$104/1000)))), IF(ISERROR(IF(OR(ISBLANK($AF$104)), "", $AF$104/1000)), "", (IF(OR(ISBLANK($AF$104)), "", $AF$104/1000))) = ""), 59.628,IF(ISERROR(IF(OR(ISBLANK($AF$104)), "", $AF$104/1000)), "", (IF(OR(ISBLANK($AF$104)), "", $AF$104/1000))))</f>
        <v>23.495000000000001</v>
      </c>
      <c r="AG65">
        <f>IF(OR(ISBLANK(IF(ISERROR(IF(OR(ISBLANK($AG$104)), "", $AG$104/1000)), "", (IF(OR(ISBLANK($AG$104)), "", $AG$104/1000)))), IF(ISERROR(IF(OR(ISBLANK($AG$104)), "", $AG$104/1000)), "", (IF(OR(ISBLANK($AG$104)), "", $AG$104/1000))) = ""), 53.345,IF(ISERROR(IF(OR(ISBLANK($AG$104)), "", $AG$104/1000)), "", (IF(OR(ISBLANK($AG$104)), "", $AG$104/1000))))</f>
        <v>30.939</v>
      </c>
      <c r="AH65">
        <f>IF(OR(ISBLANK(IF(ISERROR(IF(OR(ISBLANK($AH$104)), "", $AH$104/1000)), "", (IF(OR(ISBLANK($AH$104)), "", $AH$104/1000)))), IF(ISERROR(IF(OR(ISBLANK($AH$104)), "", $AH$104/1000)), "", (IF(OR(ISBLANK($AH$104)), "", $AH$104/1000))) = ""), 38.341,IF(ISERROR(IF(OR(ISBLANK($AH$104)), "", $AH$104/1000)), "", (IF(OR(ISBLANK($AH$104)), "", $AH$104/1000))))</f>
        <v>29.370999999999999</v>
      </c>
      <c r="AI65">
        <f>IF(OR(ISBLANK(IF(ISERROR(IF(OR(ISBLANK($AI$104)), "", $AI$104/1000)), "", (IF(OR(ISBLANK($AI$104)), "", $AI$104/1000)))), IF(ISERROR(IF(OR(ISBLANK($AI$104)), "", $AI$104/1000)), "", (IF(OR(ISBLANK($AI$104)), "", $AI$104/1000))) = ""), 54.069,IF(ISERROR(IF(OR(ISBLANK($AI$104)), "", $AI$104/1000)), "", (IF(OR(ISBLANK($AI$104)), "", $AI$104/1000))))</f>
        <v>32.014000000000003</v>
      </c>
      <c r="AJ65">
        <f>IF(OR(ISBLANK(IF(ISERROR(IF(OR(ISBLANK($AJ$104)), "", $AJ$104/1000)), "", (IF(OR(ISBLANK($AJ$104)), "", $AJ$104/1000)))), IF(ISERROR(IF(OR(ISBLANK($AJ$104)), "", $AJ$104/1000)), "", (IF(OR(ISBLANK($AJ$104)), "", $AJ$104/1000))) = ""), 56.147,IF(ISERROR(IF(OR(ISBLANK($AJ$104)), "", $AJ$104/1000)), "", (IF(OR(ISBLANK($AJ$104)), "", $AJ$104/1000))))</f>
        <v>29.890999999999998</v>
      </c>
      <c r="AK65">
        <f>IF(OR(ISBLANK(IF(ISERROR(IF(OR(ISBLANK($AK$104)), "", $AK$104/1000)), "", (IF(OR(ISBLANK($AK$104)), "", $AK$104/1000)))), IF(ISERROR(IF(OR(ISBLANK($AK$104)), "", $AK$104/1000)), "", (IF(OR(ISBLANK($AK$104)), "", $AK$104/1000))) = ""), 44.039,IF(ISERROR(IF(OR(ISBLANK($AK$104)), "", $AK$104/1000)), "", (IF(OR(ISBLANK($AK$104)), "", $AK$104/1000))))</f>
        <v>47.220999999999997</v>
      </c>
      <c r="AL65">
        <f>IF(OR(ISBLANK(IF(ISERROR(IF(OR(ISBLANK($AL$104)), "", $AL$104/1000)), "", (IF(OR(ISBLANK($AL$104)), "", $AL$104/1000)))), IF(ISERROR(IF(OR(ISBLANK($AL$104)), "", $AL$104/1000)), "", (IF(OR(ISBLANK($AL$104)), "", $AL$104/1000))) = ""), 43.861,IF(ISERROR(IF(OR(ISBLANK($AL$104)), "", $AL$104/1000)), "", (IF(OR(ISBLANK($AL$104)), "", $AL$104/1000))))</f>
        <v>56.064</v>
      </c>
      <c r="AM65">
        <f>IF(OR(ISBLANK(IF(ISERROR(IF(OR(ISBLANK($AM$104)), "", $AM$104/1000)), "", (IF(OR(ISBLANK($AM$104)), "", $AM$104/1000)))), IF(ISERROR(IF(OR(ISBLANK($AM$104)), "", $AM$104/1000)), "", (IF(OR(ISBLANK($AM$104)), "", $AM$104/1000))) = ""), 62.442,IF(ISERROR(IF(OR(ISBLANK($AM$104)), "", $AM$104/1000)), "", (IF(OR(ISBLANK($AM$104)), "", $AM$104/1000))))</f>
        <v>44.01</v>
      </c>
      <c r="AN65">
        <f>IF(OR(ISBLANK(IF(ISERROR(IF(OR(ISBLANK($AN$104)), "", $AN$104/1000)), "", (IF(OR(ISBLANK($AN$104)), "", $AN$104/1000)))), IF(ISERROR(IF(OR(ISBLANK($AN$104)), "", $AN$104/1000)), "", (IF(OR(ISBLANK($AN$104)), "", $AN$104/1000))) = ""), 52.127,IF(ISERROR(IF(OR(ISBLANK($AN$104)), "", $AN$104/1000)), "", (IF(OR(ISBLANK($AN$104)), "", $AN$104/1000))))</f>
        <v>36.488999999999997</v>
      </c>
      <c r="AO65">
        <f>IF(OR(ISBLANK(IF(ISERROR(IF(OR(ISBLANK($AO$104)), "", $AO$104/1000)), "", (IF(OR(ISBLANK($AO$104)), "", $AO$104/1000)))), IF(ISERROR(IF(OR(ISBLANK($AO$104)), "", $AO$104/1000)), "", (IF(OR(ISBLANK($AO$104)), "", $AO$104/1000))) = ""), 51.336,IF(ISERROR(IF(OR(ISBLANK($AO$104)), "", $AO$104/1000)), "", (IF(OR(ISBLANK($AO$104)), "", $AO$104/1000))))</f>
        <v>59.753</v>
      </c>
      <c r="AP65">
        <f>IF(OR(ISBLANK(IF(ISERROR(IF(OR(ISBLANK($AP$104)), "", $AP$104/1000)), "", (IF(OR(ISBLANK($AP$104)), "", $AP$104/1000)))), IF(ISERROR(IF(OR(ISBLANK($AP$104)), "", $AP$104/1000)), "", (IF(OR(ISBLANK($AP$104)), "", $AP$104/1000))) = ""), 45.667,IF(ISERROR(IF(OR(ISBLANK($AP$104)), "", $AP$104/1000)), "", (IF(OR(ISBLANK($AP$104)), "", $AP$104/1000))))</f>
        <v>88.212999999999994</v>
      </c>
      <c r="AQ65">
        <f>IF(OR(ISBLANK(IF(ISERROR(IF(OR(ISBLANK($AQ$104)), "", $AQ$104/1000)), "", (IF(OR(ISBLANK($AQ$104)), "", $AQ$104/1000)))), IF(ISERROR(IF(OR(ISBLANK($AQ$104)), "", $AQ$104/1000)), "", (IF(OR(ISBLANK($AQ$104)), "", $AQ$104/1000))) = ""), 52.553,IF(ISERROR(IF(OR(ISBLANK($AQ$104)), "", $AQ$104/1000)), "", (IF(OR(ISBLANK($AQ$104)), "", $AQ$104/1000))))</f>
        <v>59.628</v>
      </c>
      <c r="AR65">
        <f>IF(OR(ISBLANK(IF(ISERROR(IF(OR(ISBLANK($AR$104)), "", $AR$104/1000)), "", (IF(OR(ISBLANK($AR$104)), "", $AR$104/1000)))), IF(ISERROR(IF(OR(ISBLANK($AR$104)), "", $AR$104/1000)), "", (IF(OR(ISBLANK($AR$104)), "", $AR$104/1000))) = ""), 55.336,IF(ISERROR(IF(OR(ISBLANK($AR$104)), "", $AR$104/1000)), "", (IF(OR(ISBLANK($AR$104)), "", $AR$104/1000))))</f>
        <v>53.344999999999999</v>
      </c>
      <c r="AS65">
        <f>IF(OR(ISBLANK(IF(ISERROR(IF(OR(ISBLANK($AS$104)), "", $AS$104/1000)), "", (IF(OR(ISBLANK($AS$104)), "", $AS$104/1000)))), IF(ISERROR(IF(OR(ISBLANK($AS$104)), "", $AS$104/1000)), "", (IF(OR(ISBLANK($AS$104)), "", $AS$104/1000))) = ""), 52.87,IF(ISERROR(IF(OR(ISBLANK($AS$104)), "", $AS$104/1000)), "", (IF(OR(ISBLANK($AS$104)), "", $AS$104/1000))))</f>
        <v>38.341000000000001</v>
      </c>
      <c r="AT65">
        <f>IF(OR(ISBLANK(IF(ISERROR(IF(OR(ISBLANK($AT$104)), "", $AT$104/1000)), "", (IF(OR(ISBLANK($AT$104)), "", $AT$104/1000)))), IF(ISERROR(IF(OR(ISBLANK($AT$104)), "", $AT$104/1000)), "", (IF(OR(ISBLANK($AT$104)), "", $AT$104/1000))) = ""), 50.06,IF(ISERROR(IF(OR(ISBLANK($AT$104)), "", $AT$104/1000)), "", (IF(OR(ISBLANK($AT$104)), "", $AT$104/1000))))</f>
        <v>54.069000000000003</v>
      </c>
      <c r="AU65">
        <f>IF(OR(ISBLANK(IF(ISERROR(IF(OR(ISBLANK($AU$104)), "", $AU$104/1000)), "", (IF(OR(ISBLANK($AU$104)), "", $AU$104/1000)))), IF(ISERROR(IF(OR(ISBLANK($AU$104)), "", $AU$104/1000)), "", (IF(OR(ISBLANK($AU$104)), "", $AU$104/1000))) = ""), 71.425,IF(ISERROR(IF(OR(ISBLANK($AU$104)), "", $AU$104/1000)), "", (IF(OR(ISBLANK($AU$104)), "", $AU$104/1000))))</f>
        <v>56.146999999999998</v>
      </c>
      <c r="AV65">
        <f>IF(OR(ISBLANK(IF(ISERROR(IF(OR(ISBLANK($AV$104)), "", $AV$104/1000)), "", (IF(OR(ISBLANK($AV$104)), "", $AV$104/1000)))), IF(ISERROR(IF(OR(ISBLANK($AV$104)), "", $AV$104/1000)), "", (IF(OR(ISBLANK($AV$104)), "", $AV$104/1000))) = ""), 79.934,IF(ISERROR(IF(OR(ISBLANK($AV$104)), "", $AV$104/1000)), "", (IF(OR(ISBLANK($AV$104)), "", $AV$104/1000))))</f>
        <v>44.039000000000001</v>
      </c>
      <c r="AW65">
        <f>IF(OR(ISBLANK(IF(ISERROR(IF(OR(ISBLANK($AW$104)), "", $AW$104/1000)), "", (IF(OR(ISBLANK($AW$104)), "", $AW$104/1000)))), IF(ISERROR(IF(OR(ISBLANK($AW$104)), "", $AW$104/1000)), "", (IF(OR(ISBLANK($AW$104)), "", $AW$104/1000))) = ""), 70.569,IF(ISERROR(IF(OR(ISBLANK($AW$104)), "", $AW$104/1000)), "", (IF(OR(ISBLANK($AW$104)), "", $AW$104/1000))))</f>
        <v>43.860999999999997</v>
      </c>
      <c r="AX65">
        <f>IF(OR(ISBLANK(IF(ISERROR(IF(OR(ISBLANK($AX$104)), "", $AX$104/1000)), "", (IF(OR(ISBLANK($AX$104)), "", $AX$104/1000)))), IF(ISERROR(IF(OR(ISBLANK($AX$104)), "", $AX$104/1000)), "", (IF(OR(ISBLANK($AX$104)), "", $AX$104/1000))) = ""), 87.224,IF(ISERROR(IF(OR(ISBLANK($AX$104)), "", $AX$104/1000)), "", (IF(OR(ISBLANK($AX$104)), "", $AX$104/1000))))</f>
        <v>62.442</v>
      </c>
      <c r="AY65">
        <f>IF(OR(ISBLANK(IF(ISERROR(IF(OR(ISBLANK($AY$104)), "", $AY$104/1000)), "", (IF(OR(ISBLANK($AY$104)), "", $AY$104/1000)))), IF(ISERROR(IF(OR(ISBLANK($AY$104)), "", $AY$104/1000)), "", (IF(OR(ISBLANK($AY$104)), "", $AY$104/1000))) = ""), 81.202,IF(ISERROR(IF(OR(ISBLANK($AY$104)), "", $AY$104/1000)), "", (IF(OR(ISBLANK($AY$104)), "", $AY$104/1000))))</f>
        <v>52.127000000000002</v>
      </c>
      <c r="AZ65">
        <f>IF(OR(ISBLANK(IF(ISERROR(IF(OR(ISBLANK($AZ$104)), "", $AZ$104/1000)), "", (IF(OR(ISBLANK($AZ$104)), "", $AZ$104/1000)))), IF(ISERROR(IF(OR(ISBLANK($AZ$104)), "", $AZ$104/1000)), "", (IF(OR(ISBLANK($AZ$104)), "", $AZ$104/1000))) = ""), 76.997,IF(ISERROR(IF(OR(ISBLANK($AZ$104)), "", $AZ$104/1000)), "", (IF(OR(ISBLANK($AZ$104)), "", $AZ$104/1000))))</f>
        <v>51.335999999999999</v>
      </c>
      <c r="BA65">
        <f>IF(OR(ISBLANK(IF(ISERROR(IF(OR(ISBLANK($BA$104)), "", $BA$104/1000)), "", (IF(OR(ISBLANK($BA$104)), "", $BA$104/1000)))), IF(ISERROR(IF(OR(ISBLANK($BA$104)), "", $BA$104/1000)), "", (IF(OR(ISBLANK($BA$104)), "", $BA$104/1000))) = ""), 87.348,IF(ISERROR(IF(OR(ISBLANK($BA$104)), "", $BA$104/1000)), "", (IF(OR(ISBLANK($BA$104)), "", $BA$104/1000))))</f>
        <v>45.667000000000002</v>
      </c>
      <c r="BB65">
        <f>IF(OR(ISBLANK(IF(ISERROR(IF(OR(ISBLANK($BB$104)), "", $BB$104/1000)), "", (IF(OR(ISBLANK($BB$104)), "", $BB$104/1000)))), IF(ISERROR(IF(OR(ISBLANK($BB$104)), "", $BB$104/1000)), "", (IF(OR(ISBLANK($BB$104)), "", $BB$104/1000))) = ""), 79.242,IF(ISERROR(IF(OR(ISBLANK($BB$104)), "", $BB$104/1000)), "", (IF(OR(ISBLANK($BB$104)), "", $BB$104/1000))))</f>
        <v>52.552999999999997</v>
      </c>
      <c r="BC65">
        <f>IF(OR(ISBLANK(IF(ISERROR(IF(OR(ISBLANK($BC$104)), "", $BC$104/1000)), "", (IF(OR(ISBLANK($BC$104)), "", $BC$104/1000)))), IF(ISERROR(IF(OR(ISBLANK($BC$104)), "", $BC$104/1000)), "", (IF(OR(ISBLANK($BC$104)), "", $BC$104/1000))) = ""), 76.431,IF(ISERROR(IF(OR(ISBLANK($BC$104)), "", $BC$104/1000)), "", (IF(OR(ISBLANK($BC$104)), "", $BC$104/1000))))</f>
        <v>55.335999999999999</v>
      </c>
      <c r="BD65">
        <f>IF(OR(ISBLANK(IF(ISERROR(IF(OR(ISBLANK($BD$104)), "", $BD$104/1000)), "", (IF(OR(ISBLANK($BD$104)), "", $BD$104/1000)))), IF(ISERROR(IF(OR(ISBLANK($BD$104)), "", $BD$104/1000)), "", (IF(OR(ISBLANK($BD$104)), "", $BD$104/1000))) = ""), 94.619,IF(ISERROR(IF(OR(ISBLANK($BD$104)), "", $BD$104/1000)), "", (IF(OR(ISBLANK($BD$104)), "", $BD$104/1000))))</f>
        <v>52.87</v>
      </c>
      <c r="BE65">
        <f>IF(OR(ISBLANK(IF(ISERROR(IF(OR(ISBLANK($BE$104)), "", $BE$104/1000)), "", (IF(OR(ISBLANK($BE$104)), "", $BE$104/1000)))), IF(ISERROR(IF(OR(ISBLANK($BE$104)), "", $BE$104/1000)), "", (IF(OR(ISBLANK($BE$104)), "", $BE$104/1000))) = ""), 103.862,IF(ISERROR(IF(OR(ISBLANK($BE$104)), "", $BE$104/1000)), "", (IF(OR(ISBLANK($BE$104)), "", $BE$104/1000))))</f>
        <v>50.06</v>
      </c>
      <c r="BF65">
        <f>IF(OR(ISBLANK(IF(ISERROR(IF(OR(ISBLANK($BF$104)), "", $BF$104/1000)), "", (IF(OR(ISBLANK($BF$104)), "", $BF$104/1000)))), IF(ISERROR(IF(OR(ISBLANK($BF$104)), "", $BF$104/1000)), "", (IF(OR(ISBLANK($BF$104)), "", $BF$104/1000))) = ""), 92.18,IF(ISERROR(IF(OR(ISBLANK($BF$104)), "", $BF$104/1000)), "", (IF(OR(ISBLANK($BF$104)), "", $BF$104/1000))))</f>
        <v>71.424999999999997</v>
      </c>
      <c r="BG65">
        <f>IF(OR(ISBLANK(IF(ISERROR(IF(OR(ISBLANK($BG$104)), "", $BG$104/1000)), "", (IF(OR(ISBLANK($BG$104)), "", $BG$104/1000)))), IF(ISERROR(IF(OR(ISBLANK($BG$104)), "", $BG$104/1000)), "", (IF(OR(ISBLANK($BG$104)), "", $BG$104/1000))) = ""), 82.964,IF(ISERROR(IF(OR(ISBLANK($BG$104)), "", $BG$104/1000)), "", (IF(OR(ISBLANK($BG$104)), "", $BG$104/1000))))</f>
        <v>79.933999999999997</v>
      </c>
      <c r="BH65">
        <f>IF(OR(ISBLANK(IF(ISERROR(IF(OR(ISBLANK($BH$104)), "", $BH$104/1000)), "", (IF(OR(ISBLANK($BH$104)), "", $BH$104/1000)))), IF(ISERROR(IF(OR(ISBLANK($BH$104)), "", $BH$104/1000)), "", (IF(OR(ISBLANK($BH$104)), "", $BH$104/1000))) = ""), 89.957,IF(ISERROR(IF(OR(ISBLANK($BH$104)), "", $BH$104/1000)), "", (IF(OR(ISBLANK($BH$104)), "", $BH$104/1000))))</f>
        <v>70.569000000000003</v>
      </c>
      <c r="BI65">
        <f>IF(OR(ISBLANK(IF(ISERROR(IF(OR(ISBLANK($BI$104)), "", $BI$104/1000)), "", (IF(OR(ISBLANK($BI$104)), "", $BI$104/1000)))), IF(ISERROR(IF(OR(ISBLANK($BI$104)), "", $BI$104/1000)), "", (IF(OR(ISBLANK($BI$104)), "", $BI$104/1000))) = ""), 100.881,IF(ISERROR(IF(OR(ISBLANK($BI$104)), "", $BI$104/1000)), "", (IF(OR(ISBLANK($BI$104)), "", $BI$104/1000))))</f>
        <v>87.224000000000004</v>
      </c>
      <c r="BJ65">
        <f>IF(OR(ISBLANK(IF(ISERROR(IF(OR(ISBLANK($BJ$104)), "", $BJ$104/1000)), "", (IF(OR(ISBLANK($BJ$104)), "", $BJ$104/1000)))), IF(ISERROR(IF(OR(ISBLANK($BJ$104)), "", $BJ$104/1000)), "", (IF(OR(ISBLANK($BJ$104)), "", $BJ$104/1000))) = ""), 85.64,IF(ISERROR(IF(OR(ISBLANK($BJ$104)), "", $BJ$104/1000)), "", (IF(OR(ISBLANK($BJ$104)), "", $BJ$104/1000))))</f>
        <v>81.201999999999998</v>
      </c>
      <c r="BK65">
        <f>IF(OR(ISBLANK(IF(ISERROR(IF(OR(ISBLANK($BK$104)), "", $BK$104/1000)), "", (IF(OR(ISBLANK($BK$104)), "", $BK$104/1000)))), IF(ISERROR(IF(OR(ISBLANK($BK$104)), "", $BK$104/1000)), "", (IF(OR(ISBLANK($BK$104)), "", $BK$104/1000))) = ""), 81.037,IF(ISERROR(IF(OR(ISBLANK($BK$104)), "", $BK$104/1000)), "", (IF(OR(ISBLANK($BK$104)), "", $BK$104/1000))))</f>
        <v>76.997</v>
      </c>
      <c r="BL65">
        <f>IF(OR(ISBLANK(IF(ISERROR(IF(OR(ISBLANK($BL$104)), "", $BL$104/1000)), "", (IF(OR(ISBLANK($BL$104)), "", $BL$104/1000)))), IF(ISERROR(IF(OR(ISBLANK($BL$104)), "", $BL$104/1000)), "", (IF(OR(ISBLANK($BL$104)), "", $BL$104/1000))) = ""), 83.039,IF(ISERROR(IF(OR(ISBLANK($BL$104)), "", $BL$104/1000)), "", (IF(OR(ISBLANK($BL$104)), "", $BL$104/1000))))</f>
        <v>87.347999999999999</v>
      </c>
      <c r="BM65">
        <f>IF(OR(ISBLANK(IF(ISERROR(IF(OR(ISBLANK($BM$104)), "", $BM$104/1000)), "", (IF(OR(ISBLANK($BM$104)), "", $BM$104/1000)))), IF(ISERROR(IF(OR(ISBLANK($BM$104)), "", $BM$104/1000)), "", (IF(OR(ISBLANK($BM$104)), "", $BM$104/1000))) = ""), 95.339,IF(ISERROR(IF(OR(ISBLANK($BM$104)), "", $BM$104/1000)), "", (IF(OR(ISBLANK($BM$104)), "", $BM$104/1000))))</f>
        <v>79.242000000000004</v>
      </c>
      <c r="BN65">
        <f>IF(OR(ISBLANK(IF(ISERROR(IF(OR(ISBLANK($BN$104)), "", $BN$104/1000)), "", (IF(OR(ISBLANK($BN$104)), "", $BN$104/1000)))), IF(ISERROR(IF(OR(ISBLANK($BN$104)), "", $BN$104/1000)), "", (IF(OR(ISBLANK($BN$104)), "", $BN$104/1000))) = ""), 124.102,IF(ISERROR(IF(OR(ISBLANK($BN$104)), "", $BN$104/1000)), "", (IF(OR(ISBLANK($BN$104)), "", $BN$104/1000))))</f>
        <v>76.430999999999997</v>
      </c>
      <c r="BO65">
        <f>IF(OR(ISBLANK(IF(ISERROR(IF(OR(ISBLANK($BO$104)), "", $BO$104/1000)), "", (IF(OR(ISBLANK($BO$104)), "", $BO$104/1000)))), IF(ISERROR(IF(OR(ISBLANK($BO$104)), "", $BO$104/1000)), "", (IF(OR(ISBLANK($BO$104)), "", $BO$104/1000))) = ""), 109.662,IF(ISERROR(IF(OR(ISBLANK($BO$104)), "", $BO$104/1000)), "", (IF(OR(ISBLANK($BO$104)), "", $BO$104/1000))))</f>
        <v>94.619</v>
      </c>
      <c r="BP65">
        <f>IF(OR(ISBLANK(IF(ISERROR(IF(OR(ISBLANK($BP$104)), "", $BP$104/1000)), "", (IF(OR(ISBLANK($BP$104)), "", $BP$104/1000)))), IF(ISERROR(IF(OR(ISBLANK($BP$104)), "", $BP$104/1000)), "", (IF(OR(ISBLANK($BP$104)), "", $BP$104/1000))) = ""), 105.59,IF(ISERROR(IF(OR(ISBLANK($BP$104)), "", $BP$104/1000)), "", (IF(OR(ISBLANK($BP$104)), "", $BP$104/1000))))</f>
        <v>103.86199999999999</v>
      </c>
      <c r="BQ65">
        <f>IF(OR(ISBLANK(IF(ISERROR(IF(OR(ISBLANK($BQ$104)), "", $BQ$104/1000)), "", (IF(OR(ISBLANK($BQ$104)), "", $BQ$104/1000)))), IF(ISERROR(IF(OR(ISBLANK($BQ$104)), "", $BQ$104/1000)), "", (IF(OR(ISBLANK($BQ$104)), "", $BQ$104/1000))) = ""), 119.906,IF(ISERROR(IF(OR(ISBLANK($BQ$104)), "", $BQ$104/1000)), "", (IF(OR(ISBLANK($BQ$104)), "", $BQ$104/1000))))</f>
        <v>92.18</v>
      </c>
      <c r="BR65">
        <f>IF(OR(ISBLANK(IF(ISERROR(IF(OR(ISBLANK($BR$104)), "", $BR$104/1000)), "", (IF(OR(ISBLANK($BR$104)), "", $BR$104/1000)))), IF(ISERROR(IF(OR(ISBLANK($BR$104)), "", $BR$104/1000)), "", (IF(OR(ISBLANK($BR$104)), "", $BR$104/1000))) = ""), 134.902,IF(ISERROR(IF(OR(ISBLANK($BR$104)), "", $BR$104/1000)), "", (IF(OR(ISBLANK($BR$104)), "", $BR$104/1000))))</f>
        <v>82.963999999999999</v>
      </c>
      <c r="BS65">
        <f>IF(OR(ISBLANK(IF(ISERROR(IF(OR(ISBLANK($BS$104)), "", $BS$104/1000)), "", (IF(OR(ISBLANK($BS$104)), "", $BS$104/1000)))), IF(ISERROR(IF(OR(ISBLANK($BS$104)), "", $BS$104/1000)), "", (IF(OR(ISBLANK($BS$104)), "", $BS$104/1000))) = ""), 144.648,IF(ISERROR(IF(OR(ISBLANK($BS$104)), "", $BS$104/1000)), "", (IF(OR(ISBLANK($BS$104)), "", $BS$104/1000))))</f>
        <v>89.956999999999994</v>
      </c>
      <c r="BT65">
        <f>IF(OR(ISBLANK(IF(ISERROR(IF(OR(ISBLANK($BT$104)), "", $BT$104/1000)), "", (IF(OR(ISBLANK($BT$104)), "", $BT$104/1000)))), IF(ISERROR(IF(OR(ISBLANK($BT$104)), "", $BT$104/1000)), "", (IF(OR(ISBLANK($BT$104)), "", $BT$104/1000))) = ""), 126.755,IF(ISERROR(IF(OR(ISBLANK($BT$104)), "", $BT$104/1000)), "", (IF(OR(ISBLANK($BT$104)), "", $BT$104/1000))))</f>
        <v>100.881</v>
      </c>
      <c r="BU65">
        <f>IF(OR(ISBLANK(IF(ISERROR(IF(OR(ISBLANK($BU$104)), "", $BU$104/1000)), "", (IF(OR(ISBLANK($BU$104)), "", $BU$104/1000)))), IF(ISERROR(IF(OR(ISBLANK($BU$104)), "", $BU$104/1000)), "", (IF(OR(ISBLANK($BU$104)), "", $BU$104/1000))) = ""), 132.634,IF(ISERROR(IF(OR(ISBLANK($BU$104)), "", $BU$104/1000)), "", (IF(OR(ISBLANK($BU$104)), "", $BU$104/1000))))</f>
        <v>85.64</v>
      </c>
      <c r="BV65">
        <f>IF(OR(ISBLANK(IF(ISERROR(IF(OR(ISBLANK($BV$104)), "", $BV$104/1000)), "", (IF(OR(ISBLANK($BV$104)), "", $BV$104/1000)))), IF(ISERROR(IF(OR(ISBLANK($BV$104)), "", $BV$104/1000)), "", (IF(OR(ISBLANK($BV$104)), "", $BV$104/1000))) = ""), 134.083,IF(ISERROR(IF(OR(ISBLANK($BV$104)), "", $BV$104/1000)), "", (IF(OR(ISBLANK($BV$104)), "", $BV$104/1000))))</f>
        <v>81.037000000000006</v>
      </c>
      <c r="BW65">
        <f>IF(OR(ISBLANK(IF(ISERROR(IF(OR(ISBLANK($BW$104)), "", $BW$104/1000)), "", (IF(OR(ISBLANK($BW$104)), "", $BW$104/1000)))), IF(ISERROR(IF(OR(ISBLANK($BW$104)), "", $BW$104/1000)), "", (IF(OR(ISBLANK($BW$104)), "", $BW$104/1000))) = ""), 144.71,IF(ISERROR(IF(OR(ISBLANK($BW$104)), "", $BW$104/1000)), "", (IF(OR(ISBLANK($BW$104)), "", $BW$104/1000))))</f>
        <v>83.039000000000001</v>
      </c>
      <c r="BX65">
        <f>IF(OR(ISBLANK(IF(ISERROR(IF(OR(ISBLANK($BX$104)), "", $BX$104/1000)), "", (IF(OR(ISBLANK($BX$104)), "", $BX$104/1000)))), IF(ISERROR(IF(OR(ISBLANK($BX$104)), "", $BX$104/1000)), "", (IF(OR(ISBLANK($BX$104)), "", $BX$104/1000))) = ""), 166.437,IF(ISERROR(IF(OR(ISBLANK($BX$104)), "", $BX$104/1000)), "", (IF(OR(ISBLANK($BX$104)), "", $BX$104/1000))))</f>
        <v>95.338999999999999</v>
      </c>
      <c r="BY65">
        <f>IF(OR(ISBLANK(IF(ISERROR(IF(OR(ISBLANK($BY$104)), "", $BY$104/1000)), "", (IF(OR(ISBLANK($BY$104)), "", $BY$104/1000)))), IF(ISERROR(IF(OR(ISBLANK($BY$104)), "", $BY$104/1000)), "", (IF(OR(ISBLANK($BY$104)), "", $BY$104/1000))) = ""), 131.885,IF(ISERROR(IF(OR(ISBLANK($BY$104)), "", $BY$104/1000)), "", (IF(OR(ISBLANK($BY$104)), "", $BY$104/1000))))</f>
        <v>124.102</v>
      </c>
      <c r="BZ65">
        <f>IF(OR(ISBLANK(IF(ISERROR(IF(OR(ISBLANK($BZ$104)), "", $BZ$104/1000)), "", (IF(OR(ISBLANK($BZ$104)), "", $BZ$104/1000)))), IF(ISERROR(IF(OR(ISBLANK($BZ$104)), "", $BZ$104/1000)), "", (IF(OR(ISBLANK($BZ$104)), "", $BZ$104/1000))) = ""), 157.198,IF(ISERROR(IF(OR(ISBLANK($BZ$104)), "", $BZ$104/1000)), "", (IF(OR(ISBLANK($BZ$104)), "", $BZ$104/1000))))</f>
        <v>109.66200000000001</v>
      </c>
      <c r="CA65">
        <f>IF(OR(ISBLANK(IF(ISERROR(IF(OR(ISBLANK($CA$104)), "", $CA$104/1000)), "", (IF(OR(ISBLANK($CA$104)), "", $CA$104/1000)))), IF(ISERROR(IF(OR(ISBLANK($CA$104)), "", $CA$104/1000)), "", (IF(OR(ISBLANK($CA$104)), "", $CA$104/1000))) = ""), 180.957,IF(ISERROR(IF(OR(ISBLANK($CA$104)), "", $CA$104/1000)), "", (IF(OR(ISBLANK($CA$104)), "", $CA$104/1000))))</f>
        <v>105.59</v>
      </c>
      <c r="CB65">
        <f>IF(OR(ISBLANK(IF(ISERROR(IF(OR(ISBLANK($CB$104)), "", $CB$104/1000)), "", (IF(OR(ISBLANK($CB$104)), "", $CB$104/1000)))), IF(ISERROR(IF(OR(ISBLANK($CB$104)), "", $CB$104/1000)), "", (IF(OR(ISBLANK($CB$104)), "", $CB$104/1000))) = ""), 207.198,IF(ISERROR(IF(OR(ISBLANK($CB$104)), "", $CB$104/1000)), "", (IF(OR(ISBLANK($CB$104)), "", $CB$104/1000))))</f>
        <v>119.90600000000001</v>
      </c>
      <c r="CC65">
        <f>IF(OR(ISBLANK(IF(ISERROR(IF(OR(ISBLANK($CC$104)), "", $CC$104/1000)), "", (IF(OR(ISBLANK($CC$104)), "", $CC$104/1000)))), IF(ISERROR(IF(OR(ISBLANK($CC$104)), "", $CC$104/1000)), "", (IF(OR(ISBLANK($CC$104)), "", $CC$104/1000))) = ""), 196.399,IF(ISERROR(IF(OR(ISBLANK($CC$104)), "", $CC$104/1000)), "", (IF(OR(ISBLANK($CC$104)), "", $CC$104/1000))))</f>
        <v>134.90199999999999</v>
      </c>
      <c r="CD65">
        <f>IF(OR(ISBLANK(IF(ISERROR(IF(OR(ISBLANK($CD$104)), "", $CD$104/1000)), "", (IF(OR(ISBLANK($CD$104)), "", $CD$104/1000)))), IF(ISERROR(IF(OR(ISBLANK($CD$104)), "", $CD$104/1000)), "", (IF(OR(ISBLANK($CD$104)), "", $CD$104/1000))) = ""), 222.608,IF(ISERROR(IF(OR(ISBLANK($CD$104)), "", $CD$104/1000)), "", (IF(OR(ISBLANK($CD$104)), "", $CD$104/1000))))</f>
        <v>144.648</v>
      </c>
      <c r="CE65">
        <f>IF(OR(ISBLANK(IF(ISERROR(IF(OR(ISBLANK($CE$104)), "", $CE$104/1000)), "", (IF(OR(ISBLANK($CE$104)), "", $CE$104/1000)))), IF(ISERROR(IF(OR(ISBLANK($CE$104)), "", $CE$104/1000)), "", (IF(OR(ISBLANK($CE$104)), "", $CE$104/1000))) = ""), 252.615,IF(ISERROR(IF(OR(ISBLANK($CE$104)), "", $CE$104/1000)), "", (IF(OR(ISBLANK($CE$104)), "", $CE$104/1000))))</f>
        <v>126.755</v>
      </c>
      <c r="CF65">
        <f>IF(OR(ISBLANK(IF(ISERROR(IF(OR(ISBLANK($CF$104)), "", $CF$104/1000)), "", (IF(OR(ISBLANK($CF$104)), "", $CF$104/1000)))), IF(ISERROR(IF(OR(ISBLANK($CF$104)), "", $CF$104/1000)), "", (IF(OR(ISBLANK($CF$104)), "", $CF$104/1000))) = ""), 261.689,IF(ISERROR(IF(OR(ISBLANK($CF$104)), "", $CF$104/1000)), "", (IF(OR(ISBLANK($CF$104)), "", $CF$104/1000))))</f>
        <v>132.63399999999999</v>
      </c>
      <c r="CG65">
        <f>IF(OR(ISBLANK(IF(ISERROR(IF(OR(ISBLANK($CG$104)), "", $CG$104/1000)), "", (IF(OR(ISBLANK($CG$104)), "", $CG$104/1000)))), IF(ISERROR(IF(OR(ISBLANK($CG$104)), "", $CG$104/1000)), "", (IF(OR(ISBLANK($CG$104)), "", $CG$104/1000))) = ""), 229.384,IF(ISERROR(IF(OR(ISBLANK($CG$104)), "", $CG$104/1000)), "", (IF(OR(ISBLANK($CG$104)), "", $CG$104/1000))))</f>
        <v>134.083</v>
      </c>
    </row>
    <row r="66" spans="1:85" x14ac:dyDescent="0.25">
      <c r="A66" t="str">
        <f>"    Average Reserve Requirements (a)"</f>
        <v xml:space="preserve">    Average Reserve Requirements (a)</v>
      </c>
      <c r="B66" t="str">
        <f>"ECBLRERE Index"</f>
        <v>ECBLRERE Index</v>
      </c>
      <c r="C66" t="str">
        <f>""</f>
        <v/>
      </c>
      <c r="D66" t="str">
        <f>""</f>
        <v/>
      </c>
      <c r="E66" t="str">
        <f t="shared" si="3"/>
        <v>Expression</v>
      </c>
      <c r="F66" t="str">
        <f ca="1">IF(OR(ISBLANK(IF(ISERROR(IF(OR(ISBLANK($F$105)), "", $F$105/1000)), "", (IF(OR(ISBLANK($F$105)), "", $F$105/1000)))), IF(ISERROR(IF(OR(ISBLANK($F$105)), "", $F$105/1000)), "", (IF(OR(ISBLANK($F$105)), "", $F$105/1000))) = ""), "",IF(ISERROR(IF(OR(ISBLANK($F$105)), "", $F$105/1000)), "", (IF(OR(ISBLANK($F$105)), "", $F$105/1000))))</f>
        <v/>
      </c>
      <c r="G66">
        <f>IF(OR(ISBLANK(IF(ISERROR(IF(OR(ISBLANK($G$105)), "", $G$105/1000)), "", (IF(OR(ISBLANK($G$105)), "", $G$105/1000)))), IF(ISERROR(IF(OR(ISBLANK($G$105)), "", $G$105/1000)), "", (IF(OR(ISBLANK($G$105)), "", $G$105/1000))) = ""), 104.428,IF(ISERROR(IF(OR(ISBLANK($G$105)), "", $G$105/1000)), "", (IF(OR(ISBLANK($G$105)), "", $G$105/1000))))</f>
        <v>105.22499999999999</v>
      </c>
      <c r="H66">
        <f>IF(OR(ISBLANK(IF(ISERROR(IF(OR(ISBLANK($H$105)), "", $H$105/1000)), "", (IF(OR(ISBLANK($H$105)), "", $H$105/1000)))), IF(ISERROR(IF(OR(ISBLANK($H$105)), "", $H$105/1000)), "", (IF(OR(ISBLANK($H$105)), "", $H$105/1000))) = ""), 104.428,IF(ISERROR(IF(OR(ISBLANK($H$105)), "", $H$105/1000)), "", (IF(OR(ISBLANK($H$105)), "", $H$105/1000))))</f>
        <v>105.22499999999999</v>
      </c>
      <c r="I66">
        <f>IF(OR(ISBLANK(IF(ISERROR(IF(OR(ISBLANK($I$105)), "", $I$105/1000)), "", (IF(OR(ISBLANK($I$105)), "", $I$105/1000)))), IF(ISERROR(IF(OR(ISBLANK($I$105)), "", $I$105/1000)), "", (IF(OR(ISBLANK($I$105)), "", $I$105/1000))) = ""), 103.925,IF(ISERROR(IF(OR(ISBLANK($I$105)), "", $I$105/1000)), "", (IF(OR(ISBLANK($I$105)), "", $I$105/1000))))</f>
        <v>105.22499999999999</v>
      </c>
      <c r="J66">
        <f>IF(OR(ISBLANK(IF(ISERROR(IF(OR(ISBLANK($J$105)), "", $J$105/1000)), "", (IF(OR(ISBLANK($J$105)), "", $J$105/1000)))), IF(ISERROR(IF(OR(ISBLANK($J$105)), "", $J$105/1000)), "", (IF(OR(ISBLANK($J$105)), "", $J$105/1000))) = ""), 103.925,IF(ISERROR(IF(OR(ISBLANK($J$105)), "", $J$105/1000)), "", (IF(OR(ISBLANK($J$105)), "", $J$105/1000))))</f>
        <v>105.22499999999999</v>
      </c>
      <c r="K66">
        <f>IF(OR(ISBLANK(IF(ISERROR(IF(OR(ISBLANK($K$105)), "", $K$105/1000)), "", (IF(OR(ISBLANK($K$105)), "", $K$105/1000)))), IF(ISERROR(IF(OR(ISBLANK($K$105)), "", $K$105/1000)), "", (IF(OR(ISBLANK($K$105)), "", $K$105/1000))) = ""), 103.925,IF(ISERROR(IF(OR(ISBLANK($K$105)), "", $K$105/1000)), "", (IF(OR(ISBLANK($K$105)), "", $K$105/1000))))</f>
        <v>105</v>
      </c>
      <c r="L66">
        <f>IF(OR(ISBLANK(IF(ISERROR(IF(OR(ISBLANK($L$105)), "", $L$105/1000)), "", (IF(OR(ISBLANK($L$105)), "", $L$105/1000)))), IF(ISERROR(IF(OR(ISBLANK($L$105)), "", $L$105/1000)), "", (IF(OR(ISBLANK($L$105)), "", $L$105/1000))) = ""), 103.925,IF(ISERROR(IF(OR(ISBLANK($L$105)), "", $L$105/1000)), "", (IF(OR(ISBLANK($L$105)), "", $L$105/1000))))</f>
        <v>105</v>
      </c>
      <c r="M66">
        <f>IF(OR(ISBLANK(IF(ISERROR(IF(OR(ISBLANK($M$105)), "", $M$105/1000)), "", (IF(OR(ISBLANK($M$105)), "", $M$105/1000)))), IF(ISERROR(IF(OR(ISBLANK($M$105)), "", $M$105/1000)), "", (IF(OR(ISBLANK($M$105)), "", $M$105/1000))) = ""), 103.505,IF(ISERROR(IF(OR(ISBLANK($M$105)), "", $M$105/1000)), "", (IF(OR(ISBLANK($M$105)), "", $M$105/1000))))</f>
        <v>105</v>
      </c>
      <c r="N66">
        <f>IF(OR(ISBLANK(IF(ISERROR(IF(OR(ISBLANK($N$105)), "", $N$105/1000)), "", (IF(OR(ISBLANK($N$105)), "", $N$105/1000)))), IF(ISERROR(IF(OR(ISBLANK($N$105)), "", $N$105/1000)), "", (IF(OR(ISBLANK($N$105)), "", $N$105/1000))) = ""), 103.505,IF(ISERROR(IF(OR(ISBLANK($N$105)), "", $N$105/1000)), "", (IF(OR(ISBLANK($N$105)), "", $N$105/1000))))</f>
        <v>105</v>
      </c>
      <c r="O66">
        <f>IF(OR(ISBLANK(IF(ISERROR(IF(OR(ISBLANK($O$105)), "", $O$105/1000)), "", (IF(OR(ISBLANK($O$105)), "", $O$105/1000)))), IF(ISERROR(IF(OR(ISBLANK($O$105)), "", $O$105/1000)), "", (IF(OR(ISBLANK($O$105)), "", $O$105/1000))) = ""), 103.505,IF(ISERROR(IF(OR(ISBLANK($O$105)), "", $O$105/1000)), "", (IF(OR(ISBLANK($O$105)), "", $O$105/1000))))</f>
        <v>105</v>
      </c>
      <c r="P66">
        <f>IF(OR(ISBLANK(IF(ISERROR(IF(OR(ISBLANK($P$105)), "", $P$105/1000)), "", (IF(OR(ISBLANK($P$105)), "", $P$105/1000)))), IF(ISERROR(IF(OR(ISBLANK($P$105)), "", $P$105/1000)), "", (IF(OR(ISBLANK($P$105)), "", $P$105/1000))) = ""), 103.506,IF(ISERROR(IF(OR(ISBLANK($P$105)), "", $P$105/1000)), "", (IF(OR(ISBLANK($P$105)), "", $P$105/1000))))</f>
        <v>104.426</v>
      </c>
      <c r="Q66">
        <f>IF(OR(ISBLANK(IF(ISERROR(IF(OR(ISBLANK($Q$105)), "", $Q$105/1000)), "", (IF(OR(ISBLANK($Q$105)), "", $Q$105/1000)))), IF(ISERROR(IF(OR(ISBLANK($Q$105)), "", $Q$105/1000)), "", (IF(OR(ISBLANK($Q$105)), "", $Q$105/1000))) = ""), 103.507,IF(ISERROR(IF(OR(ISBLANK($Q$105)), "", $Q$105/1000)), "", (IF(OR(ISBLANK($Q$105)), "", $Q$105/1000))))</f>
        <v>104.428</v>
      </c>
      <c r="R66">
        <f>IF(OR(ISBLANK(IF(ISERROR(IF(OR(ISBLANK($R$105)), "", $R$105/1000)), "", (IF(OR(ISBLANK($R$105)), "", $R$105/1000)))), IF(ISERROR(IF(OR(ISBLANK($R$105)), "", $R$105/1000)), "", (IF(OR(ISBLANK($R$105)), "", $R$105/1000))) = ""), 103.57,IF(ISERROR(IF(OR(ISBLANK($R$105)), "", $R$105/1000)), "", (IF(OR(ISBLANK($R$105)), "", $R$105/1000))))</f>
        <v>104.428</v>
      </c>
      <c r="S66">
        <f>IF(OR(ISBLANK(IF(ISERROR(IF(OR(ISBLANK($S$105)), "", $S$105/1000)), "", (IF(OR(ISBLANK($S$105)), "", $S$105/1000)))), IF(ISERROR(IF(OR(ISBLANK($S$105)), "", $S$105/1000)), "", (IF(OR(ISBLANK($S$105)), "", $S$105/1000))) = ""), 103.57,IF(ISERROR(IF(OR(ISBLANK($S$105)), "", $S$105/1000)), "", (IF(OR(ISBLANK($S$105)), "", $S$105/1000))))</f>
        <v>104.428</v>
      </c>
      <c r="T66">
        <f>IF(OR(ISBLANK(IF(ISERROR(IF(OR(ISBLANK($T$105)), "", $T$105/1000)), "", (IF(OR(ISBLANK($T$105)), "", $T$105/1000)))), IF(ISERROR(IF(OR(ISBLANK($T$105)), "", $T$105/1000)), "", (IF(OR(ISBLANK($T$105)), "", $T$105/1000))) = ""), 103.578,IF(ISERROR(IF(OR(ISBLANK($T$105)), "", $T$105/1000)), "", (IF(OR(ISBLANK($T$105)), "", $T$105/1000))))</f>
        <v>103.925</v>
      </c>
      <c r="U66">
        <f>IF(OR(ISBLANK(IF(ISERROR(IF(OR(ISBLANK($U$105)), "", $U$105/1000)), "", (IF(OR(ISBLANK($U$105)), "", $U$105/1000)))), IF(ISERROR(IF(OR(ISBLANK($U$105)), "", $U$105/1000)), "", (IF(OR(ISBLANK($U$105)), "", $U$105/1000))) = ""), 103.578,IF(ISERROR(IF(OR(ISBLANK($U$105)), "", $U$105/1000)), "", (IF(OR(ISBLANK($U$105)), "", $U$105/1000))))</f>
        <v>103.925</v>
      </c>
      <c r="V66">
        <f>IF(OR(ISBLANK(IF(ISERROR(IF(OR(ISBLANK($V$105)), "", $V$105/1000)), "", (IF(OR(ISBLANK($V$105)), "", $V$105/1000)))), IF(ISERROR(IF(OR(ISBLANK($V$105)), "", $V$105/1000)), "", (IF(OR(ISBLANK($V$105)), "", $V$105/1000))) = ""), 102.833,IF(ISERROR(IF(OR(ISBLANK($V$105)), "", $V$105/1000)), "", (IF(OR(ISBLANK($V$105)), "", $V$105/1000))))</f>
        <v>103.925</v>
      </c>
      <c r="W66">
        <f>IF(OR(ISBLANK(IF(ISERROR(IF(OR(ISBLANK($W$105)), "", $W$105/1000)), "", (IF(OR(ISBLANK($W$105)), "", $W$105/1000)))), IF(ISERROR(IF(OR(ISBLANK($W$105)), "", $W$105/1000)), "", (IF(OR(ISBLANK($W$105)), "", $W$105/1000))) = ""), 102.833,IF(ISERROR(IF(OR(ISBLANK($W$105)), "", $W$105/1000)), "", (IF(OR(ISBLANK($W$105)), "", $W$105/1000))))</f>
        <v>103.925</v>
      </c>
      <c r="X66">
        <f>IF(OR(ISBLANK(IF(ISERROR(IF(OR(ISBLANK($X$105)), "", $X$105/1000)), "", (IF(OR(ISBLANK($X$105)), "", $X$105/1000)))), IF(ISERROR(IF(OR(ISBLANK($X$105)), "", $X$105/1000)), "", (IF(OR(ISBLANK($X$105)), "", $X$105/1000))) = ""), 102.833,IF(ISERROR(IF(OR(ISBLANK($X$105)), "", $X$105/1000)), "", (IF(OR(ISBLANK($X$105)), "", $X$105/1000))))</f>
        <v>103.505</v>
      </c>
      <c r="Y66">
        <f>IF(OR(ISBLANK(IF(ISERROR(IF(OR(ISBLANK($Y$105)), "", $Y$105/1000)), "", (IF(OR(ISBLANK($Y$105)), "", $Y$105/1000)))), IF(ISERROR(IF(OR(ISBLANK($Y$105)), "", $Y$105/1000)), "", (IF(OR(ISBLANK($Y$105)), "", $Y$105/1000))) = ""), 102.833,IF(ISERROR(IF(OR(ISBLANK($Y$105)), "", $Y$105/1000)), "", (IF(OR(ISBLANK($Y$105)), "", $Y$105/1000))))</f>
        <v>103.505</v>
      </c>
      <c r="Z66">
        <f>IF(OR(ISBLANK(IF(ISERROR(IF(OR(ISBLANK($Z$105)), "", $Z$105/1000)), "", (IF(OR(ISBLANK($Z$105)), "", $Z$105/1000)))), IF(ISERROR(IF(OR(ISBLANK($Z$105)), "", $Z$105/1000)), "", (IF(OR(ISBLANK($Z$105)), "", $Z$105/1000))) = ""), 103.61,IF(ISERROR(IF(OR(ISBLANK($Z$105)), "", $Z$105/1000)), "", (IF(OR(ISBLANK($Z$105)), "", $Z$105/1000))))</f>
        <v>103.505</v>
      </c>
      <c r="AA66">
        <f>IF(OR(ISBLANK(IF(ISERROR(IF(OR(ISBLANK($AA$105)), "", $AA$105/1000)), "", (IF(OR(ISBLANK($AA$105)), "", $AA$105/1000)))), IF(ISERROR(IF(OR(ISBLANK($AA$105)), "", $AA$105/1000)), "", (IF(OR(ISBLANK($AA$105)), "", $AA$105/1000))) = ""), 103.61,IF(ISERROR(IF(OR(ISBLANK($AA$105)), "", $AA$105/1000)), "", (IF(OR(ISBLANK($AA$105)), "", $AA$105/1000))))</f>
        <v>103.506</v>
      </c>
      <c r="AB66">
        <f>IF(OR(ISBLANK(IF(ISERROR(IF(OR(ISBLANK($AB$105)), "", $AB$105/1000)), "", (IF(OR(ISBLANK($AB$105)), "", $AB$105/1000)))), IF(ISERROR(IF(OR(ISBLANK($AB$105)), "", $AB$105/1000)), "", (IF(OR(ISBLANK($AB$105)), "", $AB$105/1000))) = ""), 103.61,IF(ISERROR(IF(OR(ISBLANK($AB$105)), "", $AB$105/1000)), "", (IF(OR(ISBLANK($AB$105)), "", $AB$105/1000))))</f>
        <v>103.50700000000001</v>
      </c>
      <c r="AC66">
        <f>IF(OR(ISBLANK(IF(ISERROR(IF(OR(ISBLANK($AC$105)), "", $AC$105/1000)), "", (IF(OR(ISBLANK($AC$105)), "", $AC$105/1000)))), IF(ISERROR(IF(OR(ISBLANK($AC$105)), "", $AC$105/1000)), "", (IF(OR(ISBLANK($AC$105)), "", $AC$105/1000))) = ""), 103.61,IF(ISERROR(IF(OR(ISBLANK($AC$105)), "", $AC$105/1000)), "", (IF(OR(ISBLANK($AC$105)), "", $AC$105/1000))))</f>
        <v>103.57</v>
      </c>
      <c r="AD66">
        <f>IF(OR(ISBLANK(IF(ISERROR(IF(OR(ISBLANK($AD$105)), "", $AD$105/1000)), "", (IF(OR(ISBLANK($AD$105)), "", $AD$105/1000)))), IF(ISERROR(IF(OR(ISBLANK($AD$105)), "", $AD$105/1000)), "", (IF(OR(ISBLANK($AD$105)), "", $AD$105/1000))) = ""), 103.272,IF(ISERROR(IF(OR(ISBLANK($AD$105)), "", $AD$105/1000)), "", (IF(OR(ISBLANK($AD$105)), "", $AD$105/1000))))</f>
        <v>103.57</v>
      </c>
      <c r="AE66">
        <f>IF(OR(ISBLANK(IF(ISERROR(IF(OR(ISBLANK($AE$105)), "", $AE$105/1000)), "", (IF(OR(ISBLANK($AE$105)), "", $AE$105/1000)))), IF(ISERROR(IF(OR(ISBLANK($AE$105)), "", $AE$105/1000)), "", (IF(OR(ISBLANK($AE$105)), "", $AE$105/1000))) = ""), 103.272,IF(ISERROR(IF(OR(ISBLANK($AE$105)), "", $AE$105/1000)), "", (IF(OR(ISBLANK($AE$105)), "", $AE$105/1000))))</f>
        <v>103.578</v>
      </c>
      <c r="AF66">
        <f>IF(OR(ISBLANK(IF(ISERROR(IF(OR(ISBLANK($AF$105)), "", $AF$105/1000)), "", (IF(OR(ISBLANK($AF$105)), "", $AF$105/1000)))), IF(ISERROR(IF(OR(ISBLANK($AF$105)), "", $AF$105/1000)), "", (IF(OR(ISBLANK($AF$105)), "", $AF$105/1000))) = ""), 103.272,IF(ISERROR(IF(OR(ISBLANK($AF$105)), "", $AF$105/1000)), "", (IF(OR(ISBLANK($AF$105)), "", $AF$105/1000))))</f>
        <v>103.578</v>
      </c>
      <c r="AG66">
        <f>IF(OR(ISBLANK(IF(ISERROR(IF(OR(ISBLANK($AG$105)), "", $AG$105/1000)), "", (IF(OR(ISBLANK($AG$105)), "", $AG$105/1000)))), IF(ISERROR(IF(OR(ISBLANK($AG$105)), "", $AG$105/1000)), "", (IF(OR(ISBLANK($AG$105)), "", $AG$105/1000))) = ""), 103.197,IF(ISERROR(IF(OR(ISBLANK($AG$105)), "", $AG$105/1000)), "", (IF(OR(ISBLANK($AG$105)), "", $AG$105/1000))))</f>
        <v>102.833</v>
      </c>
      <c r="AH66">
        <f>IF(OR(ISBLANK(IF(ISERROR(IF(OR(ISBLANK($AH$105)), "", $AH$105/1000)), "", (IF(OR(ISBLANK($AH$105)), "", $AH$105/1000)))), IF(ISERROR(IF(OR(ISBLANK($AH$105)), "", $AH$105/1000)), "", (IF(OR(ISBLANK($AH$105)), "", $AH$105/1000))) = ""), 103.197,IF(ISERROR(IF(OR(ISBLANK($AH$105)), "", $AH$105/1000)), "", (IF(OR(ISBLANK($AH$105)), "", $AH$105/1000))))</f>
        <v>102.833</v>
      </c>
      <c r="AI66">
        <f>IF(OR(ISBLANK(IF(ISERROR(IF(OR(ISBLANK($AI$105)), "", $AI$105/1000)), "", (IF(OR(ISBLANK($AI$105)), "", $AI$105/1000)))), IF(ISERROR(IF(OR(ISBLANK($AI$105)), "", $AI$105/1000)), "", (IF(OR(ISBLANK($AI$105)), "", $AI$105/1000))) = ""), 103.321,IF(ISERROR(IF(OR(ISBLANK($AI$105)), "", $AI$105/1000)), "", (IF(OR(ISBLANK($AI$105)), "", $AI$105/1000))))</f>
        <v>102.833</v>
      </c>
      <c r="AJ66">
        <f>IF(OR(ISBLANK(IF(ISERROR(IF(OR(ISBLANK($AJ$105)), "", $AJ$105/1000)), "", (IF(OR(ISBLANK($AJ$105)), "", $AJ$105/1000)))), IF(ISERROR(IF(OR(ISBLANK($AJ$105)), "", $AJ$105/1000)), "", (IF(OR(ISBLANK($AJ$105)), "", $AJ$105/1000))) = ""), 103.321,IF(ISERROR(IF(OR(ISBLANK($AJ$105)), "", $AJ$105/1000)), "", (IF(OR(ISBLANK($AJ$105)), "", $AJ$105/1000))))</f>
        <v>102.833</v>
      </c>
      <c r="AK66">
        <f>IF(OR(ISBLANK(IF(ISERROR(IF(OR(ISBLANK($AK$105)), "", $AK$105/1000)), "", (IF(OR(ISBLANK($AK$105)), "", $AK$105/1000)))), IF(ISERROR(IF(OR(ISBLANK($AK$105)), "", $AK$105/1000)), "", (IF(OR(ISBLANK($AK$105)), "", $AK$105/1000))) = ""), 103.321,IF(ISERROR(IF(OR(ISBLANK($AK$105)), "", $AK$105/1000)), "", (IF(OR(ISBLANK($AK$105)), "", $AK$105/1000))))</f>
        <v>103.61</v>
      </c>
      <c r="AL66">
        <f>IF(OR(ISBLANK(IF(ISERROR(IF(OR(ISBLANK($AL$105)), "", $AL$105/1000)), "", (IF(OR(ISBLANK($AL$105)), "", $AL$105/1000)))), IF(ISERROR(IF(OR(ISBLANK($AL$105)), "", $AL$105/1000)), "", (IF(OR(ISBLANK($AL$105)), "", $AL$105/1000))) = ""), 103.321,IF(ISERROR(IF(OR(ISBLANK($AL$105)), "", $AL$105/1000)), "", (IF(OR(ISBLANK($AL$105)), "", $AL$105/1000))))</f>
        <v>103.61</v>
      </c>
      <c r="AM66">
        <f>IF(OR(ISBLANK(IF(ISERROR(IF(OR(ISBLANK($AM$105)), "", $AM$105/1000)), "", (IF(OR(ISBLANK($AM$105)), "", $AM$105/1000)))), IF(ISERROR(IF(OR(ISBLANK($AM$105)), "", $AM$105/1000)), "", (IF(OR(ISBLANK($AM$105)), "", $AM$105/1000))) = ""), 103.76,IF(ISERROR(IF(OR(ISBLANK($AM$105)), "", $AM$105/1000)), "", (IF(OR(ISBLANK($AM$105)), "", $AM$105/1000))))</f>
        <v>103.61</v>
      </c>
      <c r="AN66">
        <f>IF(OR(ISBLANK(IF(ISERROR(IF(OR(ISBLANK($AN$105)), "", $AN$105/1000)), "", (IF(OR(ISBLANK($AN$105)), "", $AN$105/1000)))), IF(ISERROR(IF(OR(ISBLANK($AN$105)), "", $AN$105/1000)), "", (IF(OR(ISBLANK($AN$105)), "", $AN$105/1000))) = ""), 103.76,IF(ISERROR(IF(OR(ISBLANK($AN$105)), "", $AN$105/1000)), "", (IF(OR(ISBLANK($AN$105)), "", $AN$105/1000))))</f>
        <v>103.61</v>
      </c>
      <c r="AO66">
        <f>IF(OR(ISBLANK(IF(ISERROR(IF(OR(ISBLANK($AO$105)), "", $AO$105/1000)), "", (IF(OR(ISBLANK($AO$105)), "", $AO$105/1000)))), IF(ISERROR(IF(OR(ISBLANK($AO$105)), "", $AO$105/1000)), "", (IF(OR(ISBLANK($AO$105)), "", $AO$105/1000))) = ""), 103.76,IF(ISERROR(IF(OR(ISBLANK($AO$105)), "", $AO$105/1000)), "", (IF(OR(ISBLANK($AO$105)), "", $AO$105/1000))))</f>
        <v>103.27200000000001</v>
      </c>
      <c r="AP66">
        <f>IF(OR(ISBLANK(IF(ISERROR(IF(OR(ISBLANK($AP$105)), "", $AP$105/1000)), "", (IF(OR(ISBLANK($AP$105)), "", $AP$105/1000)))), IF(ISERROR(IF(OR(ISBLANK($AP$105)), "", $AP$105/1000)), "", (IF(OR(ISBLANK($AP$105)), "", $AP$105/1000))) = ""), 103.76,IF(ISERROR(IF(OR(ISBLANK($AP$105)), "", $AP$105/1000)), "", (IF(OR(ISBLANK($AP$105)), "", $AP$105/1000))))</f>
        <v>103.27200000000001</v>
      </c>
      <c r="AQ66">
        <f>IF(OR(ISBLANK(IF(ISERROR(IF(OR(ISBLANK($AQ$105)), "", $AQ$105/1000)), "", (IF(OR(ISBLANK($AQ$105)), "", $AQ$105/1000)))), IF(ISERROR(IF(OR(ISBLANK($AQ$105)), "", $AQ$105/1000)), "", (IF(OR(ISBLANK($AQ$105)), "", $AQ$105/1000))) = ""), 103.76,IF(ISERROR(IF(OR(ISBLANK($AQ$105)), "", $AQ$105/1000)), "", (IF(OR(ISBLANK($AQ$105)), "", $AQ$105/1000))))</f>
        <v>103.27200000000001</v>
      </c>
      <c r="AR66">
        <f>IF(OR(ISBLANK(IF(ISERROR(IF(OR(ISBLANK($AR$105)), "", $AR$105/1000)), "", (IF(OR(ISBLANK($AR$105)), "", $AR$105/1000)))), IF(ISERROR(IF(OR(ISBLANK($AR$105)), "", $AR$105/1000)), "", (IF(OR(ISBLANK($AR$105)), "", $AR$105/1000))) = ""), 103.753,IF(ISERROR(IF(OR(ISBLANK($AR$105)), "", $AR$105/1000)), "", (IF(OR(ISBLANK($AR$105)), "", $AR$105/1000))))</f>
        <v>103.197</v>
      </c>
      <c r="AS66">
        <f>IF(OR(ISBLANK(IF(ISERROR(IF(OR(ISBLANK($AS$105)), "", $AS$105/1000)), "", (IF(OR(ISBLANK($AS$105)), "", $AS$105/1000)))), IF(ISERROR(IF(OR(ISBLANK($AS$105)), "", $AS$105/1000)), "", (IF(OR(ISBLANK($AS$105)), "", $AS$105/1000))) = ""), 103.753,IF(ISERROR(IF(OR(ISBLANK($AS$105)), "", $AS$105/1000)), "", (IF(OR(ISBLANK($AS$105)), "", $AS$105/1000))))</f>
        <v>103.197</v>
      </c>
      <c r="AT66">
        <f>IF(OR(ISBLANK(IF(ISERROR(IF(OR(ISBLANK($AT$105)), "", $AT$105/1000)), "", (IF(OR(ISBLANK($AT$105)), "", $AT$105/1000)))), IF(ISERROR(IF(OR(ISBLANK($AT$105)), "", $AT$105/1000)), "", (IF(OR(ISBLANK($AT$105)), "", $AT$105/1000))) = ""), 103.753,IF(ISERROR(IF(OR(ISBLANK($AT$105)), "", $AT$105/1000)), "", (IF(OR(ISBLANK($AT$105)), "", $AT$105/1000))))</f>
        <v>103.321</v>
      </c>
      <c r="AU66">
        <f>IF(OR(ISBLANK(IF(ISERROR(IF(OR(ISBLANK($AU$105)), "", $AU$105/1000)), "", (IF(OR(ISBLANK($AU$105)), "", $AU$105/1000)))), IF(ISERROR(IF(OR(ISBLANK($AU$105)), "", $AU$105/1000)), "", (IF(OR(ISBLANK($AU$105)), "", $AU$105/1000))) = ""), 103.754,IF(ISERROR(IF(OR(ISBLANK($AU$105)), "", $AU$105/1000)), "", (IF(OR(ISBLANK($AU$105)), "", $AU$105/1000))))</f>
        <v>103.321</v>
      </c>
      <c r="AV66">
        <f>IF(OR(ISBLANK(IF(ISERROR(IF(OR(ISBLANK($AV$105)), "", $AV$105/1000)), "", (IF(OR(ISBLANK($AV$105)), "", $AV$105/1000)))), IF(ISERROR(IF(OR(ISBLANK($AV$105)), "", $AV$105/1000)), "", (IF(OR(ISBLANK($AV$105)), "", $AV$105/1000))) = ""), 104.939,IF(ISERROR(IF(OR(ISBLANK($AV$105)), "", $AV$105/1000)), "", (IF(OR(ISBLANK($AV$105)), "", $AV$105/1000))))</f>
        <v>103.321</v>
      </c>
      <c r="AW66">
        <f>IF(OR(ISBLANK(IF(ISERROR(IF(OR(ISBLANK($AW$105)), "", $AW$105/1000)), "", (IF(OR(ISBLANK($AW$105)), "", $AW$105/1000)))), IF(ISERROR(IF(OR(ISBLANK($AW$105)), "", $AW$105/1000)), "", (IF(OR(ISBLANK($AW$105)), "", $AW$105/1000))) = ""), 104.939,IF(ISERROR(IF(OR(ISBLANK($AW$105)), "", $AW$105/1000)), "", (IF(OR(ISBLANK($AW$105)), "", $AW$105/1000))))</f>
        <v>103.321</v>
      </c>
      <c r="AX66">
        <f>IF(OR(ISBLANK(IF(ISERROR(IF(OR(ISBLANK($AX$105)), "", $AX$105/1000)), "", (IF(OR(ISBLANK($AX$105)), "", $AX$105/1000)))), IF(ISERROR(IF(OR(ISBLANK($AX$105)), "", $AX$105/1000)), "", (IF(OR(ISBLANK($AX$105)), "", $AX$105/1000))) = ""), 104.939,IF(ISERROR(IF(OR(ISBLANK($AX$105)), "", $AX$105/1000)), "", (IF(OR(ISBLANK($AX$105)), "", $AX$105/1000))))</f>
        <v>103.76</v>
      </c>
      <c r="AY66">
        <f>IF(OR(ISBLANK(IF(ISERROR(IF(OR(ISBLANK($AY$105)), "", $AY$105/1000)), "", (IF(OR(ISBLANK($AY$105)), "", $AY$105/1000)))), IF(ISERROR(IF(OR(ISBLANK($AY$105)), "", $AY$105/1000)), "", (IF(OR(ISBLANK($AY$105)), "", $AY$105/1000))) = ""), 104.939,IF(ISERROR(IF(OR(ISBLANK($AY$105)), "", $AY$105/1000)), "", (IF(OR(ISBLANK($AY$105)), "", $AY$105/1000))))</f>
        <v>103.76</v>
      </c>
      <c r="AZ66">
        <f>IF(OR(ISBLANK(IF(ISERROR(IF(OR(ISBLANK($AZ$105)), "", $AZ$105/1000)), "", (IF(OR(ISBLANK($AZ$105)), "", $AZ$105/1000)))), IF(ISERROR(IF(OR(ISBLANK($AZ$105)), "", $AZ$105/1000)), "", (IF(OR(ISBLANK($AZ$105)), "", $AZ$105/1000))) = ""), 104.939,IF(ISERROR(IF(OR(ISBLANK($AZ$105)), "", $AZ$105/1000)), "", (IF(OR(ISBLANK($AZ$105)), "", $AZ$105/1000))))</f>
        <v>103.76</v>
      </c>
      <c r="BA66">
        <f>IF(OR(ISBLANK(IF(ISERROR(IF(OR(ISBLANK($BA$105)), "", $BA$105/1000)), "", (IF(OR(ISBLANK($BA$105)), "", $BA$105/1000)))), IF(ISERROR(IF(OR(ISBLANK($BA$105)), "", $BA$105/1000)), "", (IF(OR(ISBLANK($BA$105)), "", $BA$105/1000))) = ""), 104.473,IF(ISERROR(IF(OR(ISBLANK($BA$105)), "", $BA$105/1000)), "", (IF(OR(ISBLANK($BA$105)), "", $BA$105/1000))))</f>
        <v>103.76</v>
      </c>
      <c r="BB66">
        <f>IF(OR(ISBLANK(IF(ISERROR(IF(OR(ISBLANK($BB$105)), "", $BB$105/1000)), "", (IF(OR(ISBLANK($BB$105)), "", $BB$105/1000)))), IF(ISERROR(IF(OR(ISBLANK($BB$105)), "", $BB$105/1000)), "", (IF(OR(ISBLANK($BB$105)), "", $BB$105/1000))) = ""), 104.473,IF(ISERROR(IF(OR(ISBLANK($BB$105)), "", $BB$105/1000)), "", (IF(OR(ISBLANK($BB$105)), "", $BB$105/1000))))</f>
        <v>103.76</v>
      </c>
      <c r="BC66">
        <f>IF(OR(ISBLANK(IF(ISERROR(IF(OR(ISBLANK($BC$105)), "", $BC$105/1000)), "", (IF(OR(ISBLANK($BC$105)), "", $BC$105/1000)))), IF(ISERROR(IF(OR(ISBLANK($BC$105)), "", $BC$105/1000)), "", (IF(OR(ISBLANK($BC$105)), "", $BC$105/1000))) = ""), 104.473,IF(ISERROR(IF(OR(ISBLANK($BC$105)), "", $BC$105/1000)), "", (IF(OR(ISBLANK($BC$105)), "", $BC$105/1000))))</f>
        <v>103.753</v>
      </c>
      <c r="BD66">
        <f>IF(OR(ISBLANK(IF(ISERROR(IF(OR(ISBLANK($BD$105)), "", $BD$105/1000)), "", (IF(OR(ISBLANK($BD$105)), "", $BD$105/1000)))), IF(ISERROR(IF(OR(ISBLANK($BD$105)), "", $BD$105/1000)), "", (IF(OR(ISBLANK($BD$105)), "", $BD$105/1000))) = ""), 104.473,IF(ISERROR(IF(OR(ISBLANK($BD$105)), "", $BD$105/1000)), "", (IF(OR(ISBLANK($BD$105)), "", $BD$105/1000))))</f>
        <v>103.753</v>
      </c>
      <c r="BE66">
        <f>IF(OR(ISBLANK(IF(ISERROR(IF(OR(ISBLANK($BE$105)), "", $BE$105/1000)), "", (IF(OR(ISBLANK($BE$105)), "", $BE$105/1000)))), IF(ISERROR(IF(OR(ISBLANK($BE$105)), "", $BE$105/1000)), "", (IF(OR(ISBLANK($BE$105)), "", $BE$105/1000))) = ""), 105.066,IF(ISERROR(IF(OR(ISBLANK($BE$105)), "", $BE$105/1000)), "", (IF(OR(ISBLANK($BE$105)), "", $BE$105/1000))))</f>
        <v>103.753</v>
      </c>
      <c r="BF66">
        <f>IF(OR(ISBLANK(IF(ISERROR(IF(OR(ISBLANK($BF$105)), "", $BF$105/1000)), "", (IF(OR(ISBLANK($BF$105)), "", $BF$105/1000)))), IF(ISERROR(IF(OR(ISBLANK($BF$105)), "", $BF$105/1000)), "", (IF(OR(ISBLANK($BF$105)), "", $BF$105/1000))) = ""), 105.066,IF(ISERROR(IF(OR(ISBLANK($BF$105)), "", $BF$105/1000)), "", (IF(OR(ISBLANK($BF$105)), "", $BF$105/1000))))</f>
        <v>103.754</v>
      </c>
      <c r="BG66">
        <f>IF(OR(ISBLANK(IF(ISERROR(IF(OR(ISBLANK($BG$105)), "", $BG$105/1000)), "", (IF(OR(ISBLANK($BG$105)), "", $BG$105/1000)))), IF(ISERROR(IF(OR(ISBLANK($BG$105)), "", $BG$105/1000)), "", (IF(OR(ISBLANK($BG$105)), "", $BG$105/1000))) = ""), 105.066,IF(ISERROR(IF(OR(ISBLANK($BG$105)), "", $BG$105/1000)), "", (IF(OR(ISBLANK($BG$105)), "", $BG$105/1000))))</f>
        <v>104.93899999999999</v>
      </c>
      <c r="BH66">
        <f>IF(OR(ISBLANK(IF(ISERROR(IF(OR(ISBLANK($BH$105)), "", $BH$105/1000)), "", (IF(OR(ISBLANK($BH$105)), "", $BH$105/1000)))), IF(ISERROR(IF(OR(ISBLANK($BH$105)), "", $BH$105/1000)), "", (IF(OR(ISBLANK($BH$105)), "", $BH$105/1000))) = ""), 105.066,IF(ISERROR(IF(OR(ISBLANK($BH$105)), "", $BH$105/1000)), "", (IF(OR(ISBLANK($BH$105)), "", $BH$105/1000))))</f>
        <v>104.93899999999999</v>
      </c>
      <c r="BI66">
        <f>IF(OR(ISBLANK(IF(ISERROR(IF(OR(ISBLANK($BI$105)), "", $BI$105/1000)), "", (IF(OR(ISBLANK($BI$105)), "", $BI$105/1000)))), IF(ISERROR(IF(OR(ISBLANK($BI$105)), "", $BI$105/1000)), "", (IF(OR(ISBLANK($BI$105)), "", $BI$105/1000))) = ""), 105.302,IF(ISERROR(IF(OR(ISBLANK($BI$105)), "", $BI$105/1000)), "", (IF(OR(ISBLANK($BI$105)), "", $BI$105/1000))))</f>
        <v>104.93899999999999</v>
      </c>
      <c r="BJ66">
        <f>IF(OR(ISBLANK(IF(ISERROR(IF(OR(ISBLANK($BJ$105)), "", $BJ$105/1000)), "", (IF(OR(ISBLANK($BJ$105)), "", $BJ$105/1000)))), IF(ISERROR(IF(OR(ISBLANK($BJ$105)), "", $BJ$105/1000)), "", (IF(OR(ISBLANK($BJ$105)), "", $BJ$105/1000))) = ""), 105.302,IF(ISERROR(IF(OR(ISBLANK($BJ$105)), "", $BJ$105/1000)), "", (IF(OR(ISBLANK($BJ$105)), "", $BJ$105/1000))))</f>
        <v>104.93899999999999</v>
      </c>
      <c r="BK66">
        <f>IF(OR(ISBLANK(IF(ISERROR(IF(OR(ISBLANK($BK$105)), "", $BK$105/1000)), "", (IF(OR(ISBLANK($BK$105)), "", $BK$105/1000)))), IF(ISERROR(IF(OR(ISBLANK($BK$105)), "", $BK$105/1000)), "", (IF(OR(ISBLANK($BK$105)), "", $BK$105/1000))) = ""), 105.302,IF(ISERROR(IF(OR(ISBLANK($BK$105)), "", $BK$105/1000)), "", (IF(OR(ISBLANK($BK$105)), "", $BK$105/1000))))</f>
        <v>104.93899999999999</v>
      </c>
      <c r="BL66">
        <f>IF(OR(ISBLANK(IF(ISERROR(IF(OR(ISBLANK($BL$105)), "", $BL$105/1000)), "", (IF(OR(ISBLANK($BL$105)), "", $BL$105/1000)))), IF(ISERROR(IF(OR(ISBLANK($BL$105)), "", $BL$105/1000)), "", (IF(OR(ISBLANK($BL$105)), "", $BL$105/1000))) = ""), 105.303,IF(ISERROR(IF(OR(ISBLANK($BL$105)), "", $BL$105/1000)), "", (IF(OR(ISBLANK($BL$105)), "", $BL$105/1000))))</f>
        <v>104.473</v>
      </c>
      <c r="BM66">
        <f>IF(OR(ISBLANK(IF(ISERROR(IF(OR(ISBLANK($BM$105)), "", $BM$105/1000)), "", (IF(OR(ISBLANK($BM$105)), "", $BM$105/1000)))), IF(ISERROR(IF(OR(ISBLANK($BM$105)), "", $BM$105/1000)), "", (IF(OR(ISBLANK($BM$105)), "", $BM$105/1000))) = ""), 105.303,IF(ISERROR(IF(OR(ISBLANK($BM$105)), "", $BM$105/1000)), "", (IF(OR(ISBLANK($BM$105)), "", $BM$105/1000))))</f>
        <v>104.473</v>
      </c>
      <c r="BN66">
        <f>IF(OR(ISBLANK(IF(ISERROR(IF(OR(ISBLANK($BN$105)), "", $BN$105/1000)), "", (IF(OR(ISBLANK($BN$105)), "", $BN$105/1000)))), IF(ISERROR(IF(OR(ISBLANK($BN$105)), "", $BN$105/1000)), "", (IF(OR(ISBLANK($BN$105)), "", $BN$105/1000))) = ""), 104.871,IF(ISERROR(IF(OR(ISBLANK($BN$105)), "", $BN$105/1000)), "", (IF(OR(ISBLANK($BN$105)), "", $BN$105/1000))))</f>
        <v>104.473</v>
      </c>
      <c r="BO66">
        <f>IF(OR(ISBLANK(IF(ISERROR(IF(OR(ISBLANK($BO$105)), "", $BO$105/1000)), "", (IF(OR(ISBLANK($BO$105)), "", $BO$105/1000)))), IF(ISERROR(IF(OR(ISBLANK($BO$105)), "", $BO$105/1000)), "", (IF(OR(ISBLANK($BO$105)), "", $BO$105/1000))) = ""), 104.871,IF(ISERROR(IF(OR(ISBLANK($BO$105)), "", $BO$105/1000)), "", (IF(OR(ISBLANK($BO$105)), "", $BO$105/1000))))</f>
        <v>104.473</v>
      </c>
      <c r="BP66">
        <f>IF(OR(ISBLANK(IF(ISERROR(IF(OR(ISBLANK($BP$105)), "", $BP$105/1000)), "", (IF(OR(ISBLANK($BP$105)), "", $BP$105/1000)))), IF(ISERROR(IF(OR(ISBLANK($BP$105)), "", $BP$105/1000)), "", (IF(OR(ISBLANK($BP$105)), "", $BP$105/1000))) = ""), 104.871,IF(ISERROR(IF(OR(ISBLANK($BP$105)), "", $BP$105/1000)), "", (IF(OR(ISBLANK($BP$105)), "", $BP$105/1000))))</f>
        <v>105.066</v>
      </c>
      <c r="BQ66">
        <f>IF(OR(ISBLANK(IF(ISERROR(IF(OR(ISBLANK($BQ$105)), "", $BQ$105/1000)), "", (IF(OR(ISBLANK($BQ$105)), "", $BQ$105/1000)))), IF(ISERROR(IF(OR(ISBLANK($BQ$105)), "", $BQ$105/1000)), "", (IF(OR(ISBLANK($BQ$105)), "", $BQ$105/1000))) = ""), 104.871,IF(ISERROR(IF(OR(ISBLANK($BQ$105)), "", $BQ$105/1000)), "", (IF(OR(ISBLANK($BQ$105)), "", $BQ$105/1000))))</f>
        <v>105.066</v>
      </c>
      <c r="BR66">
        <f>IF(OR(ISBLANK(IF(ISERROR(IF(OR(ISBLANK($BR$105)), "", $BR$105/1000)), "", (IF(OR(ISBLANK($BR$105)), "", $BR$105/1000)))), IF(ISERROR(IF(OR(ISBLANK($BR$105)), "", $BR$105/1000)), "", (IF(OR(ISBLANK($BR$105)), "", $BR$105/1000))) = ""), 104.893,IF(ISERROR(IF(OR(ISBLANK($BR$105)), "", $BR$105/1000)), "", (IF(OR(ISBLANK($BR$105)), "", $BR$105/1000))))</f>
        <v>105.066</v>
      </c>
      <c r="BS66">
        <f>IF(OR(ISBLANK(IF(ISERROR(IF(OR(ISBLANK($BS$105)), "", $BS$105/1000)), "", (IF(OR(ISBLANK($BS$105)), "", $BS$105/1000)))), IF(ISERROR(IF(OR(ISBLANK($BS$105)), "", $BS$105/1000)), "", (IF(OR(ISBLANK($BS$105)), "", $BS$105/1000))) = ""), 104.893,IF(ISERROR(IF(OR(ISBLANK($BS$105)), "", $BS$105/1000)), "", (IF(OR(ISBLANK($BS$105)), "", $BS$105/1000))))</f>
        <v>105.066</v>
      </c>
      <c r="BT66">
        <f>IF(OR(ISBLANK(IF(ISERROR(IF(OR(ISBLANK($BT$105)), "", $BT$105/1000)), "", (IF(OR(ISBLANK($BT$105)), "", $BT$105/1000)))), IF(ISERROR(IF(OR(ISBLANK($BT$105)), "", $BT$105/1000)), "", (IF(OR(ISBLANK($BT$105)), "", $BT$105/1000))) = ""), 104.894,IF(ISERROR(IF(OR(ISBLANK($BT$105)), "", $BT$105/1000)), "", (IF(OR(ISBLANK($BT$105)), "", $BT$105/1000))))</f>
        <v>105.30200000000001</v>
      </c>
      <c r="BU66">
        <f>IF(OR(ISBLANK(IF(ISERROR(IF(OR(ISBLANK($BU$105)), "", $BU$105/1000)), "", (IF(OR(ISBLANK($BU$105)), "", $BU$105/1000)))), IF(ISERROR(IF(OR(ISBLANK($BU$105)), "", $BU$105/1000)), "", (IF(OR(ISBLANK($BU$105)), "", $BU$105/1000))) = ""), 104.894,IF(ISERROR(IF(OR(ISBLANK($BU$105)), "", $BU$105/1000)), "", (IF(OR(ISBLANK($BU$105)), "", $BU$105/1000))))</f>
        <v>105.30200000000001</v>
      </c>
      <c r="BV66">
        <f>IF(OR(ISBLANK(IF(ISERROR(IF(OR(ISBLANK($BV$105)), "", $BV$105/1000)), "", (IF(OR(ISBLANK($BV$105)), "", $BV$105/1000)))), IF(ISERROR(IF(OR(ISBLANK($BV$105)), "", $BV$105/1000)), "", (IF(OR(ISBLANK($BV$105)), "", $BV$105/1000))) = ""), 105.618,IF(ISERROR(IF(OR(ISBLANK($BV$105)), "", $BV$105/1000)), "", (IF(OR(ISBLANK($BV$105)), "", $BV$105/1000))))</f>
        <v>105.30200000000001</v>
      </c>
      <c r="BW66">
        <f>IF(OR(ISBLANK(IF(ISERROR(IF(OR(ISBLANK($BW$105)), "", $BW$105/1000)), "", (IF(OR(ISBLANK($BW$105)), "", $BW$105/1000)))), IF(ISERROR(IF(OR(ISBLANK($BW$105)), "", $BW$105/1000)), "", (IF(OR(ISBLANK($BW$105)), "", $BW$105/1000))) = ""), 105.618,IF(ISERROR(IF(OR(ISBLANK($BW$105)), "", $BW$105/1000)), "", (IF(OR(ISBLANK($BW$105)), "", $BW$105/1000))))</f>
        <v>105.303</v>
      </c>
      <c r="BX66">
        <f>IF(OR(ISBLANK(IF(ISERROR(IF(OR(ISBLANK($BX$105)), "", $BX$105/1000)), "", (IF(OR(ISBLANK($BX$105)), "", $BX$105/1000)))), IF(ISERROR(IF(OR(ISBLANK($BX$105)), "", $BX$105/1000)), "", (IF(OR(ISBLANK($BX$105)), "", $BX$105/1000))) = ""), 105.618,IF(ISERROR(IF(OR(ISBLANK($BX$105)), "", $BX$105/1000)), "", (IF(OR(ISBLANK($BX$105)), "", $BX$105/1000))))</f>
        <v>105.303</v>
      </c>
      <c r="BY66">
        <f>IF(OR(ISBLANK(IF(ISERROR(IF(OR(ISBLANK($BY$105)), "", $BY$105/1000)), "", (IF(OR(ISBLANK($BY$105)), "", $BY$105/1000)))), IF(ISERROR(IF(OR(ISBLANK($BY$105)), "", $BY$105/1000)), "", (IF(OR(ISBLANK($BY$105)), "", $BY$105/1000))) = ""), 105.618,IF(ISERROR(IF(OR(ISBLANK($BY$105)), "", $BY$105/1000)), "", (IF(OR(ISBLANK($BY$105)), "", $BY$105/1000))))</f>
        <v>104.871</v>
      </c>
      <c r="BZ66">
        <f>IF(OR(ISBLANK(IF(ISERROR(IF(OR(ISBLANK($BZ$105)), "", $BZ$105/1000)), "", (IF(OR(ISBLANK($BZ$105)), "", $BZ$105/1000)))), IF(ISERROR(IF(OR(ISBLANK($BZ$105)), "", $BZ$105/1000)), "", (IF(OR(ISBLANK($BZ$105)), "", $BZ$105/1000))) = ""), 105.434,IF(ISERROR(IF(OR(ISBLANK($BZ$105)), "", $BZ$105/1000)), "", (IF(OR(ISBLANK($BZ$105)), "", $BZ$105/1000))))</f>
        <v>104.871</v>
      </c>
      <c r="CA66">
        <f>IF(OR(ISBLANK(IF(ISERROR(IF(OR(ISBLANK($CA$105)), "", $CA$105/1000)), "", (IF(OR(ISBLANK($CA$105)), "", $CA$105/1000)))), IF(ISERROR(IF(OR(ISBLANK($CA$105)), "", $CA$105/1000)), "", (IF(OR(ISBLANK($CA$105)), "", $CA$105/1000))) = ""), 105.434,IF(ISERROR(IF(OR(ISBLANK($CA$105)), "", $CA$105/1000)), "", (IF(OR(ISBLANK($CA$105)), "", $CA$105/1000))))</f>
        <v>104.871</v>
      </c>
      <c r="CB66">
        <f>IF(OR(ISBLANK(IF(ISERROR(IF(OR(ISBLANK($CB$105)), "", $CB$105/1000)), "", (IF(OR(ISBLANK($CB$105)), "", $CB$105/1000)))), IF(ISERROR(IF(OR(ISBLANK($CB$105)), "", $CB$105/1000)), "", (IF(OR(ISBLANK($CB$105)), "", $CB$105/1000))) = ""), 105.434,IF(ISERROR(IF(OR(ISBLANK($CB$105)), "", $CB$105/1000)), "", (IF(OR(ISBLANK($CB$105)), "", $CB$105/1000))))</f>
        <v>104.871</v>
      </c>
      <c r="CC66">
        <f>IF(OR(ISBLANK(IF(ISERROR(IF(OR(ISBLANK($CC$105)), "", $CC$105/1000)), "", (IF(OR(ISBLANK($CC$105)), "", $CC$105/1000)))), IF(ISERROR(IF(OR(ISBLANK($CC$105)), "", $CC$105/1000)), "", (IF(OR(ISBLANK($CC$105)), "", $CC$105/1000))) = ""), 105.434,IF(ISERROR(IF(OR(ISBLANK($CC$105)), "", $CC$105/1000)), "", (IF(OR(ISBLANK($CC$105)), "", $CC$105/1000))))</f>
        <v>104.893</v>
      </c>
      <c r="CD66">
        <f>IF(OR(ISBLANK(IF(ISERROR(IF(OR(ISBLANK($CD$105)), "", $CD$105/1000)), "", (IF(OR(ISBLANK($CD$105)), "", $CD$105/1000)))), IF(ISERROR(IF(OR(ISBLANK($CD$105)), "", $CD$105/1000)), "", (IF(OR(ISBLANK($CD$105)), "", $CD$105/1000))) = ""), 106.008,IF(ISERROR(IF(OR(ISBLANK($CD$105)), "", $CD$105/1000)), "", (IF(OR(ISBLANK($CD$105)), "", $CD$105/1000))))</f>
        <v>104.893</v>
      </c>
      <c r="CE66">
        <f>IF(OR(ISBLANK(IF(ISERROR(IF(OR(ISBLANK($CE$105)), "", $CE$105/1000)), "", (IF(OR(ISBLANK($CE$105)), "", $CE$105/1000)))), IF(ISERROR(IF(OR(ISBLANK($CE$105)), "", $CE$105/1000)), "", (IF(OR(ISBLANK($CE$105)), "", $CE$105/1000))) = ""), 106.008,IF(ISERROR(IF(OR(ISBLANK($CE$105)), "", $CE$105/1000)), "", (IF(OR(ISBLANK($CE$105)), "", $CE$105/1000))))</f>
        <v>104.89400000000001</v>
      </c>
      <c r="CF66">
        <f>IF(OR(ISBLANK(IF(ISERROR(IF(OR(ISBLANK($CF$105)), "", $CF$105/1000)), "", (IF(OR(ISBLANK($CF$105)), "", $CF$105/1000)))), IF(ISERROR(IF(OR(ISBLANK($CF$105)), "", $CF$105/1000)), "", (IF(OR(ISBLANK($CF$105)), "", $CF$105/1000))) = ""), 106.008,IF(ISERROR(IF(OR(ISBLANK($CF$105)), "", $CF$105/1000)), "", (IF(OR(ISBLANK($CF$105)), "", $CF$105/1000))))</f>
        <v>104.89400000000001</v>
      </c>
      <c r="CG66">
        <f>IF(OR(ISBLANK(IF(ISERROR(IF(OR(ISBLANK($CG$105)), "", $CG$105/1000)), "", (IF(OR(ISBLANK($CG$105)), "", $CG$105/1000)))), IF(ISERROR(IF(OR(ISBLANK($CG$105)), "", $CG$105/1000)), "", (IF(OR(ISBLANK($CG$105)), "", $CG$105/1000))) = ""), 106.008,IF(ISERROR(IF(OR(ISBLANK($CG$105)), "", $CG$105/1000)), "", (IF(OR(ISBLANK($CG$105)), "", $CG$105/1000))))</f>
        <v>105.61799999999999</v>
      </c>
    </row>
    <row r="67" spans="1:85" x14ac:dyDescent="0.25">
      <c r="A67" t="str">
        <f>"    Use of the Marginal Lending Facility"</f>
        <v xml:space="preserve">    Use of the Marginal Lending Facility</v>
      </c>
      <c r="B67" t="str">
        <f>"ECBLMARG Index"</f>
        <v>ECBLMARG Index</v>
      </c>
      <c r="C67" t="str">
        <f>""</f>
        <v/>
      </c>
      <c r="D67" t="str">
        <f>""</f>
        <v/>
      </c>
      <c r="E67" t="str">
        <f t="shared" si="3"/>
        <v>Expression</v>
      </c>
      <c r="F67" t="str">
        <f ca="1">IF(OR(ISBLANK(IF(ISERROR(IF(OR(ISBLANK($F$106)), "", $F$106/1000)), "", (IF(OR(ISBLANK($F$106)), "", $F$106/1000)))), IF(ISERROR(IF(OR(ISBLANK($F$106)), "", $F$106/1000)), "", (IF(OR(ISBLANK($F$106)), "", $F$106/1000))) = ""), "",IF(ISERROR(IF(OR(ISBLANK($F$106)), "", $F$106/1000)), "", (IF(OR(ISBLANK($F$106)), "", $F$106/1000))))</f>
        <v/>
      </c>
      <c r="G67">
        <f>IF(OR(ISBLANK(IF(ISERROR(IF(OR(ISBLANK($G$106)), "", $G$106/1000)), "", (IF(OR(ISBLANK($G$106)), "", $G$106/1000)))), IF(ISERROR(IF(OR(ISBLANK($G$106)), "", $G$106/1000)), "", (IF(OR(ISBLANK($G$106)), "", $G$106/1000))) = ""), 0.005,IF(ISERROR(IF(OR(ISBLANK($G$106)), "", $G$106/1000)), "", (IF(OR(ISBLANK($G$106)), "", $G$106/1000))))</f>
        <v>0.11600000000000001</v>
      </c>
      <c r="H67">
        <f>IF(OR(ISBLANK(IF(ISERROR(IF(OR(ISBLANK($H$106)), "", $H$106/1000)), "", (IF(OR(ISBLANK($H$106)), "", $H$106/1000)))), IF(ISERROR(IF(OR(ISBLANK($H$106)), "", $H$106/1000)), "", (IF(OR(ISBLANK($H$106)), "", $H$106/1000))) = ""), 0.011,IF(ISERROR(IF(OR(ISBLANK($H$106)), "", $H$106/1000)), "", (IF(OR(ISBLANK($H$106)), "", $H$106/1000))))</f>
        <v>0.91700000000000004</v>
      </c>
      <c r="I67">
        <f>IF(OR(ISBLANK(IF(ISERROR(IF(OR(ISBLANK($I$106)), "", $I$106/1000)), "", (IF(OR(ISBLANK($I$106)), "", $I$106/1000)))), IF(ISERROR(IF(OR(ISBLANK($I$106)), "", $I$106/1000)), "", (IF(OR(ISBLANK($I$106)), "", $I$106/1000))) = ""), 0.037,IF(ISERROR(IF(OR(ISBLANK($I$106)), "", $I$106/1000)), "", (IF(OR(ISBLANK($I$106)), "", $I$106/1000))))</f>
        <v>4.0000000000000001E-3</v>
      </c>
      <c r="J67">
        <f>IF(OR(ISBLANK(IF(ISERROR(IF(OR(ISBLANK($J$106)), "", $J$106/1000)), "", (IF(OR(ISBLANK($J$106)), "", $J$106/1000)))), IF(ISERROR(IF(OR(ISBLANK($J$106)), "", $J$106/1000)), "", (IF(OR(ISBLANK($J$106)), "", $J$106/1000))) = ""), 0.064,IF(ISERROR(IF(OR(ISBLANK($J$106)), "", $J$106/1000)), "", (IF(OR(ISBLANK($J$106)), "", $J$106/1000))))</f>
        <v>4.0000000000000001E-3</v>
      </c>
      <c r="K67">
        <f>IF(OR(ISBLANK(IF(ISERROR(IF(OR(ISBLANK($K$106)), "", $K$106/1000)), "", (IF(OR(ISBLANK($K$106)), "", $K$106/1000)))), IF(ISERROR(IF(OR(ISBLANK($K$106)), "", $K$106/1000)), "", (IF(OR(ISBLANK($K$106)), "", $K$106/1000))) = ""), 0.125,IF(ISERROR(IF(OR(ISBLANK($K$106)), "", $K$106/1000)), "", (IF(OR(ISBLANK($K$106)), "", $K$106/1000))))</f>
        <v>1.7000000000000001E-2</v>
      </c>
      <c r="L67">
        <f>IF(OR(ISBLANK(IF(ISERROR(IF(OR(ISBLANK($L$106)), "", $L$106/1000)), "", (IF(OR(ISBLANK($L$106)), "", $L$106/1000)))), IF(ISERROR(IF(OR(ISBLANK($L$106)), "", $L$106/1000)), "", (IF(OR(ISBLANK($L$106)), "", $L$106/1000))) = ""), 0.011,IF(ISERROR(IF(OR(ISBLANK($L$106)), "", $L$106/1000)), "", (IF(OR(ISBLANK($L$106)), "", $L$106/1000))))</f>
        <v>4.4999999999999998E-2</v>
      </c>
      <c r="M67">
        <f>IF(OR(ISBLANK(IF(ISERROR(IF(OR(ISBLANK($M$106)), "", $M$106/1000)), "", (IF(OR(ISBLANK($M$106)), "", $M$106/1000)))), IF(ISERROR(IF(OR(ISBLANK($M$106)), "", $M$106/1000)), "", (IF(OR(ISBLANK($M$106)), "", $M$106/1000))) = ""), 0,IF(ISERROR(IF(OR(ISBLANK($M$106)), "", $M$106/1000)), "", (IF(OR(ISBLANK($M$106)), "", $M$106/1000))))</f>
        <v>0.36499999999999999</v>
      </c>
      <c r="N67">
        <f>IF(OR(ISBLANK(IF(ISERROR(IF(OR(ISBLANK($N$106)), "", $N$106/1000)), "", (IF(OR(ISBLANK($N$106)), "", $N$106/1000)))), IF(ISERROR(IF(OR(ISBLANK($N$106)), "", $N$106/1000)), "", (IF(OR(ISBLANK($N$106)), "", $N$106/1000))) = ""), 0.751,IF(ISERROR(IF(OR(ISBLANK($N$106)), "", $N$106/1000)), "", (IF(OR(ISBLANK($N$106)), "", $N$106/1000))))</f>
        <v>0.70099999999999996</v>
      </c>
      <c r="O67">
        <f>IF(OR(ISBLANK(IF(ISERROR(IF(OR(ISBLANK($O$106)), "", $O$106/1000)), "", (IF(OR(ISBLANK($O$106)), "", $O$106/1000)))), IF(ISERROR(IF(OR(ISBLANK($O$106)), "", $O$106/1000)), "", (IF(OR(ISBLANK($O$106)), "", $O$106/1000))) = ""), 0.018,IF(ISERROR(IF(OR(ISBLANK($O$106)), "", $O$106/1000)), "", (IF(OR(ISBLANK($O$106)), "", $O$106/1000))))</f>
        <v>0.2</v>
      </c>
      <c r="P67">
        <f>IF(OR(ISBLANK(IF(ISERROR(IF(OR(ISBLANK($P$106)), "", $P$106/1000)), "", (IF(OR(ISBLANK($P$106)), "", $P$106/1000)))), IF(ISERROR(IF(OR(ISBLANK($P$106)), "", $P$106/1000)), "", (IF(OR(ISBLANK($P$106)), "", $P$106/1000))) = ""), 0,IF(ISERROR(IF(OR(ISBLANK($P$106)), "", $P$106/1000)), "", (IF(OR(ISBLANK($P$106)), "", $P$106/1000))))</f>
        <v>0</v>
      </c>
      <c r="Q67">
        <f>IF(OR(ISBLANK(IF(ISERROR(IF(OR(ISBLANK($Q$106)), "", $Q$106/1000)), "", (IF(OR(ISBLANK($Q$106)), "", $Q$106/1000)))), IF(ISERROR(IF(OR(ISBLANK($Q$106)), "", $Q$106/1000)), "", (IF(OR(ISBLANK($Q$106)), "", $Q$106/1000))) = ""), 0,IF(ISERROR(IF(OR(ISBLANK($Q$106)), "", $Q$106/1000)), "", (IF(OR(ISBLANK($Q$106)), "", $Q$106/1000))))</f>
        <v>5.6000000000000001E-2</v>
      </c>
      <c r="R67">
        <f>IF(OR(ISBLANK(IF(ISERROR(IF(OR(ISBLANK($R$106)), "", $R$106/1000)), "", (IF(OR(ISBLANK($R$106)), "", $R$106/1000)))), IF(ISERROR(IF(OR(ISBLANK($R$106)), "", $R$106/1000)), "", (IF(OR(ISBLANK($R$106)), "", $R$106/1000))) = ""), 0.222,IF(ISERROR(IF(OR(ISBLANK($R$106)), "", $R$106/1000)), "", (IF(OR(ISBLANK($R$106)), "", $R$106/1000))))</f>
        <v>5.0000000000000001E-3</v>
      </c>
      <c r="S67">
        <f>IF(OR(ISBLANK(IF(ISERROR(IF(OR(ISBLANK($S$106)), "", $S$106/1000)), "", (IF(OR(ISBLANK($S$106)), "", $S$106/1000)))), IF(ISERROR(IF(OR(ISBLANK($S$106)), "", $S$106/1000)), "", (IF(OR(ISBLANK($S$106)), "", $S$106/1000))) = ""), 1.417,IF(ISERROR(IF(OR(ISBLANK($S$106)), "", $S$106/1000)), "", (IF(OR(ISBLANK($S$106)), "", $S$106/1000))))</f>
        <v>1.0999999999999999E-2</v>
      </c>
      <c r="T67">
        <f>IF(OR(ISBLANK(IF(ISERROR(IF(OR(ISBLANK($T$106)), "", $T$106/1000)), "", (IF(OR(ISBLANK($T$106)), "", $T$106/1000)))), IF(ISERROR(IF(OR(ISBLANK($T$106)), "", $T$106/1000)), "", (IF(OR(ISBLANK($T$106)), "", $T$106/1000))) = ""), 0.917,IF(ISERROR(IF(OR(ISBLANK($T$106)), "", $T$106/1000)), "", (IF(OR(ISBLANK($T$106)), "", $T$106/1000))))</f>
        <v>3.6999999999999998E-2</v>
      </c>
      <c r="U67">
        <f>IF(OR(ISBLANK(IF(ISERROR(IF(OR(ISBLANK($U$106)), "", $U$106/1000)), "", (IF(OR(ISBLANK($U$106)), "", $U$106/1000)))), IF(ISERROR(IF(OR(ISBLANK($U$106)), "", $U$106/1000)), "", (IF(OR(ISBLANK($U$106)), "", $U$106/1000))) = ""), 0.002,IF(ISERROR(IF(OR(ISBLANK($U$106)), "", $U$106/1000)), "", (IF(OR(ISBLANK($U$106)), "", $U$106/1000))))</f>
        <v>6.4000000000000001E-2</v>
      </c>
      <c r="V67">
        <f>IF(OR(ISBLANK(IF(ISERROR(IF(OR(ISBLANK($V$106)), "", $V$106/1000)), "", (IF(OR(ISBLANK($V$106)), "", $V$106/1000)))), IF(ISERROR(IF(OR(ISBLANK($V$106)), "", $V$106/1000)), "", (IF(OR(ISBLANK($V$106)), "", $V$106/1000))) = ""), 0.284,IF(ISERROR(IF(OR(ISBLANK($V$106)), "", $V$106/1000)), "", (IF(OR(ISBLANK($V$106)), "", $V$106/1000))))</f>
        <v>0.125</v>
      </c>
      <c r="W67">
        <f>IF(OR(ISBLANK(IF(ISERROR(IF(OR(ISBLANK($W$106)), "", $W$106/1000)), "", (IF(OR(ISBLANK($W$106)), "", $W$106/1000)))), IF(ISERROR(IF(OR(ISBLANK($W$106)), "", $W$106/1000)), "", (IF(OR(ISBLANK($W$106)), "", $W$106/1000))) = ""), 0.776,IF(ISERROR(IF(OR(ISBLANK($W$106)), "", $W$106/1000)), "", (IF(OR(ISBLANK($W$106)), "", $W$106/1000))))</f>
        <v>1.0999999999999999E-2</v>
      </c>
      <c r="X67">
        <f>IF(OR(ISBLANK(IF(ISERROR(IF(OR(ISBLANK($X$106)), "", $X$106/1000)), "", (IF(OR(ISBLANK($X$106)), "", $X$106/1000)))), IF(ISERROR(IF(OR(ISBLANK($X$106)), "", $X$106/1000)), "", (IF(OR(ISBLANK($X$106)), "", $X$106/1000))) = ""), 0.187,IF(ISERROR(IF(OR(ISBLANK($X$106)), "", $X$106/1000)), "", (IF(OR(ISBLANK($X$106)), "", $X$106/1000))))</f>
        <v>0</v>
      </c>
      <c r="Y67">
        <f>IF(OR(ISBLANK(IF(ISERROR(IF(OR(ISBLANK($Y$106)), "", $Y$106/1000)), "", (IF(OR(ISBLANK($Y$106)), "", $Y$106/1000)))), IF(ISERROR(IF(OR(ISBLANK($Y$106)), "", $Y$106/1000)), "", (IF(OR(ISBLANK($Y$106)), "", $Y$106/1000))) = ""), 0.135,IF(ISERROR(IF(OR(ISBLANK($Y$106)), "", $Y$106/1000)), "", (IF(OR(ISBLANK($Y$106)), "", $Y$106/1000))))</f>
        <v>0.751</v>
      </c>
      <c r="Z67">
        <f>IF(OR(ISBLANK(IF(ISERROR(IF(OR(ISBLANK($Z$106)), "", $Z$106/1000)), "", (IF(OR(ISBLANK($Z$106)), "", $Z$106/1000)))), IF(ISERROR(IF(OR(ISBLANK($Z$106)), "", $Z$106/1000)), "", (IF(OR(ISBLANK($Z$106)), "", $Z$106/1000))) = ""), 0.548,IF(ISERROR(IF(OR(ISBLANK($Z$106)), "", $Z$106/1000)), "", (IF(OR(ISBLANK($Z$106)), "", $Z$106/1000))))</f>
        <v>1.7999999999999999E-2</v>
      </c>
      <c r="AA67">
        <f>IF(OR(ISBLANK(IF(ISERROR(IF(OR(ISBLANK($AA$106)), "", $AA$106/1000)), "", (IF(OR(ISBLANK($AA$106)), "", $AA$106/1000)))), IF(ISERROR(IF(OR(ISBLANK($AA$106)), "", $AA$106/1000)), "", (IF(OR(ISBLANK($AA$106)), "", $AA$106/1000))) = ""), 0.255,IF(ISERROR(IF(OR(ISBLANK($AA$106)), "", $AA$106/1000)), "", (IF(OR(ISBLANK($AA$106)), "", $AA$106/1000))))</f>
        <v>0</v>
      </c>
      <c r="AB67">
        <f>IF(OR(ISBLANK(IF(ISERROR(IF(OR(ISBLANK($AB$106)), "", $AB$106/1000)), "", (IF(OR(ISBLANK($AB$106)), "", $AB$106/1000)))), IF(ISERROR(IF(OR(ISBLANK($AB$106)), "", $AB$106/1000)), "", (IF(OR(ISBLANK($AB$106)), "", $AB$106/1000))) = ""), 0.179,IF(ISERROR(IF(OR(ISBLANK($AB$106)), "", $AB$106/1000)), "", (IF(OR(ISBLANK($AB$106)), "", $AB$106/1000))))</f>
        <v>0</v>
      </c>
      <c r="AC67">
        <f>IF(OR(ISBLANK(IF(ISERROR(IF(OR(ISBLANK($AC$106)), "", $AC$106/1000)), "", (IF(OR(ISBLANK($AC$106)), "", $AC$106/1000)))), IF(ISERROR(IF(OR(ISBLANK($AC$106)), "", $AC$106/1000)), "", (IF(OR(ISBLANK($AC$106)), "", $AC$106/1000))) = ""), 0.114,IF(ISERROR(IF(OR(ISBLANK($AC$106)), "", $AC$106/1000)), "", (IF(OR(ISBLANK($AC$106)), "", $AC$106/1000))))</f>
        <v>0.222</v>
      </c>
      <c r="AD67">
        <f>IF(OR(ISBLANK(IF(ISERROR(IF(OR(ISBLANK($AD$106)), "", $AD$106/1000)), "", (IF(OR(ISBLANK($AD$106)), "", $AD$106/1000)))), IF(ISERROR(IF(OR(ISBLANK($AD$106)), "", $AD$106/1000)), "", (IF(OR(ISBLANK($AD$106)), "", $AD$106/1000))) = ""), 0.031,IF(ISERROR(IF(OR(ISBLANK($AD$106)), "", $AD$106/1000)), "", (IF(OR(ISBLANK($AD$106)), "", $AD$106/1000))))</f>
        <v>1.417</v>
      </c>
      <c r="AE67">
        <f>IF(OR(ISBLANK(IF(ISERROR(IF(OR(ISBLANK($AE$106)), "", $AE$106/1000)), "", (IF(OR(ISBLANK($AE$106)), "", $AE$106/1000)))), IF(ISERROR(IF(OR(ISBLANK($AE$106)), "", $AE$106/1000)), "", (IF(OR(ISBLANK($AE$106)), "", $AE$106/1000))) = ""), 0.27,IF(ISERROR(IF(OR(ISBLANK($AE$106)), "", $AE$106/1000)), "", (IF(OR(ISBLANK($AE$106)), "", $AE$106/1000))))</f>
        <v>0.91700000000000004</v>
      </c>
      <c r="AF67">
        <f>IF(OR(ISBLANK(IF(ISERROR(IF(OR(ISBLANK($AF$106)), "", $AF$106/1000)), "", (IF(OR(ISBLANK($AF$106)), "", $AF$106/1000)))), IF(ISERROR(IF(OR(ISBLANK($AF$106)), "", $AF$106/1000)), "", (IF(OR(ISBLANK($AF$106)), "", $AF$106/1000))) = ""), 0.274,IF(ISERROR(IF(OR(ISBLANK($AF$106)), "", $AF$106/1000)), "", (IF(OR(ISBLANK($AF$106)), "", $AF$106/1000))))</f>
        <v>2E-3</v>
      </c>
      <c r="AG67">
        <f>IF(OR(ISBLANK(IF(ISERROR(IF(OR(ISBLANK($AG$106)), "", $AG$106/1000)), "", (IF(OR(ISBLANK($AG$106)), "", $AG$106/1000)))), IF(ISERROR(IF(OR(ISBLANK($AG$106)), "", $AG$106/1000)), "", (IF(OR(ISBLANK($AG$106)), "", $AG$106/1000))) = ""), 0.341,IF(ISERROR(IF(OR(ISBLANK($AG$106)), "", $AG$106/1000)), "", (IF(OR(ISBLANK($AG$106)), "", $AG$106/1000))))</f>
        <v>0.28399999999999997</v>
      </c>
      <c r="AH67">
        <f>IF(OR(ISBLANK(IF(ISERROR(IF(OR(ISBLANK($AH$106)), "", $AH$106/1000)), "", (IF(OR(ISBLANK($AH$106)), "", $AH$106/1000)))), IF(ISERROR(IF(OR(ISBLANK($AH$106)), "", $AH$106/1000)), "", (IF(OR(ISBLANK($AH$106)), "", $AH$106/1000))) = ""), 0.128,IF(ISERROR(IF(OR(ISBLANK($AH$106)), "", $AH$106/1000)), "", (IF(OR(ISBLANK($AH$106)), "", $AH$106/1000))))</f>
        <v>0.77600000000000002</v>
      </c>
      <c r="AI67">
        <f>IF(OR(ISBLANK(IF(ISERROR(IF(OR(ISBLANK($AI$106)), "", $AI$106/1000)), "", (IF(OR(ISBLANK($AI$106)), "", $AI$106/1000)))), IF(ISERROR(IF(OR(ISBLANK($AI$106)), "", $AI$106/1000)), "", (IF(OR(ISBLANK($AI$106)), "", $AI$106/1000))) = ""), 0.158,IF(ISERROR(IF(OR(ISBLANK($AI$106)), "", $AI$106/1000)), "", (IF(OR(ISBLANK($AI$106)), "", $AI$106/1000))))</f>
        <v>0.187</v>
      </c>
      <c r="AJ67">
        <f>IF(OR(ISBLANK(IF(ISERROR(IF(OR(ISBLANK($AJ$106)), "", $AJ$106/1000)), "", (IF(OR(ISBLANK($AJ$106)), "", $AJ$106/1000)))), IF(ISERROR(IF(OR(ISBLANK($AJ$106)), "", $AJ$106/1000)), "", (IF(OR(ISBLANK($AJ$106)), "", $AJ$106/1000))) = ""), 0.074,IF(ISERROR(IF(OR(ISBLANK($AJ$106)), "", $AJ$106/1000)), "", (IF(OR(ISBLANK($AJ$106)), "", $AJ$106/1000))))</f>
        <v>0.13500000000000001</v>
      </c>
      <c r="AK67">
        <f>IF(OR(ISBLANK(IF(ISERROR(IF(OR(ISBLANK($AK$106)), "", $AK$106/1000)), "", (IF(OR(ISBLANK($AK$106)), "", $AK$106/1000)))), IF(ISERROR(IF(OR(ISBLANK($AK$106)), "", $AK$106/1000)), "", (IF(OR(ISBLANK($AK$106)), "", $AK$106/1000))) = ""), 0.181,IF(ISERROR(IF(OR(ISBLANK($AK$106)), "", $AK$106/1000)), "", (IF(OR(ISBLANK($AK$106)), "", $AK$106/1000))))</f>
        <v>0.54800000000000004</v>
      </c>
      <c r="AL67">
        <f>IF(OR(ISBLANK(IF(ISERROR(IF(OR(ISBLANK($AL$106)), "", $AL$106/1000)), "", (IF(OR(ISBLANK($AL$106)), "", $AL$106/1000)))), IF(ISERROR(IF(OR(ISBLANK($AL$106)), "", $AL$106/1000)), "", (IF(OR(ISBLANK($AL$106)), "", $AL$106/1000))) = ""), 0,IF(ISERROR(IF(OR(ISBLANK($AL$106)), "", $AL$106/1000)), "", (IF(OR(ISBLANK($AL$106)), "", $AL$106/1000))))</f>
        <v>0.255</v>
      </c>
      <c r="AM67">
        <f>IF(OR(ISBLANK(IF(ISERROR(IF(OR(ISBLANK($AM$106)), "", $AM$106/1000)), "", (IF(OR(ISBLANK($AM$106)), "", $AM$106/1000)))), IF(ISERROR(IF(OR(ISBLANK($AM$106)), "", $AM$106/1000)), "", (IF(OR(ISBLANK($AM$106)), "", $AM$106/1000))) = ""), 0.002,IF(ISERROR(IF(OR(ISBLANK($AM$106)), "", $AM$106/1000)), "", (IF(OR(ISBLANK($AM$106)), "", $AM$106/1000))))</f>
        <v>0.17899999999999999</v>
      </c>
      <c r="AN67">
        <f>IF(OR(ISBLANK(IF(ISERROR(IF(OR(ISBLANK($AN$106)), "", $AN$106/1000)), "", (IF(OR(ISBLANK($AN$106)), "", $AN$106/1000)))), IF(ISERROR(IF(OR(ISBLANK($AN$106)), "", $AN$106/1000)), "", (IF(OR(ISBLANK($AN$106)), "", $AN$106/1000))) = ""), 0.024,IF(ISERROR(IF(OR(ISBLANK($AN$106)), "", $AN$106/1000)), "", (IF(OR(ISBLANK($AN$106)), "", $AN$106/1000))))</f>
        <v>0.114</v>
      </c>
      <c r="AO67">
        <f>IF(OR(ISBLANK(IF(ISERROR(IF(OR(ISBLANK($AO$106)), "", $AO$106/1000)), "", (IF(OR(ISBLANK($AO$106)), "", $AO$106/1000)))), IF(ISERROR(IF(OR(ISBLANK($AO$106)), "", $AO$106/1000)), "", (IF(OR(ISBLANK($AO$106)), "", $AO$106/1000))) = ""), 0,IF(ISERROR(IF(OR(ISBLANK($AO$106)), "", $AO$106/1000)), "", (IF(OR(ISBLANK($AO$106)), "", $AO$106/1000))))</f>
        <v>3.1E-2</v>
      </c>
      <c r="AP67">
        <f>IF(OR(ISBLANK(IF(ISERROR(IF(OR(ISBLANK($AP$106)), "", $AP$106/1000)), "", (IF(OR(ISBLANK($AP$106)), "", $AP$106/1000)))), IF(ISERROR(IF(OR(ISBLANK($AP$106)), "", $AP$106/1000)), "", (IF(OR(ISBLANK($AP$106)), "", $AP$106/1000))) = ""), 0,IF(ISERROR(IF(OR(ISBLANK($AP$106)), "", $AP$106/1000)), "", (IF(OR(ISBLANK($AP$106)), "", $AP$106/1000))))</f>
        <v>0.27</v>
      </c>
      <c r="AQ67">
        <f>IF(OR(ISBLANK(IF(ISERROR(IF(OR(ISBLANK($AQ$106)), "", $AQ$106/1000)), "", (IF(OR(ISBLANK($AQ$106)), "", $AQ$106/1000)))), IF(ISERROR(IF(OR(ISBLANK($AQ$106)), "", $AQ$106/1000)), "", (IF(OR(ISBLANK($AQ$106)), "", $AQ$106/1000))) = ""), 0.314,IF(ISERROR(IF(OR(ISBLANK($AQ$106)), "", $AQ$106/1000)), "", (IF(OR(ISBLANK($AQ$106)), "", $AQ$106/1000))))</f>
        <v>0.27400000000000002</v>
      </c>
      <c r="AR67">
        <f>IF(OR(ISBLANK(IF(ISERROR(IF(OR(ISBLANK($AR$106)), "", $AR$106/1000)), "", (IF(OR(ISBLANK($AR$106)), "", $AR$106/1000)))), IF(ISERROR(IF(OR(ISBLANK($AR$106)), "", $AR$106/1000)), "", (IF(OR(ISBLANK($AR$106)), "", $AR$106/1000))) = ""), 0.101,IF(ISERROR(IF(OR(ISBLANK($AR$106)), "", $AR$106/1000)), "", (IF(OR(ISBLANK($AR$106)), "", $AR$106/1000))))</f>
        <v>0.34100000000000003</v>
      </c>
      <c r="AS67">
        <f>IF(OR(ISBLANK(IF(ISERROR(IF(OR(ISBLANK($AS$106)), "", $AS$106/1000)), "", (IF(OR(ISBLANK($AS$106)), "", $AS$106/1000)))), IF(ISERROR(IF(OR(ISBLANK($AS$106)), "", $AS$106/1000)), "", (IF(OR(ISBLANK($AS$106)), "", $AS$106/1000))) = ""), 0.12,IF(ISERROR(IF(OR(ISBLANK($AS$106)), "", $AS$106/1000)), "", (IF(OR(ISBLANK($AS$106)), "", $AS$106/1000))))</f>
        <v>0.128</v>
      </c>
      <c r="AT67">
        <f>IF(OR(ISBLANK(IF(ISERROR(IF(OR(ISBLANK($AT$106)), "", $AT$106/1000)), "", (IF(OR(ISBLANK($AT$106)), "", $AT$106/1000)))), IF(ISERROR(IF(OR(ISBLANK($AT$106)), "", $AT$106/1000)), "", (IF(OR(ISBLANK($AT$106)), "", $AT$106/1000))) = ""), 0.246,IF(ISERROR(IF(OR(ISBLANK($AT$106)), "", $AT$106/1000)), "", (IF(OR(ISBLANK($AT$106)), "", $AT$106/1000))))</f>
        <v>0.158</v>
      </c>
      <c r="AU67">
        <f>IF(OR(ISBLANK(IF(ISERROR(IF(OR(ISBLANK($AU$106)), "", $AU$106/1000)), "", (IF(OR(ISBLANK($AU$106)), "", $AU$106/1000)))), IF(ISERROR(IF(OR(ISBLANK($AU$106)), "", $AU$106/1000)), "", (IF(OR(ISBLANK($AU$106)), "", $AU$106/1000))) = ""), 0.067,IF(ISERROR(IF(OR(ISBLANK($AU$106)), "", $AU$106/1000)), "", (IF(OR(ISBLANK($AU$106)), "", $AU$106/1000))))</f>
        <v>7.3999999999999996E-2</v>
      </c>
      <c r="AV67">
        <f>IF(OR(ISBLANK(IF(ISERROR(IF(OR(ISBLANK($AV$106)), "", $AV$106/1000)), "", (IF(OR(ISBLANK($AV$106)), "", $AV$106/1000)))), IF(ISERROR(IF(OR(ISBLANK($AV$106)), "", $AV$106/1000)), "", (IF(OR(ISBLANK($AV$106)), "", $AV$106/1000))) = ""), 2.249,IF(ISERROR(IF(OR(ISBLANK($AV$106)), "", $AV$106/1000)), "", (IF(OR(ISBLANK($AV$106)), "", $AV$106/1000))))</f>
        <v>0.18099999999999999</v>
      </c>
      <c r="AW67">
        <f>IF(OR(ISBLANK(IF(ISERROR(IF(OR(ISBLANK($AW$106)), "", $AW$106/1000)), "", (IF(OR(ISBLANK($AW$106)), "", $AW$106/1000)))), IF(ISERROR(IF(OR(ISBLANK($AW$106)), "", $AW$106/1000)), "", (IF(OR(ISBLANK($AW$106)), "", $AW$106/1000))) = ""), 0.131,IF(ISERROR(IF(OR(ISBLANK($AW$106)), "", $AW$106/1000)), "", (IF(OR(ISBLANK($AW$106)), "", $AW$106/1000))))</f>
        <v>0</v>
      </c>
      <c r="AX67">
        <f>IF(OR(ISBLANK(IF(ISERROR(IF(OR(ISBLANK($AX$106)), "", $AX$106/1000)), "", (IF(OR(ISBLANK($AX$106)), "", $AX$106/1000)))), IF(ISERROR(IF(OR(ISBLANK($AX$106)), "", $AX$106/1000)), "", (IF(OR(ISBLANK($AX$106)), "", $AX$106/1000))) = ""), 0.015,IF(ISERROR(IF(OR(ISBLANK($AX$106)), "", $AX$106/1000)), "", (IF(OR(ISBLANK($AX$106)), "", $AX$106/1000))))</f>
        <v>2E-3</v>
      </c>
      <c r="AY67">
        <f>IF(OR(ISBLANK(IF(ISERROR(IF(OR(ISBLANK($AY$106)), "", $AY$106/1000)), "", (IF(OR(ISBLANK($AY$106)), "", $AY$106/1000)))), IF(ISERROR(IF(OR(ISBLANK($AY$106)), "", $AY$106/1000)), "", (IF(OR(ISBLANK($AY$106)), "", $AY$106/1000))) = ""), 0.111,IF(ISERROR(IF(OR(ISBLANK($AY$106)), "", $AY$106/1000)), "", (IF(OR(ISBLANK($AY$106)), "", $AY$106/1000))))</f>
        <v>2.4E-2</v>
      </c>
      <c r="AZ67">
        <f>IF(OR(ISBLANK(IF(ISERROR(IF(OR(ISBLANK($AZ$106)), "", $AZ$106/1000)), "", (IF(OR(ISBLANK($AZ$106)), "", $AZ$106/1000)))), IF(ISERROR(IF(OR(ISBLANK($AZ$106)), "", $AZ$106/1000)), "", (IF(OR(ISBLANK($AZ$106)), "", $AZ$106/1000))) = ""), 0.212,IF(ISERROR(IF(OR(ISBLANK($AZ$106)), "", $AZ$106/1000)), "", (IF(OR(ISBLANK($AZ$106)), "", $AZ$106/1000))))</f>
        <v>0</v>
      </c>
      <c r="BA67">
        <f>IF(OR(ISBLANK(IF(ISERROR(IF(OR(ISBLANK($BA$106)), "", $BA$106/1000)), "", (IF(OR(ISBLANK($BA$106)), "", $BA$106/1000)))), IF(ISERROR(IF(OR(ISBLANK($BA$106)), "", $BA$106/1000)), "", (IF(OR(ISBLANK($BA$106)), "", $BA$106/1000))) = ""), 0.019,IF(ISERROR(IF(OR(ISBLANK($BA$106)), "", $BA$106/1000)), "", (IF(OR(ISBLANK($BA$106)), "", $BA$106/1000))))</f>
        <v>0</v>
      </c>
      <c r="BB67">
        <f>IF(OR(ISBLANK(IF(ISERROR(IF(OR(ISBLANK($BB$106)), "", $BB$106/1000)), "", (IF(OR(ISBLANK($BB$106)), "", $BB$106/1000)))), IF(ISERROR(IF(OR(ISBLANK($BB$106)), "", $BB$106/1000)), "", (IF(OR(ISBLANK($BB$106)), "", $BB$106/1000))) = ""), 0.729,IF(ISERROR(IF(OR(ISBLANK($BB$106)), "", $BB$106/1000)), "", (IF(OR(ISBLANK($BB$106)), "", $BB$106/1000))))</f>
        <v>0.314</v>
      </c>
      <c r="BC67">
        <f>IF(OR(ISBLANK(IF(ISERROR(IF(OR(ISBLANK($BC$106)), "", $BC$106/1000)), "", (IF(OR(ISBLANK($BC$106)), "", $BC$106/1000)))), IF(ISERROR(IF(OR(ISBLANK($BC$106)), "", $BC$106/1000)), "", (IF(OR(ISBLANK($BC$106)), "", $BC$106/1000))) = ""), 0.018,IF(ISERROR(IF(OR(ISBLANK($BC$106)), "", $BC$106/1000)), "", (IF(OR(ISBLANK($BC$106)), "", $BC$106/1000))))</f>
        <v>0.10100000000000001</v>
      </c>
      <c r="BD67">
        <f>IF(OR(ISBLANK(IF(ISERROR(IF(OR(ISBLANK($BD$106)), "", $BD$106/1000)), "", (IF(OR(ISBLANK($BD$106)), "", $BD$106/1000)))), IF(ISERROR(IF(OR(ISBLANK($BD$106)), "", $BD$106/1000)), "", (IF(OR(ISBLANK($BD$106)), "", $BD$106/1000))) = ""), 0.135,IF(ISERROR(IF(OR(ISBLANK($BD$106)), "", $BD$106/1000)), "", (IF(OR(ISBLANK($BD$106)), "", $BD$106/1000))))</f>
        <v>0.12</v>
      </c>
      <c r="BE67">
        <f>IF(OR(ISBLANK(IF(ISERROR(IF(OR(ISBLANK($BE$106)), "", $BE$106/1000)), "", (IF(OR(ISBLANK($BE$106)), "", $BE$106/1000)))), IF(ISERROR(IF(OR(ISBLANK($BE$106)), "", $BE$106/1000)), "", (IF(OR(ISBLANK($BE$106)), "", $BE$106/1000))) = ""), 0.438,IF(ISERROR(IF(OR(ISBLANK($BE$106)), "", $BE$106/1000)), "", (IF(OR(ISBLANK($BE$106)), "", $BE$106/1000))))</f>
        <v>0.246</v>
      </c>
      <c r="BF67">
        <f>IF(OR(ISBLANK(IF(ISERROR(IF(OR(ISBLANK($BF$106)), "", $BF$106/1000)), "", (IF(OR(ISBLANK($BF$106)), "", $BF$106/1000)))), IF(ISERROR(IF(OR(ISBLANK($BF$106)), "", $BF$106/1000)), "", (IF(OR(ISBLANK($BF$106)), "", $BF$106/1000))) = ""), 0.029,IF(ISERROR(IF(OR(ISBLANK($BF$106)), "", $BF$106/1000)), "", (IF(OR(ISBLANK($BF$106)), "", $BF$106/1000))))</f>
        <v>6.7000000000000004E-2</v>
      </c>
      <c r="BG67">
        <f>IF(OR(ISBLANK(IF(ISERROR(IF(OR(ISBLANK($BG$106)), "", $BG$106/1000)), "", (IF(OR(ISBLANK($BG$106)), "", $BG$106/1000)))), IF(ISERROR(IF(OR(ISBLANK($BG$106)), "", $BG$106/1000)), "", (IF(OR(ISBLANK($BG$106)), "", $BG$106/1000))) = ""), 3.545,IF(ISERROR(IF(OR(ISBLANK($BG$106)), "", $BG$106/1000)), "", (IF(OR(ISBLANK($BG$106)), "", $BG$106/1000))))</f>
        <v>2.2490000000000001</v>
      </c>
      <c r="BH67">
        <f>IF(OR(ISBLANK(IF(ISERROR(IF(OR(ISBLANK($BH$106)), "", $BH$106/1000)), "", (IF(OR(ISBLANK($BH$106)), "", $BH$106/1000)))), IF(ISERROR(IF(OR(ISBLANK($BH$106)), "", $BH$106/1000)), "", (IF(OR(ISBLANK($BH$106)), "", $BH$106/1000))) = ""), 0.206,IF(ISERROR(IF(OR(ISBLANK($BH$106)), "", $BH$106/1000)), "", (IF(OR(ISBLANK($BH$106)), "", $BH$106/1000))))</f>
        <v>0.13100000000000001</v>
      </c>
      <c r="BI67">
        <f>IF(OR(ISBLANK(IF(ISERROR(IF(OR(ISBLANK($BI$106)), "", $BI$106/1000)), "", (IF(OR(ISBLANK($BI$106)), "", $BI$106/1000)))), IF(ISERROR(IF(OR(ISBLANK($BI$106)), "", $BI$106/1000)), "", (IF(OR(ISBLANK($BI$106)), "", $BI$106/1000))) = ""), 1.063,IF(ISERROR(IF(OR(ISBLANK($BI$106)), "", $BI$106/1000)), "", (IF(OR(ISBLANK($BI$106)), "", $BI$106/1000))))</f>
        <v>1.4999999999999999E-2</v>
      </c>
      <c r="BJ67">
        <f>IF(OR(ISBLANK(IF(ISERROR(IF(OR(ISBLANK($BJ$106)), "", $BJ$106/1000)), "", (IF(OR(ISBLANK($BJ$106)), "", $BJ$106/1000)))), IF(ISERROR(IF(OR(ISBLANK($BJ$106)), "", $BJ$106/1000)), "", (IF(OR(ISBLANK($BJ$106)), "", $BJ$106/1000))) = ""), 0.024,IF(ISERROR(IF(OR(ISBLANK($BJ$106)), "", $BJ$106/1000)), "", (IF(OR(ISBLANK($BJ$106)), "", $BJ$106/1000))))</f>
        <v>0.111</v>
      </c>
      <c r="BK67">
        <f>IF(OR(ISBLANK(IF(ISERROR(IF(OR(ISBLANK($BK$106)), "", $BK$106/1000)), "", (IF(OR(ISBLANK($BK$106)), "", $BK$106/1000)))), IF(ISERROR(IF(OR(ISBLANK($BK$106)), "", $BK$106/1000)), "", (IF(OR(ISBLANK($BK$106)), "", $BK$106/1000))) = ""), 0.506,IF(ISERROR(IF(OR(ISBLANK($BK$106)), "", $BK$106/1000)), "", (IF(OR(ISBLANK($BK$106)), "", $BK$106/1000))))</f>
        <v>0.21199999999999999</v>
      </c>
      <c r="BL67">
        <f>IF(OR(ISBLANK(IF(ISERROR(IF(OR(ISBLANK($BL$106)), "", $BL$106/1000)), "", (IF(OR(ISBLANK($BL$106)), "", $BL$106/1000)))), IF(ISERROR(IF(OR(ISBLANK($BL$106)), "", $BL$106/1000)), "", (IF(OR(ISBLANK($BL$106)), "", $BL$106/1000))) = ""), 0.122,IF(ISERROR(IF(OR(ISBLANK($BL$106)), "", $BL$106/1000)), "", (IF(OR(ISBLANK($BL$106)), "", $BL$106/1000))))</f>
        <v>1.9E-2</v>
      </c>
      <c r="BM67">
        <f>IF(OR(ISBLANK(IF(ISERROR(IF(OR(ISBLANK($BM$106)), "", $BM$106/1000)), "", (IF(OR(ISBLANK($BM$106)), "", $BM$106/1000)))), IF(ISERROR(IF(OR(ISBLANK($BM$106)), "", $BM$106/1000)), "", (IF(OR(ISBLANK($BM$106)), "", $BM$106/1000))) = ""), 1.197,IF(ISERROR(IF(OR(ISBLANK($BM$106)), "", $BM$106/1000)), "", (IF(OR(ISBLANK($BM$106)), "", $BM$106/1000))))</f>
        <v>0.72899999999999998</v>
      </c>
      <c r="BN67">
        <f>IF(OR(ISBLANK(IF(ISERROR(IF(OR(ISBLANK($BN$106)), "", $BN$106/1000)), "", (IF(OR(ISBLANK($BN$106)), "", $BN$106/1000)))), IF(ISERROR(IF(OR(ISBLANK($BN$106)), "", $BN$106/1000)), "", (IF(OR(ISBLANK($BN$106)), "", $BN$106/1000))) = ""), 1.881,IF(ISERROR(IF(OR(ISBLANK($BN$106)), "", $BN$106/1000)), "", (IF(OR(ISBLANK($BN$106)), "", $BN$106/1000))))</f>
        <v>1.7999999999999999E-2</v>
      </c>
      <c r="BO67">
        <f>IF(OR(ISBLANK(IF(ISERROR(IF(OR(ISBLANK($BO$106)), "", $BO$106/1000)), "", (IF(OR(ISBLANK($BO$106)), "", $BO$106/1000)))), IF(ISERROR(IF(OR(ISBLANK($BO$106)), "", $BO$106/1000)), "", (IF(OR(ISBLANK($BO$106)), "", $BO$106/1000))) = ""), 0.005,IF(ISERROR(IF(OR(ISBLANK($BO$106)), "", $BO$106/1000)), "", (IF(OR(ISBLANK($BO$106)), "", $BO$106/1000))))</f>
        <v>0.13500000000000001</v>
      </c>
      <c r="BP67">
        <f>IF(OR(ISBLANK(IF(ISERROR(IF(OR(ISBLANK($BP$106)), "", $BP$106/1000)), "", (IF(OR(ISBLANK($BP$106)), "", $BP$106/1000)))), IF(ISERROR(IF(OR(ISBLANK($BP$106)), "", $BP$106/1000)), "", (IF(OR(ISBLANK($BP$106)), "", $BP$106/1000))) = ""), 0.051,IF(ISERROR(IF(OR(ISBLANK($BP$106)), "", $BP$106/1000)), "", (IF(OR(ISBLANK($BP$106)), "", $BP$106/1000))))</f>
        <v>0.438</v>
      </c>
      <c r="BQ67">
        <f>IF(OR(ISBLANK(IF(ISERROR(IF(OR(ISBLANK($BQ$106)), "", $BQ$106/1000)), "", (IF(OR(ISBLANK($BQ$106)), "", $BQ$106/1000)))), IF(ISERROR(IF(OR(ISBLANK($BQ$106)), "", $BQ$106/1000)), "", (IF(OR(ISBLANK($BQ$106)), "", $BQ$106/1000))) = ""), 0.575,IF(ISERROR(IF(OR(ISBLANK($BQ$106)), "", $BQ$106/1000)), "", (IF(OR(ISBLANK($BQ$106)), "", $BQ$106/1000))))</f>
        <v>2.9000000000000001E-2</v>
      </c>
      <c r="BR67">
        <f>IF(OR(ISBLANK(IF(ISERROR(IF(OR(ISBLANK($BR$106)), "", $BR$106/1000)), "", (IF(OR(ISBLANK($BR$106)), "", $BR$106/1000)))), IF(ISERROR(IF(OR(ISBLANK($BR$106)), "", $BR$106/1000)), "", (IF(OR(ISBLANK($BR$106)), "", $BR$106/1000))) = ""), 0.019,IF(ISERROR(IF(OR(ISBLANK($BR$106)), "", $BR$106/1000)), "", (IF(OR(ISBLANK($BR$106)), "", $BR$106/1000))))</f>
        <v>3.5449999999999999</v>
      </c>
      <c r="BS67">
        <f>IF(OR(ISBLANK(IF(ISERROR(IF(OR(ISBLANK($BS$106)), "", $BS$106/1000)), "", (IF(OR(ISBLANK($BS$106)), "", $BS$106/1000)))), IF(ISERROR(IF(OR(ISBLANK($BS$106)), "", $BS$106/1000)), "", (IF(OR(ISBLANK($BS$106)), "", $BS$106/1000))) = ""), 1.507,IF(ISERROR(IF(OR(ISBLANK($BS$106)), "", $BS$106/1000)), "", (IF(OR(ISBLANK($BS$106)), "", $BS$106/1000))))</f>
        <v>0.20599999999999999</v>
      </c>
      <c r="BT67">
        <f>IF(OR(ISBLANK(IF(ISERROR(IF(OR(ISBLANK($BT$106)), "", $BT$106/1000)), "", (IF(OR(ISBLANK($BT$106)), "", $BT$106/1000)))), IF(ISERROR(IF(OR(ISBLANK($BT$106)), "", $BT$106/1000)), "", (IF(OR(ISBLANK($BT$106)), "", $BT$106/1000))) = ""), 0.212,IF(ISERROR(IF(OR(ISBLANK($BT$106)), "", $BT$106/1000)), "", (IF(OR(ISBLANK($BT$106)), "", $BT$106/1000))))</f>
        <v>1.0629999999999999</v>
      </c>
      <c r="BU67">
        <f>IF(OR(ISBLANK(IF(ISERROR(IF(OR(ISBLANK($BU$106)), "", $BU$106/1000)), "", (IF(OR(ISBLANK($BU$106)), "", $BU$106/1000)))), IF(ISERROR(IF(OR(ISBLANK($BU$106)), "", $BU$106/1000)), "", (IF(OR(ISBLANK($BU$106)), "", $BU$106/1000))) = ""), 0.012,IF(ISERROR(IF(OR(ISBLANK($BU$106)), "", $BU$106/1000)), "", (IF(OR(ISBLANK($BU$106)), "", $BU$106/1000))))</f>
        <v>2.4E-2</v>
      </c>
      <c r="BV67">
        <f>IF(OR(ISBLANK(IF(ISERROR(IF(OR(ISBLANK($BV$106)), "", $BV$106/1000)), "", (IF(OR(ISBLANK($BV$106)), "", $BV$106/1000)))), IF(ISERROR(IF(OR(ISBLANK($BV$106)), "", $BV$106/1000)), "", (IF(OR(ISBLANK($BV$106)), "", $BV$106/1000))) = ""), 0.015,IF(ISERROR(IF(OR(ISBLANK($BV$106)), "", $BV$106/1000)), "", (IF(OR(ISBLANK($BV$106)), "", $BV$106/1000))))</f>
        <v>0.50600000000000001</v>
      </c>
      <c r="BW67">
        <f>IF(OR(ISBLANK(IF(ISERROR(IF(OR(ISBLANK($BW$106)), "", $BW$106/1000)), "", (IF(OR(ISBLANK($BW$106)), "", $BW$106/1000)))), IF(ISERROR(IF(OR(ISBLANK($BW$106)), "", $BW$106/1000)), "", (IF(OR(ISBLANK($BW$106)), "", $BW$106/1000))) = ""), 0.486,IF(ISERROR(IF(OR(ISBLANK($BW$106)), "", $BW$106/1000)), "", (IF(OR(ISBLANK($BW$106)), "", $BW$106/1000))))</f>
        <v>0.122</v>
      </c>
      <c r="BX67">
        <f>IF(OR(ISBLANK(IF(ISERROR(IF(OR(ISBLANK($BX$106)), "", $BX$106/1000)), "", (IF(OR(ISBLANK($BX$106)), "", $BX$106/1000)))), IF(ISERROR(IF(OR(ISBLANK($BX$106)), "", $BX$106/1000)), "", (IF(OR(ISBLANK($BX$106)), "", $BX$106/1000))) = ""), 0.001,IF(ISERROR(IF(OR(ISBLANK($BX$106)), "", $BX$106/1000)), "", (IF(OR(ISBLANK($BX$106)), "", $BX$106/1000))))</f>
        <v>1.1970000000000001</v>
      </c>
      <c r="BY67">
        <f>IF(OR(ISBLANK(IF(ISERROR(IF(OR(ISBLANK($BY$106)), "", $BY$106/1000)), "", (IF(OR(ISBLANK($BY$106)), "", $BY$106/1000)))), IF(ISERROR(IF(OR(ISBLANK($BY$106)), "", $BY$106/1000)), "", (IF(OR(ISBLANK($BY$106)), "", $BY$106/1000))) = ""), 1.781,IF(ISERROR(IF(OR(ISBLANK($BY$106)), "", $BY$106/1000)), "", (IF(OR(ISBLANK($BY$106)), "", $BY$106/1000))))</f>
        <v>1.881</v>
      </c>
      <c r="BZ67">
        <f>IF(OR(ISBLANK(IF(ISERROR(IF(OR(ISBLANK($BZ$106)), "", $BZ$106/1000)), "", (IF(OR(ISBLANK($BZ$106)), "", $BZ$106/1000)))), IF(ISERROR(IF(OR(ISBLANK($BZ$106)), "", $BZ$106/1000)), "", (IF(OR(ISBLANK($BZ$106)), "", $BZ$106/1000))) = ""), 0,IF(ISERROR(IF(OR(ISBLANK($BZ$106)), "", $BZ$106/1000)), "", (IF(OR(ISBLANK($BZ$106)), "", $BZ$106/1000))))</f>
        <v>5.0000000000000001E-3</v>
      </c>
      <c r="CA67">
        <f>IF(OR(ISBLANK(IF(ISERROR(IF(OR(ISBLANK($CA$106)), "", $CA$106/1000)), "", (IF(OR(ISBLANK($CA$106)), "", $CA$106/1000)))), IF(ISERROR(IF(OR(ISBLANK($CA$106)), "", $CA$106/1000)), "", (IF(OR(ISBLANK($CA$106)), "", $CA$106/1000))) = ""), 0.007,IF(ISERROR(IF(OR(ISBLANK($CA$106)), "", $CA$106/1000)), "", (IF(OR(ISBLANK($CA$106)), "", $CA$106/1000))))</f>
        <v>5.0999999999999997E-2</v>
      </c>
      <c r="CB67">
        <f>IF(OR(ISBLANK(IF(ISERROR(IF(OR(ISBLANK($CB$106)), "", $CB$106/1000)), "", (IF(OR(ISBLANK($CB$106)), "", $CB$106/1000)))), IF(ISERROR(IF(OR(ISBLANK($CB$106)), "", $CB$106/1000)), "", (IF(OR(ISBLANK($CB$106)), "", $CB$106/1000))) = ""), 0.002,IF(ISERROR(IF(OR(ISBLANK($CB$106)), "", $CB$106/1000)), "", (IF(OR(ISBLANK($CB$106)), "", $CB$106/1000))))</f>
        <v>0.57499999999999996</v>
      </c>
      <c r="CC67">
        <f>IF(OR(ISBLANK(IF(ISERROR(IF(OR(ISBLANK($CC$106)), "", $CC$106/1000)), "", (IF(OR(ISBLANK($CC$106)), "", $CC$106/1000)))), IF(ISERROR(IF(OR(ISBLANK($CC$106)), "", $CC$106/1000)), "", (IF(OR(ISBLANK($CC$106)), "", $CC$106/1000))) = ""), 1.032,IF(ISERROR(IF(OR(ISBLANK($CC$106)), "", $CC$106/1000)), "", (IF(OR(ISBLANK($CC$106)), "", $CC$106/1000))))</f>
        <v>1.9E-2</v>
      </c>
      <c r="CD67">
        <f>IF(OR(ISBLANK(IF(ISERROR(IF(OR(ISBLANK($CD$106)), "", $CD$106/1000)), "", (IF(OR(ISBLANK($CD$106)), "", $CD$106/1000)))), IF(ISERROR(IF(OR(ISBLANK($CD$106)), "", $CD$106/1000)), "", (IF(OR(ISBLANK($CD$106)), "", $CD$106/1000))) = ""), 0.151,IF(ISERROR(IF(OR(ISBLANK($CD$106)), "", $CD$106/1000)), "", (IF(OR(ISBLANK($CD$106)), "", $CD$106/1000))))</f>
        <v>1.5069999999999999</v>
      </c>
      <c r="CE67">
        <f>IF(OR(ISBLANK(IF(ISERROR(IF(OR(ISBLANK($CE$106)), "", $CE$106/1000)), "", (IF(OR(ISBLANK($CE$106)), "", $CE$106/1000)))), IF(ISERROR(IF(OR(ISBLANK($CE$106)), "", $CE$106/1000)), "", (IF(OR(ISBLANK($CE$106)), "", $CE$106/1000))) = ""), 0.127,IF(ISERROR(IF(OR(ISBLANK($CE$106)), "", $CE$106/1000)), "", (IF(OR(ISBLANK($CE$106)), "", $CE$106/1000))))</f>
        <v>0.21199999999999999</v>
      </c>
      <c r="CF67">
        <f>IF(OR(ISBLANK(IF(ISERROR(IF(OR(ISBLANK($CF$106)), "", $CF$106/1000)), "", (IF(OR(ISBLANK($CF$106)), "", $CF$106/1000)))), IF(ISERROR(IF(OR(ISBLANK($CF$106)), "", $CF$106/1000)), "", (IF(OR(ISBLANK($CF$106)), "", $CF$106/1000))) = ""), 3.362,IF(ISERROR(IF(OR(ISBLANK($CF$106)), "", $CF$106/1000)), "", (IF(OR(ISBLANK($CF$106)), "", $CF$106/1000))))</f>
        <v>1.2E-2</v>
      </c>
      <c r="CG67">
        <f>IF(OR(ISBLANK(IF(ISERROR(IF(OR(ISBLANK($CG$106)), "", $CG$106/1000)), "", (IF(OR(ISBLANK($CG$106)), "", $CG$106/1000)))), IF(ISERROR(IF(OR(ISBLANK($CG$106)), "", $CG$106/1000)), "", (IF(OR(ISBLANK($CG$106)), "", $CG$106/1000))) = ""), 13.871,IF(ISERROR(IF(OR(ISBLANK($CG$106)), "", $CG$106/1000)), "", (IF(OR(ISBLANK($CG$106)), "", $CG$106/1000))))</f>
        <v>1.4999999999999999E-2</v>
      </c>
    </row>
    <row r="68" spans="1:85" x14ac:dyDescent="0.25">
      <c r="A68" t="str">
        <f>"    Net Liquidity Effect from Autonomous Factors and SMP"</f>
        <v xml:space="preserve">    Net Liquidity Effect from Autonomous Factors and SMP</v>
      </c>
      <c r="B68" t="str">
        <f>"ECBLALIQ Index"</f>
        <v>ECBLALIQ Index</v>
      </c>
      <c r="C68" t="str">
        <f>""</f>
        <v/>
      </c>
      <c r="D68" t="str">
        <f>""</f>
        <v/>
      </c>
      <c r="E68" t="str">
        <f t="shared" si="3"/>
        <v>Expression</v>
      </c>
      <c r="F68" t="str">
        <f ca="1">IF(OR(ISBLANK(IF(ISERROR(IF(OR(ISBLANK($F$107)), "", $F$107/1000)), "", (IF(OR(ISBLANK($F$107)), "", $F$107/1000)))), IF(ISERROR(IF(OR(ISBLANK($F$107)), "", $F$107/1000)), "", (IF(OR(ISBLANK($F$107)), "", $F$107/1000))) = ""), "",IF(ISERROR(IF(OR(ISBLANK($F$107)), "", $F$107/1000)), "", (IF(OR(ISBLANK($F$107)), "", $F$107/1000))))</f>
        <v/>
      </c>
      <c r="G68">
        <f>IF(OR(ISBLANK(IF(ISERROR(IF(OR(ISBLANK($G$107)), "", $G$107/1000)), "", (IF(OR(ISBLANK($G$107)), "", $G$107/1000)))), IF(ISERROR(IF(OR(ISBLANK($G$107)), "", $G$107/1000)), "", (IF(OR(ISBLANK($G$107)), "", $G$107/1000))) = ""), 376.554,IF(ISERROR(IF(OR(ISBLANK($G$107)), "", $G$107/1000)), "", (IF(OR(ISBLANK($G$107)), "", $G$107/1000))))</f>
        <v>319.053</v>
      </c>
      <c r="H68">
        <f>IF(OR(ISBLANK(IF(ISERROR(IF(OR(ISBLANK($H$107)), "", $H$107/1000)), "", (IF(OR(ISBLANK($H$107)), "", $H$107/1000)))), IF(ISERROR(IF(OR(ISBLANK($H$107)), "", $H$107/1000)), "", (IF(OR(ISBLANK($H$107)), "", $H$107/1000))) = ""), 331.757,IF(ISERROR(IF(OR(ISBLANK($H$107)), "", $H$107/1000)), "", (IF(OR(ISBLANK($H$107)), "", $H$107/1000))))</f>
        <v>310.67399999999998</v>
      </c>
      <c r="I68">
        <f>IF(OR(ISBLANK(IF(ISERROR(IF(OR(ISBLANK($I$107)), "", $I$107/1000)), "", (IF(OR(ISBLANK($I$107)), "", $I$107/1000)))), IF(ISERROR(IF(OR(ISBLANK($I$107)), "", $I$107/1000)), "", (IF(OR(ISBLANK($I$107)), "", $I$107/1000))) = ""), 359.744,IF(ISERROR(IF(OR(ISBLANK($I$107)), "", $I$107/1000)), "", (IF(OR(ISBLANK($I$107)), "", $I$107/1000))))</f>
        <v>313.45400000000001</v>
      </c>
      <c r="J68">
        <f>IF(OR(ISBLANK(IF(ISERROR(IF(OR(ISBLANK($J$107)), "", $J$107/1000)), "", (IF(OR(ISBLANK($J$107)), "", $J$107/1000)))), IF(ISERROR(IF(OR(ISBLANK($J$107)), "", $J$107/1000)), "", (IF(OR(ISBLANK($J$107)), "", $J$107/1000))) = ""), 378.291,IF(ISERROR(IF(OR(ISBLANK($J$107)), "", $J$107/1000)), "", (IF(OR(ISBLANK($J$107)), "", $J$107/1000))))</f>
        <v>306.279</v>
      </c>
      <c r="K68">
        <f>IF(OR(ISBLANK(IF(ISERROR(IF(OR(ISBLANK($K$107)), "", $K$107/1000)), "", (IF(OR(ISBLANK($K$107)), "", $K$107/1000)))), IF(ISERROR(IF(OR(ISBLANK($K$107)), "", $K$107/1000)), "", (IF(OR(ISBLANK($K$107)), "", $K$107/1000))) = ""), 362.386,IF(ISERROR(IF(OR(ISBLANK($K$107)), "", $K$107/1000)), "", (IF(OR(ISBLANK($K$107)), "", $K$107/1000))))</f>
        <v>316.00900000000001</v>
      </c>
      <c r="L68">
        <f>IF(OR(ISBLANK(IF(ISERROR(IF(OR(ISBLANK($L$107)), "", $L$107/1000)), "", (IF(OR(ISBLANK($L$107)), "", $L$107/1000)))), IF(ISERROR(IF(OR(ISBLANK($L$107)), "", $L$107/1000)), "", (IF(OR(ISBLANK($L$107)), "", $L$107/1000))) = ""), 340.428,IF(ISERROR(IF(OR(ISBLANK($L$107)), "", $L$107/1000)), "", (IF(OR(ISBLANK($L$107)), "", $L$107/1000))))</f>
        <v>316.41699999999997</v>
      </c>
      <c r="M68">
        <f>IF(OR(ISBLANK(IF(ISERROR(IF(OR(ISBLANK($M$107)), "", $M$107/1000)), "", (IF(OR(ISBLANK($M$107)), "", $M$107/1000)))), IF(ISERROR(IF(OR(ISBLANK($M$107)), "", $M$107/1000)), "", (IF(OR(ISBLANK($M$107)), "", $M$107/1000))) = ""), 345.092,IF(ISERROR(IF(OR(ISBLANK($M$107)), "", $M$107/1000)), "", (IF(OR(ISBLANK($M$107)), "", $M$107/1000))))</f>
        <v>337.27100000000002</v>
      </c>
      <c r="N68">
        <f>IF(OR(ISBLANK(IF(ISERROR(IF(OR(ISBLANK($N$107)), "", $N$107/1000)), "", (IF(OR(ISBLANK($N$107)), "", $N$107/1000)))), IF(ISERROR(IF(OR(ISBLANK($N$107)), "", $N$107/1000)), "", (IF(OR(ISBLANK($N$107)), "", $N$107/1000))) = ""), 357.296,IF(ISERROR(IF(OR(ISBLANK($N$107)), "", $N$107/1000)), "", (IF(OR(ISBLANK($N$107)), "", $N$107/1000))))</f>
        <v>345.68</v>
      </c>
      <c r="O68">
        <f>IF(OR(ISBLANK(IF(ISERROR(IF(OR(ISBLANK($O$107)), "", $O$107/1000)), "", (IF(OR(ISBLANK($O$107)), "", $O$107/1000)))), IF(ISERROR(IF(OR(ISBLANK($O$107)), "", $O$107/1000)), "", (IF(OR(ISBLANK($O$107)), "", $O$107/1000))) = ""), 333.416,IF(ISERROR(IF(OR(ISBLANK($O$107)), "", $O$107/1000)), "", (IF(OR(ISBLANK($O$107)), "", $O$107/1000))))</f>
        <v>351.279</v>
      </c>
      <c r="P68">
        <f>IF(OR(ISBLANK(IF(ISERROR(IF(OR(ISBLANK($P$107)), "", $P$107/1000)), "", (IF(OR(ISBLANK($P$107)), "", $P$107/1000)))), IF(ISERROR(IF(OR(ISBLANK($P$107)), "", $P$107/1000)), "", (IF(OR(ISBLANK($P$107)), "", $P$107/1000))) = ""), 302.117,IF(ISERROR(IF(OR(ISBLANK($P$107)), "", $P$107/1000)), "", (IF(OR(ISBLANK($P$107)), "", $P$107/1000))))</f>
        <v>353.27600000000001</v>
      </c>
      <c r="Q68">
        <f>IF(OR(ISBLANK(IF(ISERROR(IF(OR(ISBLANK($Q$107)), "", $Q$107/1000)), "", (IF(OR(ISBLANK($Q$107)), "", $Q$107/1000)))), IF(ISERROR(IF(OR(ISBLANK($Q$107)), "", $Q$107/1000)), "", (IF(OR(ISBLANK($Q$107)), "", $Q$107/1000))) = ""), 297.015,IF(ISERROR(IF(OR(ISBLANK($Q$107)), "", $Q$107/1000)), "", (IF(OR(ISBLANK($Q$107)), "", $Q$107/1000))))</f>
        <v>374.529</v>
      </c>
      <c r="R68">
        <f>IF(OR(ISBLANK(IF(ISERROR(IF(OR(ISBLANK($R$107)), "", $R$107/1000)), "", (IF(OR(ISBLANK($R$107)), "", $R$107/1000)))), IF(ISERROR(IF(OR(ISBLANK($R$107)), "", $R$107/1000)), "", (IF(OR(ISBLANK($R$107)), "", $R$107/1000))) = ""), 297.405,IF(ISERROR(IF(OR(ISBLANK($R$107)), "", $R$107/1000)), "", (IF(OR(ISBLANK($R$107)), "", $R$107/1000))))</f>
        <v>376.55399999999997</v>
      </c>
      <c r="S68">
        <f>IF(OR(ISBLANK(IF(ISERROR(IF(OR(ISBLANK($S$107)), "", $S$107/1000)), "", (IF(OR(ISBLANK($S$107)), "", $S$107/1000)))), IF(ISERROR(IF(OR(ISBLANK($S$107)), "", $S$107/1000)), "", (IF(OR(ISBLANK($S$107)), "", $S$107/1000))) = ""), 310.505,IF(ISERROR(IF(OR(ISBLANK($S$107)), "", $S$107/1000)), "", (IF(OR(ISBLANK($S$107)), "", $S$107/1000))))</f>
        <v>331.75700000000001</v>
      </c>
      <c r="T68">
        <f>IF(OR(ISBLANK(IF(ISERROR(IF(OR(ISBLANK($T$107)), "", $T$107/1000)), "", (IF(OR(ISBLANK($T$107)), "", $T$107/1000)))), IF(ISERROR(IF(OR(ISBLANK($T$107)), "", $T$107/1000)), "", (IF(OR(ISBLANK($T$107)), "", $T$107/1000))) = ""), 291.705,IF(ISERROR(IF(OR(ISBLANK($T$107)), "", $T$107/1000)), "", (IF(OR(ISBLANK($T$107)), "", $T$107/1000))))</f>
        <v>359.74400000000003</v>
      </c>
      <c r="U68">
        <f>IF(OR(ISBLANK(IF(ISERROR(IF(OR(ISBLANK($U$107)), "", $U$107/1000)), "", (IF(OR(ISBLANK($U$107)), "", $U$107/1000)))), IF(ISERROR(IF(OR(ISBLANK($U$107)), "", $U$107/1000)), "", (IF(OR(ISBLANK($U$107)), "", $U$107/1000))) = ""), 276.261,IF(ISERROR(IF(OR(ISBLANK($U$107)), "", $U$107/1000)), "", (IF(OR(ISBLANK($U$107)), "", $U$107/1000))))</f>
        <v>378.291</v>
      </c>
      <c r="V68">
        <f>IF(OR(ISBLANK(IF(ISERROR(IF(OR(ISBLANK($V$107)), "", $V$107/1000)), "", (IF(OR(ISBLANK($V$107)), "", $V$107/1000)))), IF(ISERROR(IF(OR(ISBLANK($V$107)), "", $V$107/1000)), "", (IF(OR(ISBLANK($V$107)), "", $V$107/1000))) = ""), 314.048,IF(ISERROR(IF(OR(ISBLANK($V$107)), "", $V$107/1000)), "", (IF(OR(ISBLANK($V$107)), "", $V$107/1000))))</f>
        <v>362.38600000000002</v>
      </c>
      <c r="W68">
        <f>IF(OR(ISBLANK(IF(ISERROR(IF(OR(ISBLANK($W$107)), "", $W$107/1000)), "", (IF(OR(ISBLANK($W$107)), "", $W$107/1000)))), IF(ISERROR(IF(OR(ISBLANK($W$107)), "", $W$107/1000)), "", (IF(OR(ISBLANK($W$107)), "", $W$107/1000))) = ""), 325.828,IF(ISERROR(IF(OR(ISBLANK($W$107)), "", $W$107/1000)), "", (IF(OR(ISBLANK($W$107)), "", $W$107/1000))))</f>
        <v>340.428</v>
      </c>
      <c r="X68">
        <f>IF(OR(ISBLANK(IF(ISERROR(IF(OR(ISBLANK($X$107)), "", $X$107/1000)), "", (IF(OR(ISBLANK($X$107)), "", $X$107/1000)))), IF(ISERROR(IF(OR(ISBLANK($X$107)), "", $X$107/1000)), "", (IF(OR(ISBLANK($X$107)), "", $X$107/1000))) = ""), 315.086,IF(ISERROR(IF(OR(ISBLANK($X$107)), "", $X$107/1000)), "", (IF(OR(ISBLANK($X$107)), "", $X$107/1000))))</f>
        <v>345.09199999999998</v>
      </c>
      <c r="Y68">
        <f>IF(OR(ISBLANK(IF(ISERROR(IF(OR(ISBLANK($Y$107)), "", $Y$107/1000)), "", (IF(OR(ISBLANK($Y$107)), "", $Y$107/1000)))), IF(ISERROR(IF(OR(ISBLANK($Y$107)), "", $Y$107/1000)), "", (IF(OR(ISBLANK($Y$107)), "", $Y$107/1000))) = ""), 291.695,IF(ISERROR(IF(OR(ISBLANK($Y$107)), "", $Y$107/1000)), "", (IF(OR(ISBLANK($Y$107)), "", $Y$107/1000))))</f>
        <v>357.29599999999999</v>
      </c>
      <c r="Z68">
        <f>IF(OR(ISBLANK(IF(ISERROR(IF(OR(ISBLANK($Z$107)), "", $Z$107/1000)), "", (IF(OR(ISBLANK($Z$107)), "", $Z$107/1000)))), IF(ISERROR(IF(OR(ISBLANK($Z$107)), "", $Z$107/1000)), "", (IF(OR(ISBLANK($Z$107)), "", $Z$107/1000))) = ""), 302.993,IF(ISERROR(IF(OR(ISBLANK($Z$107)), "", $Z$107/1000)), "", (IF(OR(ISBLANK($Z$107)), "", $Z$107/1000))))</f>
        <v>333.416</v>
      </c>
      <c r="AA68">
        <f>IF(OR(ISBLANK(IF(ISERROR(IF(OR(ISBLANK($AA$107)), "", $AA$107/1000)), "", (IF(OR(ISBLANK($AA$107)), "", $AA$107/1000)))), IF(ISERROR(IF(OR(ISBLANK($AA$107)), "", $AA$107/1000)), "", (IF(OR(ISBLANK($AA$107)), "", $AA$107/1000))) = ""), 324.573,IF(ISERROR(IF(OR(ISBLANK($AA$107)), "", $AA$107/1000)), "", (IF(OR(ISBLANK($AA$107)), "", $AA$107/1000))))</f>
        <v>302.11700000000002</v>
      </c>
      <c r="AB68">
        <f>IF(OR(ISBLANK(IF(ISERROR(IF(OR(ISBLANK($AB$107)), "", $AB$107/1000)), "", (IF(OR(ISBLANK($AB$107)), "", $AB$107/1000)))), IF(ISERROR(IF(OR(ISBLANK($AB$107)), "", $AB$107/1000)), "", (IF(OR(ISBLANK($AB$107)), "", $AB$107/1000))) = ""), 325.325,IF(ISERROR(IF(OR(ISBLANK($AB$107)), "", $AB$107/1000)), "", (IF(OR(ISBLANK($AB$107)), "", $AB$107/1000))))</f>
        <v>297.01499999999999</v>
      </c>
      <c r="AC68">
        <f>IF(OR(ISBLANK(IF(ISERROR(IF(OR(ISBLANK($AC$107)), "", $AC$107/1000)), "", (IF(OR(ISBLANK($AC$107)), "", $AC$107/1000)))), IF(ISERROR(IF(OR(ISBLANK($AC$107)), "", $AC$107/1000)), "", (IF(OR(ISBLANK($AC$107)), "", $AC$107/1000))) = ""), 311.245,IF(ISERROR(IF(OR(ISBLANK($AC$107)), "", $AC$107/1000)), "", (IF(OR(ISBLANK($AC$107)), "", $AC$107/1000))))</f>
        <v>297.40499999999997</v>
      </c>
      <c r="AD68">
        <f>IF(OR(ISBLANK(IF(ISERROR(IF(OR(ISBLANK($AD$107)), "", $AD$107/1000)), "", (IF(OR(ISBLANK($AD$107)), "", $AD$107/1000)))), IF(ISERROR(IF(OR(ISBLANK($AD$107)), "", $AD$107/1000)), "", (IF(OR(ISBLANK($AD$107)), "", $AD$107/1000))) = ""), 311.827,IF(ISERROR(IF(OR(ISBLANK($AD$107)), "", $AD$107/1000)), "", (IF(OR(ISBLANK($AD$107)), "", $AD$107/1000))))</f>
        <v>310.505</v>
      </c>
      <c r="AE68">
        <f>IF(OR(ISBLANK(IF(ISERROR(IF(OR(ISBLANK($AE$107)), "", $AE$107/1000)), "", (IF(OR(ISBLANK($AE$107)), "", $AE$107/1000)))), IF(ISERROR(IF(OR(ISBLANK($AE$107)), "", $AE$107/1000)), "", (IF(OR(ISBLANK($AE$107)), "", $AE$107/1000))) = ""), 317.353,IF(ISERROR(IF(OR(ISBLANK($AE$107)), "", $AE$107/1000)), "", (IF(OR(ISBLANK($AE$107)), "", $AE$107/1000))))</f>
        <v>291.70499999999998</v>
      </c>
      <c r="AF68">
        <f>IF(OR(ISBLANK(IF(ISERROR(IF(OR(ISBLANK($AF$107)), "", $AF$107/1000)), "", (IF(OR(ISBLANK($AF$107)), "", $AF$107/1000)))), IF(ISERROR(IF(OR(ISBLANK($AF$107)), "", $AF$107/1000)), "", (IF(OR(ISBLANK($AF$107)), "", $AF$107/1000))) = ""), 330.681,IF(ISERROR(IF(OR(ISBLANK($AF$107)), "", $AF$107/1000)), "", (IF(OR(ISBLANK($AF$107)), "", $AF$107/1000))))</f>
        <v>276.26100000000002</v>
      </c>
      <c r="AG68">
        <f>IF(OR(ISBLANK(IF(ISERROR(IF(OR(ISBLANK($AG$107)), "", $AG$107/1000)), "", (IF(OR(ISBLANK($AG$107)), "", $AG$107/1000)))), IF(ISERROR(IF(OR(ISBLANK($AG$107)), "", $AG$107/1000)), "", (IF(OR(ISBLANK($AG$107)), "", $AG$107/1000))) = ""), 318.757,IF(ISERROR(IF(OR(ISBLANK($AG$107)), "", $AG$107/1000)), "", (IF(OR(ISBLANK($AG$107)), "", $AG$107/1000))))</f>
        <v>314.048</v>
      </c>
      <c r="AH68">
        <f>IF(OR(ISBLANK(IF(ISERROR(IF(OR(ISBLANK($AH$107)), "", $AH$107/1000)), "", (IF(OR(ISBLANK($AH$107)), "", $AH$107/1000)))), IF(ISERROR(IF(OR(ISBLANK($AH$107)), "", $AH$107/1000)), "", (IF(OR(ISBLANK($AH$107)), "", $AH$107/1000))) = ""), 324.175,IF(ISERROR(IF(OR(ISBLANK($AH$107)), "", $AH$107/1000)), "", (IF(OR(ISBLANK($AH$107)), "", $AH$107/1000))))</f>
        <v>325.82799999999997</v>
      </c>
      <c r="AI68">
        <f>IF(OR(ISBLANK(IF(ISERROR(IF(OR(ISBLANK($AI$107)), "", $AI$107/1000)), "", (IF(OR(ISBLANK($AI$107)), "", $AI$107/1000)))), IF(ISERROR(IF(OR(ISBLANK($AI$107)), "", $AI$107/1000)), "", (IF(OR(ISBLANK($AI$107)), "", $AI$107/1000))) = ""), 324.862,IF(ISERROR(IF(OR(ISBLANK($AI$107)), "", $AI$107/1000)), "", (IF(OR(ISBLANK($AI$107)), "", $AI$107/1000))))</f>
        <v>315.08600000000001</v>
      </c>
      <c r="AJ68">
        <f>IF(OR(ISBLANK(IF(ISERROR(IF(OR(ISBLANK($AJ$107)), "", $AJ$107/1000)), "", (IF(OR(ISBLANK($AJ$107)), "", $AJ$107/1000)))), IF(ISERROR(IF(OR(ISBLANK($AJ$107)), "", $AJ$107/1000)), "", (IF(OR(ISBLANK($AJ$107)), "", $AJ$107/1000))) = ""), 346.976,IF(ISERROR(IF(OR(ISBLANK($AJ$107)), "", $AJ$107/1000)), "", (IF(OR(ISBLANK($AJ$107)), "", $AJ$107/1000))))</f>
        <v>291.69499999999999</v>
      </c>
      <c r="AK68">
        <f>IF(OR(ISBLANK(IF(ISERROR(IF(OR(ISBLANK($AK$107)), "", $AK$107/1000)), "", (IF(OR(ISBLANK($AK$107)), "", $AK$107/1000)))), IF(ISERROR(IF(OR(ISBLANK($AK$107)), "", $AK$107/1000)), "", (IF(OR(ISBLANK($AK$107)), "", $AK$107/1000))) = ""), 328.962,IF(ISERROR(IF(OR(ISBLANK($AK$107)), "", $AK$107/1000)), "", (IF(OR(ISBLANK($AK$107)), "", $AK$107/1000))))</f>
        <v>302.99299999999999</v>
      </c>
      <c r="AL68">
        <f>IF(OR(ISBLANK(IF(ISERROR(IF(OR(ISBLANK($AL$107)), "", $AL$107/1000)), "", (IF(OR(ISBLANK($AL$107)), "", $AL$107/1000)))), IF(ISERROR(IF(OR(ISBLANK($AL$107)), "", $AL$107/1000)), "", (IF(OR(ISBLANK($AL$107)), "", $AL$107/1000))) = ""), 319.574,IF(ISERROR(IF(OR(ISBLANK($AL$107)), "", $AL$107/1000)), "", (IF(OR(ISBLANK($AL$107)), "", $AL$107/1000))))</f>
        <v>324.57299999999998</v>
      </c>
      <c r="AM68">
        <f>IF(OR(ISBLANK(IF(ISERROR(IF(OR(ISBLANK($AM$107)), "", $AM$107/1000)), "", (IF(OR(ISBLANK($AM$107)), "", $AM$107/1000)))), IF(ISERROR(IF(OR(ISBLANK($AM$107)), "", $AM$107/1000)), "", (IF(OR(ISBLANK($AM$107)), "", $AM$107/1000))) = ""), 310.114,IF(ISERROR(IF(OR(ISBLANK($AM$107)), "", $AM$107/1000)), "", (IF(OR(ISBLANK($AM$107)), "", $AM$107/1000))))</f>
        <v>325.32499999999999</v>
      </c>
      <c r="AN68">
        <f>IF(OR(ISBLANK(IF(ISERROR(IF(OR(ISBLANK($AN$107)), "", $AN$107/1000)), "", (IF(OR(ISBLANK($AN$107)), "", $AN$107/1000)))), IF(ISERROR(IF(OR(ISBLANK($AN$107)), "", $AN$107/1000)), "", (IF(OR(ISBLANK($AN$107)), "", $AN$107/1000))) = ""), 330.591,IF(ISERROR(IF(OR(ISBLANK($AN$107)), "", $AN$107/1000)), "", (IF(OR(ISBLANK($AN$107)), "", $AN$107/1000))))</f>
        <v>311.245</v>
      </c>
      <c r="AO68">
        <f>IF(OR(ISBLANK(IF(ISERROR(IF(OR(ISBLANK($AO$107)), "", $AO$107/1000)), "", (IF(OR(ISBLANK($AO$107)), "", $AO$107/1000)))), IF(ISERROR(IF(OR(ISBLANK($AO$107)), "", $AO$107/1000)), "", (IF(OR(ISBLANK($AO$107)), "", $AO$107/1000))) = ""), 331.961,IF(ISERROR(IF(OR(ISBLANK($AO$107)), "", $AO$107/1000)), "", (IF(OR(ISBLANK($AO$107)), "", $AO$107/1000))))</f>
        <v>311.827</v>
      </c>
      <c r="AP68">
        <f>IF(OR(ISBLANK(IF(ISERROR(IF(OR(ISBLANK($AP$107)), "", $AP$107/1000)), "", (IF(OR(ISBLANK($AP$107)), "", $AP$107/1000)))), IF(ISERROR(IF(OR(ISBLANK($AP$107)), "", $AP$107/1000)), "", (IF(OR(ISBLANK($AP$107)), "", $AP$107/1000))) = ""), 305.338,IF(ISERROR(IF(OR(ISBLANK($AP$107)), "", $AP$107/1000)), "", (IF(OR(ISBLANK($AP$107)), "", $AP$107/1000))))</f>
        <v>317.35300000000001</v>
      </c>
      <c r="AQ68">
        <f>IF(OR(ISBLANK(IF(ISERROR(IF(OR(ISBLANK($AQ$107)), "", $AQ$107/1000)), "", (IF(OR(ISBLANK($AQ$107)), "", $AQ$107/1000)))), IF(ISERROR(IF(OR(ISBLANK($AQ$107)), "", $AQ$107/1000)), "", (IF(OR(ISBLANK($AQ$107)), "", $AQ$107/1000))) = ""), 302.802,IF(ISERROR(IF(OR(ISBLANK($AQ$107)), "", $AQ$107/1000)), "", (IF(OR(ISBLANK($AQ$107)), "", $AQ$107/1000))))</f>
        <v>330.68099999999998</v>
      </c>
      <c r="AR68">
        <f>IF(OR(ISBLANK(IF(ISERROR(IF(OR(ISBLANK($AR$107)), "", $AR$107/1000)), "", (IF(OR(ISBLANK($AR$107)), "", $AR$107/1000)))), IF(ISERROR(IF(OR(ISBLANK($AR$107)), "", $AR$107/1000)), "", (IF(OR(ISBLANK($AR$107)), "", $AR$107/1000))) = ""), 312.164,IF(ISERROR(IF(OR(ISBLANK($AR$107)), "", $AR$107/1000)), "", (IF(OR(ISBLANK($AR$107)), "", $AR$107/1000))))</f>
        <v>318.75700000000001</v>
      </c>
      <c r="AS68">
        <f>IF(OR(ISBLANK(IF(ISERROR(IF(OR(ISBLANK($AS$107)), "", $AS$107/1000)), "", (IF(OR(ISBLANK($AS$107)), "", $AS$107/1000)))), IF(ISERROR(IF(OR(ISBLANK($AS$107)), "", $AS$107/1000)), "", (IF(OR(ISBLANK($AS$107)), "", $AS$107/1000))) = ""), 324.166,IF(ISERROR(IF(OR(ISBLANK($AS$107)), "", $AS$107/1000)), "", (IF(OR(ISBLANK($AS$107)), "", $AS$107/1000))))</f>
        <v>324.17500000000001</v>
      </c>
      <c r="AT68">
        <f>IF(OR(ISBLANK(IF(ISERROR(IF(OR(ISBLANK($AT$107)), "", $AT$107/1000)), "", (IF(OR(ISBLANK($AT$107)), "", $AT$107/1000)))), IF(ISERROR(IF(OR(ISBLANK($AT$107)), "", $AT$107/1000)), "", (IF(OR(ISBLANK($AT$107)), "", $AT$107/1000))) = ""), 319.471,IF(ISERROR(IF(OR(ISBLANK($AT$107)), "", $AT$107/1000)), "", (IF(OR(ISBLANK($AT$107)), "", $AT$107/1000))))</f>
        <v>324.86200000000002</v>
      </c>
      <c r="AU68">
        <f>IF(OR(ISBLANK(IF(ISERROR(IF(OR(ISBLANK($AU$107)), "", $AU$107/1000)), "", (IF(OR(ISBLANK($AU$107)), "", $AU$107/1000)))), IF(ISERROR(IF(OR(ISBLANK($AU$107)), "", $AU$107/1000)), "", (IF(OR(ISBLANK($AU$107)), "", $AU$107/1000))) = ""), 301.161,IF(ISERROR(IF(OR(ISBLANK($AU$107)), "", $AU$107/1000)), "", (IF(OR(ISBLANK($AU$107)), "", $AU$107/1000))))</f>
        <v>346.976</v>
      </c>
      <c r="AV68">
        <f>IF(OR(ISBLANK(IF(ISERROR(IF(OR(ISBLANK($AV$107)), "", $AV$107/1000)), "", (IF(OR(ISBLANK($AV$107)), "", $AV$107/1000)))), IF(ISERROR(IF(OR(ISBLANK($AV$107)), "", $AV$107/1000)), "", (IF(OR(ISBLANK($AV$107)), "", $AV$107/1000))) = ""), 306.361,IF(ISERROR(IF(OR(ISBLANK($AV$107)), "", $AV$107/1000)), "", (IF(OR(ISBLANK($AV$107)), "", $AV$107/1000))))</f>
        <v>328.96199999999999</v>
      </c>
      <c r="AW68">
        <f>IF(OR(ISBLANK(IF(ISERROR(IF(OR(ISBLANK($AW$107)), "", $AW$107/1000)), "", (IF(OR(ISBLANK($AW$107)), "", $AW$107/1000)))), IF(ISERROR(IF(OR(ISBLANK($AW$107)), "", $AW$107/1000)), "", (IF(OR(ISBLANK($AW$107)), "", $AW$107/1000))) = ""), 316.682,IF(ISERROR(IF(OR(ISBLANK($AW$107)), "", $AW$107/1000)), "", (IF(OR(ISBLANK($AW$107)), "", $AW$107/1000))))</f>
        <v>319.57400000000001</v>
      </c>
      <c r="AX68">
        <f>IF(OR(ISBLANK(IF(ISERROR(IF(OR(ISBLANK($AX$107)), "", $AX$107/1000)), "", (IF(OR(ISBLANK($AX$107)), "", $AX$107/1000)))), IF(ISERROR(IF(OR(ISBLANK($AX$107)), "", $AX$107/1000)), "", (IF(OR(ISBLANK($AX$107)), "", $AX$107/1000))) = ""), 314.397,IF(ISERROR(IF(OR(ISBLANK($AX$107)), "", $AX$107/1000)), "", (IF(OR(ISBLANK($AX$107)), "", $AX$107/1000))))</f>
        <v>310.11399999999998</v>
      </c>
      <c r="AY68">
        <f>IF(OR(ISBLANK(IF(ISERROR(IF(OR(ISBLANK($AY$107)), "", $AY$107/1000)), "", (IF(OR(ISBLANK($AY$107)), "", $AY$107/1000)))), IF(ISERROR(IF(OR(ISBLANK($AY$107)), "", $AY$107/1000)), "", (IF(OR(ISBLANK($AY$107)), "", $AY$107/1000))) = ""), 295.61,IF(ISERROR(IF(OR(ISBLANK($AY$107)), "", $AY$107/1000)), "", (IF(OR(ISBLANK($AY$107)), "", $AY$107/1000))))</f>
        <v>330.59100000000001</v>
      </c>
      <c r="AZ68">
        <f>IF(OR(ISBLANK(IF(ISERROR(IF(OR(ISBLANK($AZ$107)), "", $AZ$107/1000)), "", (IF(OR(ISBLANK($AZ$107)), "", $AZ$107/1000)))), IF(ISERROR(IF(OR(ISBLANK($AZ$107)), "", $AZ$107/1000)), "", (IF(OR(ISBLANK($AZ$107)), "", $AZ$107/1000))) = ""), 299.988,IF(ISERROR(IF(OR(ISBLANK($AZ$107)), "", $AZ$107/1000)), "", (IF(OR(ISBLANK($AZ$107)), "", $AZ$107/1000))))</f>
        <v>331.96100000000001</v>
      </c>
      <c r="BA68">
        <f>IF(OR(ISBLANK(IF(ISERROR(IF(OR(ISBLANK($BA$107)), "", $BA$107/1000)), "", (IF(OR(ISBLANK($BA$107)), "", $BA$107/1000)))), IF(ISERROR(IF(OR(ISBLANK($BA$107)), "", $BA$107/1000)), "", (IF(OR(ISBLANK($BA$107)), "", $BA$107/1000))) = ""), 309.66,IF(ISERROR(IF(OR(ISBLANK($BA$107)), "", $BA$107/1000)), "", (IF(OR(ISBLANK($BA$107)), "", $BA$107/1000))))</f>
        <v>305.33800000000002</v>
      </c>
      <c r="BB68">
        <f>IF(OR(ISBLANK(IF(ISERROR(IF(OR(ISBLANK($BB$107)), "", $BB$107/1000)), "", (IF(OR(ISBLANK($BB$107)), "", $BB$107/1000)))), IF(ISERROR(IF(OR(ISBLANK($BB$107)), "", $BB$107/1000)), "", (IF(OR(ISBLANK($BB$107)), "", $BB$107/1000))) = ""), 329.932,IF(ISERROR(IF(OR(ISBLANK($BB$107)), "", $BB$107/1000)), "", (IF(OR(ISBLANK($BB$107)), "", $BB$107/1000))))</f>
        <v>302.80200000000002</v>
      </c>
      <c r="BC68">
        <f>IF(OR(ISBLANK(IF(ISERROR(IF(OR(ISBLANK($BC$107)), "", $BC$107/1000)), "", (IF(OR(ISBLANK($BC$107)), "", $BC$107/1000)))), IF(ISERROR(IF(OR(ISBLANK($BC$107)), "", $BC$107/1000)), "", (IF(OR(ISBLANK($BC$107)), "", $BC$107/1000))) = ""), 328.023,IF(ISERROR(IF(OR(ISBLANK($BC$107)), "", $BC$107/1000)), "", (IF(OR(ISBLANK($BC$107)), "", $BC$107/1000))))</f>
        <v>312.16399999999999</v>
      </c>
      <c r="BD68">
        <f>IF(OR(ISBLANK(IF(ISERROR(IF(OR(ISBLANK($BD$107)), "", $BD$107/1000)), "", (IF(OR(ISBLANK($BD$107)), "", $BD$107/1000)))), IF(ISERROR(IF(OR(ISBLANK($BD$107)), "", $BD$107/1000)), "", (IF(OR(ISBLANK($BD$107)), "", $BD$107/1000))) = ""), 298.526,IF(ISERROR(IF(OR(ISBLANK($BD$107)), "", $BD$107/1000)), "", (IF(OR(ISBLANK($BD$107)), "", $BD$107/1000))))</f>
        <v>324.166</v>
      </c>
      <c r="BE68">
        <f>IF(OR(ISBLANK(IF(ISERROR(IF(OR(ISBLANK($BE$107)), "", $BE$107/1000)), "", (IF(OR(ISBLANK($BE$107)), "", $BE$107/1000)))), IF(ISERROR(IF(OR(ISBLANK($BE$107)), "", $BE$107/1000)), "", (IF(OR(ISBLANK($BE$107)), "", $BE$107/1000))) = ""), 302.268,IF(ISERROR(IF(OR(ISBLANK($BE$107)), "", $BE$107/1000)), "", (IF(OR(ISBLANK($BE$107)), "", $BE$107/1000))))</f>
        <v>319.471</v>
      </c>
      <c r="BF68">
        <f>IF(OR(ISBLANK(IF(ISERROR(IF(OR(ISBLANK($BF$107)), "", $BF$107/1000)), "", (IF(OR(ISBLANK($BF$107)), "", $BF$107/1000)))), IF(ISERROR(IF(OR(ISBLANK($BF$107)), "", $BF$107/1000)), "", (IF(OR(ISBLANK($BF$107)), "", $BF$107/1000))) = ""), 320.506,IF(ISERROR(IF(OR(ISBLANK($BF$107)), "", $BF$107/1000)), "", (IF(OR(ISBLANK($BF$107)), "", $BF$107/1000))))</f>
        <v>301.161</v>
      </c>
      <c r="BG68">
        <f>IF(OR(ISBLANK(IF(ISERROR(IF(OR(ISBLANK($BG$107)), "", $BG$107/1000)), "", (IF(OR(ISBLANK($BG$107)), "", $BG$107/1000)))), IF(ISERROR(IF(OR(ISBLANK($BG$107)), "", $BG$107/1000)), "", (IF(OR(ISBLANK($BG$107)), "", $BG$107/1000))) = ""), 319.652,IF(ISERROR(IF(OR(ISBLANK($BG$107)), "", $BG$107/1000)), "", (IF(OR(ISBLANK($BG$107)), "", $BG$107/1000))))</f>
        <v>306.36099999999999</v>
      </c>
      <c r="BH68">
        <f>IF(OR(ISBLANK(IF(ISERROR(IF(OR(ISBLANK($BH$107)), "", $BH$107/1000)), "", (IF(OR(ISBLANK($BH$107)), "", $BH$107/1000)))), IF(ISERROR(IF(OR(ISBLANK($BH$107)), "", $BH$107/1000)), "", (IF(OR(ISBLANK($BH$107)), "", $BH$107/1000))) = ""), 288.52,IF(ISERROR(IF(OR(ISBLANK($BH$107)), "", $BH$107/1000)), "", (IF(OR(ISBLANK($BH$107)), "", $BH$107/1000))))</f>
        <v>316.68200000000002</v>
      </c>
      <c r="BI68">
        <f>IF(OR(ISBLANK(IF(ISERROR(IF(OR(ISBLANK($BI$107)), "", $BI$107/1000)), "", (IF(OR(ISBLANK($BI$107)), "", $BI$107/1000)))), IF(ISERROR(IF(OR(ISBLANK($BI$107)), "", $BI$107/1000)), "", (IF(OR(ISBLANK($BI$107)), "", $BI$107/1000))) = ""), 305.689,IF(ISERROR(IF(OR(ISBLANK($BI$107)), "", $BI$107/1000)), "", (IF(OR(ISBLANK($BI$107)), "", $BI$107/1000))))</f>
        <v>314.39699999999999</v>
      </c>
      <c r="BJ68">
        <f>IF(OR(ISBLANK(IF(ISERROR(IF(OR(ISBLANK($BJ$107)), "", $BJ$107/1000)), "", (IF(OR(ISBLANK($BJ$107)), "", $BJ$107/1000)))), IF(ISERROR(IF(OR(ISBLANK($BJ$107)), "", $BJ$107/1000)), "", (IF(OR(ISBLANK($BJ$107)), "", $BJ$107/1000))) = ""), 330.196,IF(ISERROR(IF(OR(ISBLANK($BJ$107)), "", $BJ$107/1000)), "", (IF(OR(ISBLANK($BJ$107)), "", $BJ$107/1000))))</f>
        <v>295.61</v>
      </c>
      <c r="BK68">
        <f>IF(OR(ISBLANK(IF(ISERROR(IF(OR(ISBLANK($BK$107)), "", $BK$107/1000)), "", (IF(OR(ISBLANK($BK$107)), "", $BK$107/1000)))), IF(ISERROR(IF(OR(ISBLANK($BK$107)), "", $BK$107/1000)), "", (IF(OR(ISBLANK($BK$107)), "", $BK$107/1000))) = ""), 327.517,IF(ISERROR(IF(OR(ISBLANK($BK$107)), "", $BK$107/1000)), "", (IF(OR(ISBLANK($BK$107)), "", $BK$107/1000))))</f>
        <v>299.988</v>
      </c>
      <c r="BL68">
        <f>IF(OR(ISBLANK(IF(ISERROR(IF(OR(ISBLANK($BL$107)), "", $BL$107/1000)), "", (IF(OR(ISBLANK($BL$107)), "", $BL$107/1000)))), IF(ISERROR(IF(OR(ISBLANK($BL$107)), "", $BL$107/1000)), "", (IF(OR(ISBLANK($BL$107)), "", $BL$107/1000))) = ""), 295.292,IF(ISERROR(IF(OR(ISBLANK($BL$107)), "", $BL$107/1000)), "", (IF(OR(ISBLANK($BL$107)), "", $BL$107/1000))))</f>
        <v>309.66000000000003</v>
      </c>
      <c r="BM68">
        <f>IF(OR(ISBLANK(IF(ISERROR(IF(OR(ISBLANK($BM$107)), "", $BM$107/1000)), "", (IF(OR(ISBLANK($BM$107)), "", $BM$107/1000)))), IF(ISERROR(IF(OR(ISBLANK($BM$107)), "", $BM$107/1000)), "", (IF(OR(ISBLANK($BM$107)), "", $BM$107/1000))) = ""), 282.675,IF(ISERROR(IF(OR(ISBLANK($BM$107)), "", $BM$107/1000)), "", (IF(OR(ISBLANK($BM$107)), "", $BM$107/1000))))</f>
        <v>329.93200000000002</v>
      </c>
      <c r="BN68">
        <f>IF(OR(ISBLANK(IF(ISERROR(IF(OR(ISBLANK($BN$107)), "", $BN$107/1000)), "", (IF(OR(ISBLANK($BN$107)), "", $BN$107/1000)))), IF(ISERROR(IF(OR(ISBLANK($BN$107)), "", $BN$107/1000)), "", (IF(OR(ISBLANK($BN$107)), "", $BN$107/1000))) = ""), 286.088,IF(ISERROR(IF(OR(ISBLANK($BN$107)), "", $BN$107/1000)), "", (IF(OR(ISBLANK($BN$107)), "", $BN$107/1000))))</f>
        <v>328.02300000000002</v>
      </c>
      <c r="BO68">
        <f>IF(OR(ISBLANK(IF(ISERROR(IF(OR(ISBLANK($BO$107)), "", $BO$107/1000)), "", (IF(OR(ISBLANK($BO$107)), "", $BO$107/1000)))), IF(ISERROR(IF(OR(ISBLANK($BO$107)), "", $BO$107/1000)), "", (IF(OR(ISBLANK($BO$107)), "", $BO$107/1000))) = ""), 287.018,IF(ISERROR(IF(OR(ISBLANK($BO$107)), "", $BO$107/1000)), "", (IF(OR(ISBLANK($BO$107)), "", $BO$107/1000))))</f>
        <v>298.52600000000001</v>
      </c>
      <c r="BP68">
        <f>IF(OR(ISBLANK(IF(ISERROR(IF(OR(ISBLANK($BP$107)), "", $BP$107/1000)), "", (IF(OR(ISBLANK($BP$107)), "", $BP$107/1000)))), IF(ISERROR(IF(OR(ISBLANK($BP$107)), "", $BP$107/1000)), "", (IF(OR(ISBLANK($BP$107)), "", $BP$107/1000))) = ""), 291.425,IF(ISERROR(IF(OR(ISBLANK($BP$107)), "", $BP$107/1000)), "", (IF(OR(ISBLANK($BP$107)), "", $BP$107/1000))))</f>
        <v>302.26799999999997</v>
      </c>
      <c r="BQ68">
        <f>IF(OR(ISBLANK(IF(ISERROR(IF(OR(ISBLANK($BQ$107)), "", $BQ$107/1000)), "", (IF(OR(ISBLANK($BQ$107)), "", $BQ$107/1000)))), IF(ISERROR(IF(OR(ISBLANK($BQ$107)), "", $BQ$107/1000)), "", (IF(OR(ISBLANK($BQ$107)), "", $BQ$107/1000))) = ""), 278.4,IF(ISERROR(IF(OR(ISBLANK($BQ$107)), "", $BQ$107/1000)), "", (IF(OR(ISBLANK($BQ$107)), "", $BQ$107/1000))))</f>
        <v>320.50599999999997</v>
      </c>
      <c r="BR68">
        <f>IF(OR(ISBLANK(IF(ISERROR(IF(OR(ISBLANK($BR$107)), "", $BR$107/1000)), "", (IF(OR(ISBLANK($BR$107)), "", $BR$107/1000)))), IF(ISERROR(IF(OR(ISBLANK($BR$107)), "", $BR$107/1000)), "", (IF(OR(ISBLANK($BR$107)), "", $BR$107/1000))) = ""), 282.912,IF(ISERROR(IF(OR(ISBLANK($BR$107)), "", $BR$107/1000)), "", (IF(OR(ISBLANK($BR$107)), "", $BR$107/1000))))</f>
        <v>319.65199999999999</v>
      </c>
      <c r="BS68">
        <f>IF(OR(ISBLANK(IF(ISERROR(IF(OR(ISBLANK($BS$107)), "", $BS$107/1000)), "", (IF(OR(ISBLANK($BS$107)), "", $BS$107/1000)))), IF(ISERROR(IF(OR(ISBLANK($BS$107)), "", $BS$107/1000)), "", (IF(OR(ISBLANK($BS$107)), "", $BS$107/1000))) = ""), 296.177,IF(ISERROR(IF(OR(ISBLANK($BS$107)), "", $BS$107/1000)), "", (IF(OR(ISBLANK($BS$107)), "", $BS$107/1000))))</f>
        <v>288.52</v>
      </c>
      <c r="BT68">
        <f>IF(OR(ISBLANK(IF(ISERROR(IF(OR(ISBLANK($BT$107)), "", $BT$107/1000)), "", (IF(OR(ISBLANK($BT$107)), "", $BT$107/1000)))), IF(ISERROR(IF(OR(ISBLANK($BT$107)), "", $BT$107/1000)), "", (IF(OR(ISBLANK($BT$107)), "", $BT$107/1000))) = ""), 286.146,IF(ISERROR(IF(OR(ISBLANK($BT$107)), "", $BT$107/1000)), "", (IF(OR(ISBLANK($BT$107)), "", $BT$107/1000))))</f>
        <v>305.68900000000002</v>
      </c>
      <c r="BU68">
        <f>IF(OR(ISBLANK(IF(ISERROR(IF(OR(ISBLANK($BU$107)), "", $BU$107/1000)), "", (IF(OR(ISBLANK($BU$107)), "", $BU$107/1000)))), IF(ISERROR(IF(OR(ISBLANK($BU$107)), "", $BU$107/1000)), "", (IF(OR(ISBLANK($BU$107)), "", $BU$107/1000))) = ""), 280.057,IF(ISERROR(IF(OR(ISBLANK($BU$107)), "", $BU$107/1000)), "", (IF(OR(ISBLANK($BU$107)), "", $BU$107/1000))))</f>
        <v>330.19600000000003</v>
      </c>
      <c r="BV68">
        <f>IF(OR(ISBLANK(IF(ISERROR(IF(OR(ISBLANK($BV$107)), "", $BV$107/1000)), "", (IF(OR(ISBLANK($BV$107)), "", $BV$107/1000)))), IF(ISERROR(IF(OR(ISBLANK($BV$107)), "", $BV$107/1000)), "", (IF(OR(ISBLANK($BV$107)), "", $BV$107/1000))) = ""), 301.666,IF(ISERROR(IF(OR(ISBLANK($BV$107)), "", $BV$107/1000)), "", (IF(OR(ISBLANK($BV$107)), "", $BV$107/1000))))</f>
        <v>327.517</v>
      </c>
      <c r="BW68">
        <f>IF(OR(ISBLANK(IF(ISERROR(IF(OR(ISBLANK($BW$107)), "", $BW$107/1000)), "", (IF(OR(ISBLANK($BW$107)), "", $BW$107/1000)))), IF(ISERROR(IF(OR(ISBLANK($BW$107)), "", $BW$107/1000)), "", (IF(OR(ISBLANK($BW$107)), "", $BW$107/1000))) = ""), 285.967,IF(ISERROR(IF(OR(ISBLANK($BW$107)), "", $BW$107/1000)), "", (IF(OR(ISBLANK($BW$107)), "", $BW$107/1000))))</f>
        <v>295.29199999999997</v>
      </c>
      <c r="BX68">
        <f>IF(OR(ISBLANK(IF(ISERROR(IF(OR(ISBLANK($BX$107)), "", $BX$107/1000)), "", (IF(OR(ISBLANK($BX$107)), "", $BX$107/1000)))), IF(ISERROR(IF(OR(ISBLANK($BX$107)), "", $BX$107/1000)), "", (IF(OR(ISBLANK($BX$107)), "", $BX$107/1000))) = ""), 285.266,IF(ISERROR(IF(OR(ISBLANK($BX$107)), "", $BX$107/1000)), "", (IF(OR(ISBLANK($BX$107)), "", $BX$107/1000))))</f>
        <v>282.67500000000001</v>
      </c>
      <c r="BY68">
        <f>IF(OR(ISBLANK(IF(ISERROR(IF(OR(ISBLANK($BY$107)), "", $BY$107/1000)), "", (IF(OR(ISBLANK($BY$107)), "", $BY$107/1000)))), IF(ISERROR(IF(OR(ISBLANK($BY$107)), "", $BY$107/1000)), "", (IF(OR(ISBLANK($BY$107)), "", $BY$107/1000))) = ""), 271.889,IF(ISERROR(IF(OR(ISBLANK($BY$107)), "", $BY$107/1000)), "", (IF(OR(ISBLANK($BY$107)), "", $BY$107/1000))))</f>
        <v>286.08800000000002</v>
      </c>
      <c r="BZ68">
        <f>IF(OR(ISBLANK(IF(ISERROR(IF(OR(ISBLANK($BZ$107)), "", $BZ$107/1000)), "", (IF(OR(ISBLANK($BZ$107)), "", $BZ$107/1000)))), IF(ISERROR(IF(OR(ISBLANK($BZ$107)), "", $BZ$107/1000)), "", (IF(OR(ISBLANK($BZ$107)), "", $BZ$107/1000))) = ""), 276.584,IF(ISERROR(IF(OR(ISBLANK($BZ$107)), "", $BZ$107/1000)), "", (IF(OR(ISBLANK($BZ$107)), "", $BZ$107/1000))))</f>
        <v>287.01799999999997</v>
      </c>
      <c r="CA68">
        <f>IF(OR(ISBLANK(IF(ISERROR(IF(OR(ISBLANK($CA$107)), "", $CA$107/1000)), "", (IF(OR(ISBLANK($CA$107)), "", $CA$107/1000)))), IF(ISERROR(IF(OR(ISBLANK($CA$107)), "", $CA$107/1000)), "", (IF(OR(ISBLANK($CA$107)), "", $CA$107/1000))) = ""), 283.361,IF(ISERROR(IF(OR(ISBLANK($CA$107)), "", $CA$107/1000)), "", (IF(OR(ISBLANK($CA$107)), "", $CA$107/1000))))</f>
        <v>291.42500000000001</v>
      </c>
      <c r="CB68">
        <f>IF(OR(ISBLANK(IF(ISERROR(IF(OR(ISBLANK($CB$107)), "", $CB$107/1000)), "", (IF(OR(ISBLANK($CB$107)), "", $CB$107/1000)))), IF(ISERROR(IF(OR(ISBLANK($CB$107)), "", $CB$107/1000)), "", (IF(OR(ISBLANK($CB$107)), "", $CB$107/1000))) = ""), 327.539,IF(ISERROR(IF(OR(ISBLANK($CB$107)), "", $CB$107/1000)), "", (IF(OR(ISBLANK($CB$107)), "", $CB$107/1000))))</f>
        <v>278.39999999999998</v>
      </c>
      <c r="CC68">
        <f>IF(OR(ISBLANK(IF(ISERROR(IF(OR(ISBLANK($CC$107)), "", $CC$107/1000)), "", (IF(OR(ISBLANK($CC$107)), "", $CC$107/1000)))), IF(ISERROR(IF(OR(ISBLANK($CC$107)), "", $CC$107/1000)), "", (IF(OR(ISBLANK($CC$107)), "", $CC$107/1000))) = ""), 285.712,IF(ISERROR(IF(OR(ISBLANK($CC$107)), "", $CC$107/1000)), "", (IF(OR(ISBLANK($CC$107)), "", $CC$107/1000))))</f>
        <v>282.91199999999998</v>
      </c>
      <c r="CD68">
        <f>IF(OR(ISBLANK(IF(ISERROR(IF(OR(ISBLANK($CD$107)), "", $CD$107/1000)), "", (IF(OR(ISBLANK($CD$107)), "", $CD$107/1000)))), IF(ISERROR(IF(OR(ISBLANK($CD$107)), "", $CD$107/1000)), "", (IF(OR(ISBLANK($CD$107)), "", $CD$107/1000))) = ""), 242.719,IF(ISERROR(IF(OR(ISBLANK($CD$107)), "", $CD$107/1000)), "", (IF(OR(ISBLANK($CD$107)), "", $CD$107/1000))))</f>
        <v>296.17700000000002</v>
      </c>
      <c r="CE68">
        <f>IF(OR(ISBLANK(IF(ISERROR(IF(OR(ISBLANK($CE$107)), "", $CE$107/1000)), "", (IF(OR(ISBLANK($CE$107)), "", $CE$107/1000)))), IF(ISERROR(IF(OR(ISBLANK($CE$107)), "", $CE$107/1000)), "", (IF(OR(ISBLANK($CE$107)), "", $CE$107/1000))) = ""), 261.762,IF(ISERROR(IF(OR(ISBLANK($CE$107)), "", $CE$107/1000)), "", (IF(OR(ISBLANK($CE$107)), "", $CE$107/1000))))</f>
        <v>286.14600000000002</v>
      </c>
      <c r="CF68">
        <f>IF(OR(ISBLANK(IF(ISERROR(IF(OR(ISBLANK($CF$107)), "", $CF$107/1000)), "", (IF(OR(ISBLANK($CF$107)), "", $CF$107/1000)))), IF(ISERROR(IF(OR(ISBLANK($CF$107)), "", $CF$107/1000)), "", (IF(OR(ISBLANK($CF$107)), "", $CF$107/1000))) = ""), 281.927,IF(ISERROR(IF(OR(ISBLANK($CF$107)), "", $CF$107/1000)), "", (IF(OR(ISBLANK($CF$107)), "", $CF$107/1000))))</f>
        <v>280.05700000000002</v>
      </c>
      <c r="CG68">
        <f>IF(OR(ISBLANK(IF(ISERROR(IF(OR(ISBLANK($CG$107)), "", $CG$107/1000)), "", (IF(OR(ISBLANK($CG$107)), "", $CG$107/1000)))), IF(ISERROR(IF(OR(ISBLANK($CG$107)), "", $CG$107/1000)), "", (IF(OR(ISBLANK($CG$107)), "", $CG$107/1000))) = ""), 263.243,IF(ISERROR(IF(OR(ISBLANK($CG$107)), "", $CG$107/1000)), "", (IF(OR(ISBLANK($CG$107)), "", $CG$107/1000))))</f>
        <v>301.666</v>
      </c>
    </row>
    <row r="69" spans="1:85" x14ac:dyDescent="0.25">
      <c r="A69" t="str">
        <f>"    Overnight Deposit Facility Rate (%)"</f>
        <v xml:space="preserve">    Overnight Deposit Facility Rate (%)</v>
      </c>
      <c r="B69" t="str">
        <f>"EUORDEPO Index"</f>
        <v>EUORDEPO Index</v>
      </c>
      <c r="C69" t="str">
        <f>""</f>
        <v/>
      </c>
      <c r="D69" t="str">
        <f>""</f>
        <v/>
      </c>
      <c r="E69" t="str">
        <f t="shared" si="3"/>
        <v>Expression</v>
      </c>
      <c r="F69" t="str">
        <f ca="1">IF(OR(ISBLANK(IF(ISERROR(IF(OR(ISBLANK($F$108)), "", $F$108/1)), "", (IF(OR(ISBLANK($F$108)), "", $F$108/1)))), IF(ISERROR(IF(OR(ISBLANK($F$108)), "", $F$108/1)), "", (IF(OR(ISBLANK($F$108)), "", $F$108/1))) = ""), "",IF(ISERROR(IF(OR(ISBLANK($F$108)), "", $F$108/1)), "", (IF(OR(ISBLANK($F$108)), "", $F$108/1))))</f>
        <v/>
      </c>
      <c r="G69">
        <f>IF(OR(ISBLANK(IF(ISERROR(IF(OR(ISBLANK($G$108)), "", $G$108/1)), "", (IF(OR(ISBLANK($G$108)), "", $G$108/1)))), IF(ISERROR(IF(OR(ISBLANK($G$108)), "", $G$108/1)), "", (IF(OR(ISBLANK($G$108)), "", $G$108/1))) = ""), -0.1,IF(ISERROR(IF(OR(ISBLANK($G$108)), "", $G$108/1)), "", (IF(OR(ISBLANK($G$108)), "", $G$108/1))))</f>
        <v>-0.2</v>
      </c>
      <c r="H69">
        <f>IF(OR(ISBLANK(IF(ISERROR(IF(OR(ISBLANK($H$108)), "", $H$108/1)), "", (IF(OR(ISBLANK($H$108)), "", $H$108/1)))), IF(ISERROR(IF(OR(ISBLANK($H$108)), "", $H$108/1)), "", (IF(OR(ISBLANK($H$108)), "", $H$108/1))) = ""), -0.1,IF(ISERROR(IF(OR(ISBLANK($H$108)), "", $H$108/1)), "", (IF(OR(ISBLANK($H$108)), "", $H$108/1))))</f>
        <v>-0.1</v>
      </c>
      <c r="I69">
        <f>IF(OR(ISBLANK(IF(ISERROR(IF(OR(ISBLANK($I$108)), "", $I$108/1)), "", (IF(OR(ISBLANK($I$108)), "", $I$108/1)))), IF(ISERROR(IF(OR(ISBLANK($I$108)), "", $I$108/1)), "", (IF(OR(ISBLANK($I$108)), "", $I$108/1))) = ""), -0.1,IF(ISERROR(IF(OR(ISBLANK($I$108)), "", $I$108/1)), "", (IF(OR(ISBLANK($I$108)), "", $I$108/1))))</f>
        <v>-0.1</v>
      </c>
      <c r="J69">
        <f>IF(OR(ISBLANK(IF(ISERROR(IF(OR(ISBLANK($J$108)), "", $J$108/1)), "", (IF(OR(ISBLANK($J$108)), "", $J$108/1)))), IF(ISERROR(IF(OR(ISBLANK($J$108)), "", $J$108/1)), "", (IF(OR(ISBLANK($J$108)), "", $J$108/1))) = ""), 0,IF(ISERROR(IF(OR(ISBLANK($J$108)), "", $J$108/1)), "", (IF(OR(ISBLANK($J$108)), "", $J$108/1))))</f>
        <v>-0.1</v>
      </c>
      <c r="K69">
        <f>IF(OR(ISBLANK(IF(ISERROR(IF(OR(ISBLANK($K$108)), "", $K$108/1)), "", (IF(OR(ISBLANK($K$108)), "", $K$108/1)))), IF(ISERROR(IF(OR(ISBLANK($K$108)), "", $K$108/1)), "", (IF(OR(ISBLANK($K$108)), "", $K$108/1))) = ""), 0,IF(ISERROR(IF(OR(ISBLANK($K$108)), "", $K$108/1)), "", (IF(OR(ISBLANK($K$108)), "", $K$108/1))))</f>
        <v>-0.1</v>
      </c>
      <c r="L69">
        <f>IF(OR(ISBLANK(IF(ISERROR(IF(OR(ISBLANK($L$108)), "", $L$108/1)), "", (IF(OR(ISBLANK($L$108)), "", $L$108/1)))), IF(ISERROR(IF(OR(ISBLANK($L$108)), "", $L$108/1)), "", (IF(OR(ISBLANK($L$108)), "", $L$108/1))) = ""), 0,IF(ISERROR(IF(OR(ISBLANK($L$108)), "", $L$108/1)), "", (IF(OR(ISBLANK($L$108)), "", $L$108/1))))</f>
        <v>-0.1</v>
      </c>
      <c r="M69">
        <f>IF(OR(ISBLANK(IF(ISERROR(IF(OR(ISBLANK($M$108)), "", $M$108/1)), "", (IF(OR(ISBLANK($M$108)), "", $M$108/1)))), IF(ISERROR(IF(OR(ISBLANK($M$108)), "", $M$108/1)), "", (IF(OR(ISBLANK($M$108)), "", $M$108/1))) = ""), 0,IF(ISERROR(IF(OR(ISBLANK($M$108)), "", $M$108/1)), "", (IF(OR(ISBLANK($M$108)), "", $M$108/1))))</f>
        <v>-0.1</v>
      </c>
      <c r="N69">
        <f>IF(OR(ISBLANK(IF(ISERROR(IF(OR(ISBLANK($N$108)), "", $N$108/1)), "", (IF(OR(ISBLANK($N$108)), "", $N$108/1)))), IF(ISERROR(IF(OR(ISBLANK($N$108)), "", $N$108/1)), "", (IF(OR(ISBLANK($N$108)), "", $N$108/1))) = ""), 0,IF(ISERROR(IF(OR(ISBLANK($N$108)), "", $N$108/1)), "", (IF(OR(ISBLANK($N$108)), "", $N$108/1))))</f>
        <v>-0.1</v>
      </c>
      <c r="O69">
        <f>IF(OR(ISBLANK(IF(ISERROR(IF(OR(ISBLANK($O$108)), "", $O$108/1)), "", (IF(OR(ISBLANK($O$108)), "", $O$108/1)))), IF(ISERROR(IF(OR(ISBLANK($O$108)), "", $O$108/1)), "", (IF(OR(ISBLANK($O$108)), "", $O$108/1))) = ""), 0,IF(ISERROR(IF(OR(ISBLANK($O$108)), "", $O$108/1)), "", (IF(OR(ISBLANK($O$108)), "", $O$108/1))))</f>
        <v>-0.1</v>
      </c>
      <c r="P69">
        <f>IF(OR(ISBLANK(IF(ISERROR(IF(OR(ISBLANK($P$108)), "", $P$108/1)), "", (IF(OR(ISBLANK($P$108)), "", $P$108/1)))), IF(ISERROR(IF(OR(ISBLANK($P$108)), "", $P$108/1)), "", (IF(OR(ISBLANK($P$108)), "", $P$108/1))) = ""), 0,IF(ISERROR(IF(OR(ISBLANK($P$108)), "", $P$108/1)), "", (IF(OR(ISBLANK($P$108)), "", $P$108/1))))</f>
        <v>-0.1</v>
      </c>
      <c r="Q69">
        <f>IF(OR(ISBLANK(IF(ISERROR(IF(OR(ISBLANK($Q$108)), "", $Q$108/1)), "", (IF(OR(ISBLANK($Q$108)), "", $Q$108/1)))), IF(ISERROR(IF(OR(ISBLANK($Q$108)), "", $Q$108/1)), "", (IF(OR(ISBLANK($Q$108)), "", $Q$108/1))) = ""), 0,IF(ISERROR(IF(OR(ISBLANK($Q$108)), "", $Q$108/1)), "", (IF(OR(ISBLANK($Q$108)), "", $Q$108/1))))</f>
        <v>-0.1</v>
      </c>
      <c r="R69">
        <f>IF(OR(ISBLANK(IF(ISERROR(IF(OR(ISBLANK($R$108)), "", $R$108/1)), "", (IF(OR(ISBLANK($R$108)), "", $R$108/1)))), IF(ISERROR(IF(OR(ISBLANK($R$108)), "", $R$108/1)), "", (IF(OR(ISBLANK($R$108)), "", $R$108/1))) = ""), 0,IF(ISERROR(IF(OR(ISBLANK($R$108)), "", $R$108/1)), "", (IF(OR(ISBLANK($R$108)), "", $R$108/1))))</f>
        <v>-0.1</v>
      </c>
      <c r="S69">
        <f>IF(OR(ISBLANK(IF(ISERROR(IF(OR(ISBLANK($S$108)), "", $S$108/1)), "", (IF(OR(ISBLANK($S$108)), "", $S$108/1)))), IF(ISERROR(IF(OR(ISBLANK($S$108)), "", $S$108/1)), "", (IF(OR(ISBLANK($S$108)), "", $S$108/1))) = ""), 0,IF(ISERROR(IF(OR(ISBLANK($S$108)), "", $S$108/1)), "", (IF(OR(ISBLANK($S$108)), "", $S$108/1))))</f>
        <v>-0.1</v>
      </c>
      <c r="T69">
        <f>IF(OR(ISBLANK(IF(ISERROR(IF(OR(ISBLANK($T$108)), "", $T$108/1)), "", (IF(OR(ISBLANK($T$108)), "", $T$108/1)))), IF(ISERROR(IF(OR(ISBLANK($T$108)), "", $T$108/1)), "", (IF(OR(ISBLANK($T$108)), "", $T$108/1))) = ""), 0,IF(ISERROR(IF(OR(ISBLANK($T$108)), "", $T$108/1)), "", (IF(OR(ISBLANK($T$108)), "", $T$108/1))))</f>
        <v>-0.1</v>
      </c>
      <c r="U69">
        <f>IF(OR(ISBLANK(IF(ISERROR(IF(OR(ISBLANK($U$108)), "", $U$108/1)), "", (IF(OR(ISBLANK($U$108)), "", $U$108/1)))), IF(ISERROR(IF(OR(ISBLANK($U$108)), "", $U$108/1)), "", (IF(OR(ISBLANK($U$108)), "", $U$108/1))) = ""), 0,IF(ISERROR(IF(OR(ISBLANK($U$108)), "", $U$108/1)), "", (IF(OR(ISBLANK($U$108)), "", $U$108/1))))</f>
        <v>0</v>
      </c>
      <c r="V69">
        <f>IF(OR(ISBLANK(IF(ISERROR(IF(OR(ISBLANK($V$108)), "", $V$108/1)), "", (IF(OR(ISBLANK($V$108)), "", $V$108/1)))), IF(ISERROR(IF(OR(ISBLANK($V$108)), "", $V$108/1)), "", (IF(OR(ISBLANK($V$108)), "", $V$108/1))) = ""), 0,IF(ISERROR(IF(OR(ISBLANK($V$108)), "", $V$108/1)), "", (IF(OR(ISBLANK($V$108)), "", $V$108/1))))</f>
        <v>0</v>
      </c>
      <c r="W69">
        <f>IF(OR(ISBLANK(IF(ISERROR(IF(OR(ISBLANK($W$108)), "", $W$108/1)), "", (IF(OR(ISBLANK($W$108)), "", $W$108/1)))), IF(ISERROR(IF(OR(ISBLANK($W$108)), "", $W$108/1)), "", (IF(OR(ISBLANK($W$108)), "", $W$108/1))) = ""), "",IF(ISERROR(IF(OR(ISBLANK($W$108)), "", $W$108/1)), "", (IF(OR(ISBLANK($W$108)), "", $W$108/1))))</f>
        <v>0</v>
      </c>
      <c r="X69">
        <f>IF(OR(ISBLANK(IF(ISERROR(IF(OR(ISBLANK($X$108)), "", $X$108/1)), "", (IF(OR(ISBLANK($X$108)), "", $X$108/1)))), IF(ISERROR(IF(OR(ISBLANK($X$108)), "", $X$108/1)), "", (IF(OR(ISBLANK($X$108)), "", $X$108/1))) = ""), "",IF(ISERROR(IF(OR(ISBLANK($X$108)), "", $X$108/1)), "", (IF(OR(ISBLANK($X$108)), "", $X$108/1))))</f>
        <v>0</v>
      </c>
      <c r="Y69">
        <f>IF(OR(ISBLANK(IF(ISERROR(IF(OR(ISBLANK($Y$108)), "", $Y$108/1)), "", (IF(OR(ISBLANK($Y$108)), "", $Y$108/1)))), IF(ISERROR(IF(OR(ISBLANK($Y$108)), "", $Y$108/1)), "", (IF(OR(ISBLANK($Y$108)), "", $Y$108/1))) = ""), "",IF(ISERROR(IF(OR(ISBLANK($Y$108)), "", $Y$108/1)), "", (IF(OR(ISBLANK($Y$108)), "", $Y$108/1))))</f>
        <v>0</v>
      </c>
      <c r="Z69">
        <f>IF(OR(ISBLANK(IF(ISERROR(IF(OR(ISBLANK($Z$108)), "", $Z$108/1)), "", (IF(OR(ISBLANK($Z$108)), "", $Z$108/1)))), IF(ISERROR(IF(OR(ISBLANK($Z$108)), "", $Z$108/1)), "", (IF(OR(ISBLANK($Z$108)), "", $Z$108/1))) = ""), 0,IF(ISERROR(IF(OR(ISBLANK($Z$108)), "", $Z$108/1)), "", (IF(OR(ISBLANK($Z$108)), "", $Z$108/1))))</f>
        <v>0</v>
      </c>
      <c r="AA69">
        <f>IF(OR(ISBLANK(IF(ISERROR(IF(OR(ISBLANK($AA$108)), "", $AA$108/1)), "", (IF(OR(ISBLANK($AA$108)), "", $AA$108/1)))), IF(ISERROR(IF(OR(ISBLANK($AA$108)), "", $AA$108/1)), "", (IF(OR(ISBLANK($AA$108)), "", $AA$108/1))) = ""), "",IF(ISERROR(IF(OR(ISBLANK($AA$108)), "", $AA$108/1)), "", (IF(OR(ISBLANK($AA$108)), "", $AA$108/1))))</f>
        <v>0</v>
      </c>
      <c r="AB69">
        <f>IF(OR(ISBLANK(IF(ISERROR(IF(OR(ISBLANK($AB$108)), "", $AB$108/1)), "", (IF(OR(ISBLANK($AB$108)), "", $AB$108/1)))), IF(ISERROR(IF(OR(ISBLANK($AB$108)), "", $AB$108/1)), "", (IF(OR(ISBLANK($AB$108)), "", $AB$108/1))) = ""), "",IF(ISERROR(IF(OR(ISBLANK($AB$108)), "", $AB$108/1)), "", (IF(OR(ISBLANK($AB$108)), "", $AB$108/1))))</f>
        <v>0</v>
      </c>
      <c r="AC69">
        <f>IF(OR(ISBLANK(IF(ISERROR(IF(OR(ISBLANK($AC$108)), "", $AC$108/1)), "", (IF(OR(ISBLANK($AC$108)), "", $AC$108/1)))), IF(ISERROR(IF(OR(ISBLANK($AC$108)), "", $AC$108/1)), "", (IF(OR(ISBLANK($AC$108)), "", $AC$108/1))) = ""), "",IF(ISERROR(IF(OR(ISBLANK($AC$108)), "", $AC$108/1)), "", (IF(OR(ISBLANK($AC$108)), "", $AC$108/1))))</f>
        <v>0</v>
      </c>
      <c r="AD69">
        <f>IF(OR(ISBLANK(IF(ISERROR(IF(OR(ISBLANK($AD$108)), "", $AD$108/1)), "", (IF(OR(ISBLANK($AD$108)), "", $AD$108/1)))), IF(ISERROR(IF(OR(ISBLANK($AD$108)), "", $AD$108/1)), "", (IF(OR(ISBLANK($AD$108)), "", $AD$108/1))) = ""), 0,IF(ISERROR(IF(OR(ISBLANK($AD$108)), "", $AD$108/1)), "", (IF(OR(ISBLANK($AD$108)), "", $AD$108/1))))</f>
        <v>0</v>
      </c>
      <c r="AE69">
        <f>IF(OR(ISBLANK(IF(ISERROR(IF(OR(ISBLANK($AE$108)), "", $AE$108/1)), "", (IF(OR(ISBLANK($AE$108)), "", $AE$108/1)))), IF(ISERROR(IF(OR(ISBLANK($AE$108)), "", $AE$108/1)), "", (IF(OR(ISBLANK($AE$108)), "", $AE$108/1))) = ""), "",IF(ISERROR(IF(OR(ISBLANK($AE$108)), "", $AE$108/1)), "", (IF(OR(ISBLANK($AE$108)), "", $AE$108/1))))</f>
        <v>0</v>
      </c>
      <c r="AF69">
        <f>IF(OR(ISBLANK(IF(ISERROR(IF(OR(ISBLANK($AF$108)), "", $AF$108/1)), "", (IF(OR(ISBLANK($AF$108)), "", $AF$108/1)))), IF(ISERROR(IF(OR(ISBLANK($AF$108)), "", $AF$108/1)), "", (IF(OR(ISBLANK($AF$108)), "", $AF$108/1))) = ""), "",IF(ISERROR(IF(OR(ISBLANK($AF$108)), "", $AF$108/1)), "", (IF(OR(ISBLANK($AF$108)), "", $AF$108/1))))</f>
        <v>0</v>
      </c>
      <c r="AG69">
        <f>IF(OR(ISBLANK(IF(ISERROR(IF(OR(ISBLANK($AG$108)), "", $AG$108/1)), "", (IF(OR(ISBLANK($AG$108)), "", $AG$108/1)))), IF(ISERROR(IF(OR(ISBLANK($AG$108)), "", $AG$108/1)), "", (IF(OR(ISBLANK($AG$108)), "", $AG$108/1))) = ""), "",IF(ISERROR(IF(OR(ISBLANK($AG$108)), "", $AG$108/1)), "", (IF(OR(ISBLANK($AG$108)), "", $AG$108/1))))</f>
        <v>0</v>
      </c>
      <c r="AH69" t="str">
        <f>IF(OR(ISBLANK(IF(ISERROR(IF(OR(ISBLANK($AH$108)), "", $AH$108/1)), "", (IF(OR(ISBLANK($AH$108)), "", $AH$108/1)))), IF(ISERROR(IF(OR(ISBLANK($AH$108)), "", $AH$108/1)), "", (IF(OR(ISBLANK($AH$108)), "", $AH$108/1))) = ""), "",IF(ISERROR(IF(OR(ISBLANK($AH$108)), "", $AH$108/1)), "", (IF(OR(ISBLANK($AH$108)), "", $AH$108/1))))</f>
        <v/>
      </c>
      <c r="AI69">
        <f>IF(OR(ISBLANK(IF(ISERROR(IF(OR(ISBLANK($AI$108)), "", $AI$108/1)), "", (IF(OR(ISBLANK($AI$108)), "", $AI$108/1)))), IF(ISERROR(IF(OR(ISBLANK($AI$108)), "", $AI$108/1)), "", (IF(OR(ISBLANK($AI$108)), "", $AI$108/1))) = ""), 0,IF(ISERROR(IF(OR(ISBLANK($AI$108)), "", $AI$108/1)), "", (IF(OR(ISBLANK($AI$108)), "", $AI$108/1))))</f>
        <v>0</v>
      </c>
      <c r="AJ69" t="str">
        <f>IF(OR(ISBLANK(IF(ISERROR(IF(OR(ISBLANK($AJ$108)), "", $AJ$108/1)), "", (IF(OR(ISBLANK($AJ$108)), "", $AJ$108/1)))), IF(ISERROR(IF(OR(ISBLANK($AJ$108)), "", $AJ$108/1)), "", (IF(OR(ISBLANK($AJ$108)), "", $AJ$108/1))) = ""), "",IF(ISERROR(IF(OR(ISBLANK($AJ$108)), "", $AJ$108/1)), "", (IF(OR(ISBLANK($AJ$108)), "", $AJ$108/1))))</f>
        <v/>
      </c>
      <c r="AK69">
        <f>IF(OR(ISBLANK(IF(ISERROR(IF(OR(ISBLANK($AK$108)), "", $AK$108/1)), "", (IF(OR(ISBLANK($AK$108)), "", $AK$108/1)))), IF(ISERROR(IF(OR(ISBLANK($AK$108)), "", $AK$108/1)), "", (IF(OR(ISBLANK($AK$108)), "", $AK$108/1))) = ""), "",IF(ISERROR(IF(OR(ISBLANK($AK$108)), "", $AK$108/1)), "", (IF(OR(ISBLANK($AK$108)), "", $AK$108/1))))</f>
        <v>0</v>
      </c>
      <c r="AL69" t="str">
        <f>IF(OR(ISBLANK(IF(ISERROR(IF(OR(ISBLANK($AL$108)), "", $AL$108/1)), "", (IF(OR(ISBLANK($AL$108)), "", $AL$108/1)))), IF(ISERROR(IF(OR(ISBLANK($AL$108)), "", $AL$108/1)), "", (IF(OR(ISBLANK($AL$108)), "", $AL$108/1))) = ""), "",IF(ISERROR(IF(OR(ISBLANK($AL$108)), "", $AL$108/1)), "", (IF(OR(ISBLANK($AL$108)), "", $AL$108/1))))</f>
        <v/>
      </c>
      <c r="AM69">
        <f>IF(OR(ISBLANK(IF(ISERROR(IF(OR(ISBLANK($AM$108)), "", $AM$108/1)), "", (IF(OR(ISBLANK($AM$108)), "", $AM$108/1)))), IF(ISERROR(IF(OR(ISBLANK($AM$108)), "", $AM$108/1)), "", (IF(OR(ISBLANK($AM$108)), "", $AM$108/1))) = ""), 0,IF(ISERROR(IF(OR(ISBLANK($AM$108)), "", $AM$108/1)), "", (IF(OR(ISBLANK($AM$108)), "", $AM$108/1))))</f>
        <v>0</v>
      </c>
      <c r="AN69" t="str">
        <f>IF(OR(ISBLANK(IF(ISERROR(IF(OR(ISBLANK($AN$108)), "", $AN$108/1)), "", (IF(OR(ISBLANK($AN$108)), "", $AN$108/1)))), IF(ISERROR(IF(OR(ISBLANK($AN$108)), "", $AN$108/1)), "", (IF(OR(ISBLANK($AN$108)), "", $AN$108/1))) = ""), "",IF(ISERROR(IF(OR(ISBLANK($AN$108)), "", $AN$108/1)), "", (IF(OR(ISBLANK($AN$108)), "", $AN$108/1))))</f>
        <v/>
      </c>
      <c r="AO69">
        <f>IF(OR(ISBLANK(IF(ISERROR(IF(OR(ISBLANK($AO$108)), "", $AO$108/1)), "", (IF(OR(ISBLANK($AO$108)), "", $AO$108/1)))), IF(ISERROR(IF(OR(ISBLANK($AO$108)), "", $AO$108/1)), "", (IF(OR(ISBLANK($AO$108)), "", $AO$108/1))) = ""), "",IF(ISERROR(IF(OR(ISBLANK($AO$108)), "", $AO$108/1)), "", (IF(OR(ISBLANK($AO$108)), "", $AO$108/1))))</f>
        <v>0</v>
      </c>
      <c r="AP69" t="str">
        <f>IF(OR(ISBLANK(IF(ISERROR(IF(OR(ISBLANK($AP$108)), "", $AP$108/1)), "", (IF(OR(ISBLANK($AP$108)), "", $AP$108/1)))), IF(ISERROR(IF(OR(ISBLANK($AP$108)), "", $AP$108/1)), "", (IF(OR(ISBLANK($AP$108)), "", $AP$108/1))) = ""), "",IF(ISERROR(IF(OR(ISBLANK($AP$108)), "", $AP$108/1)), "", (IF(OR(ISBLANK($AP$108)), "", $AP$108/1))))</f>
        <v/>
      </c>
      <c r="AQ69" t="str">
        <f>IF(OR(ISBLANK(IF(ISERROR(IF(OR(ISBLANK($AQ$108)), "", $AQ$108/1)), "", (IF(OR(ISBLANK($AQ$108)), "", $AQ$108/1)))), IF(ISERROR(IF(OR(ISBLANK($AQ$108)), "", $AQ$108/1)), "", (IF(OR(ISBLANK($AQ$108)), "", $AQ$108/1))) = ""), "",IF(ISERROR(IF(OR(ISBLANK($AQ$108)), "", $AQ$108/1)), "", (IF(OR(ISBLANK($AQ$108)), "", $AQ$108/1))))</f>
        <v/>
      </c>
      <c r="AR69">
        <f>IF(OR(ISBLANK(IF(ISERROR(IF(OR(ISBLANK($AR$108)), "", $AR$108/1)), "", (IF(OR(ISBLANK($AR$108)), "", $AR$108/1)))), IF(ISERROR(IF(OR(ISBLANK($AR$108)), "", $AR$108/1)), "", (IF(OR(ISBLANK($AR$108)), "", $AR$108/1))) = ""), 0,IF(ISERROR(IF(OR(ISBLANK($AR$108)), "", $AR$108/1)), "", (IF(OR(ISBLANK($AR$108)), "", $AR$108/1))))</f>
        <v>0</v>
      </c>
      <c r="AS69" t="str">
        <f>IF(OR(ISBLANK(IF(ISERROR(IF(OR(ISBLANK($AS$108)), "", $AS$108/1)), "", (IF(OR(ISBLANK($AS$108)), "", $AS$108/1)))), IF(ISERROR(IF(OR(ISBLANK($AS$108)), "", $AS$108/1)), "", (IF(OR(ISBLANK($AS$108)), "", $AS$108/1))) = ""), "",IF(ISERROR(IF(OR(ISBLANK($AS$108)), "", $AS$108/1)), "", (IF(OR(ISBLANK($AS$108)), "", $AS$108/1))))</f>
        <v/>
      </c>
      <c r="AT69">
        <f>IF(OR(ISBLANK(IF(ISERROR(IF(OR(ISBLANK($AT$108)), "", $AT$108/1)), "", (IF(OR(ISBLANK($AT$108)), "", $AT$108/1)))), IF(ISERROR(IF(OR(ISBLANK($AT$108)), "", $AT$108/1)), "", (IF(OR(ISBLANK($AT$108)), "", $AT$108/1))) = ""), "",IF(ISERROR(IF(OR(ISBLANK($AT$108)), "", $AT$108/1)), "", (IF(OR(ISBLANK($AT$108)), "", $AT$108/1))))</f>
        <v>0</v>
      </c>
      <c r="AU69" t="str">
        <f>IF(OR(ISBLANK(IF(ISERROR(IF(OR(ISBLANK($AU$108)), "", $AU$108/1)), "", (IF(OR(ISBLANK($AU$108)), "", $AU$108/1)))), IF(ISERROR(IF(OR(ISBLANK($AU$108)), "", $AU$108/1)), "", (IF(OR(ISBLANK($AU$108)), "", $AU$108/1))) = ""), "",IF(ISERROR(IF(OR(ISBLANK($AU$108)), "", $AU$108/1)), "", (IF(OR(ISBLANK($AU$108)), "", $AU$108/1))))</f>
        <v/>
      </c>
      <c r="AV69">
        <f>IF(OR(ISBLANK(IF(ISERROR(IF(OR(ISBLANK($AV$108)), "", $AV$108/1)), "", (IF(OR(ISBLANK($AV$108)), "", $AV$108/1)))), IF(ISERROR(IF(OR(ISBLANK($AV$108)), "", $AV$108/1)), "", (IF(OR(ISBLANK($AV$108)), "", $AV$108/1))) = ""), 0,IF(ISERROR(IF(OR(ISBLANK($AV$108)), "", $AV$108/1)), "", (IF(OR(ISBLANK($AV$108)), "", $AV$108/1))))</f>
        <v>0</v>
      </c>
      <c r="AW69" t="str">
        <f>IF(OR(ISBLANK(IF(ISERROR(IF(OR(ISBLANK($AW$108)), "", $AW$108/1)), "", (IF(OR(ISBLANK($AW$108)), "", $AW$108/1)))), IF(ISERROR(IF(OR(ISBLANK($AW$108)), "", $AW$108/1)), "", (IF(OR(ISBLANK($AW$108)), "", $AW$108/1))) = ""), "",IF(ISERROR(IF(OR(ISBLANK($AW$108)), "", $AW$108/1)), "", (IF(OR(ISBLANK($AW$108)), "", $AW$108/1))))</f>
        <v/>
      </c>
      <c r="AX69">
        <f>IF(OR(ISBLANK(IF(ISERROR(IF(OR(ISBLANK($AX$108)), "", $AX$108/1)), "", (IF(OR(ISBLANK($AX$108)), "", $AX$108/1)))), IF(ISERROR(IF(OR(ISBLANK($AX$108)), "", $AX$108/1)), "", (IF(OR(ISBLANK($AX$108)), "", $AX$108/1))) = ""), "",IF(ISERROR(IF(OR(ISBLANK($AX$108)), "", $AX$108/1)), "", (IF(OR(ISBLANK($AX$108)), "", $AX$108/1))))</f>
        <v>0</v>
      </c>
      <c r="AY69" t="str">
        <f>IF(OR(ISBLANK(IF(ISERROR(IF(OR(ISBLANK($AY$108)), "", $AY$108/1)), "", (IF(OR(ISBLANK($AY$108)), "", $AY$108/1)))), IF(ISERROR(IF(OR(ISBLANK($AY$108)), "", $AY$108/1)), "", (IF(OR(ISBLANK($AY$108)), "", $AY$108/1))) = ""), "",IF(ISERROR(IF(OR(ISBLANK($AY$108)), "", $AY$108/1)), "", (IF(OR(ISBLANK($AY$108)), "", $AY$108/1))))</f>
        <v/>
      </c>
      <c r="AZ69" t="str">
        <f>IF(OR(ISBLANK(IF(ISERROR(IF(OR(ISBLANK($AZ$108)), "", $AZ$108/1)), "", (IF(OR(ISBLANK($AZ$108)), "", $AZ$108/1)))), IF(ISERROR(IF(OR(ISBLANK($AZ$108)), "", $AZ$108/1)), "", (IF(OR(ISBLANK($AZ$108)), "", $AZ$108/1))) = ""), "",IF(ISERROR(IF(OR(ISBLANK($AZ$108)), "", $AZ$108/1)), "", (IF(OR(ISBLANK($AZ$108)), "", $AZ$108/1))))</f>
        <v/>
      </c>
      <c r="BA69">
        <f>IF(OR(ISBLANK(IF(ISERROR(IF(OR(ISBLANK($BA$108)), "", $BA$108/1)), "", (IF(OR(ISBLANK($BA$108)), "", $BA$108/1)))), IF(ISERROR(IF(OR(ISBLANK($BA$108)), "", $BA$108/1)), "", (IF(OR(ISBLANK($BA$108)), "", $BA$108/1))) = ""), 0,IF(ISERROR(IF(OR(ISBLANK($BA$108)), "", $BA$108/1)), "", (IF(OR(ISBLANK($BA$108)), "", $BA$108/1))))</f>
        <v>0</v>
      </c>
      <c r="BB69" t="str">
        <f>IF(OR(ISBLANK(IF(ISERROR(IF(OR(ISBLANK($BB$108)), "", $BB$108/1)), "", (IF(OR(ISBLANK($BB$108)), "", $BB$108/1)))), IF(ISERROR(IF(OR(ISBLANK($BB$108)), "", $BB$108/1)), "", (IF(OR(ISBLANK($BB$108)), "", $BB$108/1))) = ""), "",IF(ISERROR(IF(OR(ISBLANK($BB$108)), "", $BB$108/1)), "", (IF(OR(ISBLANK($BB$108)), "", $BB$108/1))))</f>
        <v/>
      </c>
      <c r="BC69">
        <f>IF(OR(ISBLANK(IF(ISERROR(IF(OR(ISBLANK($BC$108)), "", $BC$108/1)), "", (IF(OR(ISBLANK($BC$108)), "", $BC$108/1)))), IF(ISERROR(IF(OR(ISBLANK($BC$108)), "", $BC$108/1)), "", (IF(OR(ISBLANK($BC$108)), "", $BC$108/1))) = ""), "",IF(ISERROR(IF(OR(ISBLANK($BC$108)), "", $BC$108/1)), "", (IF(OR(ISBLANK($BC$108)), "", $BC$108/1))))</f>
        <v>0</v>
      </c>
      <c r="BD69" t="str">
        <f>IF(OR(ISBLANK(IF(ISERROR(IF(OR(ISBLANK($BD$108)), "", $BD$108/1)), "", (IF(OR(ISBLANK($BD$108)), "", $BD$108/1)))), IF(ISERROR(IF(OR(ISBLANK($BD$108)), "", $BD$108/1)), "", (IF(OR(ISBLANK($BD$108)), "", $BD$108/1))) = ""), "",IF(ISERROR(IF(OR(ISBLANK($BD$108)), "", $BD$108/1)), "", (IF(OR(ISBLANK($BD$108)), "", $BD$108/1))))</f>
        <v/>
      </c>
      <c r="BE69">
        <f>IF(OR(ISBLANK(IF(ISERROR(IF(OR(ISBLANK($BE$108)), "", $BE$108/1)), "", (IF(OR(ISBLANK($BE$108)), "", $BE$108/1)))), IF(ISERROR(IF(OR(ISBLANK($BE$108)), "", $BE$108/1)), "", (IF(OR(ISBLANK($BE$108)), "", $BE$108/1))) = ""), 0,IF(ISERROR(IF(OR(ISBLANK($BE$108)), "", $BE$108/1)), "", (IF(OR(ISBLANK($BE$108)), "", $BE$108/1))))</f>
        <v>0</v>
      </c>
      <c r="BF69" t="str">
        <f>IF(OR(ISBLANK(IF(ISERROR(IF(OR(ISBLANK($BF$108)), "", $BF$108/1)), "", (IF(OR(ISBLANK($BF$108)), "", $BF$108/1)))), IF(ISERROR(IF(OR(ISBLANK($BF$108)), "", $BF$108/1)), "", (IF(OR(ISBLANK($BF$108)), "", $BF$108/1))) = ""), "",IF(ISERROR(IF(OR(ISBLANK($BF$108)), "", $BF$108/1)), "", (IF(OR(ISBLANK($BF$108)), "", $BF$108/1))))</f>
        <v/>
      </c>
      <c r="BG69">
        <f>IF(OR(ISBLANK(IF(ISERROR(IF(OR(ISBLANK($BG$108)), "", $BG$108/1)), "", (IF(OR(ISBLANK($BG$108)), "", $BG$108/1)))), IF(ISERROR(IF(OR(ISBLANK($BG$108)), "", $BG$108/1)), "", (IF(OR(ISBLANK($BG$108)), "", $BG$108/1))) = ""), "",IF(ISERROR(IF(OR(ISBLANK($BG$108)), "", $BG$108/1)), "", (IF(OR(ISBLANK($BG$108)), "", $BG$108/1))))</f>
        <v>0</v>
      </c>
      <c r="BH69" t="str">
        <f>IF(OR(ISBLANK(IF(ISERROR(IF(OR(ISBLANK($BH$108)), "", $BH$108/1)), "", (IF(OR(ISBLANK($BH$108)), "", $BH$108/1)))), IF(ISERROR(IF(OR(ISBLANK($BH$108)), "", $BH$108/1)), "", (IF(OR(ISBLANK($BH$108)), "", $BH$108/1))) = ""), "",IF(ISERROR(IF(OR(ISBLANK($BH$108)), "", $BH$108/1)), "", (IF(OR(ISBLANK($BH$108)), "", $BH$108/1))))</f>
        <v/>
      </c>
      <c r="BI69">
        <f>IF(OR(ISBLANK(IF(ISERROR(IF(OR(ISBLANK($BI$108)), "", $BI$108/1)), "", (IF(OR(ISBLANK($BI$108)), "", $BI$108/1)))), IF(ISERROR(IF(OR(ISBLANK($BI$108)), "", $BI$108/1)), "", (IF(OR(ISBLANK($BI$108)), "", $BI$108/1))) = ""), 0,IF(ISERROR(IF(OR(ISBLANK($BI$108)), "", $BI$108/1)), "", (IF(OR(ISBLANK($BI$108)), "", $BI$108/1))))</f>
        <v>0</v>
      </c>
      <c r="BJ69" t="str">
        <f>IF(OR(ISBLANK(IF(ISERROR(IF(OR(ISBLANK($BJ$108)), "", $BJ$108/1)), "", (IF(OR(ISBLANK($BJ$108)), "", $BJ$108/1)))), IF(ISERROR(IF(OR(ISBLANK($BJ$108)), "", $BJ$108/1)), "", (IF(OR(ISBLANK($BJ$108)), "", $BJ$108/1))) = ""), "",IF(ISERROR(IF(OR(ISBLANK($BJ$108)), "", $BJ$108/1)), "", (IF(OR(ISBLANK($BJ$108)), "", $BJ$108/1))))</f>
        <v/>
      </c>
      <c r="BK69" t="str">
        <f>IF(OR(ISBLANK(IF(ISERROR(IF(OR(ISBLANK($BK$108)), "", $BK$108/1)), "", (IF(OR(ISBLANK($BK$108)), "", $BK$108/1)))), IF(ISERROR(IF(OR(ISBLANK($BK$108)), "", $BK$108/1)), "", (IF(OR(ISBLANK($BK$108)), "", $BK$108/1))) = ""), "",IF(ISERROR(IF(OR(ISBLANK($BK$108)), "", $BK$108/1)), "", (IF(OR(ISBLANK($BK$108)), "", $BK$108/1))))</f>
        <v/>
      </c>
      <c r="BL69">
        <f>IF(OR(ISBLANK(IF(ISERROR(IF(OR(ISBLANK($BL$108)), "", $BL$108/1)), "", (IF(OR(ISBLANK($BL$108)), "", $BL$108/1)))), IF(ISERROR(IF(OR(ISBLANK($BL$108)), "", $BL$108/1)), "", (IF(OR(ISBLANK($BL$108)), "", $BL$108/1))) = ""), "",IF(ISERROR(IF(OR(ISBLANK($BL$108)), "", $BL$108/1)), "", (IF(OR(ISBLANK($BL$108)), "", $BL$108/1))))</f>
        <v>0</v>
      </c>
      <c r="BM69" t="str">
        <f>IF(OR(ISBLANK(IF(ISERROR(IF(OR(ISBLANK($BM$108)), "", $BM$108/1)), "", (IF(OR(ISBLANK($BM$108)), "", $BM$108/1)))), IF(ISERROR(IF(OR(ISBLANK($BM$108)), "", $BM$108/1)), "", (IF(OR(ISBLANK($BM$108)), "", $BM$108/1))) = ""), "",IF(ISERROR(IF(OR(ISBLANK($BM$108)), "", $BM$108/1)), "", (IF(OR(ISBLANK($BM$108)), "", $BM$108/1))))</f>
        <v/>
      </c>
      <c r="BN69">
        <f>IF(OR(ISBLANK(IF(ISERROR(IF(OR(ISBLANK($BN$108)), "", $BN$108/1)), "", (IF(OR(ISBLANK($BN$108)), "", $BN$108/1)))), IF(ISERROR(IF(OR(ISBLANK($BN$108)), "", $BN$108/1)), "", (IF(OR(ISBLANK($BN$108)), "", $BN$108/1))) = ""), 0,IF(ISERROR(IF(OR(ISBLANK($BN$108)), "", $BN$108/1)), "", (IF(OR(ISBLANK($BN$108)), "", $BN$108/1))))</f>
        <v>0</v>
      </c>
      <c r="BO69">
        <f>IF(OR(ISBLANK(IF(ISERROR(IF(OR(ISBLANK($BO$108)), "", $BO$108/1)), "", (IF(OR(ISBLANK($BO$108)), "", $BO$108/1)))), IF(ISERROR(IF(OR(ISBLANK($BO$108)), "", $BO$108/1)), "", (IF(OR(ISBLANK($BO$108)), "", $BO$108/1))) = ""), 0,IF(ISERROR(IF(OR(ISBLANK($BO$108)), "", $BO$108/1)), "", (IF(OR(ISBLANK($BO$108)), "", $BO$108/1))))</f>
        <v>0</v>
      </c>
      <c r="BP69">
        <f>IF(OR(ISBLANK(IF(ISERROR(IF(OR(ISBLANK($BP$108)), "", $BP$108/1)), "", (IF(OR(ISBLANK($BP$108)), "", $BP$108/1)))), IF(ISERROR(IF(OR(ISBLANK($BP$108)), "", $BP$108/1)), "", (IF(OR(ISBLANK($BP$108)), "", $BP$108/1))) = ""), 0,IF(ISERROR(IF(OR(ISBLANK($BP$108)), "", $BP$108/1)), "", (IF(OR(ISBLANK($BP$108)), "", $BP$108/1))))</f>
        <v>0</v>
      </c>
      <c r="BQ69">
        <f>IF(OR(ISBLANK(IF(ISERROR(IF(OR(ISBLANK($BQ$108)), "", $BQ$108/1)), "", (IF(OR(ISBLANK($BQ$108)), "", $BQ$108/1)))), IF(ISERROR(IF(OR(ISBLANK($BQ$108)), "", $BQ$108/1)), "", (IF(OR(ISBLANK($BQ$108)), "", $BQ$108/1))) = ""), 0,IF(ISERROR(IF(OR(ISBLANK($BQ$108)), "", $BQ$108/1)), "", (IF(OR(ISBLANK($BQ$108)), "", $BQ$108/1))))</f>
        <v>0</v>
      </c>
      <c r="BR69">
        <f>IF(OR(ISBLANK(IF(ISERROR(IF(OR(ISBLANK($BR$108)), "", $BR$108/1)), "", (IF(OR(ISBLANK($BR$108)), "", $BR$108/1)))), IF(ISERROR(IF(OR(ISBLANK($BR$108)), "", $BR$108/1)), "", (IF(OR(ISBLANK($BR$108)), "", $BR$108/1))) = ""), 0,IF(ISERROR(IF(OR(ISBLANK($BR$108)), "", $BR$108/1)), "", (IF(OR(ISBLANK($BR$108)), "", $BR$108/1))))</f>
        <v>0</v>
      </c>
      <c r="BS69">
        <f>IF(OR(ISBLANK(IF(ISERROR(IF(OR(ISBLANK($BS$108)), "", $BS$108/1)), "", (IF(OR(ISBLANK($BS$108)), "", $BS$108/1)))), IF(ISERROR(IF(OR(ISBLANK($BS$108)), "", $BS$108/1)), "", (IF(OR(ISBLANK($BS$108)), "", $BS$108/1))) = ""), 0,IF(ISERROR(IF(OR(ISBLANK($BS$108)), "", $BS$108/1)), "", (IF(OR(ISBLANK($BS$108)), "", $BS$108/1))))</f>
        <v>0</v>
      </c>
      <c r="BT69">
        <f>IF(OR(ISBLANK(IF(ISERROR(IF(OR(ISBLANK($BT$108)), "", $BT$108/1)), "", (IF(OR(ISBLANK($BT$108)), "", $BT$108/1)))), IF(ISERROR(IF(OR(ISBLANK($BT$108)), "", $BT$108/1)), "", (IF(OR(ISBLANK($BT$108)), "", $BT$108/1))) = ""), 0,IF(ISERROR(IF(OR(ISBLANK($BT$108)), "", $BT$108/1)), "", (IF(OR(ISBLANK($BT$108)), "", $BT$108/1))))</f>
        <v>0</v>
      </c>
      <c r="BU69">
        <f>IF(OR(ISBLANK(IF(ISERROR(IF(OR(ISBLANK($BU$108)), "", $BU$108/1)), "", (IF(OR(ISBLANK($BU$108)), "", $BU$108/1)))), IF(ISERROR(IF(OR(ISBLANK($BU$108)), "", $BU$108/1)), "", (IF(OR(ISBLANK($BU$108)), "", $BU$108/1))) = ""), 0,IF(ISERROR(IF(OR(ISBLANK($BU$108)), "", $BU$108/1)), "", (IF(OR(ISBLANK($BU$108)), "", $BU$108/1))))</f>
        <v>0</v>
      </c>
      <c r="BV69">
        <f>IF(OR(ISBLANK(IF(ISERROR(IF(OR(ISBLANK($BV$108)), "", $BV$108/1)), "", (IF(OR(ISBLANK($BV$108)), "", $BV$108/1)))), IF(ISERROR(IF(OR(ISBLANK($BV$108)), "", $BV$108/1)), "", (IF(OR(ISBLANK($BV$108)), "", $BV$108/1))) = ""), 0,IF(ISERROR(IF(OR(ISBLANK($BV$108)), "", $BV$108/1)), "", (IF(OR(ISBLANK($BV$108)), "", $BV$108/1))))</f>
        <v>0</v>
      </c>
      <c r="BW69">
        <f>IF(OR(ISBLANK(IF(ISERROR(IF(OR(ISBLANK($BW$108)), "", $BW$108/1)), "", (IF(OR(ISBLANK($BW$108)), "", $BW$108/1)))), IF(ISERROR(IF(OR(ISBLANK($BW$108)), "", $BW$108/1)), "", (IF(OR(ISBLANK($BW$108)), "", $BW$108/1))) = ""), 0,IF(ISERROR(IF(OR(ISBLANK($BW$108)), "", $BW$108/1)), "", (IF(OR(ISBLANK($BW$108)), "", $BW$108/1))))</f>
        <v>0</v>
      </c>
      <c r="BX69">
        <f>IF(OR(ISBLANK(IF(ISERROR(IF(OR(ISBLANK($BX$108)), "", $BX$108/1)), "", (IF(OR(ISBLANK($BX$108)), "", $BX$108/1)))), IF(ISERROR(IF(OR(ISBLANK($BX$108)), "", $BX$108/1)), "", (IF(OR(ISBLANK($BX$108)), "", $BX$108/1))) = ""), 0,IF(ISERROR(IF(OR(ISBLANK($BX$108)), "", $BX$108/1)), "", (IF(OR(ISBLANK($BX$108)), "", $BX$108/1))))</f>
        <v>0</v>
      </c>
      <c r="BY69">
        <f>IF(OR(ISBLANK(IF(ISERROR(IF(OR(ISBLANK($BY$108)), "", $BY$108/1)), "", (IF(OR(ISBLANK($BY$108)), "", $BY$108/1)))), IF(ISERROR(IF(OR(ISBLANK($BY$108)), "", $BY$108/1)), "", (IF(OR(ISBLANK($BY$108)), "", $BY$108/1))) = ""), 0,IF(ISERROR(IF(OR(ISBLANK($BY$108)), "", $BY$108/1)), "", (IF(OR(ISBLANK($BY$108)), "", $BY$108/1))))</f>
        <v>0</v>
      </c>
      <c r="BZ69">
        <f>IF(OR(ISBLANK(IF(ISERROR(IF(OR(ISBLANK($BZ$108)), "", $BZ$108/1)), "", (IF(OR(ISBLANK($BZ$108)), "", $BZ$108/1)))), IF(ISERROR(IF(OR(ISBLANK($BZ$108)), "", $BZ$108/1)), "", (IF(OR(ISBLANK($BZ$108)), "", $BZ$108/1))) = ""), 0,IF(ISERROR(IF(OR(ISBLANK($BZ$108)), "", $BZ$108/1)), "", (IF(OR(ISBLANK($BZ$108)), "", $BZ$108/1))))</f>
        <v>0</v>
      </c>
      <c r="CA69">
        <f>IF(OR(ISBLANK(IF(ISERROR(IF(OR(ISBLANK($CA$108)), "", $CA$108/1)), "", (IF(OR(ISBLANK($CA$108)), "", $CA$108/1)))), IF(ISERROR(IF(OR(ISBLANK($CA$108)), "", $CA$108/1)), "", (IF(OR(ISBLANK($CA$108)), "", $CA$108/1))) = ""), 0,IF(ISERROR(IF(OR(ISBLANK($CA$108)), "", $CA$108/1)), "", (IF(OR(ISBLANK($CA$108)), "", $CA$108/1))))</f>
        <v>0</v>
      </c>
      <c r="CB69">
        <f>IF(OR(ISBLANK(IF(ISERROR(IF(OR(ISBLANK($CB$108)), "", $CB$108/1)), "", (IF(OR(ISBLANK($CB$108)), "", $CB$108/1)))), IF(ISERROR(IF(OR(ISBLANK($CB$108)), "", $CB$108/1)), "", (IF(OR(ISBLANK($CB$108)), "", $CB$108/1))) = ""), 0,IF(ISERROR(IF(OR(ISBLANK($CB$108)), "", $CB$108/1)), "", (IF(OR(ISBLANK($CB$108)), "", $CB$108/1))))</f>
        <v>0</v>
      </c>
      <c r="CC69">
        <f>IF(OR(ISBLANK(IF(ISERROR(IF(OR(ISBLANK($CC$108)), "", $CC$108/1)), "", (IF(OR(ISBLANK($CC$108)), "", $CC$108/1)))), IF(ISERROR(IF(OR(ISBLANK($CC$108)), "", $CC$108/1)), "", (IF(OR(ISBLANK($CC$108)), "", $CC$108/1))) = ""), 0,IF(ISERROR(IF(OR(ISBLANK($CC$108)), "", $CC$108/1)), "", (IF(OR(ISBLANK($CC$108)), "", $CC$108/1))))</f>
        <v>0</v>
      </c>
      <c r="CD69">
        <f>IF(OR(ISBLANK(IF(ISERROR(IF(OR(ISBLANK($CD$108)), "", $CD$108/1)), "", (IF(OR(ISBLANK($CD$108)), "", $CD$108/1)))), IF(ISERROR(IF(OR(ISBLANK($CD$108)), "", $CD$108/1)), "", (IF(OR(ISBLANK($CD$108)), "", $CD$108/1))) = ""), 0,IF(ISERROR(IF(OR(ISBLANK($CD$108)), "", $CD$108/1)), "", (IF(OR(ISBLANK($CD$108)), "", $CD$108/1))))</f>
        <v>0</v>
      </c>
      <c r="CE69">
        <f>IF(OR(ISBLANK(IF(ISERROR(IF(OR(ISBLANK($CE$108)), "", $CE$108/1)), "", (IF(OR(ISBLANK($CE$108)), "", $CE$108/1)))), IF(ISERROR(IF(OR(ISBLANK($CE$108)), "", $CE$108/1)), "", (IF(OR(ISBLANK($CE$108)), "", $CE$108/1))) = ""), 0,IF(ISERROR(IF(OR(ISBLANK($CE$108)), "", $CE$108/1)), "", (IF(OR(ISBLANK($CE$108)), "", $CE$108/1))))</f>
        <v>0</v>
      </c>
      <c r="CF69">
        <f>IF(OR(ISBLANK(IF(ISERROR(IF(OR(ISBLANK($CF$108)), "", $CF$108/1)), "", (IF(OR(ISBLANK($CF$108)), "", $CF$108/1)))), IF(ISERROR(IF(OR(ISBLANK($CF$108)), "", $CF$108/1)), "", (IF(OR(ISBLANK($CF$108)), "", $CF$108/1))) = ""), 0,IF(ISERROR(IF(OR(ISBLANK($CF$108)), "", $CF$108/1)), "", (IF(OR(ISBLANK($CF$108)), "", $CF$108/1))))</f>
        <v>0</v>
      </c>
      <c r="CG69">
        <f>IF(OR(ISBLANK(IF(ISERROR(IF(OR(ISBLANK($CG$108)), "", $CG$108/1)), "", (IF(OR(ISBLANK($CG$108)), "", $CG$108/1)))), IF(ISERROR(IF(OR(ISBLANK($CG$108)), "", $CG$108/1)), "", (IF(OR(ISBLANK($CG$108)), "", $CG$108/1))) = ""), 0,IF(ISERROR(IF(OR(ISBLANK($CG$108)), "", $CG$108/1)), "", (IF(OR(ISBLANK($CG$108)), "", $CG$108/1))))</f>
        <v>0</v>
      </c>
    </row>
    <row r="70" spans="1:85" x14ac:dyDescent="0.25">
      <c r="A70" t="str">
        <f>"ECB LIQUIDITY OPERATIONS (MONTHLY AVG) (EUR B)"</f>
        <v>ECB LIQUIDITY OPERATIONS (MONTHLY AVG) (EUR B)</v>
      </c>
      <c r="B70" t="str">
        <f>""</f>
        <v/>
      </c>
      <c r="C70" t="str">
        <f>""</f>
        <v/>
      </c>
      <c r="D70" t="str">
        <f>""</f>
        <v/>
      </c>
      <c r="E70" t="str">
        <f>"Static"</f>
        <v>Static</v>
      </c>
      <c r="F70" t="str">
        <f>""</f>
        <v/>
      </c>
      <c r="G70" t="str">
        <f>""</f>
        <v/>
      </c>
      <c r="H70" t="str">
        <f>""</f>
        <v/>
      </c>
      <c r="I70" t="str">
        <f>""</f>
        <v/>
      </c>
      <c r="J70" t="str">
        <f>""</f>
        <v/>
      </c>
      <c r="K70" t="str">
        <f>""</f>
        <v/>
      </c>
      <c r="L70" t="str">
        <f>""</f>
        <v/>
      </c>
      <c r="M70" t="str">
        <f>""</f>
        <v/>
      </c>
      <c r="N70" t="str">
        <f>""</f>
        <v/>
      </c>
      <c r="O70" t="str">
        <f>""</f>
        <v/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t="str">
        <f>""</f>
        <v/>
      </c>
      <c r="AC70" t="str">
        <f>""</f>
        <v/>
      </c>
      <c r="AD70" t="str">
        <f>""</f>
        <v/>
      </c>
      <c r="AE70" t="str">
        <f>""</f>
        <v/>
      </c>
      <c r="AF70" t="str">
        <f>""</f>
        <v/>
      </c>
      <c r="AG70" t="str">
        <f>""</f>
        <v/>
      </c>
      <c r="AH70" t="str">
        <f>""</f>
        <v/>
      </c>
      <c r="AI70" t="str">
        <f>""</f>
        <v/>
      </c>
      <c r="AJ70" t="str">
        <f>""</f>
        <v/>
      </c>
      <c r="AK70" t="str">
        <f>""</f>
        <v/>
      </c>
      <c r="AL70" t="str">
        <f>""</f>
        <v/>
      </c>
      <c r="AM70" t="str">
        <f>""</f>
        <v/>
      </c>
      <c r="AN70" t="str">
        <f>""</f>
        <v/>
      </c>
      <c r="AO70" t="str">
        <f>""</f>
        <v/>
      </c>
      <c r="AP70" t="str">
        <f>""</f>
        <v/>
      </c>
      <c r="AQ70" t="str">
        <f>""</f>
        <v/>
      </c>
      <c r="AR70" t="str">
        <f>""</f>
        <v/>
      </c>
      <c r="AS70" t="str">
        <f>""</f>
        <v/>
      </c>
      <c r="AT70" t="str">
        <f>""</f>
        <v/>
      </c>
      <c r="AU70" t="str">
        <f>""</f>
        <v/>
      </c>
      <c r="AV70" t="str">
        <f>""</f>
        <v/>
      </c>
      <c r="AW70" t="str">
        <f>""</f>
        <v/>
      </c>
      <c r="AX70" t="str">
        <f>""</f>
        <v/>
      </c>
      <c r="AY70" t="str">
        <f>""</f>
        <v/>
      </c>
      <c r="AZ70" t="str">
        <f>""</f>
        <v/>
      </c>
      <c r="BA70" t="str">
        <f>""</f>
        <v/>
      </c>
      <c r="BB70" t="str">
        <f>""</f>
        <v/>
      </c>
      <c r="BC70" t="str">
        <f>""</f>
        <v/>
      </c>
      <c r="BD70" t="str">
        <f>""</f>
        <v/>
      </c>
      <c r="BE70" t="str">
        <f>""</f>
        <v/>
      </c>
      <c r="BF70" t="str">
        <f>""</f>
        <v/>
      </c>
      <c r="BG70" t="str">
        <f>""</f>
        <v/>
      </c>
      <c r="BH70" t="str">
        <f>""</f>
        <v/>
      </c>
      <c r="BI70" t="str">
        <f>""</f>
        <v/>
      </c>
      <c r="BJ70" t="str">
        <f>""</f>
        <v/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</row>
    <row r="71" spans="1:85" x14ac:dyDescent="0.25">
      <c r="A71" t="str">
        <f>"Source: European Central Bank"</f>
        <v>Source: European Central Bank</v>
      </c>
      <c r="B71" t="str">
        <f>""</f>
        <v/>
      </c>
      <c r="C71" t="str">
        <f>""</f>
        <v/>
      </c>
      <c r="D71" t="str">
        <f>""</f>
        <v/>
      </c>
      <c r="E71" t="str">
        <f>"Heading"</f>
        <v>Heading</v>
      </c>
      <c r="F71" t="str">
        <f>""</f>
        <v/>
      </c>
      <c r="G71" t="str">
        <f>""</f>
        <v/>
      </c>
      <c r="H71" t="str">
        <f>""</f>
        <v/>
      </c>
      <c r="I71" t="str">
        <f>""</f>
        <v/>
      </c>
      <c r="J71" t="str">
        <f>""</f>
        <v/>
      </c>
      <c r="K71" t="str">
        <f>""</f>
        <v/>
      </c>
      <c r="L71" t="str">
        <f>""</f>
        <v/>
      </c>
      <c r="M71" t="str">
        <f>""</f>
        <v/>
      </c>
      <c r="N71" t="str">
        <f>""</f>
        <v/>
      </c>
      <c r="O71" t="str">
        <f>""</f>
        <v/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t="str">
        <f>""</f>
        <v/>
      </c>
      <c r="AC71" t="str">
        <f>""</f>
        <v/>
      </c>
      <c r="AD71" t="str">
        <f>""</f>
        <v/>
      </c>
      <c r="AE71" t="str">
        <f>""</f>
        <v/>
      </c>
      <c r="AF71" t="str">
        <f>""</f>
        <v/>
      </c>
      <c r="AG71" t="str">
        <f>""</f>
        <v/>
      </c>
      <c r="AH71" t="str">
        <f>""</f>
        <v/>
      </c>
      <c r="AI71" t="str">
        <f>""</f>
        <v/>
      </c>
      <c r="AJ71" t="str">
        <f>""</f>
        <v/>
      </c>
      <c r="AK71" t="str">
        <f>""</f>
        <v/>
      </c>
      <c r="AL71" t="str">
        <f>""</f>
        <v/>
      </c>
      <c r="AM71" t="str">
        <f>""</f>
        <v/>
      </c>
      <c r="AN71" t="str">
        <f>""</f>
        <v/>
      </c>
      <c r="AO71" t="str">
        <f>""</f>
        <v/>
      </c>
      <c r="AP71" t="str">
        <f>""</f>
        <v/>
      </c>
      <c r="AQ71" t="str">
        <f>""</f>
        <v/>
      </c>
      <c r="AR71" t="str">
        <f>""</f>
        <v/>
      </c>
      <c r="AS71" t="str">
        <f>""</f>
        <v/>
      </c>
      <c r="AT71" t="str">
        <f>""</f>
        <v/>
      </c>
      <c r="AU71" t="str">
        <f>""</f>
        <v/>
      </c>
      <c r="AV71" t="str">
        <f>""</f>
        <v/>
      </c>
      <c r="AW71" t="str">
        <f>""</f>
        <v/>
      </c>
      <c r="AX71" t="str">
        <f>""</f>
        <v/>
      </c>
      <c r="AY71" t="str">
        <f>""</f>
        <v/>
      </c>
      <c r="AZ71" t="str">
        <f>""</f>
        <v/>
      </c>
      <c r="BA71" t="str">
        <f>""</f>
        <v/>
      </c>
      <c r="BB71" t="str">
        <f>""</f>
        <v/>
      </c>
      <c r="BC71" t="str">
        <f>""</f>
        <v/>
      </c>
      <c r="BD71" t="str">
        <f>""</f>
        <v/>
      </c>
      <c r="BE71" t="str">
        <f>""</f>
        <v/>
      </c>
      <c r="BF71" t="str">
        <f>""</f>
        <v/>
      </c>
      <c r="BG71" t="str">
        <f>""</f>
        <v/>
      </c>
      <c r="BH71" t="str">
        <f>""</f>
        <v/>
      </c>
      <c r="BI71" t="str">
        <f>""</f>
        <v/>
      </c>
      <c r="BJ71" t="str">
        <f>""</f>
        <v/>
      </c>
      <c r="BK71" t="str">
        <f>""</f>
        <v/>
      </c>
      <c r="BL71" t="str">
        <f>""</f>
        <v/>
      </c>
      <c r="BM71" t="str">
        <f>""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</row>
    <row r="72" spans="1:85" x14ac:dyDescent="0.25">
      <c r="A72" t="str">
        <f>""</f>
        <v/>
      </c>
      <c r="B72" t="str">
        <f>""</f>
        <v/>
      </c>
      <c r="C72" t="str">
        <f>""</f>
        <v/>
      </c>
      <c r="D72" t="str">
        <f>""</f>
        <v/>
      </c>
      <c r="E72" t="str">
        <f>"Static"</f>
        <v>Static</v>
      </c>
      <c r="F72" t="str">
        <f>""</f>
        <v/>
      </c>
      <c r="G72" t="str">
        <f>""</f>
        <v/>
      </c>
      <c r="H72" t="str">
        <f>""</f>
        <v/>
      </c>
      <c r="I72" t="str">
        <f>""</f>
        <v/>
      </c>
      <c r="J72" t="str">
        <f>""</f>
        <v/>
      </c>
      <c r="K72" t="str">
        <f>""</f>
        <v/>
      </c>
      <c r="L72" t="str">
        <f>""</f>
        <v/>
      </c>
      <c r="M72" t="str">
        <f>""</f>
        <v/>
      </c>
      <c r="N72" t="str">
        <f>""</f>
        <v/>
      </c>
      <c r="O72" t="str">
        <f>""</f>
        <v/>
      </c>
      <c r="P72" t="str">
        <f>""</f>
        <v/>
      </c>
      <c r="Q72" t="str">
        <f>""</f>
        <v/>
      </c>
      <c r="R72" t="str">
        <f>""</f>
        <v/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t="str">
        <f>""</f>
        <v/>
      </c>
      <c r="AC72" t="str">
        <f>""</f>
        <v/>
      </c>
      <c r="AD72" t="str">
        <f>""</f>
        <v/>
      </c>
      <c r="AE72" t="str">
        <f>""</f>
        <v/>
      </c>
      <c r="AF72" t="str">
        <f>""</f>
        <v/>
      </c>
      <c r="AG72" t="str">
        <f>""</f>
        <v/>
      </c>
      <c r="AH72" t="str">
        <f>""</f>
        <v/>
      </c>
      <c r="AI72" t="str">
        <f>""</f>
        <v/>
      </c>
      <c r="AJ72" t="str">
        <f>""</f>
        <v/>
      </c>
      <c r="AK72" t="str">
        <f>""</f>
        <v/>
      </c>
      <c r="AL72" t="str">
        <f>""</f>
        <v/>
      </c>
      <c r="AM72" t="str">
        <f>""</f>
        <v/>
      </c>
      <c r="AN72" t="str">
        <f>""</f>
        <v/>
      </c>
      <c r="AO72" t="str">
        <f>""</f>
        <v/>
      </c>
      <c r="AP72" t="str">
        <f>""</f>
        <v/>
      </c>
      <c r="AQ72" t="str">
        <f>""</f>
        <v/>
      </c>
      <c r="AR72" t="str">
        <f>""</f>
        <v/>
      </c>
      <c r="AS72" t="str">
        <f>""</f>
        <v/>
      </c>
      <c r="AT72" t="str">
        <f>""</f>
        <v/>
      </c>
      <c r="AU72" t="str">
        <f>""</f>
        <v/>
      </c>
      <c r="AV72" t="str">
        <f>""</f>
        <v/>
      </c>
      <c r="AW72" t="str">
        <f>""</f>
        <v/>
      </c>
      <c r="AX72" t="str">
        <f>""</f>
        <v/>
      </c>
      <c r="AY72" t="str">
        <f>""</f>
        <v/>
      </c>
      <c r="AZ72" t="str">
        <f>""</f>
        <v/>
      </c>
      <c r="BA72" t="str">
        <f>""</f>
        <v/>
      </c>
      <c r="BB72" t="str">
        <f>""</f>
        <v/>
      </c>
      <c r="BC72" t="str">
        <f>""</f>
        <v/>
      </c>
      <c r="BD72" t="str">
        <f>""</f>
        <v/>
      </c>
      <c r="BE72" t="str">
        <f>""</f>
        <v/>
      </c>
      <c r="BF72" t="str">
        <f>""</f>
        <v/>
      </c>
      <c r="BG72" t="str">
        <f>""</f>
        <v/>
      </c>
      <c r="BH72" t="str">
        <f>""</f>
        <v/>
      </c>
      <c r="BI72" t="str">
        <f>""</f>
        <v/>
      </c>
      <c r="BJ72" t="str">
        <f>""</f>
        <v/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</row>
    <row r="73" spans="1:85" x14ac:dyDescent="0.25">
      <c r="A73" t="str">
        <f>"EURO AREA SYSTEMIC STRESS INDICATORS - Source: European Central Bank"</f>
        <v>EURO AREA SYSTEMIC STRESS INDICATORS - Source: European Central Bank</v>
      </c>
      <c r="B73" t="str">
        <f>""</f>
        <v/>
      </c>
      <c r="C73" t="str">
        <f>""</f>
        <v/>
      </c>
      <c r="D73" t="str">
        <f>""</f>
        <v/>
      </c>
      <c r="E73" t="str">
        <f>"Heading"</f>
        <v>Heading</v>
      </c>
      <c r="F73" t="str">
        <f>""</f>
        <v/>
      </c>
      <c r="G73" t="str">
        <f>""</f>
        <v/>
      </c>
      <c r="H73" t="str">
        <f>""</f>
        <v/>
      </c>
      <c r="I73" t="str">
        <f>""</f>
        <v/>
      </c>
      <c r="J73" t="str">
        <f>""</f>
        <v/>
      </c>
      <c r="K73" t="str">
        <f>""</f>
        <v/>
      </c>
      <c r="L73" t="str">
        <f>""</f>
        <v/>
      </c>
      <c r="M73" t="str">
        <f>""</f>
        <v/>
      </c>
      <c r="N73" t="str">
        <f>""</f>
        <v/>
      </c>
      <c r="O73" t="str">
        <f>""</f>
        <v/>
      </c>
      <c r="P73" t="str">
        <f>""</f>
        <v/>
      </c>
      <c r="Q73" t="str">
        <f>""</f>
        <v/>
      </c>
      <c r="R73" t="str">
        <f>""</f>
        <v/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t="str">
        <f>""</f>
        <v/>
      </c>
      <c r="AC73" t="str">
        <f>""</f>
        <v/>
      </c>
      <c r="AD73" t="str">
        <f>""</f>
        <v/>
      </c>
      <c r="AE73" t="str">
        <f>""</f>
        <v/>
      </c>
      <c r="AF73" t="str">
        <f>""</f>
        <v/>
      </c>
      <c r="AG73" t="str">
        <f>""</f>
        <v/>
      </c>
      <c r="AH73" t="str">
        <f>""</f>
        <v/>
      </c>
      <c r="AI73" t="str">
        <f>""</f>
        <v/>
      </c>
      <c r="AJ73" t="str">
        <f>""</f>
        <v/>
      </c>
      <c r="AK73" t="str">
        <f>""</f>
        <v/>
      </c>
      <c r="AL73" t="str">
        <f>""</f>
        <v/>
      </c>
      <c r="AM73" t="str">
        <f>""</f>
        <v/>
      </c>
      <c r="AN73" t="str">
        <f>""</f>
        <v/>
      </c>
      <c r="AO73" t="str">
        <f>""</f>
        <v/>
      </c>
      <c r="AP73" t="str">
        <f>""</f>
        <v/>
      </c>
      <c r="AQ73" t="str">
        <f>""</f>
        <v/>
      </c>
      <c r="AR73" t="str">
        <f>""</f>
        <v/>
      </c>
      <c r="AS73" t="str">
        <f>""</f>
        <v/>
      </c>
      <c r="AT73" t="str">
        <f>""</f>
        <v/>
      </c>
      <c r="AU73" t="str">
        <f>""</f>
        <v/>
      </c>
      <c r="AV73" t="str">
        <f>""</f>
        <v/>
      </c>
      <c r="AW73" t="str">
        <f>""</f>
        <v/>
      </c>
      <c r="AX73" t="str">
        <f>""</f>
        <v/>
      </c>
      <c r="AY73" t="str">
        <f>""</f>
        <v/>
      </c>
      <c r="AZ73" t="str">
        <f>""</f>
        <v/>
      </c>
      <c r="BA73" t="str">
        <f>""</f>
        <v/>
      </c>
      <c r="BB73" t="str">
        <f>""</f>
        <v/>
      </c>
      <c r="BC73" t="str">
        <f>""</f>
        <v/>
      </c>
      <c r="BD73" t="str">
        <f>""</f>
        <v/>
      </c>
      <c r="BE73" t="str">
        <f>""</f>
        <v/>
      </c>
      <c r="BF73" t="str">
        <f>""</f>
        <v/>
      </c>
      <c r="BG73" t="str">
        <f>""</f>
        <v/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</row>
    <row r="74" spans="1:85" x14ac:dyDescent="0.25">
      <c r="A74" t="str">
        <f>"EURO AREA SYSTEMIC STRESS INDICATORS - For a more detailed definition"</f>
        <v>EURO AREA SYSTEMIC STRESS INDICATORS - For a more detailed definition</v>
      </c>
      <c r="B74" t="str">
        <f>""</f>
        <v/>
      </c>
      <c r="C74" t="str">
        <f>""</f>
        <v/>
      </c>
      <c r="D74" t="str">
        <f>""</f>
        <v/>
      </c>
      <c r="E74" t="str">
        <f>"Heading"</f>
        <v>Heading</v>
      </c>
      <c r="F74" t="str">
        <f>""</f>
        <v/>
      </c>
      <c r="G74" t="str">
        <f>""</f>
        <v/>
      </c>
      <c r="H74" t="str">
        <f>""</f>
        <v/>
      </c>
      <c r="I74" t="str">
        <f>""</f>
        <v/>
      </c>
      <c r="J74" t="str">
        <f>""</f>
        <v/>
      </c>
      <c r="K74" t="str">
        <f>""</f>
        <v/>
      </c>
      <c r="L74" t="str">
        <f>""</f>
        <v/>
      </c>
      <c r="M74" t="str">
        <f>""</f>
        <v/>
      </c>
      <c r="N74" t="str">
        <f>""</f>
        <v/>
      </c>
      <c r="O74" t="str">
        <f>""</f>
        <v/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t="str">
        <f>""</f>
        <v/>
      </c>
      <c r="AC74" t="str">
        <f>""</f>
        <v/>
      </c>
      <c r="AD74" t="str">
        <f>""</f>
        <v/>
      </c>
      <c r="AE74" t="str">
        <f>""</f>
        <v/>
      </c>
      <c r="AF74" t="str">
        <f>""</f>
        <v/>
      </c>
      <c r="AG74" t="str">
        <f>""</f>
        <v/>
      </c>
      <c r="AH74" t="str">
        <f>""</f>
        <v/>
      </c>
      <c r="AI74" t="str">
        <f>""</f>
        <v/>
      </c>
      <c r="AJ74" t="str">
        <f>""</f>
        <v/>
      </c>
      <c r="AK74" t="str">
        <f>""</f>
        <v/>
      </c>
      <c r="AL74" t="str">
        <f>""</f>
        <v/>
      </c>
      <c r="AM74" t="str">
        <f>""</f>
        <v/>
      </c>
      <c r="AN74" t="str">
        <f>""</f>
        <v/>
      </c>
      <c r="AO74" t="str">
        <f>""</f>
        <v/>
      </c>
      <c r="AP74" t="str">
        <f>""</f>
        <v/>
      </c>
      <c r="AQ74" t="str">
        <f>""</f>
        <v/>
      </c>
      <c r="AR74" t="str">
        <f>""</f>
        <v/>
      </c>
      <c r="AS74" t="str">
        <f>""</f>
        <v/>
      </c>
      <c r="AT74" t="str">
        <f>""</f>
        <v/>
      </c>
      <c r="AU74" t="str">
        <f>""</f>
        <v/>
      </c>
      <c r="AV74" t="str">
        <f>""</f>
        <v/>
      </c>
      <c r="AW74" t="str">
        <f>""</f>
        <v/>
      </c>
      <c r="AX74" t="str">
        <f>""</f>
        <v/>
      </c>
      <c r="AY74" t="str">
        <f>""</f>
        <v/>
      </c>
      <c r="AZ74" t="str">
        <f>""</f>
        <v/>
      </c>
      <c r="BA74" t="str">
        <f>""</f>
        <v/>
      </c>
      <c r="BB74" t="str">
        <f>""</f>
        <v/>
      </c>
      <c r="BC74" t="str">
        <f>""</f>
        <v/>
      </c>
      <c r="BD74" t="str">
        <f>""</f>
        <v/>
      </c>
      <c r="BE74" t="str">
        <f>""</f>
        <v/>
      </c>
      <c r="BF74" t="str">
        <f>""</f>
        <v/>
      </c>
      <c r="BG74" t="str">
        <f>""</f>
        <v/>
      </c>
      <c r="BH74" t="str">
        <f>""</f>
        <v/>
      </c>
      <c r="BI74" t="str">
        <f>""</f>
        <v/>
      </c>
      <c r="BJ74" t="str">
        <f>""</f>
        <v/>
      </c>
      <c r="BK74" t="str">
        <f>""</f>
        <v/>
      </c>
      <c r="BL74" t="str">
        <f>""</f>
        <v/>
      </c>
      <c r="BM74" t="str">
        <f>""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</row>
    <row r="75" spans="1:85" x14ac:dyDescent="0.25">
      <c r="A75" t="str">
        <f>"EURO AREA SYSTEMIC STRESS INDICATORS - of stress indicators please view"</f>
        <v>EURO AREA SYSTEMIC STRESS INDICATORS - of stress indicators please view</v>
      </c>
      <c r="B75" t="str">
        <f>""</f>
        <v/>
      </c>
      <c r="C75" t="str">
        <f>""</f>
        <v/>
      </c>
      <c r="D75" t="str">
        <f>""</f>
        <v/>
      </c>
      <c r="E75" t="str">
        <f>"Heading"</f>
        <v>Heading</v>
      </c>
      <c r="F75" t="str">
        <f>""</f>
        <v/>
      </c>
      <c r="G75" t="str">
        <f>""</f>
        <v/>
      </c>
      <c r="H75" t="str">
        <f>""</f>
        <v/>
      </c>
      <c r="I75" t="str">
        <f>""</f>
        <v/>
      </c>
      <c r="J75" t="str">
        <f>""</f>
        <v/>
      </c>
      <c r="K75" t="str">
        <f>""</f>
        <v/>
      </c>
      <c r="L75" t="str">
        <f>""</f>
        <v/>
      </c>
      <c r="M75" t="str">
        <f>""</f>
        <v/>
      </c>
      <c r="N75" t="str">
        <f>""</f>
        <v/>
      </c>
      <c r="O75" t="str">
        <f>""</f>
        <v/>
      </c>
      <c r="P75" t="str">
        <f>""</f>
        <v/>
      </c>
      <c r="Q75" t="str">
        <f>""</f>
        <v/>
      </c>
      <c r="R75" t="str">
        <f>""</f>
        <v/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t="str">
        <f>""</f>
        <v/>
      </c>
      <c r="AC75" t="str">
        <f>""</f>
        <v/>
      </c>
      <c r="AD75" t="str">
        <f>""</f>
        <v/>
      </c>
      <c r="AE75" t="str">
        <f>""</f>
        <v/>
      </c>
      <c r="AF75" t="str">
        <f>""</f>
        <v/>
      </c>
      <c r="AG75" t="str">
        <f>""</f>
        <v/>
      </c>
      <c r="AH75" t="str">
        <f>""</f>
        <v/>
      </c>
      <c r="AI75" t="str">
        <f>""</f>
        <v/>
      </c>
      <c r="AJ75" t="str">
        <f>""</f>
        <v/>
      </c>
      <c r="AK75" t="str">
        <f>""</f>
        <v/>
      </c>
      <c r="AL75" t="str">
        <f>""</f>
        <v/>
      </c>
      <c r="AM75" t="str">
        <f>""</f>
        <v/>
      </c>
      <c r="AN75" t="str">
        <f>""</f>
        <v/>
      </c>
      <c r="AO75" t="str">
        <f>""</f>
        <v/>
      </c>
      <c r="AP75" t="str">
        <f>""</f>
        <v/>
      </c>
      <c r="AQ75" t="str">
        <f>""</f>
        <v/>
      </c>
      <c r="AR75" t="str">
        <f>""</f>
        <v/>
      </c>
      <c r="AS75" t="str">
        <f>""</f>
        <v/>
      </c>
      <c r="AT75" t="str">
        <f>""</f>
        <v/>
      </c>
      <c r="AU75" t="str">
        <f>""</f>
        <v/>
      </c>
      <c r="AV75" t="str">
        <f>""</f>
        <v/>
      </c>
      <c r="AW75" t="str">
        <f>""</f>
        <v/>
      </c>
      <c r="AX75" t="str">
        <f>""</f>
        <v/>
      </c>
      <c r="AY75" t="str">
        <f>""</f>
        <v/>
      </c>
      <c r="AZ75" t="str">
        <f>""</f>
        <v/>
      </c>
      <c r="BA75" t="str">
        <f>""</f>
        <v/>
      </c>
      <c r="BB75" t="str">
        <f>""</f>
        <v/>
      </c>
      <c r="BC75" t="str">
        <f>""</f>
        <v/>
      </c>
      <c r="BD75" t="str">
        <f>""</f>
        <v/>
      </c>
      <c r="BE75" t="str">
        <f>""</f>
        <v/>
      </c>
      <c r="BF75" t="str">
        <f>""</f>
        <v/>
      </c>
      <c r="BG75" t="str">
        <f>""</f>
        <v/>
      </c>
      <c r="BH75" t="str">
        <f>""</f>
        <v/>
      </c>
      <c r="BI75" t="str">
        <f>""</f>
        <v/>
      </c>
      <c r="BJ75" t="str">
        <f>""</f>
        <v/>
      </c>
      <c r="BK75" t="str">
        <f>""</f>
        <v/>
      </c>
      <c r="BL75" t="str">
        <f>""</f>
        <v/>
      </c>
      <c r="BM75" t="str">
        <f>""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</row>
    <row r="76" spans="1:85" x14ac:dyDescent="0.25">
      <c r="A76" t="str">
        <f>"EURO AREA SYSTEMIC STRESS INDICATORS - http://sdw.ecb.europa.eu/browse.do?node=9551138"</f>
        <v>EURO AREA SYSTEMIC STRESS INDICATORS - http://sdw.ecb.europa.eu/browse.do?node=9551138</v>
      </c>
      <c r="B76" t="str">
        <f>""</f>
        <v/>
      </c>
      <c r="C76" t="str">
        <f>""</f>
        <v/>
      </c>
      <c r="D76" t="str">
        <f>""</f>
        <v/>
      </c>
      <c r="E76" t="str">
        <f>"Heading"</f>
        <v>Heading</v>
      </c>
      <c r="F76" t="str">
        <f>""</f>
        <v/>
      </c>
      <c r="G76" t="str">
        <f>""</f>
        <v/>
      </c>
      <c r="H76" t="str">
        <f>""</f>
        <v/>
      </c>
      <c r="I76" t="str">
        <f>""</f>
        <v/>
      </c>
      <c r="J76" t="str">
        <f>""</f>
        <v/>
      </c>
      <c r="K76" t="str">
        <f>""</f>
        <v/>
      </c>
      <c r="L76" t="str">
        <f>""</f>
        <v/>
      </c>
      <c r="M76" t="str">
        <f>""</f>
        <v/>
      </c>
      <c r="N76" t="str">
        <f>""</f>
        <v/>
      </c>
      <c r="O76" t="str">
        <f>""</f>
        <v/>
      </c>
      <c r="P76" t="str">
        <f>""</f>
        <v/>
      </c>
      <c r="Q76" t="str">
        <f>""</f>
        <v/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  <c r="AD76" t="str">
        <f>""</f>
        <v/>
      </c>
      <c r="AE76" t="str">
        <f>""</f>
        <v/>
      </c>
      <c r="AF76" t="str">
        <f>""</f>
        <v/>
      </c>
      <c r="AG76" t="str">
        <f>""</f>
        <v/>
      </c>
      <c r="AH76" t="str">
        <f>""</f>
        <v/>
      </c>
      <c r="AI76" t="str">
        <f>""</f>
        <v/>
      </c>
      <c r="AJ76" t="str">
        <f>""</f>
        <v/>
      </c>
      <c r="AK76" t="str">
        <f>""</f>
        <v/>
      </c>
      <c r="AL76" t="str">
        <f>""</f>
        <v/>
      </c>
      <c r="AM76" t="str">
        <f>""</f>
        <v/>
      </c>
      <c r="AN76" t="str">
        <f>""</f>
        <v/>
      </c>
      <c r="AO76" t="str">
        <f>""</f>
        <v/>
      </c>
      <c r="AP76" t="str">
        <f>""</f>
        <v/>
      </c>
      <c r="AQ76" t="str">
        <f>""</f>
        <v/>
      </c>
      <c r="AR76" t="str">
        <f>""</f>
        <v/>
      </c>
      <c r="AS76" t="str">
        <f>""</f>
        <v/>
      </c>
      <c r="AT76" t="str">
        <f>""</f>
        <v/>
      </c>
      <c r="AU76" t="str">
        <f>""</f>
        <v/>
      </c>
      <c r="AV76" t="str">
        <f>""</f>
        <v/>
      </c>
      <c r="AW76" t="str">
        <f>""</f>
        <v/>
      </c>
      <c r="AX76" t="str">
        <f>""</f>
        <v/>
      </c>
      <c r="AY76" t="str">
        <f>""</f>
        <v/>
      </c>
      <c r="AZ76" t="str">
        <f>""</f>
        <v/>
      </c>
      <c r="BA76" t="str">
        <f>""</f>
        <v/>
      </c>
      <c r="BB76" t="str">
        <f>""</f>
        <v/>
      </c>
      <c r="BC76" t="str">
        <f>""</f>
        <v/>
      </c>
      <c r="BD76" t="str">
        <f>""</f>
        <v/>
      </c>
      <c r="BE76" t="str">
        <f>""</f>
        <v/>
      </c>
      <c r="BF76" t="str">
        <f>""</f>
        <v/>
      </c>
      <c r="BG76" t="str">
        <f>""</f>
        <v/>
      </c>
      <c r="BH76" t="str">
        <f>""</f>
        <v/>
      </c>
      <c r="BI76" t="str">
        <f>""</f>
        <v/>
      </c>
      <c r="BJ76" t="str">
        <f>""</f>
        <v/>
      </c>
      <c r="BK76" t="str">
        <f>""</f>
        <v/>
      </c>
      <c r="BL76" t="str">
        <f>""</f>
        <v/>
      </c>
      <c r="BM76" t="str">
        <f>""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</row>
    <row r="77" spans="1:85" x14ac:dyDescent="0.25">
      <c r="A77" t="str">
        <f>"Source: European Central Bank"</f>
        <v>Source: European Central Bank</v>
      </c>
      <c r="B77" t="str">
        <f>""</f>
        <v/>
      </c>
      <c r="C77" t="str">
        <f>""</f>
        <v/>
      </c>
      <c r="D77" t="str">
        <f>""</f>
        <v/>
      </c>
      <c r="E77" t="str">
        <f>"Heading"</f>
        <v>Heading</v>
      </c>
      <c r="F77" t="str">
        <f>""</f>
        <v/>
      </c>
      <c r="G77" t="str">
        <f>""</f>
        <v/>
      </c>
      <c r="H77" t="str">
        <f>""</f>
        <v/>
      </c>
      <c r="I77" t="str">
        <f>""</f>
        <v/>
      </c>
      <c r="J77" t="str">
        <f>""</f>
        <v/>
      </c>
      <c r="K77" t="str">
        <f>""</f>
        <v/>
      </c>
      <c r="L77" t="str">
        <f>""</f>
        <v/>
      </c>
      <c r="M77" t="str">
        <f>""</f>
        <v/>
      </c>
      <c r="N77" t="str">
        <f>""</f>
        <v/>
      </c>
      <c r="O77" t="str">
        <f>""</f>
        <v/>
      </c>
      <c r="P77" t="str">
        <f>""</f>
        <v/>
      </c>
      <c r="Q77" t="str">
        <f>""</f>
        <v/>
      </c>
      <c r="R77" t="str">
        <f>""</f>
        <v/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t="str">
        <f>""</f>
        <v/>
      </c>
      <c r="AC77" t="str">
        <f>""</f>
        <v/>
      </c>
      <c r="AD77" t="str">
        <f>""</f>
        <v/>
      </c>
      <c r="AE77" t="str">
        <f>""</f>
        <v/>
      </c>
      <c r="AF77" t="str">
        <f>""</f>
        <v/>
      </c>
      <c r="AG77" t="str">
        <f>""</f>
        <v/>
      </c>
      <c r="AH77" t="str">
        <f>""</f>
        <v/>
      </c>
      <c r="AI77" t="str">
        <f>""</f>
        <v/>
      </c>
      <c r="AJ77" t="str">
        <f>""</f>
        <v/>
      </c>
      <c r="AK77" t="str">
        <f>""</f>
        <v/>
      </c>
      <c r="AL77" t="str">
        <f>""</f>
        <v/>
      </c>
      <c r="AM77" t="str">
        <f>""</f>
        <v/>
      </c>
      <c r="AN77" t="str">
        <f>""</f>
        <v/>
      </c>
      <c r="AO77" t="str">
        <f>""</f>
        <v/>
      </c>
      <c r="AP77" t="str">
        <f>""</f>
        <v/>
      </c>
      <c r="AQ77" t="str">
        <f>""</f>
        <v/>
      </c>
      <c r="AR77" t="str">
        <f>""</f>
        <v/>
      </c>
      <c r="AS77" t="str">
        <f>""</f>
        <v/>
      </c>
      <c r="AT77" t="str">
        <f>""</f>
        <v/>
      </c>
      <c r="AU77" t="str">
        <f>""</f>
        <v/>
      </c>
      <c r="AV77" t="str">
        <f>""</f>
        <v/>
      </c>
      <c r="AW77" t="str">
        <f>""</f>
        <v/>
      </c>
      <c r="AX77" t="str">
        <f>""</f>
        <v/>
      </c>
      <c r="AY77" t="str">
        <f>""</f>
        <v/>
      </c>
      <c r="AZ77" t="str">
        <f>""</f>
        <v/>
      </c>
      <c r="BA77" t="str">
        <f>""</f>
        <v/>
      </c>
      <c r="BB77" t="str">
        <f>""</f>
        <v/>
      </c>
      <c r="BC77" t="str">
        <f>""</f>
        <v/>
      </c>
      <c r="BD77" t="str">
        <f>""</f>
        <v/>
      </c>
      <c r="BE77" t="str">
        <f>""</f>
        <v/>
      </c>
      <c r="BF77" t="str">
        <f>""</f>
        <v/>
      </c>
      <c r="BG77" t="str">
        <f>""</f>
        <v/>
      </c>
      <c r="BH77" t="str">
        <f>""</f>
        <v/>
      </c>
      <c r="BI77" t="str">
        <f>""</f>
        <v/>
      </c>
      <c r="BJ77" t="str">
        <f>""</f>
        <v/>
      </c>
      <c r="BK77" t="str">
        <f>""</f>
        <v/>
      </c>
      <c r="BL77" t="str">
        <f>""</f>
        <v/>
      </c>
      <c r="BM77" t="str">
        <f>""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</row>
    <row r="78" spans="1:85" x14ac:dyDescent="0.25">
      <c r="A78" t="str">
        <f>""</f>
        <v/>
      </c>
      <c r="B78" t="str">
        <f>""</f>
        <v/>
      </c>
      <c r="C78" t="str">
        <f>""</f>
        <v/>
      </c>
      <c r="D78" t="str">
        <f>""</f>
        <v/>
      </c>
      <c r="E78" t="str">
        <f>""</f>
        <v/>
      </c>
      <c r="F78" t="str">
        <f>""</f>
        <v/>
      </c>
      <c r="G78" t="str">
        <f>""</f>
        <v/>
      </c>
      <c r="H78" t="str">
        <f>""</f>
        <v/>
      </c>
      <c r="I78" t="str">
        <f>""</f>
        <v/>
      </c>
      <c r="J78" t="str">
        <f>""</f>
        <v/>
      </c>
      <c r="K78" t="str">
        <f>""</f>
        <v/>
      </c>
      <c r="L78" t="str">
        <f>""</f>
        <v/>
      </c>
      <c r="M78" t="str">
        <f>""</f>
        <v/>
      </c>
      <c r="N78" t="str">
        <f>""</f>
        <v/>
      </c>
      <c r="O78" t="str">
        <f>""</f>
        <v/>
      </c>
      <c r="P78" t="str">
        <f>""</f>
        <v/>
      </c>
      <c r="Q78" t="str">
        <f>""</f>
        <v/>
      </c>
      <c r="R78" t="str">
        <f>""</f>
        <v/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t="str">
        <f>""</f>
        <v/>
      </c>
      <c r="AC78" t="str">
        <f>""</f>
        <v/>
      </c>
      <c r="AD78" t="str">
        <f>""</f>
        <v/>
      </c>
      <c r="AE78" t="str">
        <f>""</f>
        <v/>
      </c>
      <c r="AF78" t="str">
        <f>""</f>
        <v/>
      </c>
      <c r="AG78" t="str">
        <f>""</f>
        <v/>
      </c>
      <c r="AH78" t="str">
        <f>""</f>
        <v/>
      </c>
      <c r="AI78" t="str">
        <f>""</f>
        <v/>
      </c>
      <c r="AJ78" t="str">
        <f>""</f>
        <v/>
      </c>
      <c r="AK78" t="str">
        <f>""</f>
        <v/>
      </c>
      <c r="AL78" t="str">
        <f>""</f>
        <v/>
      </c>
      <c r="AM78" t="str">
        <f>""</f>
        <v/>
      </c>
      <c r="AN78" t="str">
        <f>""</f>
        <v/>
      </c>
      <c r="AO78" t="str">
        <f>""</f>
        <v/>
      </c>
      <c r="AP78" t="str">
        <f>""</f>
        <v/>
      </c>
      <c r="AQ78" t="str">
        <f>""</f>
        <v/>
      </c>
      <c r="AR78" t="str">
        <f>""</f>
        <v/>
      </c>
      <c r="AS78" t="str">
        <f>""</f>
        <v/>
      </c>
      <c r="AT78" t="str">
        <f>""</f>
        <v/>
      </c>
      <c r="AU78" t="str">
        <f>""</f>
        <v/>
      </c>
      <c r="AV78" t="str">
        <f>""</f>
        <v/>
      </c>
      <c r="AW78" t="str">
        <f>""</f>
        <v/>
      </c>
      <c r="AX78" t="str">
        <f>""</f>
        <v/>
      </c>
      <c r="AY78" t="str">
        <f>""</f>
        <v/>
      </c>
      <c r="AZ78" t="str">
        <f>""</f>
        <v/>
      </c>
      <c r="BA78" t="str">
        <f>""</f>
        <v/>
      </c>
      <c r="BB78" t="str">
        <f>""</f>
        <v/>
      </c>
      <c r="BC78" t="str">
        <f>""</f>
        <v/>
      </c>
      <c r="BD78" t="str">
        <f>""</f>
        <v/>
      </c>
      <c r="BE78" t="str">
        <f>""</f>
        <v/>
      </c>
      <c r="BF78" t="str">
        <f>""</f>
        <v/>
      </c>
      <c r="BG78" t="str">
        <f>""</f>
        <v/>
      </c>
      <c r="BH78" t="str">
        <f>""</f>
        <v/>
      </c>
      <c r="BI78" t="str">
        <f>""</f>
        <v/>
      </c>
      <c r="BJ78" t="str">
        <f>""</f>
        <v/>
      </c>
      <c r="BK78" t="str">
        <f>""</f>
        <v/>
      </c>
      <c r="BL78" t="str">
        <f>""</f>
        <v/>
      </c>
      <c r="BM78" t="str">
        <f>""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</row>
    <row r="79" spans="1:85" x14ac:dyDescent="0.25">
      <c r="A79" t="str">
        <f>""</f>
        <v/>
      </c>
      <c r="B79" t="str">
        <f>""</f>
        <v/>
      </c>
      <c r="C79" t="str">
        <f>""</f>
        <v/>
      </c>
      <c r="D79" t="str">
        <f>""</f>
        <v/>
      </c>
      <c r="E79" t="str">
        <f>""</f>
        <v/>
      </c>
      <c r="F79" t="str">
        <f>""</f>
        <v/>
      </c>
      <c r="G79" t="str">
        <f>""</f>
        <v/>
      </c>
      <c r="H79" t="str">
        <f>""</f>
        <v/>
      </c>
      <c r="I79" t="str">
        <f>""</f>
        <v/>
      </c>
      <c r="J79" t="str">
        <f>""</f>
        <v/>
      </c>
      <c r="K79" t="str">
        <f>""</f>
        <v/>
      </c>
      <c r="L79" t="str">
        <f>""</f>
        <v/>
      </c>
      <c r="M79" t="str">
        <f>""</f>
        <v/>
      </c>
      <c r="N79" t="str">
        <f>""</f>
        <v/>
      </c>
      <c r="O79" t="str">
        <f>""</f>
        <v/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  <c r="AD79" t="str">
        <f>""</f>
        <v/>
      </c>
      <c r="AE79" t="str">
        <f>""</f>
        <v/>
      </c>
      <c r="AF79" t="str">
        <f>""</f>
        <v/>
      </c>
      <c r="AG79" t="str">
        <f>""</f>
        <v/>
      </c>
      <c r="AH79" t="str">
        <f>""</f>
        <v/>
      </c>
      <c r="AI79" t="str">
        <f>""</f>
        <v/>
      </c>
      <c r="AJ79" t="str">
        <f>""</f>
        <v/>
      </c>
      <c r="AK79" t="str">
        <f>""</f>
        <v/>
      </c>
      <c r="AL79" t="str">
        <f>""</f>
        <v/>
      </c>
      <c r="AM79" t="str">
        <f>""</f>
        <v/>
      </c>
      <c r="AN79" t="str">
        <f>""</f>
        <v/>
      </c>
      <c r="AO79" t="str">
        <f>""</f>
        <v/>
      </c>
      <c r="AP79" t="str">
        <f>""</f>
        <v/>
      </c>
      <c r="AQ79" t="str">
        <f>""</f>
        <v/>
      </c>
      <c r="AR79" t="str">
        <f>""</f>
        <v/>
      </c>
      <c r="AS79" t="str">
        <f>""</f>
        <v/>
      </c>
      <c r="AT79" t="str">
        <f>""</f>
        <v/>
      </c>
      <c r="AU79" t="str">
        <f>""</f>
        <v/>
      </c>
      <c r="AV79" t="str">
        <f>""</f>
        <v/>
      </c>
      <c r="AW79" t="str">
        <f>""</f>
        <v/>
      </c>
      <c r="AX79" t="str">
        <f>""</f>
        <v/>
      </c>
      <c r="AY79" t="str">
        <f>""</f>
        <v/>
      </c>
      <c r="AZ79" t="str">
        <f>""</f>
        <v/>
      </c>
      <c r="BA79" t="str">
        <f>""</f>
        <v/>
      </c>
      <c r="BB79" t="str">
        <f>""</f>
        <v/>
      </c>
      <c r="BC79" t="str">
        <f>""</f>
        <v/>
      </c>
      <c r="BD79" t="str">
        <f>""</f>
        <v/>
      </c>
      <c r="BE79" t="str">
        <f>""</f>
        <v/>
      </c>
      <c r="BF79" t="str">
        <f>""</f>
        <v/>
      </c>
      <c r="BG79" t="str">
        <f>""</f>
        <v/>
      </c>
      <c r="BH79" t="str">
        <f>""</f>
        <v/>
      </c>
      <c r="BI79" t="str">
        <f>""</f>
        <v/>
      </c>
      <c r="BJ79" t="str">
        <f>""</f>
        <v/>
      </c>
      <c r="BK79" t="str">
        <f>""</f>
        <v/>
      </c>
      <c r="BL79" t="str">
        <f>""</f>
        <v/>
      </c>
      <c r="BM79" t="str">
        <f>""</f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</row>
    <row r="80" spans="1:85" x14ac:dyDescent="0.25">
      <c r="A80" t="str">
        <f>""</f>
        <v/>
      </c>
      <c r="B80" t="str">
        <f>""</f>
        <v/>
      </c>
      <c r="C80" t="str">
        <f>""</f>
        <v/>
      </c>
      <c r="D80" t="str">
        <f>""</f>
        <v/>
      </c>
      <c r="E80" t="str">
        <f>""</f>
        <v/>
      </c>
      <c r="F80" t="str">
        <f>""</f>
        <v/>
      </c>
      <c r="G80" t="str">
        <f>""</f>
        <v/>
      </c>
      <c r="H80" t="str">
        <f>""</f>
        <v/>
      </c>
      <c r="I80" t="str">
        <f>""</f>
        <v/>
      </c>
      <c r="J80" t="str">
        <f>""</f>
        <v/>
      </c>
      <c r="K80" t="str">
        <f>""</f>
        <v/>
      </c>
      <c r="L80" t="str">
        <f>""</f>
        <v/>
      </c>
      <c r="M80" t="str">
        <f>""</f>
        <v/>
      </c>
      <c r="N80" t="str">
        <f>""</f>
        <v/>
      </c>
      <c r="O80" t="str">
        <f>""</f>
        <v/>
      </c>
      <c r="P80" t="str">
        <f>""</f>
        <v/>
      </c>
      <c r="Q80" t="str">
        <f>""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  <c r="AD80" t="str">
        <f>""</f>
        <v/>
      </c>
      <c r="AE80" t="str">
        <f>""</f>
        <v/>
      </c>
      <c r="AF80" t="str">
        <f>""</f>
        <v/>
      </c>
      <c r="AG80" t="str">
        <f>""</f>
        <v/>
      </c>
      <c r="AH80" t="str">
        <f>""</f>
        <v/>
      </c>
      <c r="AI80" t="str">
        <f>""</f>
        <v/>
      </c>
      <c r="AJ80" t="str">
        <f>""</f>
        <v/>
      </c>
      <c r="AK80" t="str">
        <f>""</f>
        <v/>
      </c>
      <c r="AL80" t="str">
        <f>""</f>
        <v/>
      </c>
      <c r="AM80" t="str">
        <f>""</f>
        <v/>
      </c>
      <c r="AN80" t="str">
        <f>""</f>
        <v/>
      </c>
      <c r="AO80" t="str">
        <f>""</f>
        <v/>
      </c>
      <c r="AP80" t="str">
        <f>""</f>
        <v/>
      </c>
      <c r="AQ80" t="str">
        <f>""</f>
        <v/>
      </c>
      <c r="AR80" t="str">
        <f>""</f>
        <v/>
      </c>
      <c r="AS80" t="str">
        <f>""</f>
        <v/>
      </c>
      <c r="AT80" t="str">
        <f>""</f>
        <v/>
      </c>
      <c r="AU80" t="str">
        <f>""</f>
        <v/>
      </c>
      <c r="AV80" t="str">
        <f>""</f>
        <v/>
      </c>
      <c r="AW80" t="str">
        <f>""</f>
        <v/>
      </c>
      <c r="AX80" t="str">
        <f>""</f>
        <v/>
      </c>
      <c r="AY80" t="str">
        <f>""</f>
        <v/>
      </c>
      <c r="AZ80" t="str">
        <f>""</f>
        <v/>
      </c>
      <c r="BA80" t="str">
        <f>""</f>
        <v/>
      </c>
      <c r="BB80" t="str">
        <f>""</f>
        <v/>
      </c>
      <c r="BC80" t="str">
        <f>""</f>
        <v/>
      </c>
      <c r="BD80" t="str">
        <f>""</f>
        <v/>
      </c>
      <c r="BE80" t="str">
        <f>""</f>
        <v/>
      </c>
      <c r="BF80" t="str">
        <f>""</f>
        <v/>
      </c>
      <c r="BG80" t="str">
        <f>""</f>
        <v/>
      </c>
      <c r="BH80" t="str">
        <f>""</f>
        <v/>
      </c>
      <c r="BI80" t="str">
        <f>""</f>
        <v/>
      </c>
      <c r="BJ80" t="str">
        <f>""</f>
        <v/>
      </c>
      <c r="BK80" t="str">
        <f>""</f>
        <v/>
      </c>
      <c r="BL80" t="str">
        <f>""</f>
        <v/>
      </c>
      <c r="BM80" t="str">
        <f>""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</row>
    <row r="81" spans="1:85" x14ac:dyDescent="0.25">
      <c r="A81" t="str">
        <f>""</f>
        <v/>
      </c>
      <c r="B81" t="str">
        <f>""</f>
        <v/>
      </c>
      <c r="C81" t="str">
        <f>""</f>
        <v/>
      </c>
      <c r="D81" t="str">
        <f>""</f>
        <v/>
      </c>
      <c r="E81" t="str">
        <f>""</f>
        <v/>
      </c>
      <c r="F81" t="str">
        <f>""</f>
        <v/>
      </c>
      <c r="G81" t="str">
        <f>""</f>
        <v/>
      </c>
      <c r="H81" t="str">
        <f>""</f>
        <v/>
      </c>
      <c r="I81" t="str">
        <f>""</f>
        <v/>
      </c>
      <c r="J81" t="str">
        <f>""</f>
        <v/>
      </c>
      <c r="K81" t="str">
        <f>""</f>
        <v/>
      </c>
      <c r="L81" t="str">
        <f>""</f>
        <v/>
      </c>
      <c r="M81" t="str">
        <f>""</f>
        <v/>
      </c>
      <c r="N81" t="str">
        <f>""</f>
        <v/>
      </c>
      <c r="O81" t="str">
        <f>""</f>
        <v/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  <c r="AD81" t="str">
        <f>""</f>
        <v/>
      </c>
      <c r="AE81" t="str">
        <f>""</f>
        <v/>
      </c>
      <c r="AF81" t="str">
        <f>""</f>
        <v/>
      </c>
      <c r="AG81" t="str">
        <f>""</f>
        <v/>
      </c>
      <c r="AH81" t="str">
        <f>""</f>
        <v/>
      </c>
      <c r="AI81" t="str">
        <f>""</f>
        <v/>
      </c>
      <c r="AJ81" t="str">
        <f>""</f>
        <v/>
      </c>
      <c r="AK81" t="str">
        <f>""</f>
        <v/>
      </c>
      <c r="AL81" t="str">
        <f>""</f>
        <v/>
      </c>
      <c r="AM81" t="str">
        <f>""</f>
        <v/>
      </c>
      <c r="AN81" t="str">
        <f>""</f>
        <v/>
      </c>
      <c r="AO81" t="str">
        <f>""</f>
        <v/>
      </c>
      <c r="AP81" t="str">
        <f>""</f>
        <v/>
      </c>
      <c r="AQ81" t="str">
        <f>""</f>
        <v/>
      </c>
      <c r="AR81" t="str">
        <f>""</f>
        <v/>
      </c>
      <c r="AS81" t="str">
        <f>""</f>
        <v/>
      </c>
      <c r="AT81" t="str">
        <f>""</f>
        <v/>
      </c>
      <c r="AU81" t="str">
        <f>""</f>
        <v/>
      </c>
      <c r="AV81" t="str">
        <f>""</f>
        <v/>
      </c>
      <c r="AW81" t="str">
        <f>""</f>
        <v/>
      </c>
      <c r="AX81" t="str">
        <f>""</f>
        <v/>
      </c>
      <c r="AY81" t="str">
        <f>""</f>
        <v/>
      </c>
      <c r="AZ81" t="str">
        <f>""</f>
        <v/>
      </c>
      <c r="BA81" t="str">
        <f>""</f>
        <v/>
      </c>
      <c r="BB81" t="str">
        <f>""</f>
        <v/>
      </c>
      <c r="BC81" t="str">
        <f>""</f>
        <v/>
      </c>
      <c r="BD81" t="str">
        <f>""</f>
        <v/>
      </c>
      <c r="BE81" t="str">
        <f>""</f>
        <v/>
      </c>
      <c r="BF81" t="str">
        <f>""</f>
        <v/>
      </c>
      <c r="BG81" t="str">
        <f>""</f>
        <v/>
      </c>
      <c r="BH81" t="str">
        <f>""</f>
        <v/>
      </c>
      <c r="BI81" t="str">
        <f>""</f>
        <v/>
      </c>
      <c r="BJ81" t="str">
        <f>""</f>
        <v/>
      </c>
      <c r="BK81" t="str">
        <f>""</f>
        <v/>
      </c>
      <c r="BL81" t="str">
        <f>""</f>
        <v/>
      </c>
      <c r="BM81" t="str">
        <f>""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</row>
    <row r="82" spans="1:85" x14ac:dyDescent="0.25">
      <c r="A82" t="str">
        <f>""</f>
        <v/>
      </c>
      <c r="B82" t="str">
        <f>""</f>
        <v/>
      </c>
      <c r="C82" t="str">
        <f>""</f>
        <v/>
      </c>
      <c r="D82" t="str">
        <f>""</f>
        <v/>
      </c>
      <c r="E82" t="str">
        <f>""</f>
        <v/>
      </c>
      <c r="F82" t="str">
        <f>""</f>
        <v/>
      </c>
      <c r="G82" t="str">
        <f>""</f>
        <v/>
      </c>
      <c r="H82" t="str">
        <f>""</f>
        <v/>
      </c>
      <c r="I82" t="str">
        <f>""</f>
        <v/>
      </c>
      <c r="J82" t="str">
        <f>""</f>
        <v/>
      </c>
      <c r="K82" t="str">
        <f>""</f>
        <v/>
      </c>
      <c r="L82" t="str">
        <f>""</f>
        <v/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  <c r="R82" t="str">
        <f>""</f>
        <v/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t="str">
        <f>""</f>
        <v/>
      </c>
      <c r="AC82" t="str">
        <f>""</f>
        <v/>
      </c>
      <c r="AD82" t="str">
        <f>""</f>
        <v/>
      </c>
      <c r="AE82" t="str">
        <f>""</f>
        <v/>
      </c>
      <c r="AF82" t="str">
        <f>""</f>
        <v/>
      </c>
      <c r="AG82" t="str">
        <f>""</f>
        <v/>
      </c>
      <c r="AH82" t="str">
        <f>""</f>
        <v/>
      </c>
      <c r="AI82" t="str">
        <f>""</f>
        <v/>
      </c>
      <c r="AJ82" t="str">
        <f>""</f>
        <v/>
      </c>
      <c r="AK82" t="str">
        <f>""</f>
        <v/>
      </c>
      <c r="AL82" t="str">
        <f>""</f>
        <v/>
      </c>
      <c r="AM82" t="str">
        <f>""</f>
        <v/>
      </c>
      <c r="AN82" t="str">
        <f>""</f>
        <v/>
      </c>
      <c r="AO82" t="str">
        <f>""</f>
        <v/>
      </c>
      <c r="AP82" t="str">
        <f>""</f>
        <v/>
      </c>
      <c r="AQ82" t="str">
        <f>""</f>
        <v/>
      </c>
      <c r="AR82" t="str">
        <f>""</f>
        <v/>
      </c>
      <c r="AS82" t="str">
        <f>""</f>
        <v/>
      </c>
      <c r="AT82" t="str">
        <f>""</f>
        <v/>
      </c>
      <c r="AU82" t="str">
        <f>""</f>
        <v/>
      </c>
      <c r="AV82" t="str">
        <f>""</f>
        <v/>
      </c>
      <c r="AW82" t="str">
        <f>""</f>
        <v/>
      </c>
      <c r="AX82" t="str">
        <f>""</f>
        <v/>
      </c>
      <c r="AY82" t="str">
        <f>""</f>
        <v/>
      </c>
      <c r="AZ82" t="str">
        <f>""</f>
        <v/>
      </c>
      <c r="BA82" t="str">
        <f>""</f>
        <v/>
      </c>
      <c r="BB82" t="str">
        <f>""</f>
        <v/>
      </c>
      <c r="BC82" t="str">
        <f>""</f>
        <v/>
      </c>
      <c r="BD82" t="str">
        <f>""</f>
        <v/>
      </c>
      <c r="BE82" t="str">
        <f>""</f>
        <v/>
      </c>
      <c r="BF82" t="str">
        <f>""</f>
        <v/>
      </c>
      <c r="BG82" t="str">
        <f>""</f>
        <v/>
      </c>
      <c r="BH82" t="str">
        <f>""</f>
        <v/>
      </c>
      <c r="BI82" t="str">
        <f>""</f>
        <v/>
      </c>
      <c r="BJ82" t="str">
        <f>""</f>
        <v/>
      </c>
      <c r="BK82" t="str">
        <f>""</f>
        <v/>
      </c>
      <c r="BL82" t="str">
        <f>""</f>
        <v/>
      </c>
      <c r="BM82" t="str">
        <f>""</f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</row>
    <row r="83" spans="1:85" x14ac:dyDescent="0.25">
      <c r="A83" t="str">
        <f>""</f>
        <v/>
      </c>
      <c r="B83" t="str">
        <f>""</f>
        <v/>
      </c>
      <c r="C83" t="str">
        <f>""</f>
        <v/>
      </c>
      <c r="D83" t="str">
        <f>""</f>
        <v/>
      </c>
      <c r="E83" t="str">
        <f>""</f>
        <v/>
      </c>
      <c r="F83" t="str">
        <f>""</f>
        <v/>
      </c>
      <c r="G83" t="str">
        <f>""</f>
        <v/>
      </c>
      <c r="H83" t="str">
        <f>""</f>
        <v/>
      </c>
      <c r="I83" t="str">
        <f>""</f>
        <v/>
      </c>
      <c r="J83" t="str">
        <f>""</f>
        <v/>
      </c>
      <c r="K83" t="str">
        <f>""</f>
        <v/>
      </c>
      <c r="L83" t="str">
        <f>""</f>
        <v/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  <c r="R83" t="str">
        <f>""</f>
        <v/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t="str">
        <f>""</f>
        <v/>
      </c>
      <c r="AC83" t="str">
        <f>""</f>
        <v/>
      </c>
      <c r="AD83" t="str">
        <f>""</f>
        <v/>
      </c>
      <c r="AE83" t="str">
        <f>""</f>
        <v/>
      </c>
      <c r="AF83" t="str">
        <f>""</f>
        <v/>
      </c>
      <c r="AG83" t="str">
        <f>""</f>
        <v/>
      </c>
      <c r="AH83" t="str">
        <f>""</f>
        <v/>
      </c>
      <c r="AI83" t="str">
        <f>""</f>
        <v/>
      </c>
      <c r="AJ83" t="str">
        <f>""</f>
        <v/>
      </c>
      <c r="AK83" t="str">
        <f>""</f>
        <v/>
      </c>
      <c r="AL83" t="str">
        <f>""</f>
        <v/>
      </c>
      <c r="AM83" t="str">
        <f>""</f>
        <v/>
      </c>
      <c r="AN83" t="str">
        <f>""</f>
        <v/>
      </c>
      <c r="AO83" t="str">
        <f>""</f>
        <v/>
      </c>
      <c r="AP83" t="str">
        <f>""</f>
        <v/>
      </c>
      <c r="AQ83" t="str">
        <f>""</f>
        <v/>
      </c>
      <c r="AR83" t="str">
        <f>""</f>
        <v/>
      </c>
      <c r="AS83" t="str">
        <f>""</f>
        <v/>
      </c>
      <c r="AT83" t="str">
        <f>""</f>
        <v/>
      </c>
      <c r="AU83" t="str">
        <f>""</f>
        <v/>
      </c>
      <c r="AV83" t="str">
        <f>""</f>
        <v/>
      </c>
      <c r="AW83" t="str">
        <f>""</f>
        <v/>
      </c>
      <c r="AX83" t="str">
        <f>""</f>
        <v/>
      </c>
      <c r="AY83" t="str">
        <f>""</f>
        <v/>
      </c>
      <c r="AZ83" t="str">
        <f>""</f>
        <v/>
      </c>
      <c r="BA83" t="str">
        <f>""</f>
        <v/>
      </c>
      <c r="BB83" t="str">
        <f>""</f>
        <v/>
      </c>
      <c r="BC83" t="str">
        <f>""</f>
        <v/>
      </c>
      <c r="BD83" t="str">
        <f>""</f>
        <v/>
      </c>
      <c r="BE83" t="str">
        <f>""</f>
        <v/>
      </c>
      <c r="BF83" t="str">
        <f>""</f>
        <v/>
      </c>
      <c r="BG83" t="str">
        <f>""</f>
        <v/>
      </c>
      <c r="BH83" t="str">
        <f>""</f>
        <v/>
      </c>
      <c r="BI83" t="str">
        <f>""</f>
        <v/>
      </c>
      <c r="BJ83" t="str">
        <f>""</f>
        <v/>
      </c>
      <c r="BK83" t="str">
        <f>""</f>
        <v/>
      </c>
      <c r="BL83" t="str">
        <f>""</f>
        <v/>
      </c>
      <c r="BM83" t="str">
        <f>""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</row>
    <row r="84" spans="1:85" x14ac:dyDescent="0.25">
      <c r="A84" t="str">
        <f>""</f>
        <v/>
      </c>
      <c r="B84" t="str">
        <f>""</f>
        <v/>
      </c>
      <c r="C84" t="str">
        <f>""</f>
        <v/>
      </c>
      <c r="D84" t="str">
        <f>""</f>
        <v/>
      </c>
      <c r="E84" t="str">
        <f>""</f>
        <v/>
      </c>
      <c r="F84" t="str">
        <f>""</f>
        <v/>
      </c>
      <c r="G84" t="str">
        <f>""</f>
        <v/>
      </c>
      <c r="H84" t="str">
        <f>""</f>
        <v/>
      </c>
      <c r="I84" t="str">
        <f>""</f>
        <v/>
      </c>
      <c r="J84" t="str">
        <f>""</f>
        <v/>
      </c>
      <c r="K84" t="str">
        <f>""</f>
        <v/>
      </c>
      <c r="L84" t="str">
        <f>""</f>
        <v/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  <c r="R84" t="str">
        <f>""</f>
        <v/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t="str">
        <f>""</f>
        <v/>
      </c>
      <c r="AC84" t="str">
        <f>""</f>
        <v/>
      </c>
      <c r="AD84" t="str">
        <f>""</f>
        <v/>
      </c>
      <c r="AE84" t="str">
        <f>""</f>
        <v/>
      </c>
      <c r="AF84" t="str">
        <f>""</f>
        <v/>
      </c>
      <c r="AG84" t="str">
        <f>""</f>
        <v/>
      </c>
      <c r="AH84" t="str">
        <f>""</f>
        <v/>
      </c>
      <c r="AI84" t="str">
        <f>""</f>
        <v/>
      </c>
      <c r="AJ84" t="str">
        <f>""</f>
        <v/>
      </c>
      <c r="AK84" t="str">
        <f>""</f>
        <v/>
      </c>
      <c r="AL84" t="str">
        <f>""</f>
        <v/>
      </c>
      <c r="AM84" t="str">
        <f>""</f>
        <v/>
      </c>
      <c r="AN84" t="str">
        <f>""</f>
        <v/>
      </c>
      <c r="AO84" t="str">
        <f>""</f>
        <v/>
      </c>
      <c r="AP84" t="str">
        <f>""</f>
        <v/>
      </c>
      <c r="AQ84" t="str">
        <f>""</f>
        <v/>
      </c>
      <c r="AR84" t="str">
        <f>""</f>
        <v/>
      </c>
      <c r="AS84" t="str">
        <f>""</f>
        <v/>
      </c>
      <c r="AT84" t="str">
        <f>""</f>
        <v/>
      </c>
      <c r="AU84" t="str">
        <f>""</f>
        <v/>
      </c>
      <c r="AV84" t="str">
        <f>""</f>
        <v/>
      </c>
      <c r="AW84" t="str">
        <f>""</f>
        <v/>
      </c>
      <c r="AX84" t="str">
        <f>""</f>
        <v/>
      </c>
      <c r="AY84" t="str">
        <f>""</f>
        <v/>
      </c>
      <c r="AZ84" t="str">
        <f>""</f>
        <v/>
      </c>
      <c r="BA84" t="str">
        <f>""</f>
        <v/>
      </c>
      <c r="BB84" t="str">
        <f>""</f>
        <v/>
      </c>
      <c r="BC84" t="str">
        <f>""</f>
        <v/>
      </c>
      <c r="BD84" t="str">
        <f>""</f>
        <v/>
      </c>
      <c r="BE84" t="str">
        <f>""</f>
        <v/>
      </c>
      <c r="BF84" t="str">
        <f>""</f>
        <v/>
      </c>
      <c r="BG84" t="str">
        <f>""</f>
        <v/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</row>
    <row r="85" spans="1:85" x14ac:dyDescent="0.25">
      <c r="A85" t="str">
        <f t="shared" ref="A85:AF85" si="4">"~~~~~~~~~~"</f>
        <v>~~~~~~~~~~</v>
      </c>
      <c r="B85" t="str">
        <f t="shared" si="4"/>
        <v>~~~~~~~~~~</v>
      </c>
      <c r="C85" t="str">
        <f t="shared" si="4"/>
        <v>~~~~~~~~~~</v>
      </c>
      <c r="D85" t="str">
        <f t="shared" si="4"/>
        <v>~~~~~~~~~~</v>
      </c>
      <c r="E85" t="str">
        <f t="shared" si="4"/>
        <v>~~~~~~~~~~</v>
      </c>
      <c r="F85" t="str">
        <f t="shared" si="4"/>
        <v>~~~~~~~~~~</v>
      </c>
      <c r="G85" t="str">
        <f t="shared" si="4"/>
        <v>~~~~~~~~~~</v>
      </c>
      <c r="H85" t="str">
        <f t="shared" si="4"/>
        <v>~~~~~~~~~~</v>
      </c>
      <c r="I85" t="str">
        <f t="shared" si="4"/>
        <v>~~~~~~~~~~</v>
      </c>
      <c r="J85" t="str">
        <f t="shared" si="4"/>
        <v>~~~~~~~~~~</v>
      </c>
      <c r="K85" t="str">
        <f t="shared" si="4"/>
        <v>~~~~~~~~~~</v>
      </c>
      <c r="L85" t="str">
        <f t="shared" si="4"/>
        <v>~~~~~~~~~~</v>
      </c>
      <c r="M85" t="str">
        <f t="shared" si="4"/>
        <v>~~~~~~~~~~</v>
      </c>
      <c r="N85" t="str">
        <f t="shared" si="4"/>
        <v>~~~~~~~~~~</v>
      </c>
      <c r="O85" t="str">
        <f t="shared" si="4"/>
        <v>~~~~~~~~~~</v>
      </c>
      <c r="P85" t="str">
        <f t="shared" si="4"/>
        <v>~~~~~~~~~~</v>
      </c>
      <c r="Q85" t="str">
        <f t="shared" si="4"/>
        <v>~~~~~~~~~~</v>
      </c>
      <c r="R85" t="str">
        <f t="shared" si="4"/>
        <v>~~~~~~~~~~</v>
      </c>
      <c r="S85" t="str">
        <f t="shared" si="4"/>
        <v>~~~~~~~~~~</v>
      </c>
      <c r="T85" t="str">
        <f t="shared" si="4"/>
        <v>~~~~~~~~~~</v>
      </c>
      <c r="U85" t="str">
        <f t="shared" si="4"/>
        <v>~~~~~~~~~~</v>
      </c>
      <c r="V85" t="str">
        <f t="shared" si="4"/>
        <v>~~~~~~~~~~</v>
      </c>
      <c r="W85" t="str">
        <f t="shared" si="4"/>
        <v>~~~~~~~~~~</v>
      </c>
      <c r="X85" t="str">
        <f t="shared" si="4"/>
        <v>~~~~~~~~~~</v>
      </c>
      <c r="Y85" t="str">
        <f t="shared" si="4"/>
        <v>~~~~~~~~~~</v>
      </c>
      <c r="Z85" t="str">
        <f t="shared" si="4"/>
        <v>~~~~~~~~~~</v>
      </c>
      <c r="AA85" t="str">
        <f t="shared" si="4"/>
        <v>~~~~~~~~~~</v>
      </c>
      <c r="AB85" t="str">
        <f t="shared" si="4"/>
        <v>~~~~~~~~~~</v>
      </c>
      <c r="AC85" t="str">
        <f t="shared" si="4"/>
        <v>~~~~~~~~~~</v>
      </c>
      <c r="AD85" t="str">
        <f t="shared" si="4"/>
        <v>~~~~~~~~~~</v>
      </c>
      <c r="AE85" t="str">
        <f t="shared" si="4"/>
        <v>~~~~~~~~~~</v>
      </c>
      <c r="AF85" t="str">
        <f t="shared" si="4"/>
        <v>~~~~~~~~~~</v>
      </c>
      <c r="AG85" t="str">
        <f t="shared" ref="AG85:BL85" si="5">"~~~~~~~~~~"</f>
        <v>~~~~~~~~~~</v>
      </c>
      <c r="AH85" t="str">
        <f t="shared" si="5"/>
        <v>~~~~~~~~~~</v>
      </c>
      <c r="AI85" t="str">
        <f t="shared" si="5"/>
        <v>~~~~~~~~~~</v>
      </c>
      <c r="AJ85" t="str">
        <f t="shared" si="5"/>
        <v>~~~~~~~~~~</v>
      </c>
      <c r="AK85" t="str">
        <f t="shared" si="5"/>
        <v>~~~~~~~~~~</v>
      </c>
      <c r="AL85" t="str">
        <f t="shared" si="5"/>
        <v>~~~~~~~~~~</v>
      </c>
      <c r="AM85" t="str">
        <f t="shared" si="5"/>
        <v>~~~~~~~~~~</v>
      </c>
      <c r="AN85" t="str">
        <f t="shared" si="5"/>
        <v>~~~~~~~~~~</v>
      </c>
      <c r="AO85" t="str">
        <f t="shared" si="5"/>
        <v>~~~~~~~~~~</v>
      </c>
      <c r="AP85" t="str">
        <f t="shared" si="5"/>
        <v>~~~~~~~~~~</v>
      </c>
      <c r="AQ85" t="str">
        <f t="shared" si="5"/>
        <v>~~~~~~~~~~</v>
      </c>
      <c r="AR85" t="str">
        <f t="shared" si="5"/>
        <v>~~~~~~~~~~</v>
      </c>
      <c r="AS85" t="str">
        <f t="shared" si="5"/>
        <v>~~~~~~~~~~</v>
      </c>
      <c r="AT85" t="str">
        <f t="shared" si="5"/>
        <v>~~~~~~~~~~</v>
      </c>
      <c r="AU85" t="str">
        <f t="shared" si="5"/>
        <v>~~~~~~~~~~</v>
      </c>
      <c r="AV85" t="str">
        <f t="shared" si="5"/>
        <v>~~~~~~~~~~</v>
      </c>
      <c r="AW85" t="str">
        <f t="shared" si="5"/>
        <v>~~~~~~~~~~</v>
      </c>
      <c r="AX85" t="str">
        <f t="shared" si="5"/>
        <v>~~~~~~~~~~</v>
      </c>
      <c r="AY85" t="str">
        <f t="shared" si="5"/>
        <v>~~~~~~~~~~</v>
      </c>
      <c r="AZ85" t="str">
        <f t="shared" si="5"/>
        <v>~~~~~~~~~~</v>
      </c>
      <c r="BA85" t="str">
        <f t="shared" si="5"/>
        <v>~~~~~~~~~~</v>
      </c>
      <c r="BB85" t="str">
        <f t="shared" si="5"/>
        <v>~~~~~~~~~~</v>
      </c>
      <c r="BC85" t="str">
        <f t="shared" si="5"/>
        <v>~~~~~~~~~~</v>
      </c>
      <c r="BD85" t="str">
        <f t="shared" si="5"/>
        <v>~~~~~~~~~~</v>
      </c>
      <c r="BE85" t="str">
        <f t="shared" si="5"/>
        <v>~~~~~~~~~~</v>
      </c>
      <c r="BF85" t="str">
        <f t="shared" si="5"/>
        <v>~~~~~~~~~~</v>
      </c>
      <c r="BG85" t="str">
        <f t="shared" si="5"/>
        <v>~~~~~~~~~~</v>
      </c>
      <c r="BH85" t="str">
        <f t="shared" si="5"/>
        <v>~~~~~~~~~~</v>
      </c>
      <c r="BI85" t="str">
        <f t="shared" si="5"/>
        <v>~~~~~~~~~~</v>
      </c>
      <c r="BJ85" t="str">
        <f t="shared" si="5"/>
        <v>~~~~~~~~~~</v>
      </c>
      <c r="BK85" t="str">
        <f t="shared" si="5"/>
        <v>~~~~~~~~~~</v>
      </c>
      <c r="BL85" t="str">
        <f t="shared" si="5"/>
        <v>~~~~~~~~~~</v>
      </c>
      <c r="BM85" t="str">
        <f t="shared" ref="BM85:CG85" si="6">"~~~~~~~~~~"</f>
        <v>~~~~~~~~~~</v>
      </c>
      <c r="BN85" t="str">
        <f t="shared" si="6"/>
        <v>~~~~~~~~~~</v>
      </c>
      <c r="BO85" t="str">
        <f t="shared" si="6"/>
        <v>~~~~~~~~~~</v>
      </c>
      <c r="BP85" t="str">
        <f t="shared" si="6"/>
        <v>~~~~~~~~~~</v>
      </c>
      <c r="BQ85" t="str">
        <f t="shared" si="6"/>
        <v>~~~~~~~~~~</v>
      </c>
      <c r="BR85" t="str">
        <f t="shared" si="6"/>
        <v>~~~~~~~~~~</v>
      </c>
      <c r="BS85" t="str">
        <f t="shared" si="6"/>
        <v>~~~~~~~~~~</v>
      </c>
      <c r="BT85" t="str">
        <f t="shared" si="6"/>
        <v>~~~~~~~~~~</v>
      </c>
      <c r="BU85" t="str">
        <f t="shared" si="6"/>
        <v>~~~~~~~~~~</v>
      </c>
      <c r="BV85" t="str">
        <f t="shared" si="6"/>
        <v>~~~~~~~~~~</v>
      </c>
      <c r="BW85" t="str">
        <f t="shared" si="6"/>
        <v>~~~~~~~~~~</v>
      </c>
      <c r="BX85" t="str">
        <f t="shared" si="6"/>
        <v>~~~~~~~~~~</v>
      </c>
      <c r="BY85" t="str">
        <f t="shared" si="6"/>
        <v>~~~~~~~~~~</v>
      </c>
      <c r="BZ85" t="str">
        <f t="shared" si="6"/>
        <v>~~~~~~~~~~</v>
      </c>
      <c r="CA85" t="str">
        <f t="shared" si="6"/>
        <v>~~~~~~~~~~</v>
      </c>
      <c r="CB85" t="str">
        <f t="shared" si="6"/>
        <v>~~~~~~~~~~</v>
      </c>
      <c r="CC85" t="str">
        <f t="shared" si="6"/>
        <v>~~~~~~~~~~</v>
      </c>
      <c r="CD85" t="str">
        <f t="shared" si="6"/>
        <v>~~~~~~~~~~</v>
      </c>
      <c r="CE85" t="str">
        <f t="shared" si="6"/>
        <v>~~~~~~~~~~</v>
      </c>
      <c r="CF85" t="str">
        <f t="shared" si="6"/>
        <v>~~~~~~~~~~</v>
      </c>
      <c r="CG85" t="str">
        <f t="shared" si="6"/>
        <v>~~~~~~~~~~</v>
      </c>
    </row>
    <row r="86" spans="1:85" x14ac:dyDescent="0.25">
      <c r="A86" t="str">
        <f>"All rows below have been added for reference by formula rows above."</f>
        <v>All rows below have been added for reference by formula rows above.</v>
      </c>
      <c r="B86" t="str">
        <f>""</f>
        <v/>
      </c>
      <c r="C86" t="str">
        <f>""</f>
        <v/>
      </c>
      <c r="D86" t="str">
        <f>""</f>
        <v/>
      </c>
      <c r="E86" t="str">
        <f>""</f>
        <v/>
      </c>
      <c r="F86" t="str">
        <f>""</f>
        <v/>
      </c>
      <c r="G86" t="str">
        <f>""</f>
        <v/>
      </c>
      <c r="H86" t="str">
        <f>""</f>
        <v/>
      </c>
      <c r="I86" t="str">
        <f>""</f>
        <v/>
      </c>
      <c r="J86" t="str">
        <f>""</f>
        <v/>
      </c>
      <c r="K86" t="str">
        <f>""</f>
        <v/>
      </c>
      <c r="L86" t="str">
        <f>""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  <c r="R86" t="str">
        <f>""</f>
        <v/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t="str">
        <f>""</f>
        <v/>
      </c>
      <c r="AC86" t="str">
        <f>""</f>
        <v/>
      </c>
      <c r="AD86" t="str">
        <f>""</f>
        <v/>
      </c>
      <c r="AE86" t="str">
        <f>""</f>
        <v/>
      </c>
      <c r="AF86" t="str">
        <f>""</f>
        <v/>
      </c>
      <c r="AG86" t="str">
        <f>""</f>
        <v/>
      </c>
      <c r="AH86" t="str">
        <f>""</f>
        <v/>
      </c>
      <c r="AI86" t="str">
        <f>""</f>
        <v/>
      </c>
      <c r="AJ86" t="str">
        <f>""</f>
        <v/>
      </c>
      <c r="AK86" t="str">
        <f>""</f>
        <v/>
      </c>
      <c r="AL86" t="str">
        <f>""</f>
        <v/>
      </c>
      <c r="AM86" t="str">
        <f>""</f>
        <v/>
      </c>
      <c r="AN86" t="str">
        <f>""</f>
        <v/>
      </c>
      <c r="AO86" t="str">
        <f>""</f>
        <v/>
      </c>
      <c r="AP86" t="str">
        <f>""</f>
        <v/>
      </c>
      <c r="AQ86" t="str">
        <f>""</f>
        <v/>
      </c>
      <c r="AR86" t="str">
        <f>""</f>
        <v/>
      </c>
      <c r="AS86" t="str">
        <f>""</f>
        <v/>
      </c>
      <c r="AT86" t="str">
        <f>""</f>
        <v/>
      </c>
      <c r="AU86" t="str">
        <f>""</f>
        <v/>
      </c>
      <c r="AV86" t="str">
        <f>""</f>
        <v/>
      </c>
      <c r="AW86" t="str">
        <f>""</f>
        <v/>
      </c>
      <c r="AX86" t="str">
        <f>""</f>
        <v/>
      </c>
      <c r="AY86" t="str">
        <f>""</f>
        <v/>
      </c>
      <c r="AZ86" t="str">
        <f>""</f>
        <v/>
      </c>
      <c r="BA86" t="str">
        <f>""</f>
        <v/>
      </c>
      <c r="BB86" t="str">
        <f>""</f>
        <v/>
      </c>
      <c r="BC86" t="str">
        <f>""</f>
        <v/>
      </c>
      <c r="BD86" t="str">
        <f>""</f>
        <v/>
      </c>
      <c r="BE86" t="str">
        <f>""</f>
        <v/>
      </c>
      <c r="BF86" t="str">
        <f>""</f>
        <v/>
      </c>
      <c r="BG86" t="str">
        <f>""</f>
        <v/>
      </c>
      <c r="BH86" t="str">
        <f>""</f>
        <v/>
      </c>
      <c r="BI86" t="str">
        <f>""</f>
        <v/>
      </c>
      <c r="BJ86" t="str">
        <f>""</f>
        <v/>
      </c>
      <c r="BK86" t="str">
        <f>""</f>
        <v/>
      </c>
      <c r="BL86" t="str">
        <f>""</f>
        <v/>
      </c>
      <c r="BM86" t="str">
        <f>""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</row>
    <row r="87" spans="1:85" x14ac:dyDescent="0.25">
      <c r="A87" t="str">
        <f>RTD("bloomberg.ccyreader", "", "#track", "DBG", "BIHITX", "1.0","RepeatHit")</f>
        <v/>
      </c>
      <c r="B87" t="str">
        <f>""</f>
        <v/>
      </c>
      <c r="C87" t="str">
        <f>""</f>
        <v/>
      </c>
      <c r="D87" t="str">
        <f>""</f>
        <v/>
      </c>
      <c r="E87" t="str">
        <f>""</f>
        <v/>
      </c>
      <c r="F87" t="str">
        <f>""</f>
        <v/>
      </c>
      <c r="G87" t="str">
        <f>""</f>
        <v/>
      </c>
      <c r="H87" t="str">
        <f>""</f>
        <v/>
      </c>
      <c r="I87" t="str">
        <f>""</f>
        <v/>
      </c>
      <c r="J87" t="str">
        <f>""</f>
        <v/>
      </c>
      <c r="K87" t="str">
        <f>""</f>
        <v/>
      </c>
      <c r="L87" t="str">
        <f>""</f>
        <v/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t="str">
        <f>""</f>
        <v/>
      </c>
      <c r="AC87" t="str">
        <f>""</f>
        <v/>
      </c>
      <c r="AD87" t="str">
        <f>""</f>
        <v/>
      </c>
      <c r="AE87" t="str">
        <f>""</f>
        <v/>
      </c>
      <c r="AF87" t="str">
        <f>""</f>
        <v/>
      </c>
      <c r="AG87" t="str">
        <f>""</f>
        <v/>
      </c>
      <c r="AH87" t="str">
        <f>""</f>
        <v/>
      </c>
      <c r="AI87" t="str">
        <f>""</f>
        <v/>
      </c>
      <c r="AJ87" t="str">
        <f>""</f>
        <v/>
      </c>
      <c r="AK87" t="str">
        <f>""</f>
        <v/>
      </c>
      <c r="AL87" t="str">
        <f>""</f>
        <v/>
      </c>
      <c r="AM87" t="str">
        <f>""</f>
        <v/>
      </c>
      <c r="AN87" t="str">
        <f>""</f>
        <v/>
      </c>
      <c r="AO87" t="str">
        <f>""</f>
        <v/>
      </c>
      <c r="AP87" t="str">
        <f>""</f>
        <v/>
      </c>
      <c r="AQ87" t="str">
        <f>""</f>
        <v/>
      </c>
      <c r="AR87" t="str">
        <f>""</f>
        <v/>
      </c>
      <c r="AS87" t="str">
        <f>""</f>
        <v/>
      </c>
      <c r="AT87" t="str">
        <f>""</f>
        <v/>
      </c>
      <c r="AU87" t="str">
        <f>""</f>
        <v/>
      </c>
      <c r="AV87" t="str">
        <f>""</f>
        <v/>
      </c>
      <c r="AW87" t="str">
        <f>""</f>
        <v/>
      </c>
      <c r="AX87" t="str">
        <f>""</f>
        <v/>
      </c>
      <c r="AY87" t="str">
        <f>""</f>
        <v/>
      </c>
      <c r="AZ87" t="str">
        <f>""</f>
        <v/>
      </c>
      <c r="BA87" t="str">
        <f>""</f>
        <v/>
      </c>
      <c r="BB87" t="str">
        <f>""</f>
        <v/>
      </c>
      <c r="BC87" t="str">
        <f>""</f>
        <v/>
      </c>
      <c r="BD87" t="str">
        <f>""</f>
        <v/>
      </c>
      <c r="BE87" t="str">
        <f>""</f>
        <v/>
      </c>
      <c r="BF87" t="str">
        <f>""</f>
        <v/>
      </c>
      <c r="BG87" t="str">
        <f>""</f>
        <v/>
      </c>
      <c r="BH87" t="str">
        <f>""</f>
        <v/>
      </c>
      <c r="BI87" t="str">
        <f>""</f>
        <v/>
      </c>
      <c r="BJ87" t="str">
        <f>""</f>
        <v/>
      </c>
      <c r="BK87" t="str">
        <f>""</f>
        <v/>
      </c>
      <c r="BL87" t="str">
        <f>""</f>
        <v/>
      </c>
      <c r="BM87" t="str">
        <f>""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</row>
    <row r="88" spans="1:85" x14ac:dyDescent="0.25">
      <c r="A88" t="str">
        <f>"Currency"</f>
        <v>Currency</v>
      </c>
      <c r="B88" t="str">
        <f>""</f>
        <v/>
      </c>
      <c r="C88" t="str">
        <f>""</f>
        <v/>
      </c>
      <c r="D88" t="str">
        <f>""</f>
        <v/>
      </c>
      <c r="E88" t="str">
        <f>""</f>
        <v/>
      </c>
      <c r="F88" t="str">
        <f>""</f>
        <v/>
      </c>
      <c r="G88" t="str">
        <f>""</f>
        <v/>
      </c>
      <c r="H88" t="str">
        <f>""</f>
        <v/>
      </c>
      <c r="I88" t="str">
        <f>""</f>
        <v/>
      </c>
      <c r="J88" t="str">
        <f>""</f>
        <v/>
      </c>
      <c r="K88" t="str">
        <f>""</f>
        <v/>
      </c>
      <c r="L88" t="str">
        <f>""</f>
        <v/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  <c r="R88" t="str">
        <f>""</f>
        <v/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t="str">
        <f>""</f>
        <v/>
      </c>
      <c r="AC88" t="str">
        <f>""</f>
        <v/>
      </c>
      <c r="AD88" t="str">
        <f>""</f>
        <v/>
      </c>
      <c r="AE88" t="str">
        <f>""</f>
        <v/>
      </c>
      <c r="AF88" t="str">
        <f>""</f>
        <v/>
      </c>
      <c r="AG88" t="str">
        <f>""</f>
        <v/>
      </c>
      <c r="AH88" t="str">
        <f>""</f>
        <v/>
      </c>
      <c r="AI88" t="str">
        <f>""</f>
        <v/>
      </c>
      <c r="AJ88" t="str">
        <f>""</f>
        <v/>
      </c>
      <c r="AK88" t="str">
        <f>""</f>
        <v/>
      </c>
      <c r="AL88" t="str">
        <f>""</f>
        <v/>
      </c>
      <c r="AM88" t="str">
        <f>""</f>
        <v/>
      </c>
      <c r="AN88" t="str">
        <f>""</f>
        <v/>
      </c>
      <c r="AO88" t="str">
        <f>""</f>
        <v/>
      </c>
      <c r="AP88" t="str">
        <f>""</f>
        <v/>
      </c>
      <c r="AQ88" t="str">
        <f>""</f>
        <v/>
      </c>
      <c r="AR88" t="str">
        <f>""</f>
        <v/>
      </c>
      <c r="AS88" t="str">
        <f>""</f>
        <v/>
      </c>
      <c r="AT88" t="str">
        <f>""</f>
        <v/>
      </c>
      <c r="AU88" t="str">
        <f>""</f>
        <v/>
      </c>
      <c r="AV88" t="str">
        <f>""</f>
        <v/>
      </c>
      <c r="AW88" t="str">
        <f>""</f>
        <v/>
      </c>
      <c r="AX88" t="str">
        <f>""</f>
        <v/>
      </c>
      <c r="AY88" t="str">
        <f>""</f>
        <v/>
      </c>
      <c r="AZ88" t="str">
        <f>""</f>
        <v/>
      </c>
      <c r="BA88" t="str">
        <f>""</f>
        <v/>
      </c>
      <c r="BB88" t="str">
        <f>""</f>
        <v/>
      </c>
      <c r="BC88" t="str">
        <f>""</f>
        <v/>
      </c>
      <c r="BD88" t="str">
        <f>""</f>
        <v/>
      </c>
      <c r="BE88" t="str">
        <f>""</f>
        <v/>
      </c>
      <c r="BF88" t="str">
        <f>""</f>
        <v/>
      </c>
      <c r="BG88" t="str">
        <f>""</f>
        <v/>
      </c>
      <c r="BH88" t="str">
        <f>""</f>
        <v/>
      </c>
      <c r="BI88" t="str">
        <f>""</f>
        <v/>
      </c>
      <c r="BJ88" t="str">
        <f>""</f>
        <v/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</row>
    <row r="89" spans="1:85" x14ac:dyDescent="0.25">
      <c r="A89" t="str">
        <f>"Periodicity"</f>
        <v>Periodicity</v>
      </c>
      <c r="B89" t="str">
        <f>"CW"</f>
        <v>CW</v>
      </c>
      <c r="C89" t="str">
        <f>"AW"</f>
        <v>AW</v>
      </c>
      <c r="D89" t="str">
        <f>""</f>
        <v/>
      </c>
      <c r="E89" t="str">
        <f>""</f>
        <v/>
      </c>
      <c r="F89" t="str">
        <f>""</f>
        <v/>
      </c>
      <c r="G89" t="str">
        <f>""</f>
        <v/>
      </c>
      <c r="H89" t="str">
        <f>""</f>
        <v/>
      </c>
      <c r="I89" t="str">
        <f>""</f>
        <v/>
      </c>
      <c r="J89" t="str">
        <f>""</f>
        <v/>
      </c>
      <c r="K89" t="str">
        <f>""</f>
        <v/>
      </c>
      <c r="L89" t="str">
        <f>""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  <c r="AD89" t="str">
        <f>""</f>
        <v/>
      </c>
      <c r="AE89" t="str">
        <f>""</f>
        <v/>
      </c>
      <c r="AF89" t="str">
        <f>""</f>
        <v/>
      </c>
      <c r="AG89" t="str">
        <f>""</f>
        <v/>
      </c>
      <c r="AH89" t="str">
        <f>""</f>
        <v/>
      </c>
      <c r="AI89" t="str">
        <f>""</f>
        <v/>
      </c>
      <c r="AJ89" t="str">
        <f>""</f>
        <v/>
      </c>
      <c r="AK89" t="str">
        <f>""</f>
        <v/>
      </c>
      <c r="AL89" t="str">
        <f>""</f>
        <v/>
      </c>
      <c r="AM89" t="str">
        <f>""</f>
        <v/>
      </c>
      <c r="AN89" t="str">
        <f>""</f>
        <v/>
      </c>
      <c r="AO89" t="str">
        <f>""</f>
        <v/>
      </c>
      <c r="AP89" t="str">
        <f>""</f>
        <v/>
      </c>
      <c r="AQ89" t="str">
        <f>""</f>
        <v/>
      </c>
      <c r="AR89" t="str">
        <f>""</f>
        <v/>
      </c>
      <c r="AS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</row>
    <row r="90" spans="1:85" x14ac:dyDescent="0.25">
      <c r="A90" t="str">
        <f>"Number of Periods"</f>
        <v>Number of Periods</v>
      </c>
      <c r="B90">
        <f>80</f>
        <v>80</v>
      </c>
      <c r="C90" t="str">
        <f>""</f>
        <v/>
      </c>
      <c r="D90" t="str">
        <f>""</f>
        <v/>
      </c>
      <c r="E90" t="str">
        <f>""</f>
        <v/>
      </c>
      <c r="F90" t="str">
        <f>""</f>
        <v/>
      </c>
      <c r="G90" t="str">
        <f>""</f>
        <v/>
      </c>
      <c r="H90" t="str">
        <f>""</f>
        <v/>
      </c>
      <c r="I90" t="str">
        <f>""</f>
        <v/>
      </c>
      <c r="J90" t="str">
        <f>""</f>
        <v/>
      </c>
      <c r="K90" t="str">
        <f>""</f>
        <v/>
      </c>
      <c r="L90" t="str">
        <f>""</f>
        <v/>
      </c>
      <c r="M90" t="str">
        <f>""</f>
        <v/>
      </c>
      <c r="N90" t="str">
        <f>""</f>
        <v/>
      </c>
      <c r="O90" t="str">
        <f>""</f>
        <v/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t="str">
        <f>""</f>
        <v/>
      </c>
      <c r="AC90" t="str">
        <f>""</f>
        <v/>
      </c>
      <c r="AD90" t="str">
        <f>""</f>
        <v/>
      </c>
      <c r="AE90" t="str">
        <f>""</f>
        <v/>
      </c>
      <c r="AF90" t="str">
        <f>""</f>
        <v/>
      </c>
      <c r="AG90" t="str">
        <f>""</f>
        <v/>
      </c>
      <c r="AH90" t="str">
        <f>""</f>
        <v/>
      </c>
      <c r="AI90" t="str">
        <f>""</f>
        <v/>
      </c>
      <c r="AJ90" t="str">
        <f>""</f>
        <v/>
      </c>
      <c r="AK90" t="str">
        <f>""</f>
        <v/>
      </c>
      <c r="AL90" t="str">
        <f>""</f>
        <v/>
      </c>
      <c r="AM90" t="str">
        <f>""</f>
        <v/>
      </c>
      <c r="AN90" t="str">
        <f>""</f>
        <v/>
      </c>
      <c r="AO90" t="str">
        <f>""</f>
        <v/>
      </c>
      <c r="AP90" t="str">
        <f>""</f>
        <v/>
      </c>
      <c r="AQ90" t="str">
        <f>""</f>
        <v/>
      </c>
      <c r="AR90" t="str">
        <f>""</f>
        <v/>
      </c>
      <c r="AS90" t="str">
        <f>""</f>
        <v/>
      </c>
      <c r="AT90" t="str">
        <f>""</f>
        <v/>
      </c>
      <c r="AU90" t="str">
        <f>""</f>
        <v/>
      </c>
      <c r="AV90" t="str">
        <f>""</f>
        <v/>
      </c>
      <c r="AW90" t="str">
        <f>""</f>
        <v/>
      </c>
      <c r="AX90" t="str">
        <f>""</f>
        <v/>
      </c>
      <c r="AY90" t="str">
        <f>""</f>
        <v/>
      </c>
      <c r="AZ90" t="str">
        <f>""</f>
        <v/>
      </c>
      <c r="BA90" t="str">
        <f>""</f>
        <v/>
      </c>
      <c r="BB90" t="str">
        <f>""</f>
        <v/>
      </c>
      <c r="BC90" t="str">
        <f>""</f>
        <v/>
      </c>
      <c r="BD90" t="str">
        <f>""</f>
        <v/>
      </c>
      <c r="BE90" t="str">
        <f>""</f>
        <v/>
      </c>
      <c r="BF90" t="str">
        <f>""</f>
        <v/>
      </c>
      <c r="BG90" t="str">
        <f>""</f>
        <v/>
      </c>
      <c r="BH90" t="str">
        <f>""</f>
        <v/>
      </c>
      <c r="BI90" t="str">
        <f>""</f>
        <v/>
      </c>
      <c r="BJ90" t="str">
        <f>""</f>
        <v/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</row>
    <row r="91" spans="1:85" x14ac:dyDescent="0.25">
      <c r="A91" t="str">
        <f>"Start Date"</f>
        <v>Start Date</v>
      </c>
      <c r="B91" t="str">
        <f>CONCATENATE("-",$B$90,$B$89)</f>
        <v>-80CW</v>
      </c>
      <c r="C91" t="str">
        <f>CONCATENATE("-",$B$90,$C$89)</f>
        <v>-80AW</v>
      </c>
      <c r="D91" t="str">
        <f>""</f>
        <v/>
      </c>
      <c r="E91" t="str">
        <f>""</f>
        <v/>
      </c>
      <c r="F91" t="str">
        <f>""</f>
        <v/>
      </c>
      <c r="G91" t="str">
        <f>""</f>
        <v/>
      </c>
      <c r="H91" t="str">
        <f>""</f>
        <v/>
      </c>
      <c r="I91" t="str">
        <f>""</f>
        <v/>
      </c>
      <c r="J91" t="str">
        <f>""</f>
        <v/>
      </c>
      <c r="K91" t="str">
        <f>""</f>
        <v/>
      </c>
      <c r="L91" t="str">
        <f>""</f>
        <v/>
      </c>
      <c r="M91" t="str">
        <f>""</f>
        <v/>
      </c>
      <c r="N91" t="str">
        <f>""</f>
        <v/>
      </c>
      <c r="O91" t="str">
        <f>""</f>
        <v/>
      </c>
      <c r="P91" t="str">
        <f>""</f>
        <v/>
      </c>
      <c r="Q91" t="str">
        <f>""</f>
        <v/>
      </c>
      <c r="R91" t="str">
        <f>""</f>
        <v/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t="str">
        <f>""</f>
        <v/>
      </c>
      <c r="AC91" t="str">
        <f>""</f>
        <v/>
      </c>
      <c r="AD91" t="str">
        <f>""</f>
        <v/>
      </c>
      <c r="AE91" t="str">
        <f>""</f>
        <v/>
      </c>
      <c r="AF91" t="str">
        <f>""</f>
        <v/>
      </c>
      <c r="AG91" t="str">
        <f>""</f>
        <v/>
      </c>
      <c r="AH91" t="str">
        <f>""</f>
        <v/>
      </c>
      <c r="AI91" t="str">
        <f>""</f>
        <v/>
      </c>
      <c r="AJ91" t="str">
        <f>""</f>
        <v/>
      </c>
      <c r="AK91" t="str">
        <f>""</f>
        <v/>
      </c>
      <c r="AL91" t="str">
        <f>""</f>
        <v/>
      </c>
      <c r="AM91" t="str">
        <f>""</f>
        <v/>
      </c>
      <c r="AN91" t="str">
        <f>""</f>
        <v/>
      </c>
      <c r="AO91" t="str">
        <f>""</f>
        <v/>
      </c>
      <c r="AP91" t="str">
        <f>""</f>
        <v/>
      </c>
      <c r="AQ91" t="str">
        <f>""</f>
        <v/>
      </c>
      <c r="AR91" t="str">
        <f>""</f>
        <v/>
      </c>
      <c r="AS91" t="str">
        <f>""</f>
        <v/>
      </c>
      <c r="AT91" t="str">
        <f>""</f>
        <v/>
      </c>
      <c r="AU91" t="str">
        <f>""</f>
        <v/>
      </c>
      <c r="AV91" t="str">
        <f>""</f>
        <v/>
      </c>
      <c r="AW91" t="str">
        <f>""</f>
        <v/>
      </c>
      <c r="AX91" t="str">
        <f>""</f>
        <v/>
      </c>
      <c r="AY91" t="str">
        <f>""</f>
        <v/>
      </c>
      <c r="AZ91" t="str">
        <f>""</f>
        <v/>
      </c>
      <c r="BA91" t="str">
        <f>""</f>
        <v/>
      </c>
      <c r="BB91" t="str">
        <f>""</f>
        <v/>
      </c>
      <c r="BC91" t="str">
        <f>""</f>
        <v/>
      </c>
      <c r="BD91" t="str">
        <f>""</f>
        <v/>
      </c>
      <c r="BE91" t="str">
        <f>""</f>
        <v/>
      </c>
      <c r="BF91" t="str">
        <f>""</f>
        <v/>
      </c>
      <c r="BG91" t="str">
        <f>""</f>
        <v/>
      </c>
      <c r="BH91" t="str">
        <f>""</f>
        <v/>
      </c>
      <c r="BI91" t="str">
        <f>""</f>
        <v/>
      </c>
      <c r="BJ91" t="str">
        <f>""</f>
        <v/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</row>
    <row r="92" spans="1:85" x14ac:dyDescent="0.25">
      <c r="A92" t="str">
        <f>"End Date"</f>
        <v>End Date</v>
      </c>
      <c r="B92">
        <f ca="1">IF(WEEKDAY(TODAY(),2)&lt;=5,TODAY()+(5-WEEKDAY(TODAY(),2)),TODAY()+6-(WEEKDAY(TODAY(),2)-6))</f>
        <v>41908</v>
      </c>
      <c r="C92" t="str">
        <f>""</f>
        <v/>
      </c>
      <c r="D92" t="str">
        <f>""</f>
        <v/>
      </c>
      <c r="E92" t="str">
        <f>""</f>
        <v/>
      </c>
      <c r="F92" t="str">
        <f>""</f>
        <v/>
      </c>
      <c r="G92" t="str">
        <f>""</f>
        <v/>
      </c>
      <c r="H92" t="str">
        <f>""</f>
        <v/>
      </c>
      <c r="I92" t="str">
        <f>""</f>
        <v/>
      </c>
      <c r="J92" t="str">
        <f>""</f>
        <v/>
      </c>
      <c r="K92" t="str">
        <f>""</f>
        <v/>
      </c>
      <c r="L92" t="str">
        <f>""</f>
        <v/>
      </c>
      <c r="M92" t="str">
        <f>""</f>
        <v/>
      </c>
      <c r="N92" t="str">
        <f>""</f>
        <v/>
      </c>
      <c r="O92" t="str">
        <f>""</f>
        <v/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t="str">
        <f>""</f>
        <v/>
      </c>
      <c r="AC92" t="str">
        <f>""</f>
        <v/>
      </c>
      <c r="AD92" t="str">
        <f>""</f>
        <v/>
      </c>
      <c r="AE92" t="str">
        <f>""</f>
        <v/>
      </c>
      <c r="AF92" t="str">
        <f>""</f>
        <v/>
      </c>
      <c r="AG92" t="str">
        <f>""</f>
        <v/>
      </c>
      <c r="AH92" t="str">
        <f>""</f>
        <v/>
      </c>
      <c r="AI92" t="str">
        <f>""</f>
        <v/>
      </c>
      <c r="AJ92" t="str">
        <f>""</f>
        <v/>
      </c>
      <c r="AK92" t="str">
        <f>""</f>
        <v/>
      </c>
      <c r="AL92" t="str">
        <f>""</f>
        <v/>
      </c>
      <c r="AM92" t="str">
        <f>""</f>
        <v/>
      </c>
      <c r="AN92" t="str">
        <f>""</f>
        <v/>
      </c>
      <c r="AO92" t="str">
        <f>""</f>
        <v/>
      </c>
      <c r="AP92" t="str">
        <f>""</f>
        <v/>
      </c>
      <c r="AQ92" t="str">
        <f>""</f>
        <v/>
      </c>
      <c r="AR92" t="str">
        <f>""</f>
        <v/>
      </c>
      <c r="AS92" t="str">
        <f>""</f>
        <v/>
      </c>
      <c r="AT92" t="str">
        <f>""</f>
        <v/>
      </c>
      <c r="AU92" t="str">
        <f>""</f>
        <v/>
      </c>
      <c r="AV92" t="str">
        <f>""</f>
        <v/>
      </c>
      <c r="AW92" t="str">
        <f>""</f>
        <v/>
      </c>
      <c r="AX92" t="str">
        <f>""</f>
        <v/>
      </c>
      <c r="AY92" t="str">
        <f>""</f>
        <v/>
      </c>
      <c r="AZ92" t="str">
        <f>""</f>
        <v/>
      </c>
      <c r="BA92" t="str">
        <f>""</f>
        <v/>
      </c>
      <c r="BB92" t="str">
        <f>""</f>
        <v/>
      </c>
      <c r="BC92" t="str">
        <f>""</f>
        <v/>
      </c>
      <c r="BD92" t="str">
        <f>""</f>
        <v/>
      </c>
      <c r="BE92" t="str">
        <f>""</f>
        <v/>
      </c>
      <c r="BF92" t="str">
        <f>""</f>
        <v/>
      </c>
      <c r="BG92" t="str">
        <f>""</f>
        <v/>
      </c>
      <c r="BH92" t="str">
        <f>""</f>
        <v/>
      </c>
      <c r="BI92" t="str">
        <f>""</f>
        <v/>
      </c>
      <c r="BJ92" t="str">
        <f>""</f>
        <v/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</row>
    <row r="93" spans="1:85" x14ac:dyDescent="0.25">
      <c r="A93" t="str">
        <f>""</f>
        <v/>
      </c>
      <c r="B93" t="str">
        <f>""</f>
        <v/>
      </c>
      <c r="C93" t="str">
        <f>""</f>
        <v/>
      </c>
      <c r="D93" t="str">
        <f>""</f>
        <v/>
      </c>
      <c r="E93" t="str">
        <f>""</f>
        <v/>
      </c>
      <c r="F93" t="str">
        <f>""</f>
        <v/>
      </c>
      <c r="G93" t="str">
        <f>""</f>
        <v/>
      </c>
      <c r="H93" t="str">
        <f>""</f>
        <v/>
      </c>
      <c r="I93" t="str">
        <f>""</f>
        <v/>
      </c>
      <c r="J93" t="str">
        <f>""</f>
        <v/>
      </c>
      <c r="K93" t="str">
        <f>""</f>
        <v/>
      </c>
      <c r="L93" t="str">
        <f>""</f>
        <v/>
      </c>
      <c r="M93" t="str">
        <f>""</f>
        <v/>
      </c>
      <c r="N93" t="str">
        <f>""</f>
        <v/>
      </c>
      <c r="O93" t="str">
        <f>""</f>
        <v/>
      </c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  <c r="AF93" t="str">
        <f>""</f>
        <v/>
      </c>
      <c r="AG93" t="str">
        <f>""</f>
        <v/>
      </c>
      <c r="AH93" t="str">
        <f>""</f>
        <v/>
      </c>
      <c r="AI93" t="str">
        <f>""</f>
        <v/>
      </c>
      <c r="AJ93" t="str">
        <f>""</f>
        <v/>
      </c>
      <c r="AK93" t="str">
        <f>""</f>
        <v/>
      </c>
      <c r="AL93" t="str">
        <f>""</f>
        <v/>
      </c>
      <c r="AM93" t="str">
        <f>""</f>
        <v/>
      </c>
      <c r="AN93" t="str">
        <f>""</f>
        <v/>
      </c>
      <c r="AO93" t="str">
        <f>""</f>
        <v/>
      </c>
      <c r="AP93" t="str">
        <f>""</f>
        <v/>
      </c>
      <c r="AQ93" t="str">
        <f>""</f>
        <v/>
      </c>
      <c r="AR93" t="str">
        <f>""</f>
        <v/>
      </c>
      <c r="AS93" t="str">
        <f>""</f>
        <v/>
      </c>
      <c r="AT93" t="str">
        <f>""</f>
        <v/>
      </c>
      <c r="AU93" t="str">
        <f>""</f>
        <v/>
      </c>
      <c r="AV93" t="str">
        <f>""</f>
        <v/>
      </c>
      <c r="AW93" t="str">
        <f>""</f>
        <v/>
      </c>
      <c r="AX93" t="str">
        <f>""</f>
        <v/>
      </c>
      <c r="AY93" t="str">
        <f>""</f>
        <v/>
      </c>
      <c r="AZ93" t="str">
        <f>""</f>
        <v/>
      </c>
      <c r="BA93" t="str">
        <f>""</f>
        <v/>
      </c>
      <c r="BB93" t="str">
        <f>""</f>
        <v/>
      </c>
      <c r="BC93" t="str">
        <f>""</f>
        <v/>
      </c>
      <c r="BD93" t="str">
        <f>""</f>
        <v/>
      </c>
      <c r="BE93" t="str">
        <f>""</f>
        <v/>
      </c>
      <c r="BF93" t="str">
        <f>""</f>
        <v/>
      </c>
      <c r="BG93" t="str">
        <f>""</f>
        <v/>
      </c>
      <c r="BH93" t="str">
        <f>""</f>
        <v/>
      </c>
      <c r="BI93" t="str">
        <f>""</f>
        <v/>
      </c>
      <c r="BJ93" t="str">
        <f>""</f>
        <v/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</row>
    <row r="94" spans="1:85" x14ac:dyDescent="0.25">
      <c r="A94" t="str">
        <f>""</f>
        <v/>
      </c>
      <c r="B94" t="str">
        <f>"ECBA3YO1 Index"</f>
        <v>ECBA3YO1 Index</v>
      </c>
      <c r="C94" t="str">
        <f t="shared" ref="C94:C108" si="7">"PR005"</f>
        <v>PR005</v>
      </c>
      <c r="D94" t="str">
        <f t="shared" ref="D94:D108" si="8">"PX_LAST"</f>
        <v>PX_LAST</v>
      </c>
      <c r="E94" t="str">
        <f t="shared" ref="E94:E108" si="9">"Dynamic"</f>
        <v>Dynamic</v>
      </c>
      <c r="F94" t="e">
        <f ca="1">_xll.BDH($B$94,$C$94,$B$91,$B$92,CONCATENATE("Per=",$B$89),"Dts=H","Dir=H",CONCATENATE("Points=",$B$90),"Sort=R","Days=A","Fill=B",CONCATENATE("FX=", $B$88),"cols=80;rows=1")</f>
        <v>#N/A</v>
      </c>
      <c r="G94">
        <v>112.98399999999999</v>
      </c>
      <c r="H94">
        <v>114.822</v>
      </c>
      <c r="I94">
        <v>115.196</v>
      </c>
      <c r="J94">
        <v>115.496</v>
      </c>
      <c r="K94">
        <v>117.816</v>
      </c>
      <c r="L94">
        <v>118.01600000000001</v>
      </c>
      <c r="M94">
        <v>118.726</v>
      </c>
      <c r="N94">
        <v>121.959</v>
      </c>
      <c r="O94">
        <v>123.476</v>
      </c>
      <c r="P94">
        <v>124.121</v>
      </c>
      <c r="Q94">
        <v>124.151</v>
      </c>
      <c r="R94">
        <v>134.45099999999999</v>
      </c>
      <c r="S94">
        <v>136.143</v>
      </c>
      <c r="T94">
        <v>145.83699999999999</v>
      </c>
      <c r="U94">
        <v>147.387</v>
      </c>
      <c r="V94">
        <v>153.51</v>
      </c>
      <c r="W94">
        <v>161.124</v>
      </c>
      <c r="X94">
        <v>162.42400000000001</v>
      </c>
      <c r="Y94">
        <v>171.82400000000001</v>
      </c>
      <c r="Z94">
        <v>177.60599999999999</v>
      </c>
      <c r="AA94">
        <v>180.99100000000001</v>
      </c>
      <c r="AB94">
        <v>183.5</v>
      </c>
      <c r="AC94">
        <v>183.7</v>
      </c>
      <c r="AD94">
        <v>190.1</v>
      </c>
      <c r="AE94">
        <v>195.1</v>
      </c>
      <c r="AF94">
        <v>198.2</v>
      </c>
      <c r="AG94">
        <v>198.7</v>
      </c>
      <c r="AH94">
        <v>201.2</v>
      </c>
      <c r="AI94">
        <v>202</v>
      </c>
      <c r="AJ94">
        <v>202.6</v>
      </c>
      <c r="AK94">
        <v>202.8</v>
      </c>
      <c r="AL94">
        <v>206.3</v>
      </c>
      <c r="AM94">
        <v>206.9</v>
      </c>
      <c r="AN94">
        <v>207.9</v>
      </c>
      <c r="AQ94">
        <v>212</v>
      </c>
      <c r="AR94">
        <v>215.3</v>
      </c>
      <c r="AS94">
        <v>218.4</v>
      </c>
      <c r="AT94">
        <v>223.5</v>
      </c>
      <c r="AU94">
        <v>226.4</v>
      </c>
      <c r="AV94">
        <v>229.5</v>
      </c>
      <c r="AW94">
        <v>232.4</v>
      </c>
      <c r="AX94">
        <v>237.7</v>
      </c>
      <c r="AY94">
        <v>239.2</v>
      </c>
      <c r="AZ94">
        <v>239.3</v>
      </c>
      <c r="BA94">
        <v>239.9</v>
      </c>
      <c r="BB94">
        <v>244.5</v>
      </c>
      <c r="BC94">
        <v>246</v>
      </c>
      <c r="BD94">
        <v>248.7</v>
      </c>
      <c r="BE94">
        <v>249.4</v>
      </c>
      <c r="BF94">
        <v>253.2</v>
      </c>
      <c r="BG94">
        <v>253.3</v>
      </c>
      <c r="BH94">
        <v>253.4</v>
      </c>
      <c r="BI94">
        <v>253.6</v>
      </c>
      <c r="BJ94">
        <v>254.1</v>
      </c>
      <c r="BK94">
        <v>255.9</v>
      </c>
      <c r="BL94">
        <v>257</v>
      </c>
      <c r="BM94">
        <v>259.2</v>
      </c>
      <c r="BN94">
        <v>259.7</v>
      </c>
      <c r="BO94">
        <v>259.7</v>
      </c>
      <c r="BP94">
        <v>261.7</v>
      </c>
      <c r="BQ94">
        <v>266.7</v>
      </c>
      <c r="BR94">
        <v>269.7</v>
      </c>
      <c r="BS94">
        <v>272.5</v>
      </c>
      <c r="BT94">
        <v>275.3</v>
      </c>
      <c r="BU94">
        <v>281.60000000000002</v>
      </c>
      <c r="BV94">
        <v>282.60000000000002</v>
      </c>
      <c r="BW94">
        <v>283.8</v>
      </c>
      <c r="BX94">
        <v>283.8</v>
      </c>
      <c r="BY94">
        <v>285.39999999999998</v>
      </c>
      <c r="BZ94">
        <v>294.3</v>
      </c>
      <c r="CA94">
        <v>300.89999999999998</v>
      </c>
      <c r="CB94">
        <v>305.10000000000002</v>
      </c>
      <c r="CC94">
        <v>308.89999999999998</v>
      </c>
      <c r="CD94">
        <v>310.5</v>
      </c>
      <c r="CE94">
        <v>310.89999999999998</v>
      </c>
      <c r="CF94">
        <v>312.60000000000002</v>
      </c>
      <c r="CG94">
        <v>316.8</v>
      </c>
    </row>
    <row r="95" spans="1:85" x14ac:dyDescent="0.25">
      <c r="A95" t="str">
        <f>""</f>
        <v/>
      </c>
      <c r="B95" t="str">
        <f>"ECBA3YO2 Index"</f>
        <v>ECBA3YO2 Index</v>
      </c>
      <c r="C95" t="str">
        <f t="shared" si="7"/>
        <v>PR005</v>
      </c>
      <c r="D95" t="str">
        <f t="shared" si="8"/>
        <v>PX_LAST</v>
      </c>
      <c r="E95" t="str">
        <f t="shared" si="9"/>
        <v>Dynamic</v>
      </c>
      <c r="F95" t="e">
        <f ca="1">_xll.BDH($B$95,$C$95,$B$91,$B$92,CONCATENATE("Per=",$B$89),"Dts=H","Dir=H",CONCATENATE("Points=",$B$90),"Sort=R","Days=A","Fill=B",CONCATENATE("FX=", $B$88),"cols=80;rows=1")</f>
        <v>#N/A</v>
      </c>
      <c r="G95">
        <v>243.99</v>
      </c>
      <c r="H95">
        <v>245.661</v>
      </c>
      <c r="I95">
        <v>246.64599999999999</v>
      </c>
      <c r="J95">
        <v>249.20699999999999</v>
      </c>
      <c r="K95">
        <v>251.03700000000001</v>
      </c>
      <c r="L95">
        <v>254.047</v>
      </c>
      <c r="M95">
        <v>256.315</v>
      </c>
      <c r="N95">
        <v>274.589</v>
      </c>
      <c r="O95">
        <v>276.80900000000003</v>
      </c>
      <c r="P95">
        <v>280.17899999999997</v>
      </c>
      <c r="Q95">
        <v>284.62900000000002</v>
      </c>
      <c r="R95">
        <v>286.947</v>
      </c>
      <c r="S95">
        <v>288.96699999999998</v>
      </c>
      <c r="T95">
        <v>289.96100000000001</v>
      </c>
      <c r="U95">
        <v>290.20100000000002</v>
      </c>
      <c r="V95">
        <v>291.05500000000001</v>
      </c>
      <c r="W95">
        <v>292.96100000000001</v>
      </c>
      <c r="X95">
        <v>293.411</v>
      </c>
      <c r="Y95">
        <v>293.58999999999997</v>
      </c>
      <c r="Z95">
        <v>295.34399999999999</v>
      </c>
      <c r="AA95">
        <v>300.22399999999999</v>
      </c>
      <c r="AB95">
        <v>302.60000000000002</v>
      </c>
      <c r="AC95">
        <v>304</v>
      </c>
      <c r="AD95">
        <v>316.5</v>
      </c>
      <c r="AE95">
        <v>321.5</v>
      </c>
      <c r="AF95">
        <v>329.8</v>
      </c>
      <c r="AG95">
        <v>332.3</v>
      </c>
      <c r="AH95">
        <v>332.7</v>
      </c>
      <c r="AI95">
        <v>332.9</v>
      </c>
      <c r="AJ95">
        <v>334.1</v>
      </c>
      <c r="AK95">
        <v>334.4</v>
      </c>
      <c r="AL95">
        <v>334.6</v>
      </c>
      <c r="AM95">
        <v>334.9</v>
      </c>
      <c r="AN95">
        <v>336.5</v>
      </c>
      <c r="AQ95">
        <v>353.2</v>
      </c>
      <c r="AR95">
        <v>372.5</v>
      </c>
      <c r="AS95">
        <v>376.4</v>
      </c>
      <c r="AT95">
        <v>378.6</v>
      </c>
      <c r="AU95">
        <v>383.6</v>
      </c>
      <c r="AV95">
        <v>384.1</v>
      </c>
      <c r="AW95">
        <v>386.9</v>
      </c>
      <c r="AX95">
        <v>392.3</v>
      </c>
      <c r="AY95">
        <v>392.6</v>
      </c>
      <c r="AZ95">
        <v>397.7</v>
      </c>
      <c r="BA95">
        <v>398</v>
      </c>
      <c r="BB95">
        <v>401</v>
      </c>
      <c r="BC95">
        <v>402.6</v>
      </c>
      <c r="BD95">
        <v>407.9</v>
      </c>
      <c r="BE95">
        <v>410.3</v>
      </c>
      <c r="BF95">
        <v>412.6</v>
      </c>
      <c r="BG95">
        <v>417.1</v>
      </c>
      <c r="BH95">
        <v>417.3</v>
      </c>
      <c r="BI95">
        <v>417.8</v>
      </c>
      <c r="BJ95">
        <v>418</v>
      </c>
      <c r="BK95">
        <v>418.3</v>
      </c>
      <c r="BL95">
        <v>418.7</v>
      </c>
      <c r="BM95">
        <v>418.9</v>
      </c>
      <c r="BN95">
        <v>419.6</v>
      </c>
      <c r="BO95">
        <v>421.7</v>
      </c>
      <c r="BP95">
        <v>421.8</v>
      </c>
      <c r="BQ95">
        <v>422</v>
      </c>
      <c r="BR95">
        <v>422.2</v>
      </c>
      <c r="BS95">
        <v>422.3</v>
      </c>
      <c r="BT95">
        <v>422.6</v>
      </c>
      <c r="BU95">
        <v>424.5</v>
      </c>
      <c r="BV95">
        <v>424.6</v>
      </c>
      <c r="BW95">
        <v>429.7</v>
      </c>
      <c r="BX95">
        <v>430.3</v>
      </c>
      <c r="BY95">
        <v>431</v>
      </c>
      <c r="BZ95">
        <v>433</v>
      </c>
      <c r="CA95">
        <v>437.3</v>
      </c>
      <c r="CB95">
        <v>441.4</v>
      </c>
      <c r="CC95">
        <v>444.6</v>
      </c>
      <c r="CD95">
        <v>445</v>
      </c>
      <c r="CE95">
        <v>451.4</v>
      </c>
      <c r="CF95">
        <v>454.6</v>
      </c>
      <c r="CG95">
        <v>462.9</v>
      </c>
    </row>
    <row r="96" spans="1:85" x14ac:dyDescent="0.25">
      <c r="A96" t="str">
        <f>""</f>
        <v/>
      </c>
      <c r="B96" t="str">
        <f>"ECBLXLIQ Index"</f>
        <v>ECBLXLIQ Index</v>
      </c>
      <c r="C96" t="str">
        <f t="shared" si="7"/>
        <v>PR005</v>
      </c>
      <c r="D96" t="str">
        <f t="shared" si="8"/>
        <v>PX_LAST</v>
      </c>
      <c r="E96" t="str">
        <f t="shared" si="9"/>
        <v>Dynamic</v>
      </c>
      <c r="F96" t="e">
        <f ca="1">_xll.BDH($B$96,$C$96,$B$91,$B$92,CONCATENATE("Per=",$B$89),"Dts=H","Dir=H",CONCATENATE("Points=",$B$90),"Sort=R","Days=A","Fill=B",CONCATENATE("FX=", $B$88),"cols=80;rows=1")</f>
        <v>#N/A</v>
      </c>
      <c r="G96">
        <v>115028</v>
      </c>
      <c r="H96">
        <v>147479</v>
      </c>
      <c r="I96">
        <v>125613</v>
      </c>
      <c r="J96">
        <v>136240</v>
      </c>
      <c r="K96">
        <v>130604</v>
      </c>
      <c r="L96">
        <v>158788</v>
      </c>
      <c r="M96">
        <v>112336</v>
      </c>
      <c r="N96">
        <v>128101</v>
      </c>
      <c r="O96">
        <v>121139</v>
      </c>
      <c r="P96">
        <v>137095</v>
      </c>
      <c r="Q96">
        <v>138666</v>
      </c>
      <c r="R96">
        <v>133337</v>
      </c>
      <c r="S96">
        <v>112567</v>
      </c>
      <c r="T96">
        <v>120473</v>
      </c>
      <c r="U96">
        <v>145313</v>
      </c>
      <c r="V96">
        <v>88269</v>
      </c>
      <c r="W96">
        <v>114961</v>
      </c>
      <c r="X96">
        <v>80358</v>
      </c>
      <c r="Y96">
        <v>175014</v>
      </c>
      <c r="Z96">
        <v>86596</v>
      </c>
      <c r="AA96">
        <v>131885</v>
      </c>
      <c r="AB96">
        <v>115879</v>
      </c>
      <c r="AC96">
        <v>103069</v>
      </c>
      <c r="AD96">
        <v>102431</v>
      </c>
      <c r="AE96">
        <v>125242</v>
      </c>
      <c r="AF96">
        <v>146670</v>
      </c>
      <c r="AG96">
        <v>114934</v>
      </c>
      <c r="AH96">
        <v>113155</v>
      </c>
      <c r="AI96">
        <v>125256</v>
      </c>
      <c r="AJ96">
        <v>150658</v>
      </c>
      <c r="AK96">
        <v>143507</v>
      </c>
      <c r="AL96">
        <v>167889</v>
      </c>
      <c r="AM96">
        <v>168105</v>
      </c>
      <c r="AN96">
        <v>135214</v>
      </c>
      <c r="AO96">
        <v>158777</v>
      </c>
      <c r="AP96">
        <v>283614</v>
      </c>
      <c r="AQ96">
        <v>200165</v>
      </c>
      <c r="AR96">
        <v>205885</v>
      </c>
      <c r="AS96">
        <v>158653</v>
      </c>
      <c r="AT96">
        <v>154264</v>
      </c>
      <c r="AU96">
        <v>168204</v>
      </c>
      <c r="AV96">
        <v>158494</v>
      </c>
      <c r="AW96">
        <v>172428</v>
      </c>
      <c r="AX96">
        <v>189249</v>
      </c>
      <c r="AY96">
        <v>175278</v>
      </c>
      <c r="AZ96">
        <v>177732</v>
      </c>
      <c r="BA96">
        <v>211012</v>
      </c>
      <c r="BB96">
        <v>216526</v>
      </c>
      <c r="BC96">
        <v>216848</v>
      </c>
      <c r="BD96">
        <v>207757</v>
      </c>
      <c r="BE96">
        <v>220539</v>
      </c>
      <c r="BF96">
        <v>243423</v>
      </c>
      <c r="BG96">
        <v>241927</v>
      </c>
      <c r="BH96">
        <v>237759</v>
      </c>
      <c r="BI96">
        <v>238418</v>
      </c>
      <c r="BJ96">
        <v>257691</v>
      </c>
      <c r="BK96">
        <v>255881</v>
      </c>
      <c r="BL96">
        <v>255185</v>
      </c>
      <c r="BM96">
        <v>229861</v>
      </c>
      <c r="BN96">
        <v>236602</v>
      </c>
      <c r="BO96">
        <v>265358</v>
      </c>
      <c r="BP96">
        <v>269622</v>
      </c>
      <c r="BQ96">
        <v>263414</v>
      </c>
      <c r="BR96">
        <v>253889</v>
      </c>
      <c r="BS96">
        <v>294500</v>
      </c>
      <c r="BT96">
        <v>274540</v>
      </c>
      <c r="BU96">
        <v>253668</v>
      </c>
      <c r="BV96">
        <v>277815</v>
      </c>
      <c r="BW96">
        <v>297118</v>
      </c>
      <c r="BX96">
        <v>322536</v>
      </c>
      <c r="BY96">
        <v>313548</v>
      </c>
      <c r="BZ96">
        <v>320738</v>
      </c>
      <c r="CA96">
        <v>330469</v>
      </c>
      <c r="CB96">
        <v>357511</v>
      </c>
      <c r="CC96">
        <v>366902</v>
      </c>
      <c r="CD96">
        <v>357523</v>
      </c>
      <c r="CE96">
        <v>373322</v>
      </c>
      <c r="CF96">
        <v>394238</v>
      </c>
      <c r="CG96">
        <v>383252</v>
      </c>
    </row>
    <row r="97" spans="1:85" x14ac:dyDescent="0.25">
      <c r="A97" t="str">
        <f>""</f>
        <v/>
      </c>
      <c r="B97" t="str">
        <f>"ECBA7DTO Index"</f>
        <v>ECBA7DTO Index</v>
      </c>
      <c r="C97" t="str">
        <f t="shared" si="7"/>
        <v>PR005</v>
      </c>
      <c r="D97" t="str">
        <f t="shared" si="8"/>
        <v>PX_LAST</v>
      </c>
      <c r="E97" t="str">
        <f t="shared" si="9"/>
        <v>Dynamic</v>
      </c>
      <c r="F97" t="e">
        <f ca="1">_xll.BDH($B$97,$C$97,$B$91,$B$92,CONCATENATE("Per=",$B$89),"Dts=H","Dir=H",CONCATENATE("Points=",$B$90),"Sort=R","Days=A","Fill=B",CONCATENATE("FX=", $B$88),"cols=80;rows=1")</f>
        <v>#N/A</v>
      </c>
      <c r="S97">
        <v>-108649.8</v>
      </c>
      <c r="T97">
        <v>-119200.3</v>
      </c>
      <c r="U97">
        <v>-102877.8</v>
      </c>
      <c r="V97">
        <v>-137465.20000000001</v>
      </c>
      <c r="W97">
        <v>-144280.70000000001</v>
      </c>
      <c r="X97">
        <v>-165532.70000000001</v>
      </c>
      <c r="Y97">
        <v>-103946</v>
      </c>
      <c r="Z97">
        <v>-166779.79999999999</v>
      </c>
      <c r="AA97">
        <v>-153363.5</v>
      </c>
      <c r="AB97">
        <v>-172500</v>
      </c>
      <c r="AC97">
        <v>-175500</v>
      </c>
      <c r="AD97">
        <v>-175500</v>
      </c>
      <c r="AE97">
        <v>-175500</v>
      </c>
      <c r="AF97">
        <v>-175500</v>
      </c>
      <c r="AG97">
        <v>-175500</v>
      </c>
      <c r="AH97">
        <v>-175500</v>
      </c>
      <c r="AI97">
        <v>-175500</v>
      </c>
      <c r="AJ97">
        <v>-175500</v>
      </c>
      <c r="AK97">
        <v>-175500</v>
      </c>
      <c r="AL97">
        <v>-151206</v>
      </c>
      <c r="AM97">
        <v>-152067.09</v>
      </c>
      <c r="AN97">
        <v>-179000</v>
      </c>
      <c r="AO97">
        <v>-179000</v>
      </c>
      <c r="AP97">
        <v>-104841.9</v>
      </c>
      <c r="AQ97">
        <v>-139919.70000000001</v>
      </c>
      <c r="AR97">
        <v>-152251.09</v>
      </c>
      <c r="AS97">
        <v>-184000</v>
      </c>
      <c r="AT97">
        <v>-184000</v>
      </c>
      <c r="AU97">
        <v>-157764.29999999999</v>
      </c>
      <c r="AV97">
        <v>-184000</v>
      </c>
      <c r="AW97">
        <v>-184000</v>
      </c>
      <c r="AX97">
        <v>-184000</v>
      </c>
      <c r="AY97">
        <v>-188000</v>
      </c>
      <c r="AZ97">
        <v>-188000</v>
      </c>
      <c r="BA97">
        <v>-188000</v>
      </c>
      <c r="BB97">
        <v>-188000</v>
      </c>
      <c r="BC97">
        <v>-187500</v>
      </c>
      <c r="BD97">
        <v>-190500</v>
      </c>
      <c r="BE97">
        <v>-190500</v>
      </c>
      <c r="BF97">
        <v>-190500</v>
      </c>
      <c r="BG97">
        <v>-190500</v>
      </c>
      <c r="BH97">
        <v>-190500</v>
      </c>
      <c r="BI97">
        <v>-192500</v>
      </c>
      <c r="BJ97">
        <v>-192500</v>
      </c>
      <c r="BK97">
        <v>-192500</v>
      </c>
      <c r="BL97">
        <v>-195500</v>
      </c>
      <c r="BM97">
        <v>-195500</v>
      </c>
      <c r="BN97">
        <v>-195500</v>
      </c>
      <c r="BO97">
        <v>-195500</v>
      </c>
      <c r="BP97">
        <v>-195000</v>
      </c>
      <c r="BQ97">
        <v>-195000</v>
      </c>
      <c r="BR97">
        <v>-195000</v>
      </c>
      <c r="BS97">
        <v>-195000</v>
      </c>
      <c r="BT97">
        <v>-197000</v>
      </c>
      <c r="BU97">
        <v>-197000</v>
      </c>
      <c r="BV97">
        <v>-201000</v>
      </c>
      <c r="BW97">
        <v>-201000</v>
      </c>
      <c r="BX97">
        <v>-201000</v>
      </c>
      <c r="BY97">
        <v>-202500</v>
      </c>
      <c r="BZ97">
        <v>-202500</v>
      </c>
      <c r="CA97">
        <v>-206000</v>
      </c>
      <c r="CB97">
        <v>-206000</v>
      </c>
      <c r="CC97">
        <v>-205500</v>
      </c>
      <c r="CD97">
        <v>-205500</v>
      </c>
      <c r="CE97">
        <v>-205500</v>
      </c>
      <c r="CF97">
        <v>-205500</v>
      </c>
      <c r="CG97">
        <v>-205500</v>
      </c>
    </row>
    <row r="98" spans="1:85" x14ac:dyDescent="0.25">
      <c r="A98" t="str">
        <f>""</f>
        <v/>
      </c>
      <c r="B98" t="str">
        <f>"ECBA7DBI Index"</f>
        <v>ECBA7DBI Index</v>
      </c>
      <c r="C98" t="str">
        <f t="shared" si="7"/>
        <v>PR005</v>
      </c>
      <c r="D98" t="str">
        <f t="shared" si="8"/>
        <v>PX_LAST</v>
      </c>
      <c r="E98" t="str">
        <f t="shared" si="9"/>
        <v>Dynamic</v>
      </c>
      <c r="F98" t="e">
        <f ca="1">_xll.BDH($B$98,$C$98,$B$91,$B$92,CONCATENATE("Per=",$B$89),"Dts=H","Dir=H",CONCATENATE("Points=",$B$90),"Sort=R","Days=A","Fill=B",CONCATENATE("FX=", $B$88),"cols=80;rows=1")</f>
        <v>#N/A</v>
      </c>
      <c r="S98">
        <v>-108649.8</v>
      </c>
      <c r="T98">
        <v>-119200.3</v>
      </c>
      <c r="U98">
        <v>-102877.8</v>
      </c>
      <c r="V98">
        <v>-137465.20000000001</v>
      </c>
      <c r="W98">
        <v>-144280.70000000001</v>
      </c>
      <c r="X98">
        <v>-165532.70000000001</v>
      </c>
      <c r="Y98">
        <v>-103946</v>
      </c>
      <c r="Z98">
        <v>-166779.79999999999</v>
      </c>
      <c r="AA98">
        <v>-153363.5</v>
      </c>
      <c r="AB98">
        <v>-192514.59</v>
      </c>
      <c r="AC98">
        <v>-199721</v>
      </c>
      <c r="AD98">
        <v>-180900.59</v>
      </c>
      <c r="AE98">
        <v>-223226.7</v>
      </c>
      <c r="AF98">
        <v>-219077</v>
      </c>
      <c r="AG98">
        <v>-219130.59</v>
      </c>
      <c r="AH98">
        <v>-195519.5</v>
      </c>
      <c r="AI98">
        <v>-216070</v>
      </c>
      <c r="AJ98">
        <v>-195924</v>
      </c>
      <c r="AK98">
        <v>-211022</v>
      </c>
      <c r="AL98">
        <v>-151206</v>
      </c>
      <c r="AM98">
        <v>-152067.09</v>
      </c>
      <c r="AN98">
        <v>-180026.8</v>
      </c>
      <c r="AO98">
        <v>-185795.09</v>
      </c>
      <c r="AP98">
        <v>-104841.9</v>
      </c>
      <c r="AQ98">
        <v>-139919.70000000001</v>
      </c>
      <c r="AR98">
        <v>-152251.09</v>
      </c>
      <c r="AS98">
        <v>-186728.3</v>
      </c>
      <c r="AT98">
        <v>-190189.41</v>
      </c>
      <c r="AU98">
        <v>-157764.29999999999</v>
      </c>
      <c r="AV98">
        <v>-218118.3</v>
      </c>
      <c r="AW98">
        <v>-254702.3</v>
      </c>
      <c r="AX98">
        <v>-257518.3</v>
      </c>
      <c r="AY98">
        <v>-215802.3</v>
      </c>
      <c r="AZ98">
        <v>-240212.3</v>
      </c>
      <c r="BA98">
        <v>-219440.3</v>
      </c>
      <c r="BB98">
        <v>-251347.3</v>
      </c>
      <c r="BC98">
        <v>-265066.31</v>
      </c>
      <c r="BD98">
        <v>-248472.2</v>
      </c>
      <c r="BE98">
        <v>-272916.19</v>
      </c>
      <c r="BF98">
        <v>-297762.19</v>
      </c>
      <c r="BG98">
        <v>-314840.19</v>
      </c>
      <c r="BH98">
        <v>-287539.19</v>
      </c>
      <c r="BI98">
        <v>-283979.19</v>
      </c>
      <c r="BJ98">
        <v>-259301.2</v>
      </c>
      <c r="BK98">
        <v>-269313.19</v>
      </c>
      <c r="BL98">
        <v>-229883.2</v>
      </c>
      <c r="BM98">
        <v>-231318.2</v>
      </c>
      <c r="BN98">
        <v>-239283.20000000001</v>
      </c>
      <c r="BO98">
        <v>-250587.7</v>
      </c>
      <c r="BP98">
        <v>-239734</v>
      </c>
      <c r="BQ98">
        <v>-215280.2</v>
      </c>
      <c r="BR98">
        <v>-251866.2</v>
      </c>
      <c r="BS98">
        <v>-278426.19</v>
      </c>
      <c r="BT98">
        <v>-276043.19</v>
      </c>
      <c r="BU98">
        <v>-235125.09</v>
      </c>
      <c r="BV98">
        <v>-254150.09</v>
      </c>
      <c r="BW98">
        <v>-249424.59</v>
      </c>
      <c r="BX98">
        <v>-267807.09000000003</v>
      </c>
      <c r="BY98">
        <v>-255806.09</v>
      </c>
      <c r="BZ98">
        <v>-253820.09</v>
      </c>
      <c r="CA98">
        <v>-264416.09000000003</v>
      </c>
      <c r="CB98">
        <v>-287542.09000000003</v>
      </c>
      <c r="CC98">
        <v>-270435.59000000003</v>
      </c>
      <c r="CD98">
        <v>-225223.59</v>
      </c>
      <c r="CE98">
        <v>-272719.19</v>
      </c>
      <c r="CF98">
        <v>-286410.09000000003</v>
      </c>
      <c r="CG98">
        <v>-301604.09000000003</v>
      </c>
    </row>
    <row r="99" spans="1:85" x14ac:dyDescent="0.25">
      <c r="A99" t="str">
        <f>""</f>
        <v/>
      </c>
      <c r="B99" t="str">
        <f>"ECBCSMP Index"</f>
        <v>ECBCSMP Index</v>
      </c>
      <c r="C99" t="str">
        <f t="shared" si="7"/>
        <v>PR005</v>
      </c>
      <c r="D99" t="str">
        <f t="shared" si="8"/>
        <v>PX_LAST</v>
      </c>
      <c r="E99" t="str">
        <f t="shared" si="9"/>
        <v>Dynamic</v>
      </c>
      <c r="F99" t="e">
        <f ca="1">_xll.BDH($B$99,$C$99,$B$91,$B$92,CONCATENATE("Per=",$B$89),"Dts=H","Dir=H",CONCATENATE("Points=",$B$90),"Sort=R","Days=A","Fill=B",CONCATENATE("FX=", $B$88),"cols=80;rows=1")</f>
        <v>#N/A</v>
      </c>
      <c r="G99">
        <v>148728</v>
      </c>
      <c r="H99">
        <v>148728</v>
      </c>
      <c r="I99">
        <v>148728</v>
      </c>
      <c r="J99">
        <v>152294</v>
      </c>
      <c r="K99">
        <v>152294</v>
      </c>
      <c r="L99">
        <v>152294</v>
      </c>
      <c r="M99">
        <v>156310</v>
      </c>
      <c r="N99">
        <v>156310</v>
      </c>
      <c r="O99">
        <v>156310</v>
      </c>
      <c r="P99">
        <v>156310</v>
      </c>
      <c r="Q99">
        <v>160615</v>
      </c>
      <c r="R99">
        <v>160615</v>
      </c>
      <c r="S99">
        <v>162747</v>
      </c>
      <c r="T99">
        <v>162747</v>
      </c>
      <c r="U99">
        <v>164500</v>
      </c>
      <c r="V99">
        <v>164500</v>
      </c>
      <c r="W99">
        <v>167500</v>
      </c>
      <c r="X99">
        <v>167500</v>
      </c>
      <c r="Y99">
        <v>167500</v>
      </c>
      <c r="Z99">
        <v>172500</v>
      </c>
      <c r="AA99">
        <v>172500</v>
      </c>
      <c r="AB99">
        <v>172500</v>
      </c>
      <c r="AC99">
        <v>172500</v>
      </c>
      <c r="AD99">
        <v>175500</v>
      </c>
      <c r="AE99">
        <v>175500</v>
      </c>
      <c r="AF99">
        <v>175500</v>
      </c>
      <c r="AG99">
        <v>175500</v>
      </c>
      <c r="AH99">
        <v>175500</v>
      </c>
      <c r="AI99">
        <v>175500</v>
      </c>
      <c r="AJ99">
        <v>175500</v>
      </c>
      <c r="AK99">
        <v>175500</v>
      </c>
      <c r="AL99">
        <v>175500</v>
      </c>
      <c r="AM99">
        <v>177500</v>
      </c>
      <c r="AN99">
        <v>177500</v>
      </c>
      <c r="AO99">
        <v>179000</v>
      </c>
      <c r="AP99">
        <v>179000</v>
      </c>
      <c r="AQ99">
        <v>178500</v>
      </c>
      <c r="AR99">
        <v>178500</v>
      </c>
      <c r="AS99">
        <v>184000</v>
      </c>
      <c r="AT99">
        <v>184000</v>
      </c>
      <c r="AU99">
        <v>184000</v>
      </c>
      <c r="AV99">
        <v>184000</v>
      </c>
      <c r="AW99">
        <v>184000</v>
      </c>
      <c r="AX99">
        <v>184000</v>
      </c>
      <c r="AY99">
        <v>184000</v>
      </c>
      <c r="AZ99">
        <v>188000</v>
      </c>
      <c r="BA99">
        <v>188000</v>
      </c>
      <c r="BB99">
        <v>188000</v>
      </c>
      <c r="BC99">
        <v>188000</v>
      </c>
      <c r="BD99">
        <v>187500</v>
      </c>
      <c r="BE99">
        <v>190500</v>
      </c>
      <c r="BF99">
        <v>190500</v>
      </c>
      <c r="BG99">
        <v>190500</v>
      </c>
      <c r="BH99">
        <v>190500</v>
      </c>
      <c r="BI99">
        <v>190500</v>
      </c>
      <c r="BJ99">
        <v>192500</v>
      </c>
      <c r="BK99">
        <v>192500</v>
      </c>
      <c r="BL99">
        <v>192500</v>
      </c>
      <c r="BM99">
        <v>195500</v>
      </c>
      <c r="BN99">
        <v>195500</v>
      </c>
      <c r="BO99">
        <v>195500</v>
      </c>
      <c r="BP99">
        <v>195500</v>
      </c>
      <c r="BQ99">
        <v>195000</v>
      </c>
      <c r="BR99">
        <v>195000</v>
      </c>
      <c r="BS99">
        <v>195000</v>
      </c>
      <c r="BT99">
        <v>195000</v>
      </c>
      <c r="BU99">
        <v>197000</v>
      </c>
      <c r="BV99">
        <v>197000</v>
      </c>
      <c r="BW99">
        <v>201000</v>
      </c>
      <c r="BX99">
        <v>201000</v>
      </c>
      <c r="BY99">
        <v>201000</v>
      </c>
      <c r="BZ99">
        <v>202500</v>
      </c>
      <c r="CA99">
        <v>203000</v>
      </c>
      <c r="CB99">
        <v>206000</v>
      </c>
      <c r="CC99">
        <v>206000</v>
      </c>
      <c r="CD99">
        <v>205500</v>
      </c>
      <c r="CE99">
        <v>205500</v>
      </c>
      <c r="CF99">
        <v>205500</v>
      </c>
      <c r="CG99">
        <v>205500</v>
      </c>
    </row>
    <row r="100" spans="1:85" x14ac:dyDescent="0.25">
      <c r="A100" t="str">
        <f>""</f>
        <v/>
      </c>
      <c r="B100" t="str">
        <f>"ECBCBOND Index"</f>
        <v>ECBCBOND Index</v>
      </c>
      <c r="C100" t="str">
        <f t="shared" si="7"/>
        <v>PR005</v>
      </c>
      <c r="D100" t="str">
        <f t="shared" si="8"/>
        <v>PX_LAST</v>
      </c>
      <c r="E100" t="str">
        <f t="shared" si="9"/>
        <v>Dynamic</v>
      </c>
      <c r="F100" t="e">
        <f ca="1">_xll.BDH($B$100,$C$100,$B$91,$B$92,CONCATENATE("Per=",$B$89),"Dts=H","Dir=H",CONCATENATE("Points=",$B$90),"Sort=R","Days=A","Fill=B",CONCATENATE("FX=", $B$88),"cols=80;rows=1")</f>
        <v>#N/A</v>
      </c>
      <c r="G100">
        <v>32888</v>
      </c>
      <c r="H100">
        <v>32888</v>
      </c>
      <c r="I100">
        <v>32888</v>
      </c>
      <c r="J100">
        <v>32888</v>
      </c>
      <c r="K100">
        <v>32888</v>
      </c>
      <c r="L100">
        <v>32888</v>
      </c>
      <c r="M100">
        <v>33181</v>
      </c>
      <c r="N100">
        <v>33798</v>
      </c>
      <c r="O100">
        <v>34376</v>
      </c>
      <c r="P100">
        <v>34808</v>
      </c>
      <c r="Q100">
        <v>35117</v>
      </c>
      <c r="R100">
        <v>35117</v>
      </c>
      <c r="S100">
        <v>35608</v>
      </c>
      <c r="T100">
        <v>35867</v>
      </c>
      <c r="U100">
        <v>36465</v>
      </c>
      <c r="V100">
        <v>37768</v>
      </c>
      <c r="W100">
        <v>37768</v>
      </c>
      <c r="X100">
        <v>37768</v>
      </c>
      <c r="Y100">
        <v>37768</v>
      </c>
      <c r="Z100">
        <v>37768</v>
      </c>
      <c r="AA100">
        <v>37768</v>
      </c>
      <c r="AB100">
        <v>37768</v>
      </c>
      <c r="AC100">
        <v>37863</v>
      </c>
      <c r="AD100">
        <v>37941</v>
      </c>
      <c r="AE100">
        <v>38076</v>
      </c>
      <c r="AF100">
        <v>38305</v>
      </c>
      <c r="AG100">
        <v>38772</v>
      </c>
      <c r="AH100">
        <v>38772</v>
      </c>
      <c r="AI100">
        <v>38772</v>
      </c>
      <c r="AJ100">
        <v>39266</v>
      </c>
      <c r="AK100">
        <v>39751</v>
      </c>
      <c r="AL100">
        <v>40375</v>
      </c>
      <c r="AM100">
        <v>40865</v>
      </c>
      <c r="AN100">
        <v>41379</v>
      </c>
      <c r="AO100">
        <v>41648</v>
      </c>
      <c r="AP100">
        <v>41647</v>
      </c>
      <c r="AQ100">
        <v>41680</v>
      </c>
      <c r="AR100">
        <v>41680</v>
      </c>
      <c r="AS100">
        <v>41690</v>
      </c>
      <c r="AT100">
        <v>41860</v>
      </c>
      <c r="AU100">
        <v>41860</v>
      </c>
      <c r="AV100">
        <v>41895</v>
      </c>
      <c r="AW100">
        <v>41978</v>
      </c>
      <c r="AX100">
        <v>41978</v>
      </c>
      <c r="AY100">
        <v>42008</v>
      </c>
      <c r="AZ100">
        <v>42019</v>
      </c>
      <c r="BA100">
        <v>42847</v>
      </c>
      <c r="BB100">
        <v>42847</v>
      </c>
      <c r="BC100">
        <v>43147</v>
      </c>
      <c r="BD100">
        <v>43282</v>
      </c>
      <c r="BE100">
        <v>43282</v>
      </c>
      <c r="BF100">
        <v>43601</v>
      </c>
      <c r="BG100">
        <v>43648</v>
      </c>
      <c r="BH100">
        <v>43648</v>
      </c>
      <c r="BI100">
        <v>44082</v>
      </c>
      <c r="BJ100">
        <v>44082</v>
      </c>
      <c r="BK100">
        <v>44082</v>
      </c>
      <c r="BL100">
        <v>44082</v>
      </c>
      <c r="BM100">
        <v>44082</v>
      </c>
      <c r="BN100">
        <v>44337</v>
      </c>
      <c r="BO100">
        <v>44730</v>
      </c>
      <c r="BP100">
        <v>44979</v>
      </c>
      <c r="BQ100">
        <v>45259</v>
      </c>
      <c r="BR100">
        <v>45440</v>
      </c>
      <c r="BS100">
        <v>45440</v>
      </c>
      <c r="BT100">
        <v>45618</v>
      </c>
      <c r="BU100">
        <v>46000</v>
      </c>
      <c r="BV100">
        <v>46150</v>
      </c>
      <c r="BW100">
        <v>46150</v>
      </c>
      <c r="BX100">
        <v>46150</v>
      </c>
      <c r="BY100">
        <v>46364</v>
      </c>
      <c r="BZ100">
        <v>46781</v>
      </c>
      <c r="CA100">
        <v>46781</v>
      </c>
      <c r="CB100">
        <v>47002</v>
      </c>
      <c r="CC100">
        <v>47302</v>
      </c>
      <c r="CD100">
        <v>47349</v>
      </c>
      <c r="CE100">
        <v>47667</v>
      </c>
      <c r="CF100">
        <v>47732</v>
      </c>
      <c r="CG100">
        <v>47990</v>
      </c>
    </row>
    <row r="101" spans="1:85" x14ac:dyDescent="0.25">
      <c r="A101" t="str">
        <f>""</f>
        <v/>
      </c>
      <c r="B101" t="str">
        <f>"ECBCBND2 Index"</f>
        <v>ECBCBND2 Index</v>
      </c>
      <c r="C101" t="str">
        <f t="shared" si="7"/>
        <v>PR005</v>
      </c>
      <c r="D101" t="str">
        <f t="shared" si="8"/>
        <v>PX_LAST</v>
      </c>
      <c r="E101" t="str">
        <f t="shared" si="9"/>
        <v>Dynamic</v>
      </c>
      <c r="F101" t="e">
        <f ca="1">_xll.BDH($B$101,$C$101,$B$91,$B$92,CONCATENATE("Per=",$B$89),"Dts=H","Dir=H",CONCATENATE("Points=",$B$90),"Sort=R","Days=A","Fill=B",CONCATENATE("FX=", $B$88),"cols=80;rows=1")</f>
        <v>#N/A</v>
      </c>
      <c r="G101">
        <v>13829</v>
      </c>
      <c r="H101">
        <v>13829</v>
      </c>
      <c r="I101">
        <v>13829</v>
      </c>
      <c r="J101">
        <v>13829</v>
      </c>
      <c r="K101">
        <v>13829</v>
      </c>
      <c r="L101">
        <v>13829</v>
      </c>
      <c r="M101">
        <v>13972</v>
      </c>
      <c r="N101">
        <v>14002</v>
      </c>
      <c r="O101">
        <v>14080</v>
      </c>
      <c r="P101">
        <v>14089</v>
      </c>
      <c r="Q101">
        <v>14188</v>
      </c>
      <c r="R101">
        <v>14188</v>
      </c>
      <c r="S101">
        <v>14188</v>
      </c>
      <c r="T101">
        <v>14233</v>
      </c>
      <c r="U101">
        <v>14257</v>
      </c>
      <c r="V101">
        <v>14364</v>
      </c>
      <c r="W101">
        <v>14364</v>
      </c>
      <c r="X101">
        <v>14364</v>
      </c>
      <c r="Y101">
        <v>14407</v>
      </c>
      <c r="Z101">
        <v>14407</v>
      </c>
      <c r="AA101">
        <v>14407</v>
      </c>
      <c r="AB101">
        <v>14407</v>
      </c>
      <c r="AC101">
        <v>14552</v>
      </c>
      <c r="AD101">
        <v>14716</v>
      </c>
      <c r="AE101">
        <v>14793</v>
      </c>
      <c r="AF101">
        <v>14814</v>
      </c>
      <c r="AG101">
        <v>14814</v>
      </c>
      <c r="AH101">
        <v>14814</v>
      </c>
      <c r="AI101">
        <v>14866</v>
      </c>
      <c r="AJ101">
        <v>14949</v>
      </c>
      <c r="AK101">
        <v>15137</v>
      </c>
      <c r="AL101">
        <v>15225</v>
      </c>
      <c r="AM101">
        <v>15245</v>
      </c>
      <c r="AN101">
        <v>15245</v>
      </c>
      <c r="AO101">
        <v>15446</v>
      </c>
      <c r="AP101">
        <v>15446</v>
      </c>
      <c r="AQ101">
        <v>15448</v>
      </c>
      <c r="AR101">
        <v>15448</v>
      </c>
      <c r="AS101">
        <v>15448</v>
      </c>
      <c r="AT101">
        <v>15448</v>
      </c>
      <c r="AU101">
        <v>15448</v>
      </c>
      <c r="AV101">
        <v>15448</v>
      </c>
      <c r="AW101">
        <v>15463</v>
      </c>
      <c r="AX101">
        <v>15463</v>
      </c>
      <c r="AY101">
        <v>15493</v>
      </c>
      <c r="AZ101">
        <v>15533</v>
      </c>
      <c r="BA101">
        <v>15533</v>
      </c>
      <c r="BB101">
        <v>15533</v>
      </c>
      <c r="BC101">
        <v>15653</v>
      </c>
      <c r="BD101">
        <v>15710</v>
      </c>
      <c r="BE101">
        <v>15809</v>
      </c>
      <c r="BF101">
        <v>15809</v>
      </c>
      <c r="BG101">
        <v>15815</v>
      </c>
      <c r="BH101">
        <v>15815</v>
      </c>
      <c r="BI101">
        <v>15839</v>
      </c>
      <c r="BJ101">
        <v>15839</v>
      </c>
      <c r="BK101">
        <v>15839</v>
      </c>
      <c r="BL101">
        <v>15839</v>
      </c>
      <c r="BM101">
        <v>15839</v>
      </c>
      <c r="BN101">
        <v>15909</v>
      </c>
      <c r="BO101">
        <v>15922</v>
      </c>
      <c r="BP101">
        <v>15990</v>
      </c>
      <c r="BQ101">
        <v>16067</v>
      </c>
      <c r="BR101">
        <v>16067</v>
      </c>
      <c r="BS101">
        <v>16067</v>
      </c>
      <c r="BT101">
        <v>16077</v>
      </c>
      <c r="BU101">
        <v>16077</v>
      </c>
      <c r="BV101">
        <v>16077</v>
      </c>
      <c r="BW101">
        <v>16077</v>
      </c>
      <c r="BX101">
        <v>16077</v>
      </c>
      <c r="BY101">
        <v>16087</v>
      </c>
      <c r="BZ101">
        <v>16119</v>
      </c>
      <c r="CA101">
        <v>16119</v>
      </c>
      <c r="CB101">
        <v>16143</v>
      </c>
      <c r="CC101">
        <v>16161</v>
      </c>
      <c r="CD101">
        <v>16163</v>
      </c>
      <c r="CE101">
        <v>16163</v>
      </c>
      <c r="CF101">
        <v>16178</v>
      </c>
      <c r="CG101">
        <v>16253</v>
      </c>
    </row>
    <row r="102" spans="1:85" x14ac:dyDescent="0.25">
      <c r="A102" t="str">
        <f>""</f>
        <v/>
      </c>
      <c r="B102" t="str">
        <f>"ECBCSMPW Index"</f>
        <v>ECBCSMPW Index</v>
      </c>
      <c r="C102" t="str">
        <f t="shared" si="7"/>
        <v>PR005</v>
      </c>
      <c r="D102" t="str">
        <f t="shared" si="8"/>
        <v>PX_LAST</v>
      </c>
      <c r="E102" t="str">
        <f t="shared" si="9"/>
        <v>Dynamic</v>
      </c>
      <c r="F102" t="e">
        <f ca="1">_xll.BDH($B$102,$C$102,$B$91,$B$92,CONCATENATE("Per=",$B$89),"Dts=H","Dir=H",CONCATENATE("Points=",$B$90),"Sort=R","Days=A","Fill=B",CONCATENATE("FX=", $B$88),"cols=80;rows=1")</f>
        <v>#N/A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 t="str">
        <f>""</f>
        <v/>
      </c>
      <c r="B103" t="str">
        <f>"ECBLCAHO Index"</f>
        <v>ECBLCAHO Index</v>
      </c>
      <c r="C103" t="str">
        <f t="shared" si="7"/>
        <v>PR005</v>
      </c>
      <c r="D103" t="str">
        <f t="shared" si="8"/>
        <v>PX_LAST</v>
      </c>
      <c r="E103" t="str">
        <f t="shared" si="9"/>
        <v>Dynamic</v>
      </c>
      <c r="F103" t="e">
        <f ca="1">_xll.BDH($B$103,$C$103,$B$91,$B$92,CONCATENATE("Per=",$B$89),"Dts=H","Dir=H",CONCATENATE("Points=",$B$90),"Sort=R","Days=A","Fill=B",CONCATENATE("FX=", $B$88),"cols=80;rows=1")</f>
        <v>#N/A</v>
      </c>
      <c r="G103">
        <v>193719</v>
      </c>
      <c r="H103">
        <v>222757</v>
      </c>
      <c r="I103">
        <v>205216</v>
      </c>
      <c r="J103">
        <v>221620</v>
      </c>
      <c r="K103">
        <v>214475</v>
      </c>
      <c r="L103">
        <v>219715</v>
      </c>
      <c r="M103">
        <v>196367</v>
      </c>
      <c r="N103">
        <v>211084</v>
      </c>
      <c r="O103">
        <v>206155</v>
      </c>
      <c r="P103">
        <v>214246</v>
      </c>
      <c r="Q103">
        <v>217727</v>
      </c>
      <c r="R103">
        <v>211226</v>
      </c>
      <c r="S103">
        <v>199831</v>
      </c>
      <c r="T103">
        <v>187123</v>
      </c>
      <c r="U103">
        <v>209392</v>
      </c>
      <c r="V103">
        <v>168545</v>
      </c>
      <c r="W103">
        <v>201415</v>
      </c>
      <c r="X103">
        <v>150019</v>
      </c>
      <c r="Y103">
        <v>240192</v>
      </c>
      <c r="Z103">
        <v>166145</v>
      </c>
      <c r="AA103">
        <v>206261</v>
      </c>
      <c r="AB103">
        <v>198232</v>
      </c>
      <c r="AC103">
        <v>181138</v>
      </c>
      <c r="AD103">
        <v>179162</v>
      </c>
      <c r="AE103">
        <v>195201</v>
      </c>
      <c r="AF103">
        <v>226755</v>
      </c>
      <c r="AG103">
        <v>187112</v>
      </c>
      <c r="AH103">
        <v>187393</v>
      </c>
      <c r="AI103">
        <v>196262</v>
      </c>
      <c r="AJ103">
        <v>223735</v>
      </c>
      <c r="AK103">
        <v>200444</v>
      </c>
      <c r="AL103">
        <v>215690</v>
      </c>
      <c r="AM103">
        <v>227884</v>
      </c>
      <c r="AN103">
        <v>202449</v>
      </c>
      <c r="AO103">
        <v>202327</v>
      </c>
      <c r="AP103">
        <v>298943</v>
      </c>
      <c r="AQ103">
        <v>244083</v>
      </c>
      <c r="AR103">
        <v>256078</v>
      </c>
      <c r="AS103">
        <v>223637</v>
      </c>
      <c r="AT103">
        <v>203674</v>
      </c>
      <c r="AU103">
        <v>215452</v>
      </c>
      <c r="AV103">
        <v>217957</v>
      </c>
      <c r="AW103">
        <v>231888</v>
      </c>
      <c r="AX103">
        <v>230569</v>
      </c>
      <c r="AY103">
        <v>226935</v>
      </c>
      <c r="AZ103">
        <v>230156</v>
      </c>
      <c r="BA103">
        <v>269105</v>
      </c>
      <c r="BB103">
        <v>268047</v>
      </c>
      <c r="BC103">
        <v>265366</v>
      </c>
      <c r="BD103">
        <v>258760</v>
      </c>
      <c r="BE103">
        <v>274478</v>
      </c>
      <c r="BF103">
        <v>275819</v>
      </c>
      <c r="BG103">
        <v>269181</v>
      </c>
      <c r="BH103">
        <v>272260</v>
      </c>
      <c r="BI103">
        <v>256148</v>
      </c>
      <c r="BJ103">
        <v>281539</v>
      </c>
      <c r="BK103">
        <v>284035</v>
      </c>
      <c r="BL103">
        <v>272329</v>
      </c>
      <c r="BM103">
        <v>255821</v>
      </c>
      <c r="BN103">
        <v>264662</v>
      </c>
      <c r="BO103">
        <v>275347</v>
      </c>
      <c r="BP103">
        <v>271264</v>
      </c>
      <c r="BQ103">
        <v>276329</v>
      </c>
      <c r="BR103">
        <v>279536</v>
      </c>
      <c r="BS103">
        <v>309815</v>
      </c>
      <c r="BT103">
        <v>280024</v>
      </c>
      <c r="BU103">
        <v>273354</v>
      </c>
      <c r="BV103">
        <v>302586</v>
      </c>
      <c r="BW103">
        <v>319504</v>
      </c>
      <c r="BX103">
        <v>333697</v>
      </c>
      <c r="BY103">
        <v>296198</v>
      </c>
      <c r="BZ103">
        <v>315952</v>
      </c>
      <c r="CA103">
        <v>329801</v>
      </c>
      <c r="CB103">
        <v>343051</v>
      </c>
      <c r="CC103">
        <v>336912</v>
      </c>
      <c r="CD103">
        <v>319275</v>
      </c>
      <c r="CE103">
        <v>351673</v>
      </c>
      <c r="CF103">
        <v>366510</v>
      </c>
      <c r="CG103">
        <v>354802</v>
      </c>
    </row>
    <row r="104" spans="1:85" x14ac:dyDescent="0.25">
      <c r="A104" t="str">
        <f>""</f>
        <v/>
      </c>
      <c r="B104" t="str">
        <f>"ECBLDEPO Index"</f>
        <v>ECBLDEPO Index</v>
      </c>
      <c r="C104" t="str">
        <f t="shared" si="7"/>
        <v>PR005</v>
      </c>
      <c r="D104" t="str">
        <f t="shared" si="8"/>
        <v>PX_LAST</v>
      </c>
      <c r="E104" t="str">
        <f t="shared" si="9"/>
        <v>Dynamic</v>
      </c>
      <c r="F104" t="e">
        <f ca="1">_xll.BDH($B$104,$C$104,$B$91,$B$92,CONCATENATE("Per=",$B$89),"Dts=H","Dir=H",CONCATENATE("Points=",$B$90),"Sort=R","Days=A","Fill=B",CONCATENATE("FX=", $B$88),"cols=80;rows=1")</f>
        <v>#N/A</v>
      </c>
      <c r="G104">
        <v>26650</v>
      </c>
      <c r="H104">
        <v>30864</v>
      </c>
      <c r="I104">
        <v>25626</v>
      </c>
      <c r="J104">
        <v>19849</v>
      </c>
      <c r="K104">
        <v>21146</v>
      </c>
      <c r="L104">
        <v>44118</v>
      </c>
      <c r="M104">
        <v>21334</v>
      </c>
      <c r="N104">
        <v>22718</v>
      </c>
      <c r="O104">
        <v>20184</v>
      </c>
      <c r="P104">
        <v>27275</v>
      </c>
      <c r="Q104">
        <v>25423</v>
      </c>
      <c r="R104">
        <v>26544</v>
      </c>
      <c r="S104">
        <v>17175</v>
      </c>
      <c r="T104">
        <v>37312</v>
      </c>
      <c r="U104">
        <v>39910</v>
      </c>
      <c r="V104">
        <v>23774</v>
      </c>
      <c r="W104">
        <v>17482</v>
      </c>
      <c r="X104">
        <v>33844</v>
      </c>
      <c r="Y104">
        <v>39078</v>
      </c>
      <c r="Z104">
        <v>23974</v>
      </c>
      <c r="AA104">
        <v>29130</v>
      </c>
      <c r="AB104">
        <v>21154</v>
      </c>
      <c r="AC104">
        <v>25723</v>
      </c>
      <c r="AD104">
        <v>28256</v>
      </c>
      <c r="AE104">
        <v>34536</v>
      </c>
      <c r="AF104">
        <v>23495</v>
      </c>
      <c r="AG104">
        <v>30939</v>
      </c>
      <c r="AH104">
        <v>29371</v>
      </c>
      <c r="AI104">
        <v>32014</v>
      </c>
      <c r="AJ104">
        <v>29891</v>
      </c>
      <c r="AK104">
        <v>47221</v>
      </c>
      <c r="AL104">
        <v>56064</v>
      </c>
      <c r="AM104">
        <v>44010</v>
      </c>
      <c r="AN104">
        <v>36489</v>
      </c>
      <c r="AO104">
        <v>59753</v>
      </c>
      <c r="AP104">
        <v>88213</v>
      </c>
      <c r="AQ104">
        <v>59628</v>
      </c>
      <c r="AR104">
        <v>53345</v>
      </c>
      <c r="AS104">
        <v>38341</v>
      </c>
      <c r="AT104">
        <v>54069</v>
      </c>
      <c r="AU104">
        <v>56147</v>
      </c>
      <c r="AV104">
        <v>44039</v>
      </c>
      <c r="AW104">
        <v>43861</v>
      </c>
      <c r="AX104">
        <v>62442</v>
      </c>
      <c r="AY104">
        <v>52127</v>
      </c>
      <c r="AZ104">
        <v>51336</v>
      </c>
      <c r="BA104">
        <v>45667</v>
      </c>
      <c r="BB104">
        <v>52553</v>
      </c>
      <c r="BC104">
        <v>55336</v>
      </c>
      <c r="BD104">
        <v>52870</v>
      </c>
      <c r="BE104">
        <v>50060</v>
      </c>
      <c r="BF104">
        <v>71425</v>
      </c>
      <c r="BG104">
        <v>79934</v>
      </c>
      <c r="BH104">
        <v>70569</v>
      </c>
      <c r="BI104">
        <v>87224</v>
      </c>
      <c r="BJ104">
        <v>81202</v>
      </c>
      <c r="BK104">
        <v>76997</v>
      </c>
      <c r="BL104">
        <v>87348</v>
      </c>
      <c r="BM104">
        <v>79242</v>
      </c>
      <c r="BN104">
        <v>76431</v>
      </c>
      <c r="BO104">
        <v>94619</v>
      </c>
      <c r="BP104">
        <v>103862</v>
      </c>
      <c r="BQ104">
        <v>92180</v>
      </c>
      <c r="BR104">
        <v>82964</v>
      </c>
      <c r="BS104">
        <v>89957</v>
      </c>
      <c r="BT104">
        <v>100881</v>
      </c>
      <c r="BU104">
        <v>85640</v>
      </c>
      <c r="BV104">
        <v>81037</v>
      </c>
      <c r="BW104">
        <v>83039</v>
      </c>
      <c r="BX104">
        <v>95339</v>
      </c>
      <c r="BY104">
        <v>124102</v>
      </c>
      <c r="BZ104">
        <v>109662</v>
      </c>
      <c r="CA104">
        <v>105590</v>
      </c>
      <c r="CB104">
        <v>119906</v>
      </c>
      <c r="CC104">
        <v>134902</v>
      </c>
      <c r="CD104">
        <v>144648</v>
      </c>
      <c r="CE104">
        <v>126755</v>
      </c>
      <c r="CF104">
        <v>132634</v>
      </c>
      <c r="CG104">
        <v>134083</v>
      </c>
    </row>
    <row r="105" spans="1:85" x14ac:dyDescent="0.25">
      <c r="A105" t="str">
        <f>""</f>
        <v/>
      </c>
      <c r="B105" t="str">
        <f>"ECBLRERE Index"</f>
        <v>ECBLRERE Index</v>
      </c>
      <c r="C105" t="str">
        <f t="shared" si="7"/>
        <v>PR005</v>
      </c>
      <c r="D105" t="str">
        <f t="shared" si="8"/>
        <v>PX_LAST</v>
      </c>
      <c r="E105" t="str">
        <f t="shared" si="9"/>
        <v>Dynamic</v>
      </c>
      <c r="F105" t="e">
        <f ca="1">_xll.BDH($B$105,$C$105,$B$91,$B$92,CONCATENATE("Per=",$B$89),"Dts=H","Dir=H",CONCATENATE("Points=",$B$90),"Sort=R","Days=A","Fill=B",CONCATENATE("FX=", $B$88),"cols=80;rows=1")</f>
        <v>#N/A</v>
      </c>
      <c r="G105">
        <v>105225</v>
      </c>
      <c r="H105">
        <v>105225</v>
      </c>
      <c r="I105">
        <v>105225</v>
      </c>
      <c r="J105">
        <v>105225</v>
      </c>
      <c r="K105">
        <v>105000</v>
      </c>
      <c r="L105">
        <v>105000</v>
      </c>
      <c r="M105">
        <v>105000</v>
      </c>
      <c r="N105">
        <v>105000</v>
      </c>
      <c r="O105">
        <v>105000</v>
      </c>
      <c r="P105">
        <v>104426</v>
      </c>
      <c r="Q105">
        <v>104428</v>
      </c>
      <c r="R105">
        <v>104428</v>
      </c>
      <c r="S105">
        <v>104428</v>
      </c>
      <c r="T105">
        <v>103925</v>
      </c>
      <c r="U105">
        <v>103925</v>
      </c>
      <c r="V105">
        <v>103925</v>
      </c>
      <c r="W105">
        <v>103925</v>
      </c>
      <c r="X105">
        <v>103505</v>
      </c>
      <c r="Y105">
        <v>103505</v>
      </c>
      <c r="Z105">
        <v>103505</v>
      </c>
      <c r="AA105">
        <v>103506</v>
      </c>
      <c r="AB105">
        <v>103507</v>
      </c>
      <c r="AC105">
        <v>103570</v>
      </c>
      <c r="AD105">
        <v>103570</v>
      </c>
      <c r="AE105">
        <v>103578</v>
      </c>
      <c r="AF105">
        <v>103578</v>
      </c>
      <c r="AG105">
        <v>102833</v>
      </c>
      <c r="AH105">
        <v>102833</v>
      </c>
      <c r="AI105">
        <v>102833</v>
      </c>
      <c r="AJ105">
        <v>102833</v>
      </c>
      <c r="AK105">
        <v>103610</v>
      </c>
      <c r="AL105">
        <v>103610</v>
      </c>
      <c r="AM105">
        <v>103610</v>
      </c>
      <c r="AN105">
        <v>103610</v>
      </c>
      <c r="AO105">
        <v>103272</v>
      </c>
      <c r="AP105">
        <v>103272</v>
      </c>
      <c r="AQ105">
        <v>103272</v>
      </c>
      <c r="AR105">
        <v>103197</v>
      </c>
      <c r="AS105">
        <v>103197</v>
      </c>
      <c r="AT105">
        <v>103321</v>
      </c>
      <c r="AU105">
        <v>103321</v>
      </c>
      <c r="AV105">
        <v>103321</v>
      </c>
      <c r="AW105">
        <v>103321</v>
      </c>
      <c r="AX105">
        <v>103760</v>
      </c>
      <c r="AY105">
        <v>103760</v>
      </c>
      <c r="AZ105">
        <v>103760</v>
      </c>
      <c r="BA105">
        <v>103760</v>
      </c>
      <c r="BB105">
        <v>103760</v>
      </c>
      <c r="BC105">
        <v>103753</v>
      </c>
      <c r="BD105">
        <v>103753</v>
      </c>
      <c r="BE105">
        <v>103753</v>
      </c>
      <c r="BF105">
        <v>103754</v>
      </c>
      <c r="BG105">
        <v>104939</v>
      </c>
      <c r="BH105">
        <v>104939</v>
      </c>
      <c r="BI105">
        <v>104939</v>
      </c>
      <c r="BJ105">
        <v>104939</v>
      </c>
      <c r="BK105">
        <v>104939</v>
      </c>
      <c r="BL105">
        <v>104473</v>
      </c>
      <c r="BM105">
        <v>104473</v>
      </c>
      <c r="BN105">
        <v>104473</v>
      </c>
      <c r="BO105">
        <v>104473</v>
      </c>
      <c r="BP105">
        <v>105066</v>
      </c>
      <c r="BQ105">
        <v>105066</v>
      </c>
      <c r="BR105">
        <v>105066</v>
      </c>
      <c r="BS105">
        <v>105066</v>
      </c>
      <c r="BT105">
        <v>105302</v>
      </c>
      <c r="BU105">
        <v>105302</v>
      </c>
      <c r="BV105">
        <v>105302</v>
      </c>
      <c r="BW105">
        <v>105303</v>
      </c>
      <c r="BX105">
        <v>105303</v>
      </c>
      <c r="BY105">
        <v>104871</v>
      </c>
      <c r="BZ105">
        <v>104871</v>
      </c>
      <c r="CA105">
        <v>104871</v>
      </c>
      <c r="CB105">
        <v>104871</v>
      </c>
      <c r="CC105">
        <v>104893</v>
      </c>
      <c r="CD105">
        <v>104893</v>
      </c>
      <c r="CE105">
        <v>104894</v>
      </c>
      <c r="CF105">
        <v>104894</v>
      </c>
      <c r="CG105">
        <v>105618</v>
      </c>
    </row>
    <row r="106" spans="1:85" x14ac:dyDescent="0.25">
      <c r="A106" t="str">
        <f>""</f>
        <v/>
      </c>
      <c r="B106" t="str">
        <f>"ECBLMARG Index"</f>
        <v>ECBLMARG Index</v>
      </c>
      <c r="C106" t="str">
        <f t="shared" si="7"/>
        <v>PR005</v>
      </c>
      <c r="D106" t="str">
        <f t="shared" si="8"/>
        <v>PX_LAST</v>
      </c>
      <c r="E106" t="str">
        <f t="shared" si="9"/>
        <v>Dynamic</v>
      </c>
      <c r="F106" t="e">
        <f ca="1">_xll.BDH($B$106,$C$106,$B$91,$B$92,CONCATENATE("Per=",$B$89),"Dts=H","Dir=H",CONCATENATE("Points=",$B$90),"Sort=R","Days=A","Fill=B",CONCATENATE("FX=", $B$88),"cols=80;rows=1")</f>
        <v>#N/A</v>
      </c>
      <c r="G106">
        <v>116</v>
      </c>
      <c r="H106">
        <v>917</v>
      </c>
      <c r="I106">
        <v>4</v>
      </c>
      <c r="J106">
        <v>4</v>
      </c>
      <c r="K106">
        <v>17</v>
      </c>
      <c r="L106">
        <v>45</v>
      </c>
      <c r="M106">
        <v>365</v>
      </c>
      <c r="N106">
        <v>701</v>
      </c>
      <c r="O106">
        <v>200</v>
      </c>
      <c r="P106">
        <v>0</v>
      </c>
      <c r="Q106">
        <v>56</v>
      </c>
      <c r="R106">
        <v>5</v>
      </c>
      <c r="S106">
        <v>11</v>
      </c>
      <c r="T106">
        <v>37</v>
      </c>
      <c r="U106">
        <v>64</v>
      </c>
      <c r="V106">
        <v>125</v>
      </c>
      <c r="W106">
        <v>11</v>
      </c>
      <c r="X106">
        <v>0</v>
      </c>
      <c r="Y106">
        <v>751</v>
      </c>
      <c r="Z106">
        <v>18</v>
      </c>
      <c r="AA106">
        <v>0</v>
      </c>
      <c r="AB106">
        <v>0</v>
      </c>
      <c r="AC106">
        <v>222</v>
      </c>
      <c r="AD106">
        <v>1417</v>
      </c>
      <c r="AE106">
        <v>917</v>
      </c>
      <c r="AF106">
        <v>2</v>
      </c>
      <c r="AG106">
        <v>284</v>
      </c>
      <c r="AH106">
        <v>776</v>
      </c>
      <c r="AI106">
        <v>187</v>
      </c>
      <c r="AJ106">
        <v>135</v>
      </c>
      <c r="AK106">
        <v>548</v>
      </c>
      <c r="AL106">
        <v>255</v>
      </c>
      <c r="AM106">
        <v>179</v>
      </c>
      <c r="AN106">
        <v>114</v>
      </c>
      <c r="AO106">
        <v>31</v>
      </c>
      <c r="AP106">
        <v>270</v>
      </c>
      <c r="AQ106">
        <v>274</v>
      </c>
      <c r="AR106">
        <v>341</v>
      </c>
      <c r="AS106">
        <v>128</v>
      </c>
      <c r="AT106">
        <v>158</v>
      </c>
      <c r="AU106">
        <v>74</v>
      </c>
      <c r="AV106">
        <v>181</v>
      </c>
      <c r="AW106">
        <v>0</v>
      </c>
      <c r="AX106">
        <v>2</v>
      </c>
      <c r="AY106">
        <v>24</v>
      </c>
      <c r="AZ106">
        <v>0</v>
      </c>
      <c r="BA106">
        <v>0</v>
      </c>
      <c r="BB106">
        <v>314</v>
      </c>
      <c r="BC106">
        <v>101</v>
      </c>
      <c r="BD106">
        <v>120</v>
      </c>
      <c r="BE106">
        <v>246</v>
      </c>
      <c r="BF106">
        <v>67</v>
      </c>
      <c r="BG106">
        <v>2249</v>
      </c>
      <c r="BH106">
        <v>131</v>
      </c>
      <c r="BI106">
        <v>15</v>
      </c>
      <c r="BJ106">
        <v>111</v>
      </c>
      <c r="BK106">
        <v>212</v>
      </c>
      <c r="BL106">
        <v>19</v>
      </c>
      <c r="BM106">
        <v>729</v>
      </c>
      <c r="BN106">
        <v>18</v>
      </c>
      <c r="BO106">
        <v>135</v>
      </c>
      <c r="BP106">
        <v>438</v>
      </c>
      <c r="BQ106">
        <v>29</v>
      </c>
      <c r="BR106">
        <v>3545</v>
      </c>
      <c r="BS106">
        <v>206</v>
      </c>
      <c r="BT106">
        <v>1063</v>
      </c>
      <c r="BU106">
        <v>24</v>
      </c>
      <c r="BV106">
        <v>506</v>
      </c>
      <c r="BW106">
        <v>122</v>
      </c>
      <c r="BX106">
        <v>1197</v>
      </c>
      <c r="BY106">
        <v>1881</v>
      </c>
      <c r="BZ106">
        <v>5</v>
      </c>
      <c r="CA106">
        <v>51</v>
      </c>
      <c r="CB106">
        <v>575</v>
      </c>
      <c r="CC106">
        <v>19</v>
      </c>
      <c r="CD106">
        <v>1507</v>
      </c>
      <c r="CE106">
        <v>212</v>
      </c>
      <c r="CF106">
        <v>12</v>
      </c>
      <c r="CG106">
        <v>15</v>
      </c>
    </row>
    <row r="107" spans="1:85" x14ac:dyDescent="0.25">
      <c r="A107" t="str">
        <f>""</f>
        <v/>
      </c>
      <c r="B107" t="str">
        <f>"ECBLALIQ Index"</f>
        <v>ECBLALIQ Index</v>
      </c>
      <c r="C107" t="str">
        <f t="shared" si="7"/>
        <v>PR005</v>
      </c>
      <c r="D107" t="str">
        <f t="shared" si="8"/>
        <v>PX_LAST</v>
      </c>
      <c r="E107" t="str">
        <f t="shared" si="9"/>
        <v>Dynamic</v>
      </c>
      <c r="F107" t="e">
        <f ca="1">_xll.BDH($B$107,$C$107,$B$91,$B$92,CONCATENATE("Per=",$B$89),"Dts=H","Dir=H",CONCATENATE("Points=",$B$90),"Sort=R","Days=A","Fill=B",CONCATENATE("FX=", $B$88),"cols=80;rows=1")</f>
        <v>#N/A</v>
      </c>
      <c r="G107">
        <v>319053</v>
      </c>
      <c r="H107">
        <v>310674</v>
      </c>
      <c r="I107">
        <v>313454</v>
      </c>
      <c r="J107">
        <v>306279</v>
      </c>
      <c r="K107">
        <v>316009</v>
      </c>
      <c r="L107">
        <v>316417</v>
      </c>
      <c r="M107">
        <v>337271</v>
      </c>
      <c r="N107">
        <v>345680</v>
      </c>
      <c r="O107">
        <v>351279</v>
      </c>
      <c r="P107">
        <v>353276</v>
      </c>
      <c r="Q107">
        <v>374529</v>
      </c>
      <c r="R107">
        <v>376554</v>
      </c>
      <c r="S107">
        <v>331757</v>
      </c>
      <c r="T107">
        <v>359744</v>
      </c>
      <c r="U107">
        <v>378291</v>
      </c>
      <c r="V107">
        <v>362386</v>
      </c>
      <c r="W107">
        <v>340428</v>
      </c>
      <c r="X107">
        <v>345092</v>
      </c>
      <c r="Y107">
        <v>357296</v>
      </c>
      <c r="Z107">
        <v>333416</v>
      </c>
      <c r="AA107">
        <v>302117</v>
      </c>
      <c r="AB107">
        <v>297015</v>
      </c>
      <c r="AC107">
        <v>297405</v>
      </c>
      <c r="AD107">
        <v>310505</v>
      </c>
      <c r="AE107">
        <v>291705</v>
      </c>
      <c r="AF107">
        <v>276261</v>
      </c>
      <c r="AG107">
        <v>314048</v>
      </c>
      <c r="AH107">
        <v>325828</v>
      </c>
      <c r="AI107">
        <v>315086</v>
      </c>
      <c r="AJ107">
        <v>291695</v>
      </c>
      <c r="AK107">
        <v>302993</v>
      </c>
      <c r="AL107">
        <v>324573</v>
      </c>
      <c r="AM107">
        <v>325325</v>
      </c>
      <c r="AN107">
        <v>311245</v>
      </c>
      <c r="AO107">
        <v>311827</v>
      </c>
      <c r="AP107">
        <v>317353</v>
      </c>
      <c r="AQ107">
        <v>330681</v>
      </c>
      <c r="AR107">
        <v>318757</v>
      </c>
      <c r="AS107">
        <v>324175</v>
      </c>
      <c r="AT107">
        <v>324862</v>
      </c>
      <c r="AU107">
        <v>346976</v>
      </c>
      <c r="AV107">
        <v>328962</v>
      </c>
      <c r="AW107">
        <v>319574</v>
      </c>
      <c r="AX107">
        <v>310114</v>
      </c>
      <c r="AY107">
        <v>330591</v>
      </c>
      <c r="AZ107">
        <v>331961</v>
      </c>
      <c r="BA107">
        <v>305338</v>
      </c>
      <c r="BB107">
        <v>302802</v>
      </c>
      <c r="BC107">
        <v>312164</v>
      </c>
      <c r="BD107">
        <v>324166</v>
      </c>
      <c r="BE107">
        <v>319471</v>
      </c>
      <c r="BF107">
        <v>301161</v>
      </c>
      <c r="BG107">
        <v>306361</v>
      </c>
      <c r="BH107">
        <v>316682</v>
      </c>
      <c r="BI107">
        <v>314397</v>
      </c>
      <c r="BJ107">
        <v>295610</v>
      </c>
      <c r="BK107">
        <v>299988</v>
      </c>
      <c r="BL107">
        <v>309660</v>
      </c>
      <c r="BM107">
        <v>329932</v>
      </c>
      <c r="BN107">
        <v>328023</v>
      </c>
      <c r="BO107">
        <v>298526</v>
      </c>
      <c r="BP107">
        <v>302268</v>
      </c>
      <c r="BQ107">
        <v>320506</v>
      </c>
      <c r="BR107">
        <v>319652</v>
      </c>
      <c r="BS107">
        <v>288520</v>
      </c>
      <c r="BT107">
        <v>305689</v>
      </c>
      <c r="BU107">
        <v>330196</v>
      </c>
      <c r="BV107">
        <v>327517</v>
      </c>
      <c r="BW107">
        <v>295292</v>
      </c>
      <c r="BX107">
        <v>282675</v>
      </c>
      <c r="BY107">
        <v>286088</v>
      </c>
      <c r="BZ107">
        <v>287018</v>
      </c>
      <c r="CA107">
        <v>291425</v>
      </c>
      <c r="CB107">
        <v>278400</v>
      </c>
      <c r="CC107">
        <v>282912</v>
      </c>
      <c r="CD107">
        <v>296177</v>
      </c>
      <c r="CE107">
        <v>286146</v>
      </c>
      <c r="CF107">
        <v>280057</v>
      </c>
      <c r="CG107">
        <v>301666</v>
      </c>
    </row>
    <row r="108" spans="1:85" x14ac:dyDescent="0.25">
      <c r="A108" t="str">
        <f>""</f>
        <v/>
      </c>
      <c r="B108" t="str">
        <f>"EUORDEPO Index"</f>
        <v>EUORDEPO Index</v>
      </c>
      <c r="C108" t="str">
        <f t="shared" si="7"/>
        <v>PR005</v>
      </c>
      <c r="D108" t="str">
        <f t="shared" si="8"/>
        <v>PX_LAST</v>
      </c>
      <c r="E108" t="str">
        <f t="shared" si="9"/>
        <v>Dynamic</v>
      </c>
      <c r="F108" t="e">
        <f ca="1">_xll.BDH($B$108,$C$108,$B$91,$B$92,CONCATENATE("Per=",$B$89),"Dts=H","Dir=H",CONCATENATE("Points=",$B$90),"Sort=R","Days=A","Fill=B",CONCATENATE("FX=", $B$88),"cols=80;rows=1")</f>
        <v>#N/A</v>
      </c>
      <c r="G108">
        <v>-0.2</v>
      </c>
      <c r="H108">
        <v>-0.1</v>
      </c>
      <c r="I108">
        <v>-0.1</v>
      </c>
      <c r="J108">
        <v>-0.1</v>
      </c>
      <c r="K108">
        <v>-0.1</v>
      </c>
      <c r="L108">
        <v>-0.1</v>
      </c>
      <c r="M108">
        <v>-0.1</v>
      </c>
      <c r="N108">
        <v>-0.1</v>
      </c>
      <c r="O108">
        <v>-0.1</v>
      </c>
      <c r="P108">
        <v>-0.1</v>
      </c>
      <c r="Q108">
        <v>-0.1</v>
      </c>
      <c r="R108">
        <v>-0.1</v>
      </c>
      <c r="S108">
        <v>-0.1</v>
      </c>
      <c r="T108">
        <v>-0.1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K108">
        <v>0</v>
      </c>
      <c r="AO108">
        <v>0</v>
      </c>
      <c r="AT108">
        <v>0</v>
      </c>
      <c r="AX108">
        <v>0</v>
      </c>
      <c r="BC108">
        <v>0</v>
      </c>
      <c r="BG108">
        <v>0</v>
      </c>
      <c r="BL108">
        <v>0</v>
      </c>
      <c r="BP108">
        <v>0</v>
      </c>
      <c r="BT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25">
      <c r="A109" t="str">
        <f>$A$4</f>
        <v xml:space="preserve">    LTRO I Weekly Repayment</v>
      </c>
      <c r="B109" t="str">
        <f>$B$4</f>
        <v>ECBA3YP1 Index</v>
      </c>
      <c r="C109" t="str">
        <f>$C$4</f>
        <v>PR005</v>
      </c>
      <c r="D109" t="str">
        <f>$D$4</f>
        <v>PX_LAST</v>
      </c>
      <c r="E109" t="str">
        <f>$E$4</f>
        <v>Dynamic</v>
      </c>
      <c r="F109" t="e">
        <f ca="1">_xll.BDH($B$4,$C$4,$B$91,$B$92,CONCATENATE("Per=",$B$89),"Dts=H","Dir=H",CONCATENATE("Points=",$B$90),"Sort=R","Days=A","Fill=B",CONCATENATE("FX=", $B$88),"cols=80;rows=1")</f>
        <v>#N/A</v>
      </c>
      <c r="G109">
        <v>1.8380000000000001</v>
      </c>
      <c r="H109">
        <v>0.374</v>
      </c>
      <c r="I109">
        <v>0.3</v>
      </c>
      <c r="J109">
        <v>2.3199999999999998</v>
      </c>
      <c r="K109">
        <v>0.2</v>
      </c>
      <c r="L109">
        <v>0.71</v>
      </c>
      <c r="M109">
        <v>3.2330000000000001</v>
      </c>
      <c r="N109">
        <v>1.5169999999999999</v>
      </c>
      <c r="O109">
        <v>0.64500000000000002</v>
      </c>
      <c r="P109">
        <v>0.03</v>
      </c>
      <c r="Q109">
        <v>10.3</v>
      </c>
      <c r="R109">
        <v>1.6919999999999999</v>
      </c>
      <c r="S109">
        <v>9.6639999999999997</v>
      </c>
      <c r="T109">
        <v>1.55</v>
      </c>
      <c r="U109">
        <v>6.1230000000000002</v>
      </c>
      <c r="V109">
        <v>5.0049999999999999</v>
      </c>
      <c r="W109">
        <v>2.609</v>
      </c>
      <c r="X109">
        <v>1.3</v>
      </c>
      <c r="Y109">
        <v>9.4</v>
      </c>
      <c r="Z109">
        <v>5.782</v>
      </c>
      <c r="AA109">
        <v>3.3849999999999998</v>
      </c>
      <c r="AB109">
        <v>2.5270000000000001</v>
      </c>
      <c r="AC109">
        <v>0.17499999999999999</v>
      </c>
      <c r="AD109">
        <v>6.4109999999999996</v>
      </c>
      <c r="AE109">
        <v>4.9950000000000001</v>
      </c>
      <c r="AF109">
        <v>3.133</v>
      </c>
      <c r="AG109">
        <v>0.51</v>
      </c>
      <c r="AH109">
        <v>2.5</v>
      </c>
      <c r="AI109">
        <v>0.79</v>
      </c>
      <c r="AJ109">
        <v>0.52500000000000002</v>
      </c>
      <c r="AK109">
        <v>0.25</v>
      </c>
      <c r="AL109">
        <v>3.4969999999999999</v>
      </c>
      <c r="AM109">
        <v>0.63200000000000001</v>
      </c>
      <c r="AN109">
        <v>0.98</v>
      </c>
      <c r="AQ109">
        <v>4.05</v>
      </c>
      <c r="AR109">
        <v>3.32</v>
      </c>
      <c r="AS109">
        <v>3.1379999999999999</v>
      </c>
      <c r="AT109">
        <v>5.1050000000000004</v>
      </c>
      <c r="AU109">
        <v>2.8410000000000002</v>
      </c>
      <c r="AV109">
        <v>3.1549999999999998</v>
      </c>
      <c r="AW109">
        <v>2.91</v>
      </c>
      <c r="AX109">
        <v>5.2880000000000003</v>
      </c>
      <c r="AY109">
        <v>1.4450000000000001</v>
      </c>
      <c r="AZ109">
        <v>0.105</v>
      </c>
      <c r="BA109">
        <v>0.59699999999999998</v>
      </c>
      <c r="BB109">
        <v>4.6100000000000003</v>
      </c>
      <c r="BC109">
        <v>1.5350000000000001</v>
      </c>
      <c r="BD109">
        <v>2.65</v>
      </c>
      <c r="BE109">
        <v>0.74099999999999999</v>
      </c>
      <c r="BF109">
        <v>3.7050000000000001</v>
      </c>
      <c r="BG109">
        <v>0.1</v>
      </c>
      <c r="BH109">
        <v>0.1</v>
      </c>
      <c r="BI109">
        <v>0.20399999999999999</v>
      </c>
      <c r="BJ109">
        <v>0.51600000000000001</v>
      </c>
      <c r="BK109">
        <v>1.8</v>
      </c>
      <c r="BL109">
        <v>1.0640000000000001</v>
      </c>
      <c r="BM109">
        <v>2.1819999999999999</v>
      </c>
      <c r="BN109">
        <v>0.51300000000000001</v>
      </c>
      <c r="BO109">
        <v>0</v>
      </c>
      <c r="BP109">
        <v>2.0249999999999999</v>
      </c>
      <c r="BQ109">
        <v>5.03</v>
      </c>
      <c r="BR109">
        <v>3.008</v>
      </c>
      <c r="BS109">
        <v>2.8</v>
      </c>
      <c r="BT109">
        <v>2.81</v>
      </c>
      <c r="BU109">
        <v>6.2080000000000002</v>
      </c>
      <c r="BV109">
        <v>1.02</v>
      </c>
      <c r="BW109">
        <v>1.2050000000000001</v>
      </c>
      <c r="BX109">
        <v>8.0000000000000002E-3</v>
      </c>
      <c r="BY109">
        <v>1.661</v>
      </c>
      <c r="BZ109">
        <v>8.8740000000000006</v>
      </c>
      <c r="CA109">
        <v>6.5540000000000003</v>
      </c>
      <c r="CB109">
        <v>4.0919999999999996</v>
      </c>
      <c r="CC109">
        <v>3.8449999999999998</v>
      </c>
      <c r="CD109">
        <v>1.5649999999999999</v>
      </c>
      <c r="CE109">
        <v>0.38500000000000001</v>
      </c>
      <c r="CF109">
        <v>1.3360000000000001</v>
      </c>
      <c r="CG109">
        <v>4.1760000000000002</v>
      </c>
    </row>
    <row r="110" spans="1:85" x14ac:dyDescent="0.25">
      <c r="A110" t="str">
        <f>$A$5</f>
        <v xml:space="preserve">    LTRO I Cumulative Repayment</v>
      </c>
      <c r="B110" t="str">
        <f>$B$5</f>
        <v>ECBA3YC1 Index</v>
      </c>
      <c r="C110" t="str">
        <f>$C$5</f>
        <v>PR005</v>
      </c>
      <c r="D110" t="str">
        <f>$D$5</f>
        <v>PX_LAST</v>
      </c>
      <c r="E110" t="str">
        <f>$E$5</f>
        <v>Dynamic</v>
      </c>
      <c r="F110" t="e">
        <f ca="1">_xll.BDH($B$5,$C$5,$B$91,$B$92,CONCATENATE("Per=",$B$89),"Dts=H","Dir=H",CONCATENATE("Points=",$B$90),"Sort=R","Days=A","Fill=B",CONCATENATE("FX=", $B$88),"cols=80;rows=1")</f>
        <v>#N/A</v>
      </c>
      <c r="G110">
        <v>354.34800000000001</v>
      </c>
      <c r="H110">
        <v>352.51</v>
      </c>
      <c r="I110">
        <v>352.13600000000002</v>
      </c>
      <c r="J110">
        <v>351.83600000000001</v>
      </c>
      <c r="K110">
        <v>349.51600000000002</v>
      </c>
      <c r="L110">
        <v>349.31599999999997</v>
      </c>
      <c r="M110">
        <v>348.60599999999999</v>
      </c>
      <c r="N110">
        <v>345.37299999999999</v>
      </c>
      <c r="O110">
        <v>343.85599999999999</v>
      </c>
      <c r="P110">
        <v>343.21100000000001</v>
      </c>
      <c r="Q110">
        <v>343.18099999999998</v>
      </c>
      <c r="R110">
        <v>332.88099999999997</v>
      </c>
      <c r="S110">
        <v>331.18900000000002</v>
      </c>
      <c r="T110">
        <v>321.52499999999998</v>
      </c>
      <c r="U110">
        <v>319.97500000000002</v>
      </c>
      <c r="V110">
        <v>313.85199999999998</v>
      </c>
      <c r="W110">
        <v>308.84699999999998</v>
      </c>
      <c r="X110">
        <v>306.238</v>
      </c>
      <c r="Y110">
        <v>304.93799999999999</v>
      </c>
      <c r="Z110">
        <v>295.53800000000001</v>
      </c>
      <c r="AA110">
        <v>289.75599999999997</v>
      </c>
      <c r="AB110">
        <v>286.37099999999998</v>
      </c>
      <c r="AC110">
        <v>283.84399999999999</v>
      </c>
      <c r="AD110">
        <v>283.66899999999998</v>
      </c>
      <c r="AE110">
        <v>277.25799999999998</v>
      </c>
      <c r="AF110">
        <v>272.26299999999998</v>
      </c>
      <c r="AG110">
        <v>269.13</v>
      </c>
      <c r="AH110">
        <v>268.62</v>
      </c>
      <c r="AI110">
        <v>266.12</v>
      </c>
      <c r="AJ110">
        <v>265.33</v>
      </c>
      <c r="AK110">
        <v>264.80500000000001</v>
      </c>
      <c r="AL110">
        <v>264.55500000000001</v>
      </c>
      <c r="AM110">
        <v>261.05799999999999</v>
      </c>
      <c r="AN110">
        <v>260.42599999999999</v>
      </c>
      <c r="AQ110">
        <v>259.44600000000003</v>
      </c>
      <c r="AR110">
        <v>255.39599999999999</v>
      </c>
      <c r="AS110">
        <v>252.07599999999999</v>
      </c>
      <c r="AT110">
        <v>248.93799999999999</v>
      </c>
      <c r="AU110">
        <v>243.833</v>
      </c>
      <c r="AV110">
        <v>240.99199999999999</v>
      </c>
      <c r="AW110">
        <v>237.83699999999999</v>
      </c>
      <c r="AX110">
        <v>234.92699999999999</v>
      </c>
      <c r="AY110">
        <v>229.63900000000001</v>
      </c>
      <c r="AZ110">
        <v>228.19399999999999</v>
      </c>
      <c r="BA110">
        <v>228.089</v>
      </c>
      <c r="BB110">
        <v>227.49199999999999</v>
      </c>
      <c r="BC110">
        <v>222.88200000000001</v>
      </c>
      <c r="BD110">
        <v>221.34700000000001</v>
      </c>
      <c r="BE110">
        <v>218.697</v>
      </c>
      <c r="BF110">
        <v>217.95599999999999</v>
      </c>
      <c r="BG110">
        <v>214.251</v>
      </c>
      <c r="BH110">
        <v>214.15100000000001</v>
      </c>
      <c r="BI110">
        <v>214.05099999999999</v>
      </c>
      <c r="BJ110">
        <v>213.84700000000001</v>
      </c>
      <c r="BK110">
        <v>213.33099999999999</v>
      </c>
      <c r="BL110">
        <v>211.53100000000001</v>
      </c>
      <c r="BM110">
        <v>210.46700000000001</v>
      </c>
      <c r="BN110">
        <v>208.285</v>
      </c>
      <c r="BO110">
        <v>207.77199999999999</v>
      </c>
      <c r="BP110">
        <v>207.77199999999999</v>
      </c>
      <c r="BQ110">
        <v>205.74700000000001</v>
      </c>
      <c r="BR110">
        <v>200.71700000000001</v>
      </c>
      <c r="BS110">
        <v>197.709</v>
      </c>
      <c r="BT110">
        <v>194.90899999999999</v>
      </c>
      <c r="BU110">
        <v>192.09899999999999</v>
      </c>
      <c r="BV110">
        <v>185.89099999999999</v>
      </c>
      <c r="BW110">
        <v>184.87100000000001</v>
      </c>
      <c r="BX110">
        <v>183.666</v>
      </c>
      <c r="BY110">
        <v>183.65799999999999</v>
      </c>
      <c r="BZ110">
        <v>181.99700000000001</v>
      </c>
      <c r="CA110">
        <v>173.12299999999999</v>
      </c>
      <c r="CB110">
        <v>166.56899999999999</v>
      </c>
      <c r="CC110">
        <v>162.477</v>
      </c>
      <c r="CD110">
        <v>158.63200000000001</v>
      </c>
      <c r="CE110">
        <v>157.06700000000001</v>
      </c>
      <c r="CF110">
        <v>156.68199999999999</v>
      </c>
      <c r="CG110">
        <v>155.346</v>
      </c>
    </row>
    <row r="111" spans="1:85" x14ac:dyDescent="0.25">
      <c r="A111" t="str">
        <f>$A$6</f>
        <v xml:space="preserve">    LTRO I Outstanding</v>
      </c>
      <c r="B111" t="str">
        <f>$B$6</f>
        <v>ECBA3YO1 Index</v>
      </c>
      <c r="C111" t="str">
        <f>$C$6</f>
        <v>PR005</v>
      </c>
      <c r="D111" t="str">
        <f>$D$6</f>
        <v>PX_LAST</v>
      </c>
      <c r="E111" t="str">
        <f>$E$6</f>
        <v>Dynamic</v>
      </c>
      <c r="F111" t="e">
        <f ca="1">_xll.BDH($B$6,$C$6,$B$91,$B$92,CONCATENATE("Per=",$B$89),"Dts=H","Dir=H",CONCATENATE("Points=",$B$90),"Sort=R","Days=A","Fill=B",CONCATENATE("FX=", $B$88),"cols=80;rows=1")</f>
        <v>#N/A</v>
      </c>
      <c r="G111">
        <v>112.98399999999999</v>
      </c>
      <c r="H111">
        <v>114.822</v>
      </c>
      <c r="I111">
        <v>115.196</v>
      </c>
      <c r="J111">
        <v>115.496</v>
      </c>
      <c r="K111">
        <v>117.816</v>
      </c>
      <c r="L111">
        <v>118.01600000000001</v>
      </c>
      <c r="M111">
        <v>118.726</v>
      </c>
      <c r="N111">
        <v>121.959</v>
      </c>
      <c r="O111">
        <v>123.476</v>
      </c>
      <c r="P111">
        <v>124.121</v>
      </c>
      <c r="Q111">
        <v>124.151</v>
      </c>
      <c r="R111">
        <v>134.45099999999999</v>
      </c>
      <c r="S111">
        <v>136.143</v>
      </c>
      <c r="T111">
        <v>145.83699999999999</v>
      </c>
      <c r="U111">
        <v>147.387</v>
      </c>
      <c r="V111">
        <v>153.51</v>
      </c>
      <c r="W111">
        <v>161.124</v>
      </c>
      <c r="X111">
        <v>162.42400000000001</v>
      </c>
      <c r="Y111">
        <v>171.82400000000001</v>
      </c>
      <c r="Z111">
        <v>177.60599999999999</v>
      </c>
      <c r="AA111">
        <v>180.99100000000001</v>
      </c>
      <c r="AB111">
        <v>183.5</v>
      </c>
      <c r="AC111">
        <v>183.7</v>
      </c>
      <c r="AD111">
        <v>190.1</v>
      </c>
      <c r="AE111">
        <v>195.1</v>
      </c>
      <c r="AF111">
        <v>198.2</v>
      </c>
      <c r="AG111">
        <v>198.7</v>
      </c>
      <c r="AH111">
        <v>201.2</v>
      </c>
      <c r="AI111">
        <v>202</v>
      </c>
      <c r="AJ111">
        <v>202.6</v>
      </c>
      <c r="AK111">
        <v>202.8</v>
      </c>
      <c r="AL111">
        <v>206.3</v>
      </c>
      <c r="AM111">
        <v>206.9</v>
      </c>
      <c r="AN111">
        <v>207.9</v>
      </c>
      <c r="AQ111">
        <v>212</v>
      </c>
      <c r="AR111">
        <v>215.3</v>
      </c>
      <c r="AS111">
        <v>218.4</v>
      </c>
      <c r="AT111">
        <v>223.5</v>
      </c>
      <c r="AU111">
        <v>226.4</v>
      </c>
      <c r="AV111">
        <v>229.5</v>
      </c>
      <c r="AW111">
        <v>232.4</v>
      </c>
      <c r="AX111">
        <v>237.7</v>
      </c>
      <c r="AY111">
        <v>239.2</v>
      </c>
      <c r="AZ111">
        <v>239.3</v>
      </c>
      <c r="BA111">
        <v>239.9</v>
      </c>
      <c r="BB111">
        <v>244.5</v>
      </c>
      <c r="BC111">
        <v>246</v>
      </c>
      <c r="BD111">
        <v>248.7</v>
      </c>
      <c r="BE111">
        <v>249.4</v>
      </c>
      <c r="BF111">
        <v>253.2</v>
      </c>
      <c r="BG111">
        <v>253.3</v>
      </c>
      <c r="BH111">
        <v>253.4</v>
      </c>
      <c r="BI111">
        <v>253.6</v>
      </c>
      <c r="BJ111">
        <v>254.1</v>
      </c>
      <c r="BK111">
        <v>255.9</v>
      </c>
      <c r="BL111">
        <v>257</v>
      </c>
      <c r="BM111">
        <v>259.2</v>
      </c>
      <c r="BN111">
        <v>259.7</v>
      </c>
      <c r="BO111">
        <v>259.7</v>
      </c>
      <c r="BP111">
        <v>261.7</v>
      </c>
      <c r="BQ111">
        <v>266.7</v>
      </c>
      <c r="BR111">
        <v>269.7</v>
      </c>
      <c r="BS111">
        <v>272.5</v>
      </c>
      <c r="BT111">
        <v>275.3</v>
      </c>
      <c r="BU111">
        <v>281.60000000000002</v>
      </c>
      <c r="BV111">
        <v>282.60000000000002</v>
      </c>
      <c r="BW111">
        <v>283.8</v>
      </c>
      <c r="BX111">
        <v>283.8</v>
      </c>
      <c r="BY111">
        <v>285.39999999999998</v>
      </c>
      <c r="BZ111">
        <v>294.3</v>
      </c>
      <c r="CA111">
        <v>300.89999999999998</v>
      </c>
      <c r="CB111">
        <v>305.10000000000002</v>
      </c>
      <c r="CC111">
        <v>308.89999999999998</v>
      </c>
      <c r="CD111">
        <v>310.5</v>
      </c>
      <c r="CE111">
        <v>310.89999999999998</v>
      </c>
      <c r="CF111">
        <v>312.60000000000002</v>
      </c>
      <c r="CG111">
        <v>316.8</v>
      </c>
    </row>
    <row r="112" spans="1:85" x14ac:dyDescent="0.25">
      <c r="A112" t="str">
        <f>$A$9</f>
        <v xml:space="preserve">    LTRO II Weekly Repayment</v>
      </c>
      <c r="B112" t="str">
        <f>$B$9</f>
        <v>ECBA3YP2 Index</v>
      </c>
      <c r="C112" t="str">
        <f>$C$9</f>
        <v>PR005</v>
      </c>
      <c r="D112" t="str">
        <f>$D$9</f>
        <v>PX_LAST</v>
      </c>
      <c r="E112" t="str">
        <f>$E$9</f>
        <v>Dynamic</v>
      </c>
      <c r="F112" t="e">
        <f ca="1">_xll.BDH($B$9,$C$9,$B$91,$B$92,CONCATENATE("Per=",$B$89),"Dts=H","Dir=H",CONCATENATE("Points=",$B$90),"Sort=R","Days=A","Fill=B",CONCATENATE("FX=", $B$88),"cols=80;rows=1")</f>
        <v>#N/A</v>
      </c>
      <c r="G112">
        <v>1.671</v>
      </c>
      <c r="H112">
        <v>0.98499999999999999</v>
      </c>
      <c r="I112">
        <v>2.5609999999999999</v>
      </c>
      <c r="J112">
        <v>1.83</v>
      </c>
      <c r="K112">
        <v>3.01</v>
      </c>
      <c r="L112">
        <v>2.2679999999999998</v>
      </c>
      <c r="M112">
        <v>18.274999999999999</v>
      </c>
      <c r="N112">
        <v>2.2200000000000002</v>
      </c>
      <c r="O112">
        <v>3.37</v>
      </c>
      <c r="P112">
        <v>4.45</v>
      </c>
      <c r="Q112">
        <v>2.3180000000000001</v>
      </c>
      <c r="R112">
        <v>2.02</v>
      </c>
      <c r="S112">
        <v>0.92400000000000004</v>
      </c>
      <c r="T112">
        <v>0.24</v>
      </c>
      <c r="U112">
        <v>0.85399999999999998</v>
      </c>
      <c r="V112">
        <v>1.1499999999999999</v>
      </c>
      <c r="W112">
        <v>0.75600000000000001</v>
      </c>
      <c r="X112">
        <v>0.45</v>
      </c>
      <c r="Y112">
        <v>0.17899999999999999</v>
      </c>
      <c r="Z112">
        <v>1.754</v>
      </c>
      <c r="AA112">
        <v>4.88</v>
      </c>
      <c r="AB112">
        <v>2.3519999999999999</v>
      </c>
      <c r="AC112">
        <v>1.383</v>
      </c>
      <c r="AD112">
        <v>12.497999999999999</v>
      </c>
      <c r="AE112">
        <v>5.08</v>
      </c>
      <c r="AF112">
        <v>8.2680000000000007</v>
      </c>
      <c r="AG112">
        <v>2.5019999999999998</v>
      </c>
      <c r="AH112">
        <v>0.34499999999999997</v>
      </c>
      <c r="AI112">
        <v>0.23</v>
      </c>
      <c r="AJ112">
        <v>1.25</v>
      </c>
      <c r="AK112">
        <v>0.218</v>
      </c>
      <c r="AL112">
        <v>0.20200000000000001</v>
      </c>
      <c r="AM112">
        <v>0.35899999999999999</v>
      </c>
      <c r="AN112">
        <v>1.5859999999999999</v>
      </c>
      <c r="AQ112">
        <v>16.675000000000001</v>
      </c>
      <c r="AR112">
        <v>19.329999999999998</v>
      </c>
      <c r="AS112">
        <v>3.9319999999999999</v>
      </c>
      <c r="AT112">
        <v>2.13</v>
      </c>
      <c r="AU112">
        <v>5.0819999999999999</v>
      </c>
      <c r="AV112">
        <v>0.43099999999999999</v>
      </c>
      <c r="AW112">
        <v>2.8570000000000002</v>
      </c>
      <c r="AX112">
        <v>5.3629999999999995</v>
      </c>
      <c r="AY112">
        <v>0.311</v>
      </c>
      <c r="AZ112">
        <v>5.0940000000000003</v>
      </c>
      <c r="BA112">
        <v>0.25</v>
      </c>
      <c r="BB112">
        <v>3.0649999999999999</v>
      </c>
      <c r="BC112">
        <v>1.6219999999999999</v>
      </c>
      <c r="BD112">
        <v>5.26</v>
      </c>
      <c r="BE112">
        <v>2.375</v>
      </c>
      <c r="BF112">
        <v>2.2000000000000002</v>
      </c>
      <c r="BG112">
        <v>4.5449999999999999</v>
      </c>
      <c r="BH112">
        <v>0.20499999999999999</v>
      </c>
      <c r="BI112">
        <v>0.45</v>
      </c>
      <c r="BJ112">
        <v>0.2</v>
      </c>
      <c r="BK112">
        <v>0.33300000000000002</v>
      </c>
      <c r="BL112">
        <v>0.45100000000000001</v>
      </c>
      <c r="BM112">
        <v>0.2</v>
      </c>
      <c r="BN112">
        <v>0.70199999999999996</v>
      </c>
      <c r="BO112">
        <v>2.0950000000000002</v>
      </c>
      <c r="BP112">
        <v>3.5000000000000003E-2</v>
      </c>
      <c r="BQ112">
        <v>0.20799999999999999</v>
      </c>
      <c r="BR112">
        <v>0.18</v>
      </c>
      <c r="BS112">
        <v>0.13</v>
      </c>
      <c r="BT112">
        <v>0.27100000000000002</v>
      </c>
      <c r="BU112">
        <v>1.915</v>
      </c>
      <c r="BV112">
        <v>0.104</v>
      </c>
      <c r="BW112">
        <v>5.1520000000000001</v>
      </c>
      <c r="BX112">
        <v>0.60799999999999998</v>
      </c>
      <c r="BY112">
        <v>0.61499999999999999</v>
      </c>
      <c r="BZ112">
        <v>2.0670000000000002</v>
      </c>
      <c r="CA112">
        <v>4.2379999999999995</v>
      </c>
      <c r="CB112">
        <v>3.972</v>
      </c>
      <c r="CC112">
        <v>3.16</v>
      </c>
      <c r="CD112">
        <v>0.371</v>
      </c>
      <c r="CE112">
        <v>6.4320000000000004</v>
      </c>
      <c r="CF112">
        <v>2.8940000000000001</v>
      </c>
      <c r="CG112">
        <v>8.3190000000000008</v>
      </c>
    </row>
    <row r="113" spans="1:85" x14ac:dyDescent="0.25">
      <c r="A113" t="str">
        <f>$A$10</f>
        <v xml:space="preserve">    LTRO II Cumulative Repayment</v>
      </c>
      <c r="B113" t="str">
        <f>$B$10</f>
        <v>ECBA3YC2 Index</v>
      </c>
      <c r="C113" t="str">
        <f>$C$10</f>
        <v>PR005</v>
      </c>
      <c r="D113" t="str">
        <f>$D$10</f>
        <v>PX_LAST</v>
      </c>
      <c r="E113" t="str">
        <f>$E$10</f>
        <v>Dynamic</v>
      </c>
      <c r="F113" t="e">
        <f ca="1">_xll.BDH($B$10,$C$10,$B$91,$B$92,CONCATENATE("Per=",$B$89),"Dts=H","Dir=H",CONCATENATE("Points=",$B$90),"Sort=R","Days=A","Fill=B",CONCATENATE("FX=", $B$88),"cols=80;rows=1")</f>
        <v>#N/A</v>
      </c>
      <c r="G113">
        <v>279.35899999999998</v>
      </c>
      <c r="H113">
        <v>277.68799999999999</v>
      </c>
      <c r="I113">
        <v>276.70299999999997</v>
      </c>
      <c r="J113">
        <v>274.142</v>
      </c>
      <c r="K113">
        <v>272.31200000000001</v>
      </c>
      <c r="L113">
        <v>269.30200000000002</v>
      </c>
      <c r="M113">
        <v>267.03399999999999</v>
      </c>
      <c r="N113">
        <v>248.75899999999999</v>
      </c>
      <c r="O113">
        <v>246.53899999999999</v>
      </c>
      <c r="P113">
        <v>243.16900000000001</v>
      </c>
      <c r="Q113">
        <v>238.71899999999999</v>
      </c>
      <c r="R113">
        <v>236.40100000000001</v>
      </c>
      <c r="S113">
        <v>234.381</v>
      </c>
      <c r="T113">
        <v>233.45699999999999</v>
      </c>
      <c r="U113">
        <v>233.21700000000001</v>
      </c>
      <c r="V113">
        <v>232.363</v>
      </c>
      <c r="W113">
        <v>231.21299999999999</v>
      </c>
      <c r="X113">
        <v>230.45699999999999</v>
      </c>
      <c r="Y113">
        <v>230.00700000000001</v>
      </c>
      <c r="Z113">
        <v>229.828</v>
      </c>
      <c r="AA113">
        <v>228.07400000000001</v>
      </c>
      <c r="AB113">
        <v>223.19399999999999</v>
      </c>
      <c r="AC113">
        <v>220.84200000000001</v>
      </c>
      <c r="AD113">
        <v>219.459</v>
      </c>
      <c r="AE113">
        <v>206.96100000000001</v>
      </c>
      <c r="AF113">
        <v>201.881</v>
      </c>
      <c r="AG113">
        <v>193.613</v>
      </c>
      <c r="AH113">
        <v>191.11099999999999</v>
      </c>
      <c r="AI113">
        <v>190.76599999999999</v>
      </c>
      <c r="AJ113">
        <v>190.536</v>
      </c>
      <c r="AK113">
        <v>189.286</v>
      </c>
      <c r="AL113">
        <v>189.06800000000001</v>
      </c>
      <c r="AM113">
        <v>188.86600000000001</v>
      </c>
      <c r="AN113">
        <v>188.50700000000001</v>
      </c>
      <c r="AQ113">
        <v>186.92099999999999</v>
      </c>
      <c r="AR113">
        <v>170.24600000000001</v>
      </c>
      <c r="AS113">
        <v>150.916</v>
      </c>
      <c r="AT113">
        <v>146.98400000000001</v>
      </c>
      <c r="AU113">
        <v>144.85400000000001</v>
      </c>
      <c r="AV113">
        <v>139.77199999999999</v>
      </c>
      <c r="AW113">
        <v>139.34100000000001</v>
      </c>
      <c r="AX113">
        <v>136.48400000000001</v>
      </c>
      <c r="AY113">
        <v>131.12100000000001</v>
      </c>
      <c r="AZ113">
        <v>130.81</v>
      </c>
      <c r="BA113">
        <v>125.71599999999999</v>
      </c>
      <c r="BB113">
        <v>125.46599999999999</v>
      </c>
      <c r="BC113">
        <v>122.401</v>
      </c>
      <c r="BD113">
        <v>120.779</v>
      </c>
      <c r="BE113">
        <v>115.51900000000001</v>
      </c>
      <c r="BF113">
        <v>113.14400000000001</v>
      </c>
      <c r="BG113">
        <v>110.944</v>
      </c>
      <c r="BH113">
        <v>106.399</v>
      </c>
      <c r="BI113">
        <v>106.194</v>
      </c>
      <c r="BJ113">
        <v>105.744</v>
      </c>
      <c r="BK113">
        <v>105.544</v>
      </c>
      <c r="BL113">
        <v>105.211</v>
      </c>
      <c r="BM113">
        <v>104.76</v>
      </c>
      <c r="BN113">
        <v>104.56</v>
      </c>
      <c r="BO113">
        <v>103.858</v>
      </c>
      <c r="BP113">
        <v>101.76300000000001</v>
      </c>
      <c r="BQ113">
        <v>101.72799999999999</v>
      </c>
      <c r="BR113">
        <v>101.52</v>
      </c>
      <c r="BS113">
        <v>101.34</v>
      </c>
      <c r="BT113">
        <v>101.21</v>
      </c>
      <c r="BU113">
        <v>100.93899999999999</v>
      </c>
      <c r="BV113">
        <v>99.024000000000001</v>
      </c>
      <c r="BW113">
        <v>98.92</v>
      </c>
      <c r="BX113">
        <v>93.768000000000001</v>
      </c>
      <c r="BY113">
        <v>93.16</v>
      </c>
      <c r="BZ113">
        <v>92.545000000000002</v>
      </c>
      <c r="CA113">
        <v>90.477999999999994</v>
      </c>
      <c r="CB113">
        <v>86.24</v>
      </c>
      <c r="CC113">
        <v>82.268000000000001</v>
      </c>
      <c r="CD113">
        <v>79.108000000000004</v>
      </c>
      <c r="CE113">
        <v>78.736999999999995</v>
      </c>
      <c r="CF113">
        <v>72.305000000000007</v>
      </c>
      <c r="CG113">
        <v>69.411000000000001</v>
      </c>
    </row>
    <row r="114" spans="1:85" x14ac:dyDescent="0.25">
      <c r="A114" t="str">
        <f>$A$11</f>
        <v xml:space="preserve">    LTRO II Outstanding</v>
      </c>
      <c r="B114" t="str">
        <f>$B$11</f>
        <v>ECBA3YO2 Index</v>
      </c>
      <c r="C114" t="str">
        <f>$C$11</f>
        <v>PR005</v>
      </c>
      <c r="D114" t="str">
        <f>$D$11</f>
        <v>PX_LAST</v>
      </c>
      <c r="E114" t="str">
        <f>$E$11</f>
        <v>Dynamic</v>
      </c>
      <c r="F114" t="e">
        <f ca="1">_xll.BDH($B$11,$C$11,$B$91,$B$92,CONCATENATE("Per=",$B$89),"Dts=H","Dir=H",CONCATENATE("Points=",$B$90),"Sort=R","Days=A","Fill=B",CONCATENATE("FX=", $B$88),"cols=80;rows=1")</f>
        <v>#N/A</v>
      </c>
      <c r="G114">
        <v>243.99</v>
      </c>
      <c r="H114">
        <v>245.661</v>
      </c>
      <c r="I114">
        <v>246.64599999999999</v>
      </c>
      <c r="J114">
        <v>249.20699999999999</v>
      </c>
      <c r="K114">
        <v>251.03700000000001</v>
      </c>
      <c r="L114">
        <v>254.047</v>
      </c>
      <c r="M114">
        <v>256.315</v>
      </c>
      <c r="N114">
        <v>274.589</v>
      </c>
      <c r="O114">
        <v>276.80900000000003</v>
      </c>
      <c r="P114">
        <v>280.17899999999997</v>
      </c>
      <c r="Q114">
        <v>284.62900000000002</v>
      </c>
      <c r="R114">
        <v>286.947</v>
      </c>
      <c r="S114">
        <v>288.96699999999998</v>
      </c>
      <c r="T114">
        <v>289.96100000000001</v>
      </c>
      <c r="U114">
        <v>290.20100000000002</v>
      </c>
      <c r="V114">
        <v>291.05500000000001</v>
      </c>
      <c r="W114">
        <v>292.96100000000001</v>
      </c>
      <c r="X114">
        <v>293.411</v>
      </c>
      <c r="Y114">
        <v>293.58999999999997</v>
      </c>
      <c r="Z114">
        <v>295.34399999999999</v>
      </c>
      <c r="AA114">
        <v>300.22399999999999</v>
      </c>
      <c r="AB114">
        <v>302.60000000000002</v>
      </c>
      <c r="AC114">
        <v>304</v>
      </c>
      <c r="AD114">
        <v>316.5</v>
      </c>
      <c r="AE114">
        <v>321.5</v>
      </c>
      <c r="AF114">
        <v>329.8</v>
      </c>
      <c r="AG114">
        <v>332.3</v>
      </c>
      <c r="AH114">
        <v>332.7</v>
      </c>
      <c r="AI114">
        <v>332.9</v>
      </c>
      <c r="AJ114">
        <v>334.1</v>
      </c>
      <c r="AK114">
        <v>334.4</v>
      </c>
      <c r="AL114">
        <v>334.6</v>
      </c>
      <c r="AM114">
        <v>334.9</v>
      </c>
      <c r="AN114">
        <v>336.5</v>
      </c>
      <c r="AQ114">
        <v>353.2</v>
      </c>
      <c r="AR114">
        <v>372.5</v>
      </c>
      <c r="AS114">
        <v>376.4</v>
      </c>
      <c r="AT114">
        <v>378.6</v>
      </c>
      <c r="AU114">
        <v>383.6</v>
      </c>
      <c r="AV114">
        <v>384.1</v>
      </c>
      <c r="AW114">
        <v>386.9</v>
      </c>
      <c r="AX114">
        <v>392.3</v>
      </c>
      <c r="AY114">
        <v>392.6</v>
      </c>
      <c r="AZ114">
        <v>397.7</v>
      </c>
      <c r="BA114">
        <v>398</v>
      </c>
      <c r="BB114">
        <v>401</v>
      </c>
      <c r="BC114">
        <v>402.6</v>
      </c>
      <c r="BD114">
        <v>407.9</v>
      </c>
      <c r="BE114">
        <v>410.3</v>
      </c>
      <c r="BF114">
        <v>412.6</v>
      </c>
      <c r="BG114">
        <v>417.1</v>
      </c>
      <c r="BH114">
        <v>417.3</v>
      </c>
      <c r="BI114">
        <v>417.8</v>
      </c>
      <c r="BJ114">
        <v>418</v>
      </c>
      <c r="BK114">
        <v>418.3</v>
      </c>
      <c r="BL114">
        <v>418.7</v>
      </c>
      <c r="BM114">
        <v>418.9</v>
      </c>
      <c r="BN114">
        <v>419.6</v>
      </c>
      <c r="BO114">
        <v>421.7</v>
      </c>
      <c r="BP114">
        <v>421.8</v>
      </c>
      <c r="BQ114">
        <v>422</v>
      </c>
      <c r="BR114">
        <v>422.2</v>
      </c>
      <c r="BS114">
        <v>422.3</v>
      </c>
      <c r="BT114">
        <v>422.6</v>
      </c>
      <c r="BU114">
        <v>424.5</v>
      </c>
      <c r="BV114">
        <v>424.6</v>
      </c>
      <c r="BW114">
        <v>429.7</v>
      </c>
      <c r="BX114">
        <v>430.3</v>
      </c>
      <c r="BY114">
        <v>431</v>
      </c>
      <c r="BZ114">
        <v>433</v>
      </c>
      <c r="CA114">
        <v>437.3</v>
      </c>
      <c r="CB114">
        <v>441.4</v>
      </c>
      <c r="CC114">
        <v>444.6</v>
      </c>
      <c r="CD114">
        <v>445</v>
      </c>
      <c r="CE114">
        <v>451.4</v>
      </c>
      <c r="CF114">
        <v>454.6</v>
      </c>
      <c r="CG114">
        <v>462.9</v>
      </c>
    </row>
    <row r="115" spans="1:85" x14ac:dyDescent="0.25">
      <c r="A115" t="str">
        <f>$A$14</f>
        <v xml:space="preserve">    Gross Lending to Euro Area Credit Institutions</v>
      </c>
      <c r="B115" t="str">
        <f>$B$14</f>
        <v>EBBSA050 Index</v>
      </c>
      <c r="C115" t="str">
        <f>$C$14</f>
        <v>PR005</v>
      </c>
      <c r="D115" t="str">
        <f>$D$14</f>
        <v>PX_LAST</v>
      </c>
      <c r="E115" t="str">
        <f>$E$14</f>
        <v>Dynamic</v>
      </c>
      <c r="F115" t="e">
        <f ca="1">_xll.BDH($B$14,$C$14,$B$91,$B$92,CONCATENATE("Per=",$B$89),"Dts=H","Dir=H",CONCATENATE("Points=",$B$90),"Sort=R","Days=A","Fill=B",CONCATENATE("FX=", $B$88),"cols=80;rows=1")</f>
        <v>#N/A</v>
      </c>
      <c r="G115">
        <v>492.726</v>
      </c>
      <c r="H115">
        <v>517.57799999999997</v>
      </c>
      <c r="I115">
        <v>497.63600000000002</v>
      </c>
      <c r="J115">
        <v>501.03100000000001</v>
      </c>
      <c r="K115">
        <v>504.91199999999998</v>
      </c>
      <c r="L115">
        <v>533.53499999999997</v>
      </c>
      <c r="M115">
        <v>507.81900000000002</v>
      </c>
      <c r="N115">
        <v>531.68299999999999</v>
      </c>
      <c r="O115">
        <v>529.16200000000003</v>
      </c>
      <c r="P115">
        <v>545.9</v>
      </c>
      <c r="Q115">
        <v>568.37300000000005</v>
      </c>
      <c r="R115">
        <v>565.01900000000001</v>
      </c>
      <c r="S115">
        <v>607.61699999999996</v>
      </c>
      <c r="T115">
        <v>653.28</v>
      </c>
      <c r="U115">
        <v>679.74900000000002</v>
      </c>
      <c r="V115">
        <v>640.03899999999999</v>
      </c>
      <c r="W115">
        <v>651.47699999999998</v>
      </c>
      <c r="X115">
        <v>642.35599999999999</v>
      </c>
      <c r="Y115">
        <v>688.34199999999998</v>
      </c>
      <c r="Z115">
        <v>638.14099999999996</v>
      </c>
      <c r="AA115">
        <v>636.30799999999999</v>
      </c>
      <c r="AB115">
        <v>636.72699999999998</v>
      </c>
      <c r="AC115">
        <v>627.351</v>
      </c>
      <c r="AD115">
        <v>640.76599999999996</v>
      </c>
      <c r="AE115">
        <v>644.07399999999996</v>
      </c>
      <c r="AF115">
        <v>648.89200000000005</v>
      </c>
      <c r="AG115">
        <v>654.01499999999999</v>
      </c>
      <c r="AH115">
        <v>664.50800000000004</v>
      </c>
      <c r="AI115">
        <v>665.226</v>
      </c>
      <c r="AJ115">
        <v>666.60799999999995</v>
      </c>
      <c r="AK115">
        <v>671.27099999999996</v>
      </c>
      <c r="AL115">
        <v>691.93399999999997</v>
      </c>
      <c r="AM115">
        <v>693.17700000000002</v>
      </c>
      <c r="AN115">
        <v>672.56</v>
      </c>
      <c r="AO115">
        <v>695.88400000000001</v>
      </c>
      <c r="AP115">
        <v>752.25900000000001</v>
      </c>
      <c r="AQ115">
        <v>717.14200000000005</v>
      </c>
      <c r="AR115">
        <v>723.303</v>
      </c>
      <c r="AS115">
        <v>713.01599999999996</v>
      </c>
      <c r="AT115">
        <v>709.29700000000003</v>
      </c>
      <c r="AU115">
        <v>719.03300000000002</v>
      </c>
      <c r="AV115">
        <v>717.61500000000001</v>
      </c>
      <c r="AW115">
        <v>721.88400000000001</v>
      </c>
      <c r="AX115">
        <v>729.68600000000004</v>
      </c>
      <c r="AY115">
        <v>740.15300000000002</v>
      </c>
      <c r="AZ115">
        <v>743.90200000000004</v>
      </c>
      <c r="BA115">
        <v>749.73</v>
      </c>
      <c r="BB115">
        <v>753.02300000000002</v>
      </c>
      <c r="BC115">
        <v>761.56700000000001</v>
      </c>
      <c r="BD115">
        <v>767.30399999999997</v>
      </c>
      <c r="BE115">
        <v>775.41700000000003</v>
      </c>
      <c r="BF115">
        <v>779.495</v>
      </c>
      <c r="BG115">
        <v>786.51199999999994</v>
      </c>
      <c r="BH115">
        <v>790.54899999999998</v>
      </c>
      <c r="BI115">
        <v>790.34900000000005</v>
      </c>
      <c r="BJ115">
        <v>790.93100000000004</v>
      </c>
      <c r="BK115">
        <v>793.6</v>
      </c>
      <c r="BL115">
        <v>804.92</v>
      </c>
      <c r="BM115">
        <v>800.57399999999996</v>
      </c>
      <c r="BN115">
        <v>804.37099999999998</v>
      </c>
      <c r="BO115">
        <v>803.34</v>
      </c>
      <c r="BP115">
        <v>811.42399999999998</v>
      </c>
      <c r="BQ115">
        <v>822.68899999999996</v>
      </c>
      <c r="BR115">
        <v>815.64499999999998</v>
      </c>
      <c r="BS115">
        <v>821.78499999999997</v>
      </c>
      <c r="BT115">
        <v>821.899</v>
      </c>
      <c r="BU115">
        <v>824.11300000000006</v>
      </c>
      <c r="BV115">
        <v>835.423</v>
      </c>
      <c r="BW115">
        <v>836.60900000000004</v>
      </c>
      <c r="BX115">
        <v>850.48599999999999</v>
      </c>
      <c r="BY115">
        <v>846.43700000000001</v>
      </c>
      <c r="BZ115">
        <v>852.23299999999995</v>
      </c>
      <c r="CA115">
        <v>869.91600000000005</v>
      </c>
      <c r="CB115">
        <v>884.21199999999999</v>
      </c>
      <c r="CC115">
        <v>896.76300000000003</v>
      </c>
      <c r="CD115">
        <v>903.61900000000003</v>
      </c>
      <c r="CE115">
        <v>906.24400000000003</v>
      </c>
      <c r="CF115">
        <v>920.79100000000005</v>
      </c>
      <c r="CG115">
        <v>931.80799999999999</v>
      </c>
    </row>
    <row r="116" spans="1:85" x14ac:dyDescent="0.25">
      <c r="A116" t="str">
        <f>$A$16</f>
        <v xml:space="preserve">        Deposit Facility</v>
      </c>
      <c r="B116" t="str">
        <f>$B$16</f>
        <v>EBBSDEPF Index</v>
      </c>
      <c r="C116" t="str">
        <f>$C$16</f>
        <v>PR005</v>
      </c>
      <c r="D116" t="str">
        <f>$D$16</f>
        <v>PX_LAST</v>
      </c>
      <c r="E116" t="str">
        <f>$E$16</f>
        <v>Dynamic</v>
      </c>
      <c r="F116" t="e">
        <f ca="1">_xll.BDH($B$16,$C$16,$B$91,$B$92,CONCATENATE("Per=",$B$89),"Dts=H","Dir=H",CONCATENATE("Points=",$B$90),"Sort=R","Days=A","Fill=B",CONCATENATE("FX=", $B$88),"cols=80;rows=1")</f>
        <v>#N/A</v>
      </c>
      <c r="G116">
        <v>26.65</v>
      </c>
      <c r="H116">
        <v>30.864000000000001</v>
      </c>
      <c r="I116">
        <v>25.626000000000001</v>
      </c>
      <c r="J116">
        <v>19.849</v>
      </c>
      <c r="K116">
        <v>21.146000000000001</v>
      </c>
      <c r="L116">
        <v>44.118000000000002</v>
      </c>
      <c r="M116">
        <v>21.334</v>
      </c>
      <c r="N116">
        <v>22.718</v>
      </c>
      <c r="O116">
        <v>20.184000000000001</v>
      </c>
      <c r="P116">
        <v>27.274999999999999</v>
      </c>
      <c r="Q116">
        <v>25.422999999999998</v>
      </c>
      <c r="R116">
        <v>26.544</v>
      </c>
      <c r="S116">
        <v>17.175000000000001</v>
      </c>
      <c r="T116">
        <v>37.311999999999998</v>
      </c>
      <c r="U116">
        <v>39.909999999999997</v>
      </c>
      <c r="V116">
        <v>23.774000000000001</v>
      </c>
      <c r="W116">
        <v>17.481999999999999</v>
      </c>
      <c r="X116">
        <v>33.844000000000001</v>
      </c>
      <c r="Y116">
        <v>39.078000000000003</v>
      </c>
      <c r="Z116">
        <v>23.974</v>
      </c>
      <c r="AA116">
        <v>30.056999999999999</v>
      </c>
      <c r="AB116">
        <v>21.154</v>
      </c>
      <c r="AC116">
        <v>25.722999999999999</v>
      </c>
      <c r="AD116">
        <v>28.256</v>
      </c>
      <c r="AE116">
        <v>34.536000000000001</v>
      </c>
      <c r="AF116">
        <v>23.495000000000001</v>
      </c>
      <c r="AG116">
        <v>30.939</v>
      </c>
      <c r="AH116">
        <v>29.370999999999999</v>
      </c>
      <c r="AI116">
        <v>32.014000000000003</v>
      </c>
      <c r="AJ116">
        <v>29.890999999999998</v>
      </c>
      <c r="AK116">
        <v>47.220999999999997</v>
      </c>
      <c r="AL116">
        <v>56.064</v>
      </c>
      <c r="AM116">
        <v>44.01</v>
      </c>
      <c r="AN116">
        <v>36.488999999999997</v>
      </c>
      <c r="AO116">
        <v>59.753</v>
      </c>
      <c r="AP116">
        <v>88.212999999999994</v>
      </c>
      <c r="AQ116">
        <v>59.628</v>
      </c>
      <c r="AR116">
        <v>53.344999999999999</v>
      </c>
      <c r="AS116">
        <v>38.341000000000001</v>
      </c>
      <c r="AT116">
        <v>54.069000000000003</v>
      </c>
      <c r="AU116">
        <v>56.146999999999998</v>
      </c>
      <c r="AV116">
        <v>44.039000000000001</v>
      </c>
      <c r="AW116">
        <v>43.860999999999997</v>
      </c>
      <c r="AX116">
        <v>62.442</v>
      </c>
      <c r="AY116">
        <v>52.127000000000002</v>
      </c>
      <c r="AZ116">
        <v>51.335999999999999</v>
      </c>
      <c r="BA116">
        <v>45.667000000000002</v>
      </c>
      <c r="BB116">
        <v>52.552999999999997</v>
      </c>
      <c r="BC116">
        <v>55.335999999999999</v>
      </c>
      <c r="BD116">
        <v>52.87</v>
      </c>
      <c r="BE116">
        <v>50.06</v>
      </c>
      <c r="BF116">
        <v>71.424999999999997</v>
      </c>
      <c r="BG116">
        <v>79.933999999999997</v>
      </c>
      <c r="BH116">
        <v>70.569000000000003</v>
      </c>
      <c r="BI116">
        <v>87.224000000000004</v>
      </c>
      <c r="BJ116">
        <v>81.201999999999998</v>
      </c>
      <c r="BK116">
        <v>76.997</v>
      </c>
      <c r="BL116">
        <v>87.347999999999999</v>
      </c>
      <c r="BM116">
        <v>79.242000000000004</v>
      </c>
      <c r="BN116">
        <v>76.430999999999997</v>
      </c>
      <c r="BO116">
        <v>94.619</v>
      </c>
      <c r="BP116">
        <v>103.86199999999999</v>
      </c>
      <c r="BQ116">
        <v>92.18</v>
      </c>
      <c r="BR116">
        <v>82.963999999999999</v>
      </c>
      <c r="BS116">
        <v>89.956999999999994</v>
      </c>
      <c r="BT116">
        <v>100.881</v>
      </c>
      <c r="BU116">
        <v>85.64</v>
      </c>
      <c r="BV116">
        <v>81.037000000000006</v>
      </c>
      <c r="BW116">
        <v>83.039000000000001</v>
      </c>
      <c r="BX116">
        <v>95.338999999999999</v>
      </c>
      <c r="BY116">
        <v>124.102</v>
      </c>
      <c r="BZ116">
        <v>109.66200000000001</v>
      </c>
      <c r="CA116">
        <v>105.59</v>
      </c>
      <c r="CB116">
        <v>119.90600000000001</v>
      </c>
      <c r="CC116">
        <v>134.90199999999999</v>
      </c>
      <c r="CD116">
        <v>144.648</v>
      </c>
      <c r="CE116">
        <v>126.755</v>
      </c>
      <c r="CF116">
        <v>132.63399999999999</v>
      </c>
      <c r="CG116">
        <v>134.083</v>
      </c>
    </row>
    <row r="117" spans="1:85" x14ac:dyDescent="0.25">
      <c r="A117" t="str">
        <f>$A$17</f>
        <v xml:space="preserve">        Fixed-Term Deposits</v>
      </c>
      <c r="B117" t="str">
        <f>$B$17</f>
        <v>EBBSFIXE Index</v>
      </c>
      <c r="C117" t="str">
        <f>$C$17</f>
        <v>PR005</v>
      </c>
      <c r="D117" t="str">
        <f>$D$17</f>
        <v>PX_LAST</v>
      </c>
      <c r="E117" t="str">
        <f>$E$17</f>
        <v>Dynamic</v>
      </c>
      <c r="F117" t="e">
        <f ca="1">_xll.BDH($B$17,$C$17,$B$91,$B$92,CONCATENATE("Per=",$B$89),"Dts=H","Dir=H",CONCATENATE("Points=",$B$90),"Sort=R","Days=A","Fill=B",CONCATENATE("FX=", $B$88),"cols=80;rows=1")</f>
        <v>#N/A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108.65</v>
      </c>
      <c r="T117">
        <v>119.2</v>
      </c>
      <c r="U117">
        <v>102.878</v>
      </c>
      <c r="V117">
        <v>137.465</v>
      </c>
      <c r="W117">
        <v>144.28100000000001</v>
      </c>
      <c r="X117">
        <v>165.53299999999999</v>
      </c>
      <c r="Y117">
        <v>103.946</v>
      </c>
      <c r="Z117">
        <v>166.78</v>
      </c>
      <c r="AA117">
        <v>153.364</v>
      </c>
      <c r="AB117">
        <v>172.5</v>
      </c>
      <c r="AC117">
        <v>175.5</v>
      </c>
      <c r="AD117">
        <v>175.5</v>
      </c>
      <c r="AE117">
        <v>175.5</v>
      </c>
      <c r="AF117">
        <v>175.5</v>
      </c>
      <c r="AG117">
        <v>175.5</v>
      </c>
      <c r="AH117">
        <v>175.5</v>
      </c>
      <c r="AI117">
        <v>175.5</v>
      </c>
      <c r="AJ117">
        <v>175.5</v>
      </c>
      <c r="AK117">
        <v>175.5</v>
      </c>
      <c r="AL117">
        <v>151.20599999999999</v>
      </c>
      <c r="AM117">
        <v>152.06700000000001</v>
      </c>
      <c r="AN117">
        <v>179</v>
      </c>
      <c r="AO117">
        <v>179</v>
      </c>
      <c r="AP117">
        <v>104.842</v>
      </c>
      <c r="AQ117">
        <v>139.91999999999999</v>
      </c>
      <c r="AR117">
        <v>152.251</v>
      </c>
      <c r="AS117">
        <v>184</v>
      </c>
      <c r="AT117">
        <v>184</v>
      </c>
      <c r="AU117">
        <v>157.76400000000001</v>
      </c>
      <c r="AV117">
        <v>184</v>
      </c>
      <c r="AW117">
        <v>184</v>
      </c>
      <c r="AX117">
        <v>184</v>
      </c>
      <c r="AY117">
        <v>188</v>
      </c>
      <c r="AZ117">
        <v>188</v>
      </c>
      <c r="BA117">
        <v>188</v>
      </c>
      <c r="BB117">
        <v>188</v>
      </c>
      <c r="BC117">
        <v>187.5</v>
      </c>
      <c r="BD117">
        <v>190.5</v>
      </c>
      <c r="BE117">
        <v>190.5</v>
      </c>
      <c r="BF117">
        <v>190.5</v>
      </c>
      <c r="BG117">
        <v>190.5</v>
      </c>
      <c r="BH117">
        <v>190.5</v>
      </c>
      <c r="BI117">
        <v>192.5</v>
      </c>
      <c r="BJ117">
        <v>192.5</v>
      </c>
      <c r="BK117">
        <v>192.5</v>
      </c>
      <c r="BL117">
        <v>195.5</v>
      </c>
      <c r="BM117">
        <v>195.5</v>
      </c>
      <c r="BN117">
        <v>195.5</v>
      </c>
      <c r="BO117">
        <v>195.5</v>
      </c>
      <c r="BP117">
        <v>195</v>
      </c>
      <c r="BQ117">
        <v>195</v>
      </c>
      <c r="BR117">
        <v>195</v>
      </c>
      <c r="BS117">
        <v>195.005</v>
      </c>
      <c r="BT117">
        <v>197</v>
      </c>
      <c r="BU117">
        <v>197</v>
      </c>
      <c r="BV117">
        <v>201</v>
      </c>
      <c r="BW117">
        <v>201</v>
      </c>
      <c r="BX117">
        <v>201</v>
      </c>
      <c r="BY117">
        <v>202.5</v>
      </c>
      <c r="BZ117">
        <v>202.5</v>
      </c>
      <c r="CA117">
        <v>206</v>
      </c>
      <c r="CB117">
        <v>206</v>
      </c>
      <c r="CC117">
        <v>205.5</v>
      </c>
      <c r="CD117">
        <v>205.5</v>
      </c>
      <c r="CE117">
        <v>205.5</v>
      </c>
      <c r="CF117">
        <v>205.5</v>
      </c>
      <c r="CG117">
        <v>205.5</v>
      </c>
    </row>
    <row r="118" spans="1:85" x14ac:dyDescent="0.25">
      <c r="A118" t="str">
        <f>$A$18</f>
        <v xml:space="preserve">        Fine-tuning Reverse Operations</v>
      </c>
      <c r="B118" t="str">
        <f>$B$18</f>
        <v>EBBSDEPO Index</v>
      </c>
      <c r="C118" t="str">
        <f>$C$18</f>
        <v>PR005</v>
      </c>
      <c r="D118" t="str">
        <f>$D$18</f>
        <v>PX_LAST</v>
      </c>
      <c r="E118" t="str">
        <f>$E$18</f>
        <v>Dynamic</v>
      </c>
      <c r="F118" t="e">
        <f ca="1">_xll.BDH($B$18,$C$18,$B$91,$B$92,CONCATENATE("Per=",$B$89),"Dts=H","Dir=H",CONCATENATE("Points=",$B$90),"Sort=R","Days=A","Fill=B",CONCATENATE("FX=", $B$88),"cols=80;rows=1")</f>
        <v>#N/A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25">
      <c r="A119" t="str">
        <f>$A$19</f>
        <v xml:space="preserve">        Deposits Related to Margin Calls</v>
      </c>
      <c r="B119" t="str">
        <f>$B$19</f>
        <v>EBBSL025 Index</v>
      </c>
      <c r="C119" t="str">
        <f>$C$19</f>
        <v>PR005</v>
      </c>
      <c r="D119" t="str">
        <f>$D$19</f>
        <v>PX_LAST</v>
      </c>
      <c r="E119" t="str">
        <f>$E$19</f>
        <v>Dynamic</v>
      </c>
      <c r="F119" t="e">
        <f ca="1">_xll.BDH($B$19,$C$19,$B$91,$B$92,CONCATENATE("Per=",$B$89),"Dts=H","Dir=H",CONCATENATE("Points=",$B$90),"Sort=R","Days=A","Fill=B",CONCATENATE("FX=", $B$88),"cols=80;rows=1")</f>
        <v>#N/A</v>
      </c>
      <c r="G119">
        <v>1.7000000000000001E-2</v>
      </c>
      <c r="H119">
        <v>3.3000000000000002E-2</v>
      </c>
      <c r="I119">
        <v>3.3000000000000002E-2</v>
      </c>
      <c r="J119">
        <v>3.3000000000000002E-2</v>
      </c>
      <c r="K119">
        <v>0.251</v>
      </c>
      <c r="L119">
        <v>2.5000000000000001E-2</v>
      </c>
      <c r="M119">
        <v>2.7E-2</v>
      </c>
      <c r="N119">
        <v>5.7000000000000002E-2</v>
      </c>
      <c r="O119">
        <v>6.0000000000000001E-3</v>
      </c>
      <c r="P119">
        <v>1.7000000000000001E-2</v>
      </c>
      <c r="Q119">
        <v>7.0000000000000001E-3</v>
      </c>
      <c r="R119">
        <v>7.0000000000000001E-3</v>
      </c>
      <c r="S119">
        <v>0.158</v>
      </c>
      <c r="T119">
        <v>5.8000000000000003E-2</v>
      </c>
      <c r="U119">
        <v>7.0000000000000001E-3</v>
      </c>
      <c r="V119">
        <v>7.0000000000000001E-3</v>
      </c>
      <c r="W119">
        <v>7.0000000000000001E-3</v>
      </c>
      <c r="X119">
        <v>0.13300000000000001</v>
      </c>
      <c r="Y119">
        <v>5.2999999999999999E-2</v>
      </c>
      <c r="Z119">
        <v>1E-3</v>
      </c>
      <c r="AA119">
        <v>3.2000000000000001E-2</v>
      </c>
      <c r="AB119">
        <v>0.15</v>
      </c>
      <c r="AC119">
        <v>1E-3</v>
      </c>
      <c r="AD119">
        <v>0</v>
      </c>
      <c r="AE119">
        <v>4.0000000000000001E-3</v>
      </c>
      <c r="AF119">
        <v>4.4999999999999998E-2</v>
      </c>
      <c r="AG119">
        <v>3.0000000000000001E-3</v>
      </c>
      <c r="AH119">
        <v>0.223</v>
      </c>
      <c r="AI119">
        <v>3.0000000000000001E-3</v>
      </c>
      <c r="AJ119">
        <v>0.45300000000000001</v>
      </c>
      <c r="AK119">
        <v>3.0000000000000001E-3</v>
      </c>
      <c r="AL119">
        <v>0.16400000000000001</v>
      </c>
      <c r="AM119">
        <v>1.7999999999999999E-2</v>
      </c>
      <c r="AN119">
        <v>0.06</v>
      </c>
      <c r="AO119">
        <v>0.17899999999999999</v>
      </c>
      <c r="AP119">
        <v>3.9E-2</v>
      </c>
      <c r="AQ119">
        <v>0.10199999999999999</v>
      </c>
      <c r="AR119">
        <v>0.80800000000000005</v>
      </c>
      <c r="AS119">
        <v>7.5999999999999998E-2</v>
      </c>
      <c r="AT119">
        <v>0.39400000000000002</v>
      </c>
      <c r="AU119">
        <v>0.19600000000000001</v>
      </c>
      <c r="AV119">
        <v>0.108</v>
      </c>
      <c r="AW119">
        <v>1.0999999999999999E-2</v>
      </c>
      <c r="AX119">
        <v>0.23400000000000001</v>
      </c>
      <c r="AY119">
        <v>3.9E-2</v>
      </c>
      <c r="AZ119">
        <v>0.17</v>
      </c>
      <c r="BA119">
        <v>1.7999999999999999E-2</v>
      </c>
      <c r="BB119">
        <v>0.02</v>
      </c>
      <c r="BC119">
        <v>0.02</v>
      </c>
      <c r="BD119">
        <v>4.4999999999999998E-2</v>
      </c>
      <c r="BE119">
        <v>3.4000000000000002E-2</v>
      </c>
      <c r="BF119">
        <v>5.2999999999999999E-2</v>
      </c>
      <c r="BG119">
        <v>2.4E-2</v>
      </c>
      <c r="BH119">
        <v>0.14899999999999999</v>
      </c>
      <c r="BI119">
        <v>5.6000000000000001E-2</v>
      </c>
      <c r="BJ119">
        <v>0.02</v>
      </c>
      <c r="BK119">
        <v>1.7000000000000001E-2</v>
      </c>
      <c r="BL119">
        <v>0.20799999999999999</v>
      </c>
      <c r="BM119">
        <v>2.7E-2</v>
      </c>
      <c r="BN119">
        <v>4.8000000000000001E-2</v>
      </c>
      <c r="BO119">
        <v>6.0000000000000001E-3</v>
      </c>
      <c r="BP119">
        <v>1E-3</v>
      </c>
      <c r="BQ119">
        <v>0.48499999999999999</v>
      </c>
      <c r="BR119">
        <v>5.0000000000000001E-3</v>
      </c>
      <c r="BS119">
        <v>2.5000000000000001E-2</v>
      </c>
      <c r="BT119">
        <v>0.107</v>
      </c>
      <c r="BU119">
        <v>7.1999999999999995E-2</v>
      </c>
      <c r="BV119">
        <v>0</v>
      </c>
      <c r="BW119">
        <v>7.0000000000000001E-3</v>
      </c>
      <c r="BX119">
        <v>0</v>
      </c>
      <c r="BY119">
        <v>0.32400000000000001</v>
      </c>
      <c r="BZ119">
        <v>3.5000000000000003E-2</v>
      </c>
      <c r="CA119">
        <v>0.17899999999999999</v>
      </c>
      <c r="CB119">
        <v>0.11</v>
      </c>
      <c r="CC119">
        <v>0.12</v>
      </c>
      <c r="CD119">
        <v>0.437</v>
      </c>
      <c r="CE119">
        <v>0.9</v>
      </c>
      <c r="CF119">
        <v>1.121</v>
      </c>
      <c r="CG119">
        <v>0.873</v>
      </c>
    </row>
    <row r="120" spans="1:85" x14ac:dyDescent="0.25">
      <c r="A120" t="str">
        <f>$A$20</f>
        <v xml:space="preserve">        Debt Certificates Issued</v>
      </c>
      <c r="B120" t="str">
        <f>$B$20</f>
        <v>EBBSCERT Index</v>
      </c>
      <c r="C120" t="str">
        <f>$C$20</f>
        <v>PR005</v>
      </c>
      <c r="D120" t="str">
        <f>$D$20</f>
        <v>PX_LAST</v>
      </c>
      <c r="E120" t="str">
        <f>$E$20</f>
        <v>Dynamic</v>
      </c>
      <c r="F120" t="e">
        <f ca="1">_xll.BDH($B$20,$C$20,$B$91,$B$92,CONCATENATE("Per=",$B$89),"Dts=H","Dir=H",CONCATENATE("Points=",$B$90),"Sort=R","Days=A","Fill=B",CONCATENATE("FX=", $B$88),"cols=80;rows=1")</f>
        <v>#N/A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1:85" x14ac:dyDescent="0.25">
      <c r="A121" t="str">
        <f>$A$21</f>
        <v xml:space="preserve">    ECB Current Accounts (incl. Minimum Reserve System)</v>
      </c>
      <c r="B121" t="str">
        <f>$B$21</f>
        <v>EBBSCA Index</v>
      </c>
      <c r="C121" t="str">
        <f>$C$21</f>
        <v>PR005</v>
      </c>
      <c r="D121" t="str">
        <f>$D$21</f>
        <v>PX_LAST</v>
      </c>
      <c r="E121" t="str">
        <f>$E$21</f>
        <v>Dynamic</v>
      </c>
      <c r="F121" t="e">
        <f ca="1">_xll.BDH($B$21,$C$21,$B$91,$B$92,CONCATENATE("Per=",$B$89),"Dts=H","Dir=H",CONCATENATE("Points=",$B$90),"Sort=R","Days=A","Fill=B",CONCATENATE("FX=", $B$88),"cols=80;rows=1")</f>
        <v>#N/A</v>
      </c>
      <c r="G121">
        <v>193.71899999999999</v>
      </c>
      <c r="H121">
        <v>222.75700000000001</v>
      </c>
      <c r="I121">
        <v>205.21600000000001</v>
      </c>
      <c r="J121">
        <v>221.62</v>
      </c>
      <c r="K121">
        <v>214.47499999999999</v>
      </c>
      <c r="L121">
        <v>219.715</v>
      </c>
      <c r="M121">
        <v>196.36699999999999</v>
      </c>
      <c r="N121">
        <v>211.10300000000001</v>
      </c>
      <c r="O121">
        <v>206.155</v>
      </c>
      <c r="P121">
        <v>214.24600000000001</v>
      </c>
      <c r="Q121">
        <v>217.727</v>
      </c>
      <c r="R121">
        <v>211.226</v>
      </c>
      <c r="S121">
        <v>199.83099999999999</v>
      </c>
      <c r="T121">
        <v>187.12299999999999</v>
      </c>
      <c r="U121">
        <v>209.392</v>
      </c>
      <c r="V121">
        <v>168.54499999999999</v>
      </c>
      <c r="W121">
        <v>201.41499999999999</v>
      </c>
      <c r="X121">
        <v>150.01900000000001</v>
      </c>
      <c r="Y121">
        <v>240.19200000000001</v>
      </c>
      <c r="Z121">
        <v>166.14500000000001</v>
      </c>
      <c r="AA121">
        <v>202.94499999999999</v>
      </c>
      <c r="AB121">
        <v>198.232</v>
      </c>
      <c r="AC121">
        <v>181.14500000000001</v>
      </c>
      <c r="AD121">
        <v>179.16200000000001</v>
      </c>
      <c r="AE121">
        <v>195.20099999999999</v>
      </c>
      <c r="AF121">
        <v>226.755</v>
      </c>
      <c r="AG121">
        <v>187.11199999999999</v>
      </c>
      <c r="AH121">
        <v>187.393</v>
      </c>
      <c r="AI121">
        <v>196.262</v>
      </c>
      <c r="AJ121">
        <v>223.73500000000001</v>
      </c>
      <c r="AK121">
        <v>200.44399999999999</v>
      </c>
      <c r="AL121">
        <v>215.69</v>
      </c>
      <c r="AM121">
        <v>227.88399999999999</v>
      </c>
      <c r="AN121">
        <v>202.44900000000001</v>
      </c>
      <c r="AO121">
        <v>202.327</v>
      </c>
      <c r="AP121">
        <v>298.94299999999998</v>
      </c>
      <c r="AQ121">
        <v>244.083</v>
      </c>
      <c r="AR121">
        <v>256.07799999999997</v>
      </c>
      <c r="AS121">
        <v>223.637</v>
      </c>
      <c r="AT121">
        <v>203.67400000000001</v>
      </c>
      <c r="AU121">
        <v>215.501</v>
      </c>
      <c r="AV121">
        <v>217.95699999999999</v>
      </c>
      <c r="AW121">
        <v>231.88800000000001</v>
      </c>
      <c r="AX121">
        <v>230.56899999999999</v>
      </c>
      <c r="AY121">
        <v>226.935</v>
      </c>
      <c r="AZ121">
        <v>230.15600000000001</v>
      </c>
      <c r="BA121">
        <v>269.10500000000002</v>
      </c>
      <c r="BB121">
        <v>268.04700000000003</v>
      </c>
      <c r="BC121">
        <v>265.36599999999999</v>
      </c>
      <c r="BD121">
        <v>258.76</v>
      </c>
      <c r="BE121">
        <v>274.47800000000001</v>
      </c>
      <c r="BF121">
        <v>275.81900000000002</v>
      </c>
      <c r="BG121">
        <v>269.18099999999998</v>
      </c>
      <c r="BH121">
        <v>272.26</v>
      </c>
      <c r="BI121">
        <v>256.14800000000002</v>
      </c>
      <c r="BJ121">
        <v>281.53899999999999</v>
      </c>
      <c r="BK121">
        <v>284.03500000000003</v>
      </c>
      <c r="BL121">
        <v>272.32900000000001</v>
      </c>
      <c r="BM121">
        <v>255.821</v>
      </c>
      <c r="BN121">
        <v>264.66199999999998</v>
      </c>
      <c r="BO121">
        <v>275.34699999999998</v>
      </c>
      <c r="BP121">
        <v>271.26400000000001</v>
      </c>
      <c r="BQ121">
        <v>276.32900000000001</v>
      </c>
      <c r="BR121">
        <v>279.536</v>
      </c>
      <c r="BS121">
        <v>309.815</v>
      </c>
      <c r="BT121">
        <v>280.024</v>
      </c>
      <c r="BU121">
        <v>273.35399999999998</v>
      </c>
      <c r="BV121">
        <v>294.64600000000002</v>
      </c>
      <c r="BW121">
        <v>319.50400000000002</v>
      </c>
      <c r="BX121">
        <v>333.697</v>
      </c>
      <c r="BY121">
        <v>296.19799999999998</v>
      </c>
      <c r="BZ121">
        <v>315.952</v>
      </c>
      <c r="CA121">
        <v>329.80099999999999</v>
      </c>
      <c r="CB121">
        <v>343.05099999999999</v>
      </c>
      <c r="CC121">
        <v>336.91199999999998</v>
      </c>
      <c r="CD121">
        <v>319.27499999999998</v>
      </c>
      <c r="CE121">
        <v>351.673</v>
      </c>
      <c r="CF121">
        <v>366.51</v>
      </c>
      <c r="CG121">
        <v>354.80200000000002</v>
      </c>
    </row>
    <row r="122" spans="1:85" x14ac:dyDescent="0.25">
      <c r="A122" t="str">
        <f>$A$27</f>
        <v>ECB USD Total Swap Line Currently Drawndown (USD B)</v>
      </c>
      <c r="B122" t="str">
        <f>$B$27</f>
        <v>FESLECB Index</v>
      </c>
      <c r="C122" t="str">
        <f>$C$27</f>
        <v>PR005</v>
      </c>
      <c r="D122" t="str">
        <f>$D$27</f>
        <v>PX_LAST</v>
      </c>
      <c r="E122" t="str">
        <f>$E$27</f>
        <v>Dynamic</v>
      </c>
      <c r="F122" t="e">
        <f ca="1">_xll.BDH($B$27,$C$27,$B$91,$B$92,CONCATENATE("Per=",$B$89),"Dts=H","Dir=H",CONCATENATE("Points=",$B$90),"Sort=R","Days=A","Fill=B",CONCATENATE("FX=", $B$88),"cols=80;rows=1")</f>
        <v>#N/A</v>
      </c>
      <c r="AY122">
        <v>0.77</v>
      </c>
      <c r="AZ122">
        <v>0.77</v>
      </c>
      <c r="BA122">
        <v>0.77</v>
      </c>
      <c r="BB122">
        <v>0.77</v>
      </c>
      <c r="BC122">
        <v>0.69</v>
      </c>
      <c r="BD122">
        <v>1.01</v>
      </c>
      <c r="BE122">
        <v>0.77</v>
      </c>
      <c r="BF122">
        <v>0.77</v>
      </c>
      <c r="BG122">
        <v>0.82</v>
      </c>
      <c r="BH122">
        <v>0.82</v>
      </c>
      <c r="BI122">
        <v>0.82</v>
      </c>
      <c r="BJ122">
        <v>0.82</v>
      </c>
      <c r="BK122">
        <v>0.69</v>
      </c>
      <c r="BL122">
        <v>0.69</v>
      </c>
      <c r="BM122">
        <v>0.69</v>
      </c>
      <c r="BN122">
        <v>0.69</v>
      </c>
      <c r="BO122">
        <v>0.66</v>
      </c>
      <c r="BP122">
        <v>0.66</v>
      </c>
      <c r="BQ122">
        <v>0.86</v>
      </c>
      <c r="BR122">
        <v>0.66</v>
      </c>
      <c r="BS122">
        <v>0.5</v>
      </c>
      <c r="BT122">
        <v>0.5</v>
      </c>
      <c r="BU122">
        <v>0.5</v>
      </c>
      <c r="BV122">
        <v>0.5</v>
      </c>
      <c r="BW122">
        <v>0.5</v>
      </c>
      <c r="BX122">
        <v>0.5</v>
      </c>
      <c r="BY122">
        <v>0.5</v>
      </c>
      <c r="BZ122">
        <v>0.5</v>
      </c>
      <c r="CA122">
        <v>0.5</v>
      </c>
      <c r="CB122">
        <v>0.5</v>
      </c>
      <c r="CC122">
        <v>0.5</v>
      </c>
      <c r="CD122">
        <v>0.5</v>
      </c>
      <c r="CE122">
        <v>0.5</v>
      </c>
      <c r="CF122">
        <v>0.5</v>
      </c>
      <c r="CG122">
        <v>0.5</v>
      </c>
    </row>
    <row r="123" spans="1:85" x14ac:dyDescent="0.25">
      <c r="A123" t="str">
        <f>$A$31</f>
        <v xml:space="preserve">        Net Added/Drained</v>
      </c>
      <c r="B123" t="str">
        <f>$B$31</f>
        <v>ECBANET Index</v>
      </c>
      <c r="C123" t="str">
        <f>$C$31</f>
        <v>PR005</v>
      </c>
      <c r="D123" t="str">
        <f>$D$31</f>
        <v>PX_LAST</v>
      </c>
      <c r="E123" t="str">
        <f>$E$31</f>
        <v>Dynamic</v>
      </c>
      <c r="F123" t="e">
        <f ca="1">_xll.BDH($B$31,$C$31,$B$91,$B$92,CONCATENATE("Per=",$B$89),"Dts=H","Dir=H",CONCATENATE("Points=",$B$90),"Sort=R","Days=A","Fill=B",CONCATENATE("FX=", $B$88),"cols=80;rows=1")</f>
        <v>#N/A</v>
      </c>
      <c r="G123">
        <v>-20.6</v>
      </c>
      <c r="H123">
        <v>24.1</v>
      </c>
      <c r="I123">
        <v>-0.6</v>
      </c>
      <c r="J123">
        <v>0.3</v>
      </c>
      <c r="K123">
        <v>-25.4</v>
      </c>
      <c r="L123">
        <v>35.4</v>
      </c>
      <c r="M123">
        <v>-2</v>
      </c>
      <c r="N123">
        <v>5.8</v>
      </c>
      <c r="O123">
        <v>-3</v>
      </c>
      <c r="P123">
        <v>-17.899999999999999</v>
      </c>
      <c r="Q123">
        <v>17.2</v>
      </c>
      <c r="R123">
        <v>-38.9</v>
      </c>
      <c r="S123">
        <v>-12.6</v>
      </c>
      <c r="T123">
        <v>-24.7</v>
      </c>
      <c r="U123">
        <v>42</v>
      </c>
      <c r="V123">
        <v>-5.3</v>
      </c>
      <c r="W123">
        <v>8.1999999999999993</v>
      </c>
      <c r="X123">
        <v>-43.5</v>
      </c>
      <c r="Y123">
        <v>50.8</v>
      </c>
      <c r="Z123">
        <v>9.6999999999999993</v>
      </c>
      <c r="AA123">
        <v>7.5</v>
      </c>
      <c r="AB123">
        <v>-6</v>
      </c>
      <c r="AC123">
        <v>-10.7</v>
      </c>
      <c r="AD123">
        <v>24.4</v>
      </c>
      <c r="AE123">
        <v>4.3</v>
      </c>
      <c r="AF123">
        <v>5.5</v>
      </c>
      <c r="AG123">
        <v>-7</v>
      </c>
      <c r="AH123">
        <v>1.2</v>
      </c>
      <c r="AI123">
        <v>-0.4</v>
      </c>
      <c r="AJ123">
        <v>-1.9</v>
      </c>
      <c r="AK123">
        <v>-20.5</v>
      </c>
      <c r="AL123">
        <v>-0.6</v>
      </c>
      <c r="AM123">
        <v>21.5</v>
      </c>
      <c r="AN123">
        <v>-17.7</v>
      </c>
      <c r="AO123">
        <v>-56.2</v>
      </c>
      <c r="AP123">
        <v>35.1</v>
      </c>
      <c r="AQ123">
        <v>14.7</v>
      </c>
      <c r="AR123">
        <v>20.399999999999999</v>
      </c>
      <c r="AS123">
        <v>3.9</v>
      </c>
      <c r="AT123">
        <v>-2.6</v>
      </c>
      <c r="AU123">
        <v>10.3</v>
      </c>
      <c r="AV123">
        <v>-0.9</v>
      </c>
      <c r="AW123">
        <v>-1.8</v>
      </c>
      <c r="AX123">
        <v>0.2</v>
      </c>
      <c r="AY123">
        <v>-1.3</v>
      </c>
      <c r="AZ123">
        <v>-0.6</v>
      </c>
      <c r="BA123">
        <v>-2.1</v>
      </c>
      <c r="BB123">
        <v>-1.1000000000000001</v>
      </c>
      <c r="BC123">
        <v>-2.6</v>
      </c>
      <c r="BD123">
        <v>0.8</v>
      </c>
      <c r="BE123">
        <v>-0.9</v>
      </c>
      <c r="BF123">
        <v>1.5</v>
      </c>
      <c r="BG123">
        <v>-1.5</v>
      </c>
      <c r="BH123">
        <v>-0.6</v>
      </c>
      <c r="BI123">
        <v>0.2</v>
      </c>
      <c r="BJ123">
        <v>-1.9</v>
      </c>
      <c r="BK123">
        <v>-9.8000000000000007</v>
      </c>
      <c r="BL123">
        <v>6.9</v>
      </c>
      <c r="BM123">
        <v>-2.1</v>
      </c>
      <c r="BN123">
        <v>2.4</v>
      </c>
      <c r="BO123">
        <v>-5.6</v>
      </c>
      <c r="BP123">
        <v>-9.6</v>
      </c>
      <c r="BQ123">
        <v>15.3</v>
      </c>
      <c r="BR123">
        <v>-6.3</v>
      </c>
      <c r="BS123">
        <v>5.3</v>
      </c>
      <c r="BT123">
        <v>-0.2</v>
      </c>
      <c r="BU123">
        <v>-0.2</v>
      </c>
      <c r="BV123">
        <v>-0.4</v>
      </c>
      <c r="BW123">
        <v>-6.4</v>
      </c>
      <c r="BX123">
        <v>5.3</v>
      </c>
      <c r="BY123">
        <v>-5.4</v>
      </c>
      <c r="BZ123">
        <v>-6</v>
      </c>
      <c r="CA123">
        <v>-3</v>
      </c>
      <c r="CB123">
        <v>-5.5</v>
      </c>
      <c r="CC123">
        <v>1.6</v>
      </c>
      <c r="CD123">
        <v>3.9</v>
      </c>
      <c r="CE123">
        <v>-7.9</v>
      </c>
      <c r="CF123">
        <v>-2.5</v>
      </c>
      <c r="CG123">
        <v>-1.3</v>
      </c>
    </row>
    <row r="124" spans="1:85" x14ac:dyDescent="0.25">
      <c r="A124" t="str">
        <f>$A$33</f>
        <v xml:space="preserve">            Bid Amount</v>
      </c>
      <c r="B124" t="str">
        <f>$B$33</f>
        <v>ECBATBID Index</v>
      </c>
      <c r="C124" t="str">
        <f>$C$33</f>
        <v>PR005</v>
      </c>
      <c r="D124" t="str">
        <f>$D$33</f>
        <v>PX_LAST</v>
      </c>
      <c r="E124" t="str">
        <f>$E$33</f>
        <v>Dynamic</v>
      </c>
      <c r="F124" t="e">
        <f ca="1">_xll.BDH($B$33,$C$33,$B$91,$B$92,CONCATENATE("Per=",$B$89),"Dts=H","Dir=H",CONCATENATE("Points=",$B$90),"Sort=R","Days=A","Fill=B",CONCATENATE("FX=", $B$88),"cols=80;rows=1")</f>
        <v>#N/A</v>
      </c>
      <c r="G124">
        <v>111.2</v>
      </c>
      <c r="H124">
        <v>131.76</v>
      </c>
      <c r="I124">
        <v>107.61</v>
      </c>
      <c r="J124">
        <v>108.2</v>
      </c>
      <c r="K124">
        <v>107.92</v>
      </c>
      <c r="L124">
        <v>133.30000000000001</v>
      </c>
      <c r="M124">
        <v>97.89</v>
      </c>
      <c r="N124">
        <v>99.91</v>
      </c>
      <c r="O124">
        <v>94.15</v>
      </c>
      <c r="P124">
        <v>97.1</v>
      </c>
      <c r="Q124">
        <v>115.04</v>
      </c>
      <c r="R124">
        <v>97.89</v>
      </c>
      <c r="S124">
        <v>136.77000000000001</v>
      </c>
      <c r="T124">
        <v>149.35</v>
      </c>
      <c r="U124">
        <v>174</v>
      </c>
      <c r="V124">
        <v>131.96</v>
      </c>
      <c r="W124">
        <v>137.30000000000001</v>
      </c>
      <c r="X124">
        <v>129.13999999999999</v>
      </c>
      <c r="Y124">
        <v>172.62</v>
      </c>
      <c r="Z124">
        <v>121.82</v>
      </c>
      <c r="AA124">
        <v>112.17</v>
      </c>
      <c r="AB124">
        <v>104.62</v>
      </c>
      <c r="AC124">
        <v>110.64</v>
      </c>
      <c r="AD124">
        <v>121.31</v>
      </c>
      <c r="AE124">
        <v>96.91</v>
      </c>
      <c r="AF124">
        <v>92.57</v>
      </c>
      <c r="AG124">
        <v>87.05</v>
      </c>
      <c r="AH124">
        <v>94.04</v>
      </c>
      <c r="AI124">
        <v>92.87</v>
      </c>
      <c r="AJ124">
        <v>93.28</v>
      </c>
      <c r="AK124">
        <v>95.15</v>
      </c>
      <c r="AL124">
        <v>115.63</v>
      </c>
      <c r="AM124">
        <v>116.28</v>
      </c>
      <c r="AN124">
        <v>94.74</v>
      </c>
      <c r="AO124">
        <v>112.46</v>
      </c>
      <c r="AP124">
        <v>168.66</v>
      </c>
      <c r="AQ124">
        <v>133.58000000000001</v>
      </c>
      <c r="AR124">
        <v>118.91</v>
      </c>
      <c r="AS124">
        <v>98.49</v>
      </c>
      <c r="AT124">
        <v>94.63</v>
      </c>
      <c r="AU124">
        <v>97.21</v>
      </c>
      <c r="AV124">
        <v>86.88</v>
      </c>
      <c r="AW124">
        <v>87.74</v>
      </c>
      <c r="AX124">
        <v>89.52</v>
      </c>
      <c r="AY124">
        <v>89.32</v>
      </c>
      <c r="AZ124">
        <v>90.61</v>
      </c>
      <c r="BA124">
        <v>91.23</v>
      </c>
      <c r="BB124">
        <v>93.37</v>
      </c>
      <c r="BC124">
        <v>94.47</v>
      </c>
      <c r="BD124">
        <v>97.03</v>
      </c>
      <c r="BE124">
        <v>96.25</v>
      </c>
      <c r="BF124">
        <v>97.17</v>
      </c>
      <c r="BG124">
        <v>95.62</v>
      </c>
      <c r="BH124">
        <v>97.13</v>
      </c>
      <c r="BI124">
        <v>97.73</v>
      </c>
      <c r="BJ124">
        <v>97.56</v>
      </c>
      <c r="BK124">
        <v>99.41</v>
      </c>
      <c r="BL124">
        <v>109.16</v>
      </c>
      <c r="BM124">
        <v>102.3</v>
      </c>
      <c r="BN124">
        <v>104.43</v>
      </c>
      <c r="BO124">
        <v>102.06</v>
      </c>
      <c r="BP124">
        <v>107.7</v>
      </c>
      <c r="BQ124">
        <v>117.31</v>
      </c>
      <c r="BR124">
        <v>102.04</v>
      </c>
      <c r="BS124">
        <v>108.33</v>
      </c>
      <c r="BT124">
        <v>103.02</v>
      </c>
      <c r="BU124">
        <v>103.19</v>
      </c>
      <c r="BV124">
        <v>103.4</v>
      </c>
      <c r="BW124">
        <v>103.84</v>
      </c>
      <c r="BX124">
        <v>110.29</v>
      </c>
      <c r="BY124">
        <v>105.01</v>
      </c>
      <c r="BZ124">
        <v>110.41</v>
      </c>
      <c r="CA124">
        <v>116.37</v>
      </c>
      <c r="CB124">
        <v>119.35</v>
      </c>
      <c r="CC124">
        <v>124.88</v>
      </c>
      <c r="CD124">
        <v>123.24</v>
      </c>
      <c r="CE124">
        <v>119.37</v>
      </c>
      <c r="CF124">
        <v>127.3</v>
      </c>
      <c r="CG124">
        <v>129.80000000000001</v>
      </c>
    </row>
    <row r="125" spans="1:85" x14ac:dyDescent="0.25">
      <c r="A125" t="str">
        <f>$A$34</f>
        <v xml:space="preserve">            Alloted Amount</v>
      </c>
      <c r="B125" t="str">
        <f>$B$34</f>
        <v>ECBATOT Index</v>
      </c>
      <c r="C125" t="str">
        <f>$C$34</f>
        <v>PR005</v>
      </c>
      <c r="D125" t="str">
        <f>$D$34</f>
        <v>PX_LAST</v>
      </c>
      <c r="E125" t="str">
        <f>$E$34</f>
        <v>Dynamic</v>
      </c>
      <c r="F125" t="e">
        <f ca="1">_xll.BDH($B$34,$C$34,$B$91,$B$92,CONCATENATE("Per=",$B$89),"Dts=H","Dir=H",CONCATENATE("Points=",$B$90),"Sort=R","Days=A","Fill=B",CONCATENATE("FX=", $B$88),"cols=80;rows=1")</f>
        <v>#N/A</v>
      </c>
      <c r="G125">
        <v>111.2</v>
      </c>
      <c r="H125">
        <v>131.76</v>
      </c>
      <c r="I125">
        <v>107.61</v>
      </c>
      <c r="J125">
        <v>108.2</v>
      </c>
      <c r="K125">
        <v>107.92</v>
      </c>
      <c r="L125">
        <v>133.30000000000001</v>
      </c>
      <c r="M125">
        <v>97.89</v>
      </c>
      <c r="N125">
        <v>99.91</v>
      </c>
      <c r="O125">
        <v>94.15</v>
      </c>
      <c r="P125">
        <v>97.1</v>
      </c>
      <c r="Q125">
        <v>115.04</v>
      </c>
      <c r="R125">
        <v>97.89</v>
      </c>
      <c r="S125">
        <v>136.77000000000001</v>
      </c>
      <c r="T125">
        <v>149.35</v>
      </c>
      <c r="U125">
        <v>174</v>
      </c>
      <c r="V125">
        <v>131.96</v>
      </c>
      <c r="W125">
        <v>137.30000000000001</v>
      </c>
      <c r="X125">
        <v>129.13999999999999</v>
      </c>
      <c r="Y125">
        <v>172.62</v>
      </c>
      <c r="Z125">
        <v>121.82</v>
      </c>
      <c r="AA125">
        <v>112.17</v>
      </c>
      <c r="AB125">
        <v>104.62</v>
      </c>
      <c r="AC125">
        <v>110.64</v>
      </c>
      <c r="AD125">
        <v>121.31</v>
      </c>
      <c r="AE125">
        <v>96.91</v>
      </c>
      <c r="AF125">
        <v>92.57</v>
      </c>
      <c r="AG125">
        <v>87.05</v>
      </c>
      <c r="AH125">
        <v>94.04</v>
      </c>
      <c r="AI125">
        <v>92.87</v>
      </c>
      <c r="AJ125">
        <v>93.28</v>
      </c>
      <c r="AK125">
        <v>95.15</v>
      </c>
      <c r="AL125">
        <v>115.63</v>
      </c>
      <c r="AM125">
        <v>116.28</v>
      </c>
      <c r="AN125">
        <v>94.74</v>
      </c>
      <c r="AO125">
        <v>112.46</v>
      </c>
      <c r="AP125">
        <v>168.66</v>
      </c>
      <c r="AQ125">
        <v>133.58000000000001</v>
      </c>
      <c r="AR125">
        <v>118.91</v>
      </c>
      <c r="AS125">
        <v>98.49</v>
      </c>
      <c r="AT125">
        <v>94.63</v>
      </c>
      <c r="AU125">
        <v>97.21</v>
      </c>
      <c r="AV125">
        <v>86.88</v>
      </c>
      <c r="AW125">
        <v>87.74</v>
      </c>
      <c r="AX125">
        <v>89.52</v>
      </c>
      <c r="AY125">
        <v>89.32</v>
      </c>
      <c r="AZ125">
        <v>90.61</v>
      </c>
      <c r="BA125">
        <v>91.23</v>
      </c>
      <c r="BB125">
        <v>93.37</v>
      </c>
      <c r="BC125">
        <v>94.47</v>
      </c>
      <c r="BD125">
        <v>97.03</v>
      </c>
      <c r="BE125">
        <v>96.25</v>
      </c>
      <c r="BF125">
        <v>97.17</v>
      </c>
      <c r="BG125">
        <v>95.62</v>
      </c>
      <c r="BH125">
        <v>97.13</v>
      </c>
      <c r="BI125">
        <v>97.73</v>
      </c>
      <c r="BJ125">
        <v>97.56</v>
      </c>
      <c r="BK125">
        <v>99.41</v>
      </c>
      <c r="BL125">
        <v>109.16</v>
      </c>
      <c r="BM125">
        <v>102.3</v>
      </c>
      <c r="BN125">
        <v>104.43</v>
      </c>
      <c r="BO125">
        <v>102.06</v>
      </c>
      <c r="BP125">
        <v>107.7</v>
      </c>
      <c r="BQ125">
        <v>117.31</v>
      </c>
      <c r="BR125">
        <v>102.04</v>
      </c>
      <c r="BS125">
        <v>108.33</v>
      </c>
      <c r="BT125">
        <v>103.02</v>
      </c>
      <c r="BU125">
        <v>103.19</v>
      </c>
      <c r="BV125">
        <v>103.4</v>
      </c>
      <c r="BW125">
        <v>103.84</v>
      </c>
      <c r="BX125">
        <v>110.29</v>
      </c>
      <c r="BY125">
        <v>105.01</v>
      </c>
      <c r="BZ125">
        <v>110.41</v>
      </c>
      <c r="CA125">
        <v>116.37</v>
      </c>
      <c r="CB125">
        <v>119.35</v>
      </c>
      <c r="CC125">
        <v>124.88</v>
      </c>
      <c r="CD125">
        <v>123.24</v>
      </c>
      <c r="CE125">
        <v>119.37</v>
      </c>
      <c r="CF125">
        <v>127.3</v>
      </c>
      <c r="CG125">
        <v>129.80000000000001</v>
      </c>
    </row>
    <row r="126" spans="1:85" x14ac:dyDescent="0.25">
      <c r="A126" t="str">
        <f>$A$35</f>
        <v xml:space="preserve">        Marginal Rate (%)</v>
      </c>
      <c r="B126" t="str">
        <f>$B$35</f>
        <v>ECBAMARG Index</v>
      </c>
      <c r="C126" t="str">
        <f>$C$35</f>
        <v>PR005</v>
      </c>
      <c r="D126" t="str">
        <f>$D$35</f>
        <v>PX_LAST</v>
      </c>
      <c r="E126" t="str">
        <f>$E$35</f>
        <v>Dynamic</v>
      </c>
      <c r="F126" t="e">
        <f ca="1">_xll.BDH($B$35,$C$35,$B$91,$B$92,CONCATENATE("Per=",$B$89),"Dts=H","Dir=H",CONCATENATE("Points=",$B$90),"Sort=R","Days=A","Fill=B",CONCATENATE("FX=", $B$88),"cols=80;rows=1")</f>
        <v>#N/A</v>
      </c>
      <c r="G126">
        <v>0.15</v>
      </c>
      <c r="H126">
        <v>0.15</v>
      </c>
      <c r="I126">
        <v>0.15</v>
      </c>
      <c r="J126">
        <v>0.15</v>
      </c>
      <c r="K126">
        <v>0.15</v>
      </c>
      <c r="L126">
        <v>0.15</v>
      </c>
      <c r="M126">
        <v>0.15</v>
      </c>
      <c r="N126">
        <v>0.15</v>
      </c>
      <c r="O126">
        <v>0.15</v>
      </c>
      <c r="P126">
        <v>0.15</v>
      </c>
      <c r="Q126">
        <v>0.15</v>
      </c>
      <c r="R126">
        <v>0.15</v>
      </c>
      <c r="S126">
        <v>0.15</v>
      </c>
      <c r="T126">
        <v>0.25</v>
      </c>
      <c r="U126">
        <v>0.25</v>
      </c>
      <c r="V126">
        <v>0.25</v>
      </c>
      <c r="W126">
        <v>0.25</v>
      </c>
      <c r="X126">
        <v>0.25</v>
      </c>
      <c r="Y126">
        <v>0.25</v>
      </c>
      <c r="Z126">
        <v>0.25</v>
      </c>
      <c r="AA126">
        <v>0.25</v>
      </c>
      <c r="AB126">
        <v>0.25</v>
      </c>
      <c r="AC126">
        <v>0.25</v>
      </c>
      <c r="AD126">
        <v>0.25</v>
      </c>
      <c r="AE126">
        <v>0.25</v>
      </c>
      <c r="AF126">
        <v>0.25</v>
      </c>
      <c r="AG126">
        <v>0.25</v>
      </c>
      <c r="AH126">
        <v>0.25</v>
      </c>
      <c r="AI126">
        <v>0.25</v>
      </c>
      <c r="AJ126">
        <v>0.25</v>
      </c>
      <c r="AK126">
        <v>0.25</v>
      </c>
      <c r="AL126">
        <v>0.25</v>
      </c>
      <c r="AM126">
        <v>0.25</v>
      </c>
      <c r="AN126">
        <v>0.25</v>
      </c>
      <c r="AO126">
        <v>0.25</v>
      </c>
      <c r="AP126">
        <v>0.25</v>
      </c>
      <c r="AQ126">
        <v>0.25</v>
      </c>
      <c r="AR126">
        <v>0.25</v>
      </c>
      <c r="AS126">
        <v>0.25</v>
      </c>
      <c r="AT126">
        <v>0.25</v>
      </c>
      <c r="AU126">
        <v>0.25</v>
      </c>
      <c r="AV126">
        <v>0.25</v>
      </c>
      <c r="AW126">
        <v>0.25</v>
      </c>
      <c r="AX126">
        <v>0.5</v>
      </c>
      <c r="AY126">
        <v>0.5</v>
      </c>
      <c r="AZ126">
        <v>0.5</v>
      </c>
      <c r="BA126">
        <v>0.5</v>
      </c>
      <c r="BB126">
        <v>0.5</v>
      </c>
      <c r="BC126">
        <v>0.5</v>
      </c>
      <c r="BD126">
        <v>0.5</v>
      </c>
      <c r="BE126">
        <v>0.5</v>
      </c>
      <c r="BF126">
        <v>0.5</v>
      </c>
      <c r="BG126">
        <v>0.5</v>
      </c>
      <c r="BH126">
        <v>0.5</v>
      </c>
      <c r="BI126">
        <v>0.5</v>
      </c>
      <c r="BJ126">
        <v>0.5</v>
      </c>
      <c r="BK126">
        <v>0.5</v>
      </c>
      <c r="BL126">
        <v>0.5</v>
      </c>
      <c r="BM126">
        <v>0.5</v>
      </c>
      <c r="BN126">
        <v>0.5</v>
      </c>
      <c r="BO126">
        <v>0.5</v>
      </c>
      <c r="BP126">
        <v>0.5</v>
      </c>
      <c r="BQ126">
        <v>0.5</v>
      </c>
      <c r="BR126">
        <v>0.5</v>
      </c>
      <c r="BS126">
        <v>0.5</v>
      </c>
      <c r="BT126">
        <v>0.5</v>
      </c>
      <c r="BU126">
        <v>0.5</v>
      </c>
      <c r="BV126">
        <v>0.5</v>
      </c>
      <c r="BW126">
        <v>0.5</v>
      </c>
      <c r="BX126">
        <v>0.5</v>
      </c>
      <c r="BY126">
        <v>0.75</v>
      </c>
      <c r="BZ126">
        <v>0.75</v>
      </c>
      <c r="CA126">
        <v>0.75</v>
      </c>
      <c r="CB126">
        <v>0.75</v>
      </c>
      <c r="CC126">
        <v>0.75</v>
      </c>
      <c r="CD126">
        <v>0.75</v>
      </c>
      <c r="CE126">
        <v>0.75</v>
      </c>
      <c r="CF126">
        <v>0.75</v>
      </c>
      <c r="CG126">
        <v>0.75</v>
      </c>
    </row>
    <row r="127" spans="1:85" x14ac:dyDescent="0.25">
      <c r="A127" t="str">
        <f>$A$36</f>
        <v xml:space="preserve">        Duration (days)</v>
      </c>
      <c r="B127" t="str">
        <f>$B$36</f>
        <v>ECBADUR Index</v>
      </c>
      <c r="C127" t="str">
        <f>$C$36</f>
        <v>PR005</v>
      </c>
      <c r="D127" t="str">
        <f>$D$36</f>
        <v>PX_LAST</v>
      </c>
      <c r="E127" t="str">
        <f>$E$36</f>
        <v>Dynamic</v>
      </c>
      <c r="F127" t="e">
        <f ca="1">_xll.BDH($B$36,$C$36,$B$91,$B$92,CONCATENATE("Per=",$B$89),"Dts=H","Dir=H",CONCATENATE("Points=",$B$90),"Sort=R","Days=A","Fill=B",CONCATENATE("FX=", $B$88),"cols=80;rows=1")</f>
        <v>#N/A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7</v>
      </c>
      <c r="M127">
        <v>7</v>
      </c>
      <c r="N127">
        <v>7</v>
      </c>
      <c r="O127">
        <v>7</v>
      </c>
      <c r="P127">
        <v>7</v>
      </c>
      <c r="Q127">
        <v>7</v>
      </c>
      <c r="R127">
        <v>7</v>
      </c>
      <c r="S127">
        <v>7</v>
      </c>
      <c r="T127">
        <v>7</v>
      </c>
      <c r="U127">
        <v>7</v>
      </c>
      <c r="V127">
        <v>7</v>
      </c>
      <c r="W127">
        <v>7</v>
      </c>
      <c r="X127">
        <v>7</v>
      </c>
      <c r="Y127">
        <v>7</v>
      </c>
      <c r="Z127">
        <v>7</v>
      </c>
      <c r="AA127">
        <v>7</v>
      </c>
      <c r="AB127">
        <v>7</v>
      </c>
      <c r="AC127">
        <v>7</v>
      </c>
      <c r="AD127">
        <v>7</v>
      </c>
      <c r="AE127">
        <v>7</v>
      </c>
      <c r="AF127">
        <v>7</v>
      </c>
      <c r="AG127">
        <v>7</v>
      </c>
      <c r="AH127">
        <v>7</v>
      </c>
      <c r="AI127">
        <v>7</v>
      </c>
      <c r="AJ127">
        <v>7</v>
      </c>
      <c r="AK127">
        <v>7</v>
      </c>
      <c r="AL127">
        <v>7</v>
      </c>
      <c r="AM127">
        <v>7</v>
      </c>
      <c r="AN127">
        <v>7</v>
      </c>
      <c r="AO127">
        <v>7</v>
      </c>
      <c r="AP127">
        <v>9</v>
      </c>
      <c r="AQ127">
        <v>7</v>
      </c>
      <c r="AR127">
        <v>5</v>
      </c>
      <c r="AS127">
        <v>7</v>
      </c>
      <c r="AT127">
        <v>7</v>
      </c>
      <c r="AU127">
        <v>7</v>
      </c>
      <c r="AV127">
        <v>7</v>
      </c>
      <c r="AW127">
        <v>7</v>
      </c>
      <c r="AX127">
        <v>7</v>
      </c>
      <c r="AY127">
        <v>7</v>
      </c>
      <c r="AZ127">
        <v>7</v>
      </c>
      <c r="BA127">
        <v>7</v>
      </c>
      <c r="BB127">
        <v>7</v>
      </c>
      <c r="BC127">
        <v>7</v>
      </c>
      <c r="BD127">
        <v>7</v>
      </c>
      <c r="BE127">
        <v>7</v>
      </c>
      <c r="BF127">
        <v>7</v>
      </c>
      <c r="BG127">
        <v>7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7</v>
      </c>
      <c r="BO127">
        <v>7</v>
      </c>
      <c r="BP127">
        <v>7</v>
      </c>
      <c r="BQ127">
        <v>7</v>
      </c>
      <c r="BR127">
        <v>7</v>
      </c>
      <c r="BS127">
        <v>7</v>
      </c>
      <c r="BT127">
        <v>7</v>
      </c>
      <c r="BU127">
        <v>7</v>
      </c>
      <c r="BV127">
        <v>7</v>
      </c>
      <c r="BW127">
        <v>7</v>
      </c>
      <c r="BX127">
        <v>7</v>
      </c>
      <c r="BY127">
        <v>6</v>
      </c>
      <c r="BZ127">
        <v>8</v>
      </c>
      <c r="CA127">
        <v>7</v>
      </c>
      <c r="CB127">
        <v>7</v>
      </c>
      <c r="CC127">
        <v>7</v>
      </c>
      <c r="CD127">
        <v>7</v>
      </c>
      <c r="CE127">
        <v>7</v>
      </c>
      <c r="CF127">
        <v>7</v>
      </c>
      <c r="CG127">
        <v>7</v>
      </c>
    </row>
    <row r="128" spans="1:85" x14ac:dyDescent="0.25">
      <c r="A128" t="str">
        <f>$A$38</f>
        <v xml:space="preserve">        Total Allotment</v>
      </c>
      <c r="B128" t="str">
        <f>$B$38</f>
        <v>ECBALTAL Index</v>
      </c>
      <c r="C128" t="str">
        <f>$C$38</f>
        <v>PR005</v>
      </c>
      <c r="D128" t="str">
        <f>$D$38</f>
        <v>PX_LAST</v>
      </c>
      <c r="E128" t="str">
        <f>$E$38</f>
        <v>Dynamic</v>
      </c>
      <c r="F128" t="e">
        <f ca="1">_xll.BDH($B$38,$C$38,$B$91,$B$92,CONCATENATE("Per=",$B$89),"Dts=H","Dir=H",CONCATENATE("Points=",$B$90),"Sort=R","Days=A","Fill=B",CONCATENATE("FX=", $B$88),"cols=80;rows=1")</f>
        <v>#N/A</v>
      </c>
      <c r="H128">
        <v>7.2439999999999998</v>
      </c>
      <c r="L128">
        <v>6.7859999999999996</v>
      </c>
      <c r="Q128">
        <v>10.385999999999999</v>
      </c>
      <c r="S128">
        <v>9.9700000000000006</v>
      </c>
      <c r="U128">
        <v>10.949</v>
      </c>
      <c r="W128">
        <v>32.335000000000001</v>
      </c>
      <c r="Y128">
        <v>13.193</v>
      </c>
      <c r="AB128">
        <v>28.023</v>
      </c>
      <c r="AD128">
        <v>11.617000000000001</v>
      </c>
      <c r="AF128">
        <v>7.5220000000000002</v>
      </c>
      <c r="AH128">
        <v>6.2969999999999997</v>
      </c>
      <c r="AJ128">
        <v>6.48</v>
      </c>
      <c r="AL128">
        <v>4.9550000000000001</v>
      </c>
      <c r="AN128">
        <v>7.0919999999999996</v>
      </c>
      <c r="AR128">
        <v>20.914000000000001</v>
      </c>
      <c r="AS128">
        <v>10.143000000000001</v>
      </c>
      <c r="AU128">
        <v>5.9260000000000002</v>
      </c>
      <c r="AW128">
        <v>3.194</v>
      </c>
      <c r="AY128">
        <v>1.9300000000000002</v>
      </c>
      <c r="BB128">
        <v>3.4470000000000001</v>
      </c>
      <c r="BD128">
        <v>8.6069999999999993</v>
      </c>
      <c r="BF128">
        <v>3.43</v>
      </c>
      <c r="BH128">
        <v>6.8230000000000004</v>
      </c>
      <c r="BK128">
        <v>3.91</v>
      </c>
      <c r="BL128">
        <v>2.6829999999999998</v>
      </c>
      <c r="BO128">
        <v>3.536</v>
      </c>
      <c r="BQ128">
        <v>9.4770000000000003</v>
      </c>
      <c r="BS128">
        <v>3.5910000000000002</v>
      </c>
      <c r="BU128">
        <v>5.83</v>
      </c>
      <c r="BX128">
        <v>5.23</v>
      </c>
      <c r="BZ128">
        <v>2.9769999999999999</v>
      </c>
      <c r="CB128">
        <v>5.1589999999999998</v>
      </c>
      <c r="CD128">
        <v>9.1129999999999995</v>
      </c>
      <c r="CF128">
        <v>4.2080000000000002</v>
      </c>
    </row>
    <row r="129" spans="1:85" x14ac:dyDescent="0.25">
      <c r="A129" t="str">
        <f>$A$40</f>
        <v xml:space="preserve">            Bid Amount</v>
      </c>
      <c r="B129" t="str">
        <f>$B$40</f>
        <v>ECBALTB Index</v>
      </c>
      <c r="C129" t="str">
        <f>$C$40</f>
        <v>PR005</v>
      </c>
      <c r="D129" t="str">
        <f>$D$40</f>
        <v>PX_LAST</v>
      </c>
      <c r="E129" t="str">
        <f>$E$40</f>
        <v>Dynamic</v>
      </c>
      <c r="F129" t="e">
        <f ca="1">_xll.BDH($B$40,$C$40,$B$91,$B$92,CONCATENATE("Per=",$B$89),"Dts=H","Dir=H",CONCATENATE("Points=",$B$90),"Sort=R","Days=A","Fill=B",CONCATENATE("FX=", $B$88),"cols=80;rows=1")</f>
        <v>#N/A</v>
      </c>
      <c r="H129">
        <v>7.24</v>
      </c>
      <c r="L129">
        <v>6.79</v>
      </c>
      <c r="Q129">
        <v>10.39</v>
      </c>
      <c r="S129">
        <v>9.9700000000000006</v>
      </c>
      <c r="U129">
        <v>10.95</v>
      </c>
      <c r="W129">
        <v>32.33</v>
      </c>
      <c r="Y129">
        <v>13.19</v>
      </c>
      <c r="AB129">
        <v>28.02</v>
      </c>
      <c r="AD129">
        <v>11.62</v>
      </c>
      <c r="AF129">
        <v>7.52</v>
      </c>
      <c r="AH129">
        <v>6.3</v>
      </c>
      <c r="AJ129">
        <v>6.48</v>
      </c>
      <c r="AL129">
        <v>4.96</v>
      </c>
      <c r="AN129">
        <v>7.09</v>
      </c>
      <c r="AR129">
        <v>20.91</v>
      </c>
      <c r="AS129">
        <v>10.14</v>
      </c>
      <c r="AU129">
        <v>5.93</v>
      </c>
      <c r="AW129">
        <v>3.19</v>
      </c>
      <c r="AY129">
        <v>1.9300000000000002</v>
      </c>
      <c r="BB129">
        <v>3.45</v>
      </c>
      <c r="BD129">
        <v>8.61</v>
      </c>
      <c r="BF129">
        <v>3.43</v>
      </c>
      <c r="BH129">
        <v>6.82</v>
      </c>
      <c r="BK129">
        <v>3.91</v>
      </c>
      <c r="BL129">
        <v>2.68</v>
      </c>
      <c r="BO129">
        <v>3.54</v>
      </c>
      <c r="BQ129">
        <v>9.48</v>
      </c>
      <c r="BS129">
        <v>3.59</v>
      </c>
      <c r="BU129">
        <v>5.83</v>
      </c>
      <c r="BX129">
        <v>5.23</v>
      </c>
      <c r="BZ129">
        <v>2.98</v>
      </c>
      <c r="CB129">
        <v>5.16</v>
      </c>
      <c r="CD129">
        <v>9.11</v>
      </c>
      <c r="CF129">
        <v>4.21</v>
      </c>
    </row>
    <row r="130" spans="1:85" x14ac:dyDescent="0.25">
      <c r="A130" t="str">
        <f>$A$41</f>
        <v xml:space="preserve">            Alloted Amount</v>
      </c>
      <c r="B130" t="str">
        <f>$B$41</f>
        <v>ECBALTAL Index</v>
      </c>
      <c r="C130" t="str">
        <f>$C$41</f>
        <v>PR005</v>
      </c>
      <c r="D130" t="str">
        <f>$D$41</f>
        <v>PX_LAST</v>
      </c>
      <c r="E130" t="str">
        <f>$E$41</f>
        <v>Dynamic</v>
      </c>
      <c r="F130" t="e">
        <f ca="1">_xll.BDH($B$41,$C$41,$B$91,$B$92,CONCATENATE("Per=",$B$89),"Dts=H","Dir=H",CONCATENATE("Points=",$B$90),"Sort=R","Days=A","Fill=B",CONCATENATE("FX=", $B$88),"cols=80;rows=1")</f>
        <v>#N/A</v>
      </c>
      <c r="H130">
        <v>7.2439999999999998</v>
      </c>
      <c r="L130">
        <v>6.7859999999999996</v>
      </c>
      <c r="Q130">
        <v>10.385999999999999</v>
      </c>
      <c r="S130">
        <v>9.9700000000000006</v>
      </c>
      <c r="U130">
        <v>10.949</v>
      </c>
      <c r="W130">
        <v>32.335000000000001</v>
      </c>
      <c r="Y130">
        <v>13.193</v>
      </c>
      <c r="AB130">
        <v>28.023</v>
      </c>
      <c r="AD130">
        <v>11.617000000000001</v>
      </c>
      <c r="AF130">
        <v>7.5220000000000002</v>
      </c>
      <c r="AH130">
        <v>6.2969999999999997</v>
      </c>
      <c r="AJ130">
        <v>6.48</v>
      </c>
      <c r="AL130">
        <v>4.9550000000000001</v>
      </c>
      <c r="AN130">
        <v>7.0919999999999996</v>
      </c>
      <c r="AR130">
        <v>20.914000000000001</v>
      </c>
      <c r="AS130">
        <v>10.143000000000001</v>
      </c>
      <c r="AU130">
        <v>5.9260000000000002</v>
      </c>
      <c r="AW130">
        <v>3.194</v>
      </c>
      <c r="AY130">
        <v>1.9300000000000002</v>
      </c>
      <c r="BB130">
        <v>3.4470000000000001</v>
      </c>
      <c r="BD130">
        <v>8.6069999999999993</v>
      </c>
      <c r="BF130">
        <v>3.43</v>
      </c>
      <c r="BH130">
        <v>6.8230000000000004</v>
      </c>
      <c r="BK130">
        <v>3.91</v>
      </c>
      <c r="BL130">
        <v>2.6829999999999998</v>
      </c>
      <c r="BO130">
        <v>3.536</v>
      </c>
      <c r="BQ130">
        <v>9.4770000000000003</v>
      </c>
      <c r="BS130">
        <v>3.5910000000000002</v>
      </c>
      <c r="BU130">
        <v>5.83</v>
      </c>
      <c r="BX130">
        <v>5.23</v>
      </c>
      <c r="BZ130">
        <v>2.9769999999999999</v>
      </c>
      <c r="CB130">
        <v>5.1589999999999998</v>
      </c>
      <c r="CD130">
        <v>9.1129999999999995</v>
      </c>
      <c r="CF130">
        <v>4.2080000000000002</v>
      </c>
    </row>
    <row r="131" spans="1:85" x14ac:dyDescent="0.25">
      <c r="A131" t="str">
        <f>$A$42</f>
        <v xml:space="preserve">        Marginal Rate (%)</v>
      </c>
      <c r="B131" t="str">
        <f>$B$42</f>
        <v>ECBALTMR Index</v>
      </c>
      <c r="C131" t="str">
        <f>$C$42</f>
        <v>PR005</v>
      </c>
      <c r="D131" t="str">
        <f>$D$42</f>
        <v>PX_LAST</v>
      </c>
      <c r="E131" t="str">
        <f>$E$42</f>
        <v>Dynamic</v>
      </c>
      <c r="F131" t="e">
        <f ca="1">_xll.BDH($B$42,$C$42,$B$91,$B$92,CONCATENATE("Per=",$B$89),"Dts=H","Dir=H",CONCATENATE("Points=",$B$90),"Sort=R","Days=A","Fill=B",CONCATENATE("FX=", $B$88),"cols=80;rows=1")</f>
        <v>#N/A</v>
      </c>
      <c r="S131">
        <v>0.15</v>
      </c>
      <c r="W131">
        <v>0.25</v>
      </c>
      <c r="AB131">
        <v>0.25</v>
      </c>
      <c r="AD131">
        <v>0.25</v>
      </c>
      <c r="AF131">
        <v>0.25</v>
      </c>
      <c r="AH131">
        <v>0.25</v>
      </c>
      <c r="AJ131">
        <v>0.25</v>
      </c>
      <c r="AL131">
        <v>0.25</v>
      </c>
      <c r="AN131">
        <v>0.25</v>
      </c>
      <c r="AR131">
        <v>0.25</v>
      </c>
      <c r="AS131">
        <v>0.25</v>
      </c>
      <c r="AU131">
        <v>0.25</v>
      </c>
      <c r="AW131">
        <v>0.25</v>
      </c>
      <c r="AY131">
        <v>0.5</v>
      </c>
      <c r="BB131">
        <v>0.5</v>
      </c>
      <c r="BD131">
        <v>0.5</v>
      </c>
      <c r="BF131">
        <v>0.5</v>
      </c>
      <c r="BH131">
        <v>0.5</v>
      </c>
      <c r="BK131">
        <v>0.5</v>
      </c>
      <c r="BL131">
        <v>0.5</v>
      </c>
      <c r="BO131">
        <v>0.5</v>
      </c>
      <c r="BQ131">
        <v>0.5</v>
      </c>
      <c r="BS131">
        <v>0.5</v>
      </c>
      <c r="BU131">
        <v>0.5</v>
      </c>
      <c r="BX131">
        <v>0.5</v>
      </c>
      <c r="BZ131">
        <v>0.75</v>
      </c>
      <c r="CB131">
        <v>0.75</v>
      </c>
      <c r="CD131">
        <v>0.75</v>
      </c>
      <c r="CF131">
        <v>0.75</v>
      </c>
    </row>
    <row r="132" spans="1:85" x14ac:dyDescent="0.25">
      <c r="A132" t="str">
        <f>$A$43</f>
        <v xml:space="preserve">        Duration (days)</v>
      </c>
      <c r="B132" t="str">
        <f>$B$43</f>
        <v>ECBALYDY Index</v>
      </c>
      <c r="C132" t="str">
        <f>$C$43</f>
        <v>PR005</v>
      </c>
      <c r="D132" t="str">
        <f>$D$43</f>
        <v>PX_LAST</v>
      </c>
      <c r="E132" t="str">
        <f>$E$43</f>
        <v>Dynamic</v>
      </c>
      <c r="F132" t="e">
        <f ca="1">_xll.BDH($B$43,$C$43,$B$91,$B$92,CONCATENATE("Per=",$B$89),"Dts=H","Dir=H",CONCATENATE("Points=",$B$90),"Sort=R","Days=A","Fill=B",CONCATENATE("FX=", $B$88),"cols=80;rows=1")</f>
        <v>#N/A</v>
      </c>
      <c r="H132">
        <v>91</v>
      </c>
      <c r="L132">
        <v>91</v>
      </c>
      <c r="Q132">
        <v>91</v>
      </c>
      <c r="S132">
        <v>28</v>
      </c>
      <c r="U132">
        <v>91</v>
      </c>
      <c r="W132">
        <v>28</v>
      </c>
      <c r="Y132">
        <v>90</v>
      </c>
      <c r="AB132">
        <v>35</v>
      </c>
      <c r="AD132">
        <v>91</v>
      </c>
      <c r="AF132">
        <v>28</v>
      </c>
      <c r="AH132">
        <v>91</v>
      </c>
      <c r="AJ132">
        <v>28</v>
      </c>
      <c r="AL132">
        <v>92</v>
      </c>
      <c r="AN132">
        <v>28</v>
      </c>
      <c r="AR132">
        <v>98</v>
      </c>
      <c r="AS132">
        <v>35</v>
      </c>
      <c r="AU132">
        <v>91</v>
      </c>
      <c r="AW132">
        <v>28</v>
      </c>
      <c r="AY132">
        <v>91</v>
      </c>
      <c r="BB132">
        <v>35</v>
      </c>
      <c r="BD132">
        <v>84</v>
      </c>
      <c r="BF132">
        <v>28</v>
      </c>
      <c r="BH132">
        <v>91</v>
      </c>
      <c r="BK132">
        <v>35</v>
      </c>
      <c r="BL132">
        <v>91</v>
      </c>
      <c r="BO132">
        <v>28</v>
      </c>
      <c r="BQ132">
        <v>91</v>
      </c>
      <c r="BS132">
        <v>28</v>
      </c>
      <c r="BU132">
        <v>91</v>
      </c>
      <c r="BX132">
        <v>35</v>
      </c>
      <c r="BZ132">
        <v>98</v>
      </c>
      <c r="CB132">
        <v>28</v>
      </c>
      <c r="CD132">
        <v>91</v>
      </c>
      <c r="CF132">
        <v>28</v>
      </c>
    </row>
    <row r="133" spans="1:85" x14ac:dyDescent="0.25">
      <c r="A133" t="str">
        <f>$A$48</f>
        <v xml:space="preserve">        Bid Cover Ratio</v>
      </c>
      <c r="B133" t="str">
        <f>$B$48</f>
        <v>ECBA7DBC Index</v>
      </c>
      <c r="C133" t="str">
        <f>$C$48</f>
        <v>PR005</v>
      </c>
      <c r="D133" t="str">
        <f>$D$48</f>
        <v>PX_LAST</v>
      </c>
      <c r="E133" t="str">
        <f>$E$48</f>
        <v>Dynamic</v>
      </c>
      <c r="F133" t="e">
        <f ca="1">_xll.BDH($B$48,$C$48,$B$91,$B$92,CONCATENATE("Per=",$B$89),"Dts=H","Dir=H",CONCATENATE("Points=",$B$90),"Sort=R","Days=A","Fill=B",CONCATENATE("FX=", $B$88),"cols=80;rows=1")</f>
        <v>#N/A</v>
      </c>
      <c r="S133">
        <v>0.67</v>
      </c>
      <c r="T133">
        <v>0.72</v>
      </c>
      <c r="U133">
        <v>0.63</v>
      </c>
      <c r="V133">
        <v>0.82</v>
      </c>
      <c r="W133">
        <v>0.86</v>
      </c>
      <c r="X133">
        <v>0.99</v>
      </c>
      <c r="Y133">
        <v>0.6</v>
      </c>
      <c r="Z133">
        <v>0.97</v>
      </c>
      <c r="AA133">
        <v>0.89</v>
      </c>
      <c r="AB133">
        <v>1.1200000000000001</v>
      </c>
      <c r="AC133">
        <v>1.1400000000000001</v>
      </c>
      <c r="AD133">
        <v>1.03</v>
      </c>
      <c r="AE133">
        <v>1.27</v>
      </c>
      <c r="AF133">
        <v>1.25</v>
      </c>
      <c r="AG133">
        <v>1.25</v>
      </c>
      <c r="AH133">
        <v>1.1100000000000001</v>
      </c>
      <c r="AI133">
        <v>1.23</v>
      </c>
      <c r="AJ133">
        <v>1.1200000000000001</v>
      </c>
      <c r="AK133">
        <v>1.2</v>
      </c>
      <c r="AL133">
        <v>0.85</v>
      </c>
      <c r="AM133">
        <v>0.86</v>
      </c>
      <c r="AN133">
        <v>1.01</v>
      </c>
      <c r="AO133">
        <v>1.04</v>
      </c>
      <c r="AP133">
        <v>0.59</v>
      </c>
      <c r="AQ133">
        <v>0.78</v>
      </c>
      <c r="AR133">
        <v>0.83</v>
      </c>
      <c r="AS133">
        <v>1.01</v>
      </c>
      <c r="AT133">
        <v>1.03</v>
      </c>
      <c r="AU133">
        <v>0.86</v>
      </c>
      <c r="AV133">
        <v>1.19</v>
      </c>
      <c r="AW133">
        <v>1.38</v>
      </c>
      <c r="AX133">
        <v>1.4</v>
      </c>
      <c r="AY133">
        <v>1.1499999999999999</v>
      </c>
      <c r="AZ133">
        <v>1.28</v>
      </c>
      <c r="BA133">
        <v>1.17</v>
      </c>
      <c r="BB133">
        <v>1.34</v>
      </c>
      <c r="BC133">
        <v>1.41</v>
      </c>
      <c r="BD133">
        <v>1.3</v>
      </c>
      <c r="BE133">
        <v>1.43</v>
      </c>
      <c r="BF133">
        <v>1.56</v>
      </c>
      <c r="BG133">
        <v>1.65</v>
      </c>
      <c r="BH133">
        <v>1.51</v>
      </c>
      <c r="BI133">
        <v>1.48</v>
      </c>
      <c r="BJ133">
        <v>1.35</v>
      </c>
      <c r="BK133">
        <v>1.4</v>
      </c>
      <c r="BL133">
        <v>1.18</v>
      </c>
      <c r="BM133">
        <v>1.18</v>
      </c>
      <c r="BN133">
        <v>1.22</v>
      </c>
      <c r="BO133">
        <v>1.28</v>
      </c>
      <c r="BP133">
        <v>1.23</v>
      </c>
      <c r="BQ133">
        <v>1.1000000000000001</v>
      </c>
      <c r="BR133">
        <v>1.29</v>
      </c>
      <c r="BS133">
        <v>1.43</v>
      </c>
      <c r="BT133">
        <v>1.4</v>
      </c>
      <c r="BU133">
        <v>1.19</v>
      </c>
      <c r="BV133">
        <v>1.26</v>
      </c>
      <c r="BW133">
        <v>1.24</v>
      </c>
      <c r="BX133">
        <v>1.33</v>
      </c>
      <c r="BY133">
        <v>1.26</v>
      </c>
      <c r="BZ133">
        <v>1.25</v>
      </c>
      <c r="CA133">
        <v>1.28</v>
      </c>
      <c r="CB133">
        <v>1.4</v>
      </c>
      <c r="CC133">
        <v>1.32</v>
      </c>
      <c r="CD133">
        <v>1.1000000000000001</v>
      </c>
      <c r="CE133">
        <v>1.33</v>
      </c>
      <c r="CF133">
        <v>1.3900000000000001</v>
      </c>
      <c r="CG133">
        <v>1.47</v>
      </c>
    </row>
    <row r="134" spans="1:85" x14ac:dyDescent="0.25">
      <c r="A134" t="str">
        <f>$A$49</f>
        <v xml:space="preserve">        Duration (days)</v>
      </c>
      <c r="B134" t="str">
        <f>$B$49</f>
        <v>ECBA7DDU Index</v>
      </c>
      <c r="C134" t="str">
        <f>$C$49</f>
        <v>PR005</v>
      </c>
      <c r="D134" t="str">
        <f>$D$49</f>
        <v>PX_LAST</v>
      </c>
      <c r="E134" t="str">
        <f>$E$49</f>
        <v>Dynamic</v>
      </c>
      <c r="F134" t="e">
        <f ca="1">_xll.BDH($B$49,$C$49,$B$91,$B$92,CONCATENATE("Per=",$B$89),"Dts=H","Dir=H",CONCATENATE("Points=",$B$90),"Sort=R","Days=A","Fill=B",CONCATENATE("FX=", $B$88),"cols=80;rows=1")</f>
        <v>#N/A</v>
      </c>
      <c r="S134">
        <v>7</v>
      </c>
      <c r="T134">
        <v>7</v>
      </c>
      <c r="U134">
        <v>7</v>
      </c>
      <c r="V134">
        <v>7</v>
      </c>
      <c r="W134">
        <v>7</v>
      </c>
      <c r="X134">
        <v>7</v>
      </c>
      <c r="Y134">
        <v>7</v>
      </c>
      <c r="Z134">
        <v>7</v>
      </c>
      <c r="AA134">
        <v>7</v>
      </c>
      <c r="AB134">
        <v>7</v>
      </c>
      <c r="AC134">
        <v>7</v>
      </c>
      <c r="AD134">
        <v>7</v>
      </c>
      <c r="AE134">
        <v>7</v>
      </c>
      <c r="AF134">
        <v>7</v>
      </c>
      <c r="AG134">
        <v>7</v>
      </c>
      <c r="AH134">
        <v>7</v>
      </c>
      <c r="AI134">
        <v>7</v>
      </c>
      <c r="AJ134">
        <v>7</v>
      </c>
      <c r="AK134">
        <v>7</v>
      </c>
      <c r="AL134">
        <v>7</v>
      </c>
      <c r="AM134">
        <v>7</v>
      </c>
      <c r="AN134">
        <v>7</v>
      </c>
      <c r="AO134">
        <v>7</v>
      </c>
      <c r="AP134">
        <v>9</v>
      </c>
      <c r="AQ134">
        <v>7</v>
      </c>
      <c r="AR134">
        <v>5</v>
      </c>
      <c r="AS134">
        <v>7</v>
      </c>
      <c r="AT134">
        <v>7</v>
      </c>
      <c r="AU134">
        <v>7</v>
      </c>
      <c r="AV134">
        <v>7</v>
      </c>
      <c r="AW134">
        <v>7</v>
      </c>
      <c r="AX134">
        <v>7</v>
      </c>
      <c r="AY134">
        <v>7</v>
      </c>
      <c r="AZ134">
        <v>7</v>
      </c>
      <c r="BA134">
        <v>7</v>
      </c>
      <c r="BB134">
        <v>7</v>
      </c>
      <c r="BC134">
        <v>7</v>
      </c>
      <c r="BD134">
        <v>7</v>
      </c>
      <c r="BE134">
        <v>7</v>
      </c>
      <c r="BF134">
        <v>7</v>
      </c>
      <c r="BG134">
        <v>7</v>
      </c>
      <c r="BH134">
        <v>7</v>
      </c>
      <c r="BI134">
        <v>7</v>
      </c>
      <c r="BJ134">
        <v>7</v>
      </c>
      <c r="BK134">
        <v>7</v>
      </c>
      <c r="BL134">
        <v>7</v>
      </c>
      <c r="BM134">
        <v>7</v>
      </c>
      <c r="BN134">
        <v>7</v>
      </c>
      <c r="BO134">
        <v>7</v>
      </c>
      <c r="BP134">
        <v>7</v>
      </c>
      <c r="BQ134">
        <v>7</v>
      </c>
      <c r="BR134">
        <v>7</v>
      </c>
      <c r="BS134">
        <v>7</v>
      </c>
      <c r="BT134">
        <v>7</v>
      </c>
      <c r="BU134">
        <v>7</v>
      </c>
      <c r="BV134">
        <v>7</v>
      </c>
      <c r="BW134">
        <v>7</v>
      </c>
      <c r="BX134">
        <v>7</v>
      </c>
      <c r="BY134">
        <v>6</v>
      </c>
      <c r="BZ134">
        <v>8</v>
      </c>
      <c r="CA134">
        <v>7</v>
      </c>
      <c r="CB134">
        <v>7</v>
      </c>
      <c r="CC134">
        <v>7</v>
      </c>
      <c r="CD134">
        <v>7</v>
      </c>
      <c r="CE134">
        <v>7</v>
      </c>
      <c r="CF134">
        <v>7</v>
      </c>
      <c r="CG134">
        <v>7</v>
      </c>
    </row>
    <row r="135" spans="1:85" x14ac:dyDescent="0.25">
      <c r="A135" t="str">
        <f>$A$53</f>
        <v xml:space="preserve">    Securities Held for Monetary Policy Purposes</v>
      </c>
      <c r="B135" t="str">
        <f>$B$53</f>
        <v>EBBSSECM Index</v>
      </c>
      <c r="C135" t="str">
        <f>$C$53</f>
        <v>PR005</v>
      </c>
      <c r="D135" t="str">
        <f>$D$53</f>
        <v>PX_LAST</v>
      </c>
      <c r="E135" t="str">
        <f>$E$53</f>
        <v>Dynamic</v>
      </c>
      <c r="F135" t="e">
        <f ca="1">_xll.BDH($B$53,$C$53,$B$91,$B$92,CONCATENATE("Per=",$B$89),"Dts=H","Dir=H",CONCATENATE("Points=",$B$90),"Sort=R","Days=A","Fill=B",CONCATENATE("FX=", $B$88),"cols=80;rows=1")</f>
        <v>#N/A</v>
      </c>
      <c r="G135">
        <v>195</v>
      </c>
      <c r="H135">
        <v>195</v>
      </c>
      <c r="I135">
        <v>195</v>
      </c>
      <c r="J135">
        <v>199</v>
      </c>
      <c r="K135">
        <v>199</v>
      </c>
      <c r="L135">
        <v>199</v>
      </c>
      <c r="M135">
        <v>203</v>
      </c>
      <c r="N135">
        <v>204</v>
      </c>
      <c r="O135">
        <v>205</v>
      </c>
      <c r="P135">
        <v>205</v>
      </c>
      <c r="Q135">
        <v>210</v>
      </c>
      <c r="R135">
        <v>210</v>
      </c>
      <c r="S135">
        <v>213</v>
      </c>
      <c r="T135">
        <v>213</v>
      </c>
      <c r="U135">
        <v>215</v>
      </c>
      <c r="V135">
        <v>217</v>
      </c>
      <c r="W135">
        <v>220</v>
      </c>
      <c r="X135">
        <v>220</v>
      </c>
      <c r="Y135">
        <v>220</v>
      </c>
      <c r="Z135">
        <v>225</v>
      </c>
      <c r="AA135">
        <v>225</v>
      </c>
      <c r="AB135">
        <v>225</v>
      </c>
      <c r="AC135">
        <v>225</v>
      </c>
      <c r="AD135">
        <v>228</v>
      </c>
      <c r="AE135">
        <v>229</v>
      </c>
      <c r="AF135">
        <v>229</v>
      </c>
      <c r="AG135">
        <v>229</v>
      </c>
      <c r="AH135">
        <v>229</v>
      </c>
      <c r="AI135">
        <v>229</v>
      </c>
      <c r="AJ135">
        <v>230</v>
      </c>
      <c r="AK135">
        <v>231</v>
      </c>
      <c r="AL135">
        <v>231</v>
      </c>
      <c r="AM135">
        <v>234</v>
      </c>
      <c r="AN135">
        <v>234</v>
      </c>
      <c r="AO135">
        <v>236</v>
      </c>
      <c r="AP135">
        <v>236</v>
      </c>
      <c r="AQ135">
        <v>235.41200000000001</v>
      </c>
      <c r="AR135">
        <v>235.41200000000001</v>
      </c>
      <c r="AS135">
        <v>241.251</v>
      </c>
      <c r="AT135">
        <v>241.42099999999999</v>
      </c>
      <c r="AU135">
        <v>241.42099999999999</v>
      </c>
      <c r="AV135">
        <v>241.45599999999999</v>
      </c>
      <c r="AW135">
        <v>241.554</v>
      </c>
      <c r="AX135">
        <v>241.554</v>
      </c>
      <c r="AY135">
        <v>241.614</v>
      </c>
      <c r="AZ135">
        <v>245.745</v>
      </c>
      <c r="BA135">
        <v>246.57400000000001</v>
      </c>
      <c r="BB135">
        <v>246.57400000000001</v>
      </c>
      <c r="BC135">
        <v>246.994</v>
      </c>
      <c r="BD135">
        <v>246.703</v>
      </c>
      <c r="BE135">
        <v>249.768</v>
      </c>
      <c r="BF135">
        <v>250.08699999999999</v>
      </c>
      <c r="BG135">
        <v>250.13900000000001</v>
      </c>
      <c r="BH135">
        <v>250.13900000000001</v>
      </c>
      <c r="BI135">
        <v>250.59700000000001</v>
      </c>
      <c r="BJ135">
        <v>252.499</v>
      </c>
      <c r="BK135">
        <v>252.499</v>
      </c>
      <c r="BL135">
        <v>252.499</v>
      </c>
      <c r="BM135">
        <v>255.38399999999999</v>
      </c>
      <c r="BN135">
        <v>255.709</v>
      </c>
      <c r="BO135">
        <v>256.11500000000001</v>
      </c>
      <c r="BP135">
        <v>256.43299999999999</v>
      </c>
      <c r="BQ135">
        <v>256.83</v>
      </c>
      <c r="BR135">
        <v>256.45</v>
      </c>
      <c r="BS135">
        <v>256.45</v>
      </c>
      <c r="BT135">
        <v>256.63799999999998</v>
      </c>
      <c r="BU135">
        <v>259.00400000000002</v>
      </c>
      <c r="BV135">
        <v>259.154</v>
      </c>
      <c r="BW135">
        <v>263.22199999999998</v>
      </c>
      <c r="BX135">
        <v>263.22199999999998</v>
      </c>
      <c r="BY135">
        <v>263.447</v>
      </c>
      <c r="BZ135">
        <v>265.58999999999997</v>
      </c>
      <c r="CA135">
        <v>265.58999999999997</v>
      </c>
      <c r="CB135">
        <v>269.02199999999999</v>
      </c>
      <c r="CC135">
        <v>269.33999999999997</v>
      </c>
      <c r="CD135">
        <v>269.33999999999997</v>
      </c>
      <c r="CE135">
        <v>269.09199999999998</v>
      </c>
      <c r="CF135">
        <v>269.17200000000003</v>
      </c>
      <c r="CG135">
        <v>269.50400000000002</v>
      </c>
    </row>
    <row r="136" spans="1:85" x14ac:dyDescent="0.25">
      <c r="A136" t="str">
        <f>$A$59</f>
        <v xml:space="preserve">    7 Day Average Rate</v>
      </c>
      <c r="B136" t="str">
        <f>$B$59</f>
        <v>ECBA7DAV Index</v>
      </c>
      <c r="C136" t="str">
        <f>$C$59</f>
        <v>PR005</v>
      </c>
      <c r="D136" t="str">
        <f>$D$59</f>
        <v>PX_LAST</v>
      </c>
      <c r="E136" t="str">
        <f>$E$59</f>
        <v>Dynamic</v>
      </c>
      <c r="F136" t="e">
        <f ca="1">_xll.BDH($B$59,$C$59,$B$91,$B$92,CONCATENATE("Per=",$B$89),"Dts=H","Dir=H",CONCATENATE("Points=",$B$90),"Sort=R","Days=A","Fill=B",CONCATENATE("FX=", $B$88),"cols=80;rows=1")</f>
        <v>#N/A</v>
      </c>
      <c r="S136">
        <v>0.13</v>
      </c>
      <c r="T136">
        <v>0.24</v>
      </c>
      <c r="U136">
        <v>0.25</v>
      </c>
      <c r="V136">
        <v>0.24</v>
      </c>
      <c r="W136">
        <v>0.24</v>
      </c>
      <c r="X136">
        <v>0.23</v>
      </c>
      <c r="Y136">
        <v>0.24</v>
      </c>
      <c r="Z136">
        <v>0.23</v>
      </c>
      <c r="AA136">
        <v>0.23</v>
      </c>
      <c r="AB136">
        <v>0.22</v>
      </c>
      <c r="AC136">
        <v>0.21</v>
      </c>
      <c r="AD136">
        <v>0.22</v>
      </c>
      <c r="AE136">
        <v>0.21</v>
      </c>
      <c r="AF136">
        <v>0.21</v>
      </c>
      <c r="AG136">
        <v>0.22</v>
      </c>
      <c r="AH136">
        <v>0.23</v>
      </c>
      <c r="AI136">
        <v>0.23</v>
      </c>
      <c r="AJ136">
        <v>0.23</v>
      </c>
      <c r="AK136">
        <v>0.23</v>
      </c>
      <c r="AL136">
        <v>0.24</v>
      </c>
      <c r="AM136">
        <v>0.23</v>
      </c>
      <c r="AN136">
        <v>0.21</v>
      </c>
      <c r="AO136">
        <v>0.17</v>
      </c>
      <c r="AP136">
        <v>0.24</v>
      </c>
      <c r="AQ136">
        <v>0.24</v>
      </c>
      <c r="AR136">
        <v>0.23</v>
      </c>
      <c r="AS136">
        <v>0.19</v>
      </c>
      <c r="AT136">
        <v>0.14000000000000001</v>
      </c>
      <c r="AU136">
        <v>0.16</v>
      </c>
      <c r="AV136">
        <v>0.09</v>
      </c>
      <c r="AW136">
        <v>0.09</v>
      </c>
      <c r="AX136">
        <v>0.1</v>
      </c>
      <c r="AY136">
        <v>0.12</v>
      </c>
      <c r="AZ136">
        <v>0.09</v>
      </c>
      <c r="BA136">
        <v>0.09</v>
      </c>
      <c r="BB136">
        <v>0.08</v>
      </c>
      <c r="BC136">
        <v>0.08</v>
      </c>
      <c r="BD136">
        <v>0.11</v>
      </c>
      <c r="BE136">
        <v>0.08</v>
      </c>
      <c r="BF136">
        <v>0.08</v>
      </c>
      <c r="BG136">
        <v>0.09</v>
      </c>
      <c r="BH136">
        <v>0.11</v>
      </c>
      <c r="BI136">
        <v>0.1</v>
      </c>
      <c r="BJ136">
        <v>0.1</v>
      </c>
      <c r="BK136">
        <v>0.11</v>
      </c>
      <c r="BL136">
        <v>0.13</v>
      </c>
      <c r="BM136">
        <v>0.11</v>
      </c>
      <c r="BN136">
        <v>0.1</v>
      </c>
      <c r="BO136">
        <v>0.09</v>
      </c>
      <c r="BP136">
        <v>0.09</v>
      </c>
      <c r="BQ136">
        <v>0.18</v>
      </c>
      <c r="BR136">
        <v>7.0000000000000007E-2</v>
      </c>
      <c r="BS136">
        <v>7.0000000000000007E-2</v>
      </c>
      <c r="BT136">
        <v>7.0000000000000007E-2</v>
      </c>
      <c r="BU136">
        <v>7.0000000000000007E-2</v>
      </c>
      <c r="BV136">
        <v>0.06</v>
      </c>
      <c r="BW136">
        <v>0.05</v>
      </c>
      <c r="BX136">
        <v>0.05</v>
      </c>
      <c r="BY136">
        <v>0.05</v>
      </c>
      <c r="BZ136">
        <v>0.05</v>
      </c>
      <c r="CA136">
        <v>0.04</v>
      </c>
      <c r="CB136">
        <v>0.04</v>
      </c>
      <c r="CC136">
        <v>0.04</v>
      </c>
      <c r="CD136">
        <v>0.06</v>
      </c>
      <c r="CE136">
        <v>0.03</v>
      </c>
      <c r="CF136">
        <v>0.03</v>
      </c>
      <c r="CG136">
        <v>0.03</v>
      </c>
    </row>
    <row r="137" spans="1:85" x14ac:dyDescent="0.25">
      <c r="A137" t="str">
        <f>$A$60</f>
        <v xml:space="preserve">    7 Day Bid to Cover Ratio</v>
      </c>
      <c r="B137" t="str">
        <f>$B$60</f>
        <v>ECBA7DBC Index</v>
      </c>
      <c r="C137" t="str">
        <f>$C$60</f>
        <v>PR005</v>
      </c>
      <c r="D137" t="str">
        <f>$D$60</f>
        <v>PX_LAST</v>
      </c>
      <c r="E137" t="str">
        <f>$E$60</f>
        <v>Dynamic</v>
      </c>
      <c r="F137" t="e">
        <f ca="1">_xll.BDH($B$60,$C$60,$B$91,$B$92,CONCATENATE("Per=",$B$89),"Dts=H","Dir=H",CONCATENATE("Points=",$B$90),"Sort=R","Days=A","Fill=B",CONCATENATE("FX=", $B$88),"cols=80;rows=1")</f>
        <v>#N/A</v>
      </c>
      <c r="S137">
        <v>0.67</v>
      </c>
      <c r="T137">
        <v>0.72</v>
      </c>
      <c r="U137">
        <v>0.63</v>
      </c>
      <c r="V137">
        <v>0.82</v>
      </c>
      <c r="W137">
        <v>0.86</v>
      </c>
      <c r="X137">
        <v>0.99</v>
      </c>
      <c r="Y137">
        <v>0.6</v>
      </c>
      <c r="Z137">
        <v>0.97</v>
      </c>
      <c r="AA137">
        <v>0.89</v>
      </c>
      <c r="AB137">
        <v>1.1200000000000001</v>
      </c>
      <c r="AC137">
        <v>1.1400000000000001</v>
      </c>
      <c r="AD137">
        <v>1.03</v>
      </c>
      <c r="AE137">
        <v>1.27</v>
      </c>
      <c r="AF137">
        <v>1.25</v>
      </c>
      <c r="AG137">
        <v>1.25</v>
      </c>
      <c r="AH137">
        <v>1.1100000000000001</v>
      </c>
      <c r="AI137">
        <v>1.23</v>
      </c>
      <c r="AJ137">
        <v>1.1200000000000001</v>
      </c>
      <c r="AK137">
        <v>1.2</v>
      </c>
      <c r="AL137">
        <v>0.85</v>
      </c>
      <c r="AM137">
        <v>0.86</v>
      </c>
      <c r="AN137">
        <v>1.01</v>
      </c>
      <c r="AO137">
        <v>1.04</v>
      </c>
      <c r="AP137">
        <v>0.59</v>
      </c>
      <c r="AQ137">
        <v>0.78</v>
      </c>
      <c r="AR137">
        <v>0.83</v>
      </c>
      <c r="AS137">
        <v>1.01</v>
      </c>
      <c r="AT137">
        <v>1.03</v>
      </c>
      <c r="AU137">
        <v>0.86</v>
      </c>
      <c r="AV137">
        <v>1.19</v>
      </c>
      <c r="AW137">
        <v>1.38</v>
      </c>
      <c r="AX137">
        <v>1.4</v>
      </c>
      <c r="AY137">
        <v>1.1499999999999999</v>
      </c>
      <c r="AZ137">
        <v>1.28</v>
      </c>
      <c r="BA137">
        <v>1.17</v>
      </c>
      <c r="BB137">
        <v>1.34</v>
      </c>
      <c r="BC137">
        <v>1.41</v>
      </c>
      <c r="BD137">
        <v>1.3</v>
      </c>
      <c r="BE137">
        <v>1.43</v>
      </c>
      <c r="BF137">
        <v>1.56</v>
      </c>
      <c r="BG137">
        <v>1.65</v>
      </c>
      <c r="BH137">
        <v>1.51</v>
      </c>
      <c r="BI137">
        <v>1.48</v>
      </c>
      <c r="BJ137">
        <v>1.35</v>
      </c>
      <c r="BK137">
        <v>1.4</v>
      </c>
      <c r="BL137">
        <v>1.18</v>
      </c>
      <c r="BM137">
        <v>1.18</v>
      </c>
      <c r="BN137">
        <v>1.22</v>
      </c>
      <c r="BO137">
        <v>1.28</v>
      </c>
      <c r="BP137">
        <v>1.23</v>
      </c>
      <c r="BQ137">
        <v>1.1000000000000001</v>
      </c>
      <c r="BR137">
        <v>1.29</v>
      </c>
      <c r="BS137">
        <v>1.43</v>
      </c>
      <c r="BT137">
        <v>1.4</v>
      </c>
      <c r="BU137">
        <v>1.19</v>
      </c>
      <c r="BV137">
        <v>1.26</v>
      </c>
      <c r="BW137">
        <v>1.24</v>
      </c>
      <c r="BX137">
        <v>1.33</v>
      </c>
      <c r="BY137">
        <v>1.26</v>
      </c>
      <c r="BZ137">
        <v>1.25</v>
      </c>
      <c r="CA137">
        <v>1.28</v>
      </c>
      <c r="CB137">
        <v>1.4</v>
      </c>
      <c r="CC137">
        <v>1.32</v>
      </c>
      <c r="CD137">
        <v>1.1000000000000001</v>
      </c>
      <c r="CE137">
        <v>1.33</v>
      </c>
      <c r="CF137">
        <v>1.3900000000000001</v>
      </c>
      <c r="CG137">
        <v>1.47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baseColWidth="10" defaultRowHeight="15" x14ac:dyDescent="0.25"/>
  <sheetData>
    <row r="1" spans="1:1" x14ac:dyDescent="0.25">
      <c r="A1" s="1"/>
    </row>
    <row r="2" spans="1:1" x14ac:dyDescent="0.25">
      <c r="A2" t="s">
        <v>85</v>
      </c>
    </row>
    <row r="3" spans="1:1" x14ac:dyDescent="0.25">
      <c r="A3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1" spans="1:1" x14ac:dyDescent="0.25">
      <c r="A11" t="s">
        <v>92</v>
      </c>
    </row>
    <row r="12" spans="1:1" x14ac:dyDescent="0.25">
      <c r="A12" t="s">
        <v>93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97</v>
      </c>
    </row>
    <row r="17" spans="1:1" x14ac:dyDescent="0.25">
      <c r="A17" t="s">
        <v>98</v>
      </c>
    </row>
    <row r="18" spans="1:1" x14ac:dyDescent="0.25">
      <c r="A18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87</v>
      </c>
    </row>
    <row r="32" spans="1:1" x14ac:dyDescent="0.25">
      <c r="A32" t="s">
        <v>111</v>
      </c>
    </row>
    <row r="33" spans="1:1" x14ac:dyDescent="0.25">
      <c r="A33" t="s">
        <v>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7"/>
  <sheetViews>
    <sheetView tabSelected="1" workbookViewId="0">
      <selection activeCell="A19" sqref="A19"/>
    </sheetView>
  </sheetViews>
  <sheetFormatPr baseColWidth="10" defaultRowHeight="15" x14ac:dyDescent="0.25"/>
  <cols>
    <col min="1" max="1" width="88.28515625" bestFit="1" customWidth="1"/>
  </cols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25">
      <c r="A2" t="s">
        <v>113</v>
      </c>
      <c r="B2" t="s">
        <v>114</v>
      </c>
      <c r="C2" t="s">
        <v>114</v>
      </c>
      <c r="D2" t="s">
        <v>114</v>
      </c>
      <c r="E2" t="s">
        <v>115</v>
      </c>
      <c r="F2" t="s">
        <v>114</v>
      </c>
      <c r="G2" t="s">
        <v>114</v>
      </c>
      <c r="H2" t="s">
        <v>114</v>
      </c>
      <c r="I2" t="s">
        <v>114</v>
      </c>
      <c r="J2" t="s">
        <v>114</v>
      </c>
      <c r="K2" t="s">
        <v>114</v>
      </c>
      <c r="L2" t="s">
        <v>114</v>
      </c>
      <c r="M2" t="s">
        <v>114</v>
      </c>
      <c r="N2" t="s">
        <v>114</v>
      </c>
      <c r="O2" t="s">
        <v>114</v>
      </c>
      <c r="P2" t="s">
        <v>114</v>
      </c>
      <c r="Q2" t="s">
        <v>114</v>
      </c>
      <c r="R2" t="s">
        <v>114</v>
      </c>
      <c r="S2" t="s">
        <v>114</v>
      </c>
      <c r="T2" t="s">
        <v>114</v>
      </c>
      <c r="U2" t="s">
        <v>114</v>
      </c>
      <c r="V2" t="s">
        <v>114</v>
      </c>
      <c r="W2" t="s">
        <v>114</v>
      </c>
      <c r="X2" t="s">
        <v>114</v>
      </c>
      <c r="Y2" t="s">
        <v>114</v>
      </c>
      <c r="Z2" t="s">
        <v>114</v>
      </c>
      <c r="AA2" t="s">
        <v>114</v>
      </c>
      <c r="AB2" t="s">
        <v>114</v>
      </c>
      <c r="AC2" t="s">
        <v>114</v>
      </c>
      <c r="AD2" t="s">
        <v>114</v>
      </c>
      <c r="AE2" t="s">
        <v>114</v>
      </c>
      <c r="AF2" t="s">
        <v>114</v>
      </c>
      <c r="AG2" t="s">
        <v>114</v>
      </c>
      <c r="AH2" t="s">
        <v>114</v>
      </c>
      <c r="AI2" t="s">
        <v>114</v>
      </c>
      <c r="AJ2" t="s">
        <v>114</v>
      </c>
      <c r="AK2" t="s">
        <v>114</v>
      </c>
      <c r="AL2" t="s">
        <v>114</v>
      </c>
      <c r="AM2" t="s">
        <v>114</v>
      </c>
      <c r="AN2" t="s">
        <v>114</v>
      </c>
      <c r="AO2" t="s">
        <v>114</v>
      </c>
      <c r="AP2" t="s">
        <v>114</v>
      </c>
      <c r="AQ2" t="s">
        <v>114</v>
      </c>
      <c r="AR2" t="s">
        <v>114</v>
      </c>
      <c r="AS2" t="s">
        <v>114</v>
      </c>
      <c r="AT2" t="s">
        <v>114</v>
      </c>
      <c r="AU2" t="s">
        <v>114</v>
      </c>
      <c r="AV2" t="s">
        <v>114</v>
      </c>
      <c r="AW2" t="s">
        <v>114</v>
      </c>
      <c r="AX2" t="s">
        <v>114</v>
      </c>
      <c r="AY2" t="s">
        <v>114</v>
      </c>
      <c r="AZ2" t="s">
        <v>114</v>
      </c>
      <c r="BA2" t="s">
        <v>114</v>
      </c>
      <c r="BB2" t="s">
        <v>114</v>
      </c>
      <c r="BC2" t="s">
        <v>114</v>
      </c>
      <c r="BD2" t="s">
        <v>114</v>
      </c>
      <c r="BE2" t="s">
        <v>114</v>
      </c>
      <c r="BF2" t="s">
        <v>114</v>
      </c>
      <c r="BG2" t="s">
        <v>114</v>
      </c>
      <c r="BH2" t="s">
        <v>114</v>
      </c>
      <c r="BI2" t="s">
        <v>114</v>
      </c>
      <c r="BJ2" t="s">
        <v>114</v>
      </c>
      <c r="BK2" t="s">
        <v>114</v>
      </c>
      <c r="BL2" t="s">
        <v>114</v>
      </c>
      <c r="BM2" t="s">
        <v>114</v>
      </c>
      <c r="BN2" t="s">
        <v>114</v>
      </c>
      <c r="BO2" t="s">
        <v>114</v>
      </c>
      <c r="BP2" t="s">
        <v>114</v>
      </c>
      <c r="BQ2" t="s">
        <v>114</v>
      </c>
      <c r="BR2" t="s">
        <v>114</v>
      </c>
      <c r="BS2" t="s">
        <v>114</v>
      </c>
      <c r="BT2" t="s">
        <v>114</v>
      </c>
      <c r="BU2" t="s">
        <v>114</v>
      </c>
      <c r="BV2" t="s">
        <v>114</v>
      </c>
      <c r="BW2" t="s">
        <v>114</v>
      </c>
      <c r="BX2" t="s">
        <v>114</v>
      </c>
      <c r="BY2" t="s">
        <v>114</v>
      </c>
      <c r="BZ2" t="s">
        <v>114</v>
      </c>
      <c r="CA2" t="s">
        <v>114</v>
      </c>
      <c r="CB2" t="s">
        <v>114</v>
      </c>
      <c r="CC2" t="s">
        <v>114</v>
      </c>
      <c r="CD2" t="s">
        <v>114</v>
      </c>
      <c r="CE2" t="s">
        <v>114</v>
      </c>
      <c r="CF2" t="s">
        <v>114</v>
      </c>
      <c r="CG2" t="s">
        <v>114</v>
      </c>
    </row>
    <row r="3" spans="1:85" x14ac:dyDescent="0.25">
      <c r="A3" t="s">
        <v>116</v>
      </c>
      <c r="B3" t="s">
        <v>114</v>
      </c>
      <c r="C3" t="s">
        <v>114</v>
      </c>
      <c r="D3" t="s">
        <v>114</v>
      </c>
      <c r="E3" t="s">
        <v>117</v>
      </c>
      <c r="F3" t="s">
        <v>114</v>
      </c>
      <c r="G3" t="s">
        <v>114</v>
      </c>
      <c r="H3" t="s">
        <v>114</v>
      </c>
      <c r="I3" t="s">
        <v>114</v>
      </c>
      <c r="J3" t="s">
        <v>114</v>
      </c>
      <c r="K3" t="s">
        <v>114</v>
      </c>
      <c r="L3" t="s">
        <v>114</v>
      </c>
      <c r="M3" t="s">
        <v>114</v>
      </c>
      <c r="N3" t="s">
        <v>114</v>
      </c>
      <c r="O3" t="s">
        <v>114</v>
      </c>
      <c r="P3" t="s">
        <v>114</v>
      </c>
      <c r="Q3" t="s">
        <v>114</v>
      </c>
      <c r="R3" t="s">
        <v>114</v>
      </c>
      <c r="S3" t="s">
        <v>114</v>
      </c>
      <c r="T3" t="s">
        <v>114</v>
      </c>
      <c r="U3" t="s">
        <v>114</v>
      </c>
      <c r="V3" t="s">
        <v>114</v>
      </c>
      <c r="W3" t="s">
        <v>114</v>
      </c>
      <c r="X3" t="s">
        <v>114</v>
      </c>
      <c r="Y3" t="s">
        <v>114</v>
      </c>
      <c r="Z3" t="s">
        <v>114</v>
      </c>
      <c r="AA3" t="s">
        <v>114</v>
      </c>
      <c r="AB3" t="s">
        <v>114</v>
      </c>
      <c r="AC3" t="s">
        <v>114</v>
      </c>
      <c r="AD3" t="s">
        <v>114</v>
      </c>
      <c r="AE3" t="s">
        <v>114</v>
      </c>
      <c r="AF3" t="s">
        <v>114</v>
      </c>
      <c r="AG3" t="s">
        <v>114</v>
      </c>
      <c r="AH3" t="s">
        <v>114</v>
      </c>
      <c r="AI3" t="s">
        <v>114</v>
      </c>
      <c r="AJ3" t="s">
        <v>114</v>
      </c>
      <c r="AK3" t="s">
        <v>114</v>
      </c>
      <c r="AL3" t="s">
        <v>114</v>
      </c>
      <c r="AM3" t="s">
        <v>114</v>
      </c>
      <c r="AN3" t="s">
        <v>114</v>
      </c>
      <c r="AO3" t="s">
        <v>114</v>
      </c>
      <c r="AP3" t="s">
        <v>114</v>
      </c>
      <c r="AQ3" t="s">
        <v>114</v>
      </c>
      <c r="AR3" t="s">
        <v>114</v>
      </c>
      <c r="AS3" t="s">
        <v>114</v>
      </c>
      <c r="AT3" t="s">
        <v>114</v>
      </c>
      <c r="AU3" t="s">
        <v>114</v>
      </c>
      <c r="AV3" t="s">
        <v>114</v>
      </c>
      <c r="AW3" t="s">
        <v>114</v>
      </c>
      <c r="AX3" t="s">
        <v>114</v>
      </c>
      <c r="AY3" t="s">
        <v>114</v>
      </c>
      <c r="AZ3" t="s">
        <v>114</v>
      </c>
      <c r="BA3" t="s">
        <v>114</v>
      </c>
      <c r="BB3" t="s">
        <v>114</v>
      </c>
      <c r="BC3" t="s">
        <v>114</v>
      </c>
      <c r="BD3" t="s">
        <v>114</v>
      </c>
      <c r="BE3" t="s">
        <v>114</v>
      </c>
      <c r="BF3" t="s">
        <v>114</v>
      </c>
      <c r="BG3" t="s">
        <v>114</v>
      </c>
      <c r="BH3" t="s">
        <v>114</v>
      </c>
      <c r="BI3" t="s">
        <v>114</v>
      </c>
      <c r="BJ3" t="s">
        <v>114</v>
      </c>
      <c r="BK3" t="s">
        <v>114</v>
      </c>
      <c r="BL3" t="s">
        <v>114</v>
      </c>
      <c r="BM3" t="s">
        <v>114</v>
      </c>
      <c r="BN3" t="s">
        <v>114</v>
      </c>
      <c r="BO3" t="s">
        <v>114</v>
      </c>
      <c r="BP3" t="s">
        <v>114</v>
      </c>
      <c r="BQ3" t="s">
        <v>114</v>
      </c>
      <c r="BR3" t="s">
        <v>114</v>
      </c>
      <c r="BS3" t="s">
        <v>114</v>
      </c>
      <c r="BT3" t="s">
        <v>114</v>
      </c>
      <c r="BU3" t="s">
        <v>114</v>
      </c>
      <c r="BV3" t="s">
        <v>114</v>
      </c>
      <c r="BW3" t="s">
        <v>114</v>
      </c>
      <c r="BX3" t="s">
        <v>114</v>
      </c>
      <c r="BY3" t="s">
        <v>114</v>
      </c>
      <c r="BZ3" t="s">
        <v>114</v>
      </c>
      <c r="CA3" t="s">
        <v>114</v>
      </c>
      <c r="CB3" t="s">
        <v>114</v>
      </c>
      <c r="CC3" t="s">
        <v>114</v>
      </c>
      <c r="CD3" t="s">
        <v>114</v>
      </c>
      <c r="CE3" t="s">
        <v>114</v>
      </c>
      <c r="CF3" t="s">
        <v>114</v>
      </c>
      <c r="CG3" t="s">
        <v>114</v>
      </c>
    </row>
    <row r="4" spans="1:85" x14ac:dyDescent="0.25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>
        <v>10.3</v>
      </c>
      <c r="G4">
        <v>1.6919999999999999</v>
      </c>
      <c r="H4">
        <v>9.6639999999999997</v>
      </c>
      <c r="I4">
        <v>1.55</v>
      </c>
      <c r="J4">
        <v>6.1230000000000002</v>
      </c>
      <c r="K4">
        <v>5.0049999999999999</v>
      </c>
      <c r="L4">
        <v>2.609</v>
      </c>
      <c r="M4">
        <v>1.3</v>
      </c>
      <c r="N4">
        <v>9.4</v>
      </c>
      <c r="O4">
        <v>5.782</v>
      </c>
      <c r="P4">
        <v>3.3849999999999998</v>
      </c>
      <c r="Q4">
        <v>2.5270000000000001</v>
      </c>
      <c r="R4">
        <v>0.17499999999999999</v>
      </c>
      <c r="S4">
        <v>6.4109999999999996</v>
      </c>
      <c r="T4">
        <v>4.9950000000000001</v>
      </c>
      <c r="U4">
        <v>3.133</v>
      </c>
      <c r="V4">
        <v>0.51</v>
      </c>
      <c r="W4">
        <v>2.5</v>
      </c>
      <c r="X4">
        <v>0.79</v>
      </c>
      <c r="Y4">
        <v>0.52500000000000002</v>
      </c>
      <c r="Z4">
        <v>0.25</v>
      </c>
      <c r="AA4">
        <v>3.4969999999999999</v>
      </c>
      <c r="AB4">
        <v>0.63200000000000001</v>
      </c>
      <c r="AC4">
        <v>0.98</v>
      </c>
      <c r="AD4" t="s">
        <v>114</v>
      </c>
      <c r="AE4" t="s">
        <v>114</v>
      </c>
      <c r="AF4">
        <v>4.05</v>
      </c>
      <c r="AG4">
        <v>3.32</v>
      </c>
      <c r="AH4">
        <v>3.1379999999999999</v>
      </c>
      <c r="AI4">
        <v>5.1050000000000004</v>
      </c>
      <c r="AJ4">
        <v>2.8410000000000002</v>
      </c>
      <c r="AK4">
        <v>3.1549999999999998</v>
      </c>
      <c r="AL4">
        <v>2.91</v>
      </c>
      <c r="AM4">
        <v>5.2880000000000003</v>
      </c>
      <c r="AN4">
        <v>1.4450000000000001</v>
      </c>
      <c r="AO4">
        <v>0.105</v>
      </c>
      <c r="AP4">
        <v>0.59699999999999998</v>
      </c>
      <c r="AQ4">
        <v>4.6100000000000003</v>
      </c>
      <c r="AR4">
        <v>1.5350000000000001</v>
      </c>
      <c r="AS4">
        <v>2.65</v>
      </c>
      <c r="AT4">
        <v>0.74099999999999999</v>
      </c>
      <c r="AU4">
        <v>3.7050000000000001</v>
      </c>
      <c r="AV4">
        <v>0.1</v>
      </c>
      <c r="AW4">
        <v>0.1</v>
      </c>
      <c r="AX4">
        <v>0.20399999999999999</v>
      </c>
      <c r="AY4">
        <v>0.51600000000000001</v>
      </c>
      <c r="AZ4">
        <v>1.8</v>
      </c>
      <c r="BA4">
        <v>1.0640000000000001</v>
      </c>
      <c r="BB4">
        <v>2.1819999999999999</v>
      </c>
      <c r="BC4">
        <v>0.51300000000000001</v>
      </c>
      <c r="BD4">
        <v>0</v>
      </c>
      <c r="BE4">
        <v>2.0249999999999999</v>
      </c>
      <c r="BF4">
        <v>5.03</v>
      </c>
      <c r="BG4">
        <v>3.008</v>
      </c>
      <c r="BH4">
        <v>2.8</v>
      </c>
      <c r="BI4">
        <v>2.81</v>
      </c>
      <c r="BJ4">
        <v>6.2080000000000002</v>
      </c>
      <c r="BK4">
        <v>1.02</v>
      </c>
      <c r="BL4">
        <v>1.2050000000000001</v>
      </c>
      <c r="BM4">
        <v>8.0000000000000002E-3</v>
      </c>
      <c r="BN4">
        <v>1.661</v>
      </c>
      <c r="BO4">
        <v>8.8740000000000006</v>
      </c>
      <c r="BP4">
        <v>6.5540000000000003</v>
      </c>
      <c r="BQ4">
        <v>4.0919999999999996</v>
      </c>
      <c r="BR4">
        <v>3.8449999999999998</v>
      </c>
      <c r="BS4">
        <v>1.5649999999999999</v>
      </c>
      <c r="BT4">
        <v>0.38500000000000001</v>
      </c>
      <c r="BU4">
        <v>1.3360000000000001</v>
      </c>
      <c r="BV4">
        <v>4.1760000000000002</v>
      </c>
      <c r="BW4">
        <v>1.744</v>
      </c>
      <c r="BX4">
        <v>3.79</v>
      </c>
      <c r="BY4">
        <v>4.9930000000000003</v>
      </c>
      <c r="BZ4">
        <v>3.484</v>
      </c>
      <c r="CA4">
        <v>137.15899999999999</v>
      </c>
      <c r="CB4" t="s">
        <v>114</v>
      </c>
      <c r="CC4" t="s">
        <v>114</v>
      </c>
      <c r="CD4" t="s">
        <v>114</v>
      </c>
      <c r="CE4" t="s">
        <v>114</v>
      </c>
      <c r="CF4" t="s">
        <v>114</v>
      </c>
      <c r="CG4" t="s">
        <v>114</v>
      </c>
    </row>
    <row r="5" spans="1:85" x14ac:dyDescent="0.25">
      <c r="A5" t="s">
        <v>123</v>
      </c>
      <c r="B5" t="s">
        <v>124</v>
      </c>
      <c r="C5" t="s">
        <v>120</v>
      </c>
      <c r="D5" t="s">
        <v>121</v>
      </c>
      <c r="E5" t="s">
        <v>122</v>
      </c>
      <c r="F5" t="s">
        <v>114</v>
      </c>
      <c r="G5">
        <v>332.88099999999997</v>
      </c>
      <c r="H5">
        <v>331.18900000000002</v>
      </c>
      <c r="I5">
        <v>321.52499999999998</v>
      </c>
      <c r="J5">
        <v>319.97500000000002</v>
      </c>
      <c r="K5">
        <v>313.85199999999998</v>
      </c>
      <c r="L5">
        <v>308.84699999999998</v>
      </c>
      <c r="M5">
        <v>306.238</v>
      </c>
      <c r="N5">
        <v>304.93799999999999</v>
      </c>
      <c r="O5">
        <v>295.53800000000001</v>
      </c>
      <c r="P5">
        <v>289.75599999999997</v>
      </c>
      <c r="Q5">
        <v>286.37099999999998</v>
      </c>
      <c r="R5">
        <v>283.84399999999999</v>
      </c>
      <c r="S5">
        <v>283.66899999999998</v>
      </c>
      <c r="T5">
        <v>277.25799999999998</v>
      </c>
      <c r="U5">
        <v>272.26299999999998</v>
      </c>
      <c r="V5">
        <v>269.13</v>
      </c>
      <c r="W5">
        <v>268.62</v>
      </c>
      <c r="X5">
        <v>266.12</v>
      </c>
      <c r="Y5">
        <v>265.33</v>
      </c>
      <c r="Z5">
        <v>264.80500000000001</v>
      </c>
      <c r="AA5">
        <v>264.55500000000001</v>
      </c>
      <c r="AB5">
        <v>261.05799999999999</v>
      </c>
      <c r="AC5">
        <v>260.42599999999999</v>
      </c>
      <c r="AD5" t="s">
        <v>114</v>
      </c>
      <c r="AE5" t="s">
        <v>114</v>
      </c>
      <c r="AF5">
        <v>259.44600000000003</v>
      </c>
      <c r="AG5">
        <v>255.39599999999999</v>
      </c>
      <c r="AH5">
        <v>252.07599999999999</v>
      </c>
      <c r="AI5">
        <v>248.93799999999999</v>
      </c>
      <c r="AJ5">
        <v>243.833</v>
      </c>
      <c r="AK5">
        <v>240.99199999999999</v>
      </c>
      <c r="AL5">
        <v>237.83699999999999</v>
      </c>
      <c r="AM5">
        <v>234.92699999999999</v>
      </c>
      <c r="AN5">
        <v>229.63900000000001</v>
      </c>
      <c r="AO5">
        <v>228.19399999999999</v>
      </c>
      <c r="AP5">
        <v>228.089</v>
      </c>
      <c r="AQ5">
        <v>227.49199999999999</v>
      </c>
      <c r="AR5">
        <v>222.88200000000001</v>
      </c>
      <c r="AS5">
        <v>221.34700000000001</v>
      </c>
      <c r="AT5">
        <v>218.697</v>
      </c>
      <c r="AU5">
        <v>217.95599999999999</v>
      </c>
      <c r="AV5">
        <v>214.251</v>
      </c>
      <c r="AW5">
        <v>214.15100000000001</v>
      </c>
      <c r="AX5">
        <v>214.05099999999999</v>
      </c>
      <c r="AY5">
        <v>213.84700000000001</v>
      </c>
      <c r="AZ5">
        <v>213.33099999999999</v>
      </c>
      <c r="BA5">
        <v>211.53100000000001</v>
      </c>
      <c r="BB5">
        <v>210.46700000000001</v>
      </c>
      <c r="BC5">
        <v>208.285</v>
      </c>
      <c r="BD5">
        <v>207.77199999999999</v>
      </c>
      <c r="BE5">
        <v>207.77199999999999</v>
      </c>
      <c r="BF5">
        <v>205.74700000000001</v>
      </c>
      <c r="BG5">
        <v>200.71700000000001</v>
      </c>
      <c r="BH5">
        <v>197.709</v>
      </c>
      <c r="BI5">
        <v>194.90899999999999</v>
      </c>
      <c r="BJ5">
        <v>192.09899999999999</v>
      </c>
      <c r="BK5">
        <v>185.89099999999999</v>
      </c>
      <c r="BL5">
        <v>184.87100000000001</v>
      </c>
      <c r="BM5">
        <v>183.666</v>
      </c>
      <c r="BN5">
        <v>183.65799999999999</v>
      </c>
      <c r="BO5">
        <v>181.99700000000001</v>
      </c>
      <c r="BP5">
        <v>173.12299999999999</v>
      </c>
      <c r="BQ5">
        <v>166.56899999999999</v>
      </c>
      <c r="BR5">
        <v>162.477</v>
      </c>
      <c r="BS5">
        <v>158.63200000000001</v>
      </c>
      <c r="BT5">
        <v>157.06700000000001</v>
      </c>
      <c r="BU5">
        <v>156.68199999999999</v>
      </c>
      <c r="BV5">
        <v>155.346</v>
      </c>
      <c r="BW5">
        <v>151.16999999999999</v>
      </c>
      <c r="BX5">
        <v>149.42599999999999</v>
      </c>
      <c r="BY5">
        <v>145.636</v>
      </c>
      <c r="BZ5">
        <v>140.643</v>
      </c>
      <c r="CA5">
        <v>137.15899999999999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</row>
    <row r="6" spans="1:85" x14ac:dyDescent="0.25">
      <c r="A6" t="s">
        <v>125</v>
      </c>
      <c r="B6" t="s">
        <v>126</v>
      </c>
      <c r="C6" t="s">
        <v>120</v>
      </c>
      <c r="D6" t="s">
        <v>121</v>
      </c>
      <c r="E6" t="s">
        <v>122</v>
      </c>
      <c r="F6">
        <v>134.45099999999999</v>
      </c>
      <c r="G6">
        <v>134.45099999999999</v>
      </c>
      <c r="H6">
        <v>136.143</v>
      </c>
      <c r="I6">
        <v>145.83699999999999</v>
      </c>
      <c r="J6">
        <v>147.387</v>
      </c>
      <c r="K6">
        <v>153.51</v>
      </c>
      <c r="L6">
        <v>161.124</v>
      </c>
      <c r="M6">
        <v>162.42400000000001</v>
      </c>
      <c r="N6">
        <v>171.82400000000001</v>
      </c>
      <c r="O6">
        <v>177.60599999999999</v>
      </c>
      <c r="P6">
        <v>180.99100000000001</v>
      </c>
      <c r="Q6">
        <v>183.5</v>
      </c>
      <c r="R6">
        <v>183.7</v>
      </c>
      <c r="S6">
        <v>190.1</v>
      </c>
      <c r="T6">
        <v>195.1</v>
      </c>
      <c r="U6">
        <v>198.2</v>
      </c>
      <c r="V6">
        <v>198.7</v>
      </c>
      <c r="W6">
        <v>201.2</v>
      </c>
      <c r="X6">
        <v>202</v>
      </c>
      <c r="Y6">
        <v>202.6</v>
      </c>
      <c r="Z6">
        <v>202.8</v>
      </c>
      <c r="AA6">
        <v>206.3</v>
      </c>
      <c r="AB6">
        <v>206.9</v>
      </c>
      <c r="AC6">
        <v>207.9</v>
      </c>
      <c r="AD6" t="s">
        <v>114</v>
      </c>
      <c r="AE6" t="s">
        <v>114</v>
      </c>
      <c r="AF6">
        <v>212</v>
      </c>
      <c r="AG6">
        <v>215.3</v>
      </c>
      <c r="AH6">
        <v>218.4</v>
      </c>
      <c r="AI6">
        <v>223.5</v>
      </c>
      <c r="AJ6">
        <v>226.4</v>
      </c>
      <c r="AK6">
        <v>229.5</v>
      </c>
      <c r="AL6">
        <v>232.4</v>
      </c>
      <c r="AM6">
        <v>237.7</v>
      </c>
      <c r="AN6">
        <v>239.2</v>
      </c>
      <c r="AO6">
        <v>239.3</v>
      </c>
      <c r="AP6">
        <v>239.9</v>
      </c>
      <c r="AQ6">
        <v>244.5</v>
      </c>
      <c r="AR6">
        <v>246</v>
      </c>
      <c r="AS6">
        <v>248.7</v>
      </c>
      <c r="AT6">
        <v>249.4</v>
      </c>
      <c r="AU6">
        <v>253.2</v>
      </c>
      <c r="AV6">
        <v>253.3</v>
      </c>
      <c r="AW6">
        <v>253.4</v>
      </c>
      <c r="AX6">
        <v>253.6</v>
      </c>
      <c r="AY6">
        <v>254.1</v>
      </c>
      <c r="AZ6">
        <v>255.9</v>
      </c>
      <c r="BA6">
        <v>257</v>
      </c>
      <c r="BB6">
        <v>259.2</v>
      </c>
      <c r="BC6">
        <v>259.7</v>
      </c>
      <c r="BD6">
        <v>259.7</v>
      </c>
      <c r="BE6">
        <v>261.7</v>
      </c>
      <c r="BF6">
        <v>266.7</v>
      </c>
      <c r="BG6">
        <v>269.7</v>
      </c>
      <c r="BH6">
        <v>272.5</v>
      </c>
      <c r="BI6">
        <v>275.3</v>
      </c>
      <c r="BJ6">
        <v>281.60000000000002</v>
      </c>
      <c r="BK6">
        <v>282.60000000000002</v>
      </c>
      <c r="BL6">
        <v>283.8</v>
      </c>
      <c r="BM6">
        <v>283.8</v>
      </c>
      <c r="BN6">
        <v>285.39999999999998</v>
      </c>
      <c r="BO6">
        <v>294.3</v>
      </c>
      <c r="BP6">
        <v>300.89999999999998</v>
      </c>
      <c r="BQ6">
        <v>305.10000000000002</v>
      </c>
      <c r="BR6">
        <v>308.89999999999998</v>
      </c>
      <c r="BS6">
        <v>310.5</v>
      </c>
      <c r="BT6">
        <v>310.89999999999998</v>
      </c>
      <c r="BU6">
        <v>312.60000000000002</v>
      </c>
      <c r="BV6">
        <v>316.8</v>
      </c>
      <c r="BW6">
        <v>318.5</v>
      </c>
      <c r="BX6">
        <v>322.3</v>
      </c>
      <c r="BY6">
        <v>327.3</v>
      </c>
      <c r="BZ6">
        <v>330.8</v>
      </c>
      <c r="CA6">
        <v>467.9</v>
      </c>
      <c r="CB6">
        <v>467.9</v>
      </c>
      <c r="CC6" t="s">
        <v>114</v>
      </c>
      <c r="CD6" t="s">
        <v>114</v>
      </c>
      <c r="CE6" t="s">
        <v>114</v>
      </c>
      <c r="CF6" t="s">
        <v>114</v>
      </c>
      <c r="CG6" t="s">
        <v>114</v>
      </c>
    </row>
    <row r="7" spans="1:85" x14ac:dyDescent="0.25">
      <c r="A7" t="s">
        <v>127</v>
      </c>
      <c r="B7" t="s">
        <v>126</v>
      </c>
      <c r="C7" t="s">
        <v>114</v>
      </c>
      <c r="D7" t="s">
        <v>114</v>
      </c>
      <c r="E7" t="s">
        <v>128</v>
      </c>
      <c r="F7">
        <v>27.483851185609154</v>
      </c>
      <c r="G7">
        <v>27.483851185609154</v>
      </c>
      <c r="H7">
        <v>27.82972199509403</v>
      </c>
      <c r="I7">
        <v>29.811324611610793</v>
      </c>
      <c r="J7">
        <v>30.12816843826656</v>
      </c>
      <c r="K7">
        <v>31.379803761242847</v>
      </c>
      <c r="L7">
        <v>32.936222403924774</v>
      </c>
      <c r="M7">
        <v>33.201962387571548</v>
      </c>
      <c r="N7">
        <v>35.123466884709735</v>
      </c>
      <c r="O7">
        <v>36.305396565821745</v>
      </c>
      <c r="P7">
        <v>36.997342600163535</v>
      </c>
      <c r="Q7">
        <v>37.510220768601798</v>
      </c>
      <c r="R7">
        <v>37.551103843008995</v>
      </c>
      <c r="S7">
        <v>38.859362224039252</v>
      </c>
      <c r="T7">
        <v>39.881439084219132</v>
      </c>
      <c r="U7">
        <v>40.515126737530665</v>
      </c>
      <c r="V7">
        <v>40.617334423548655</v>
      </c>
      <c r="W7">
        <v>41.128372853638595</v>
      </c>
      <c r="X7">
        <v>41.291905151267379</v>
      </c>
      <c r="Y7">
        <v>41.414554374488965</v>
      </c>
      <c r="Z7">
        <v>41.455437448896156</v>
      </c>
      <c r="AA7">
        <v>42.170891251022077</v>
      </c>
      <c r="AB7">
        <v>42.293540474243663</v>
      </c>
      <c r="AC7">
        <v>42.497955846279645</v>
      </c>
      <c r="AD7" t="s">
        <v>114</v>
      </c>
      <c r="AE7" t="s">
        <v>114</v>
      </c>
      <c r="AF7">
        <v>43.336058871627145</v>
      </c>
      <c r="AG7">
        <v>44.010629599345869</v>
      </c>
      <c r="AH7">
        <v>44.644317252657402</v>
      </c>
      <c r="AI7">
        <v>45.686835650040884</v>
      </c>
      <c r="AJ7">
        <v>46.279640228945219</v>
      </c>
      <c r="AK7">
        <v>46.913327882256745</v>
      </c>
      <c r="AL7">
        <v>47.50613246116108</v>
      </c>
      <c r="AM7">
        <v>48.58953393295176</v>
      </c>
      <c r="AN7">
        <v>48.896156991005725</v>
      </c>
      <c r="AO7">
        <v>48.91659852820932</v>
      </c>
      <c r="AP7">
        <v>49.039247751430906</v>
      </c>
      <c r="AQ7">
        <v>49.979558462796405</v>
      </c>
      <c r="AR7">
        <v>50.28618152085037</v>
      </c>
      <c r="AS7">
        <v>50.838103025347507</v>
      </c>
      <c r="AT7">
        <v>50.981193785772689</v>
      </c>
      <c r="AU7">
        <v>51.757972199509403</v>
      </c>
      <c r="AV7">
        <v>51.778413736712999</v>
      </c>
      <c r="AW7">
        <v>51.798855273916601</v>
      </c>
      <c r="AX7">
        <v>51.839738348323792</v>
      </c>
      <c r="AY7">
        <v>51.941946034341782</v>
      </c>
      <c r="AZ7">
        <v>52.309893704006541</v>
      </c>
      <c r="BA7">
        <v>52.534750613246118</v>
      </c>
      <c r="BB7">
        <v>52.984464431725264</v>
      </c>
      <c r="BC7">
        <v>53.086672117743255</v>
      </c>
      <c r="BD7">
        <v>53.086672117743255</v>
      </c>
      <c r="BE7">
        <v>53.495502861815211</v>
      </c>
      <c r="BF7">
        <v>54.517579721995098</v>
      </c>
      <c r="BG7">
        <v>55.130825838103029</v>
      </c>
      <c r="BH7">
        <v>55.703188879803761</v>
      </c>
      <c r="BI7">
        <v>56.275551921504501</v>
      </c>
      <c r="BJ7">
        <v>57.563368765331163</v>
      </c>
      <c r="BK7">
        <v>57.767784137367137</v>
      </c>
      <c r="BL7">
        <v>58.013082583810302</v>
      </c>
      <c r="BM7">
        <v>58.013082583810302</v>
      </c>
      <c r="BN7">
        <v>58.340147179067863</v>
      </c>
      <c r="BO7">
        <v>60.159443990188066</v>
      </c>
      <c r="BP7">
        <v>61.508585445625506</v>
      </c>
      <c r="BQ7">
        <v>62.367130008176623</v>
      </c>
      <c r="BR7">
        <v>63.143908421913324</v>
      </c>
      <c r="BS7">
        <v>63.470973017170891</v>
      </c>
      <c r="BT7">
        <v>63.55273916598528</v>
      </c>
      <c r="BU7">
        <v>63.90024529844645</v>
      </c>
      <c r="BV7">
        <v>64.758789860997553</v>
      </c>
      <c r="BW7">
        <v>65.106295993458716</v>
      </c>
      <c r="BX7">
        <v>65.883074407195423</v>
      </c>
      <c r="BY7">
        <v>66.905151267375302</v>
      </c>
      <c r="BZ7">
        <v>67.620605069501224</v>
      </c>
      <c r="CA7">
        <v>95.645952575633686</v>
      </c>
      <c r="CB7">
        <v>95.645952575633686</v>
      </c>
      <c r="CC7" t="s">
        <v>114</v>
      </c>
      <c r="CD7" t="s">
        <v>114</v>
      </c>
      <c r="CE7" t="s">
        <v>114</v>
      </c>
      <c r="CF7" t="s">
        <v>114</v>
      </c>
      <c r="CG7" t="s">
        <v>114</v>
      </c>
    </row>
    <row r="8" spans="1:85" x14ac:dyDescent="0.25">
      <c r="A8" t="s">
        <v>129</v>
      </c>
      <c r="B8" t="s">
        <v>114</v>
      </c>
      <c r="C8" t="s">
        <v>114</v>
      </c>
      <c r="D8" t="s">
        <v>114</v>
      </c>
      <c r="E8" t="s">
        <v>115</v>
      </c>
      <c r="F8" t="s">
        <v>114</v>
      </c>
      <c r="G8" t="s">
        <v>114</v>
      </c>
      <c r="H8" t="s">
        <v>114</v>
      </c>
      <c r="I8" t="s">
        <v>114</v>
      </c>
      <c r="J8" t="s">
        <v>114</v>
      </c>
      <c r="K8" t="s">
        <v>114</v>
      </c>
      <c r="L8" t="s">
        <v>114</v>
      </c>
      <c r="M8" t="s">
        <v>114</v>
      </c>
      <c r="N8" t="s">
        <v>114</v>
      </c>
      <c r="O8" t="s">
        <v>114</v>
      </c>
      <c r="P8" t="s">
        <v>114</v>
      </c>
      <c r="Q8" t="s">
        <v>114</v>
      </c>
      <c r="R8" t="s">
        <v>114</v>
      </c>
      <c r="S8" t="s">
        <v>114</v>
      </c>
      <c r="T8" t="s">
        <v>114</v>
      </c>
      <c r="U8" t="s">
        <v>114</v>
      </c>
      <c r="V8" t="s">
        <v>114</v>
      </c>
      <c r="W8" t="s">
        <v>114</v>
      </c>
      <c r="X8" t="s">
        <v>114</v>
      </c>
      <c r="Y8" t="s">
        <v>114</v>
      </c>
      <c r="Z8" t="s">
        <v>114</v>
      </c>
      <c r="AA8" t="s">
        <v>114</v>
      </c>
      <c r="AB8" t="s">
        <v>114</v>
      </c>
      <c r="AC8" t="s">
        <v>114</v>
      </c>
      <c r="AD8" t="s">
        <v>114</v>
      </c>
      <c r="AE8" t="s">
        <v>114</v>
      </c>
      <c r="AF8" t="s">
        <v>114</v>
      </c>
      <c r="AG8" t="s">
        <v>114</v>
      </c>
      <c r="AH8" t="s">
        <v>114</v>
      </c>
      <c r="AI8" t="s">
        <v>114</v>
      </c>
      <c r="AJ8" t="s">
        <v>114</v>
      </c>
      <c r="AK8" t="s">
        <v>114</v>
      </c>
      <c r="AL8" t="s">
        <v>114</v>
      </c>
      <c r="AM8" t="s">
        <v>114</v>
      </c>
      <c r="AN8" t="s">
        <v>114</v>
      </c>
      <c r="AO8" t="s">
        <v>114</v>
      </c>
      <c r="AP8" t="s">
        <v>114</v>
      </c>
      <c r="AQ8" t="s">
        <v>114</v>
      </c>
      <c r="AR8" t="s">
        <v>114</v>
      </c>
      <c r="AS8" t="s">
        <v>114</v>
      </c>
      <c r="AT8" t="s">
        <v>114</v>
      </c>
      <c r="AU8" t="s">
        <v>114</v>
      </c>
      <c r="AV8" t="s">
        <v>114</v>
      </c>
      <c r="AW8" t="s">
        <v>114</v>
      </c>
      <c r="AX8" t="s">
        <v>114</v>
      </c>
      <c r="AY8" t="s">
        <v>114</v>
      </c>
      <c r="AZ8" t="s">
        <v>114</v>
      </c>
      <c r="BA8" t="s">
        <v>114</v>
      </c>
      <c r="BB8" t="s">
        <v>114</v>
      </c>
      <c r="BC8" t="s">
        <v>114</v>
      </c>
      <c r="BD8" t="s">
        <v>114</v>
      </c>
      <c r="BE8" t="s">
        <v>114</v>
      </c>
      <c r="BF8" t="s">
        <v>114</v>
      </c>
      <c r="BG8" t="s">
        <v>114</v>
      </c>
      <c r="BH8" t="s">
        <v>114</v>
      </c>
      <c r="BI8" t="s">
        <v>114</v>
      </c>
      <c r="BJ8" t="s">
        <v>114</v>
      </c>
      <c r="BK8" t="s">
        <v>114</v>
      </c>
      <c r="BL8" t="s">
        <v>114</v>
      </c>
      <c r="BM8" t="s">
        <v>114</v>
      </c>
      <c r="BN8" t="s">
        <v>114</v>
      </c>
      <c r="BO8" t="s">
        <v>114</v>
      </c>
      <c r="BP8" t="s">
        <v>114</v>
      </c>
      <c r="BQ8" t="s">
        <v>114</v>
      </c>
      <c r="BR8" t="s">
        <v>114</v>
      </c>
      <c r="BS8" t="s">
        <v>114</v>
      </c>
      <c r="BT8" t="s">
        <v>114</v>
      </c>
      <c r="BU8" t="s">
        <v>114</v>
      </c>
      <c r="BV8" t="s">
        <v>114</v>
      </c>
      <c r="BW8" t="s">
        <v>114</v>
      </c>
      <c r="BX8" t="s">
        <v>114</v>
      </c>
      <c r="BY8" t="s">
        <v>114</v>
      </c>
      <c r="BZ8" t="s">
        <v>114</v>
      </c>
      <c r="CA8" t="s">
        <v>114</v>
      </c>
      <c r="CB8" t="s">
        <v>114</v>
      </c>
      <c r="CC8" t="s">
        <v>114</v>
      </c>
      <c r="CD8" t="s">
        <v>114</v>
      </c>
      <c r="CE8" t="s">
        <v>114</v>
      </c>
      <c r="CF8" t="s">
        <v>114</v>
      </c>
      <c r="CG8" t="s">
        <v>114</v>
      </c>
    </row>
    <row r="9" spans="1:85" x14ac:dyDescent="0.25">
      <c r="A9" t="s">
        <v>130</v>
      </c>
      <c r="B9" t="s">
        <v>131</v>
      </c>
      <c r="C9" t="s">
        <v>120</v>
      </c>
      <c r="D9" t="s">
        <v>121</v>
      </c>
      <c r="E9" t="s">
        <v>122</v>
      </c>
      <c r="F9">
        <v>2.3180000000000001</v>
      </c>
      <c r="G9">
        <v>2.02</v>
      </c>
      <c r="H9">
        <v>0.92400000000000004</v>
      </c>
      <c r="I9">
        <v>0.24</v>
      </c>
      <c r="J9">
        <v>0.85399999999999998</v>
      </c>
      <c r="K9">
        <v>1.1499999999999999</v>
      </c>
      <c r="L9">
        <v>0.75600000000000001</v>
      </c>
      <c r="M9">
        <v>0.45</v>
      </c>
      <c r="N9">
        <v>0.17899999999999999</v>
      </c>
      <c r="O9">
        <v>1.754</v>
      </c>
      <c r="P9">
        <v>4.88</v>
      </c>
      <c r="Q9">
        <v>2.3519999999999999</v>
      </c>
      <c r="R9">
        <v>1.383</v>
      </c>
      <c r="S9">
        <v>12.497999999999999</v>
      </c>
      <c r="T9">
        <v>5.08</v>
      </c>
      <c r="U9">
        <v>8.2680000000000007</v>
      </c>
      <c r="V9">
        <v>2.5019999999999998</v>
      </c>
      <c r="W9">
        <v>0.34499999999999997</v>
      </c>
      <c r="X9">
        <v>0.23</v>
      </c>
      <c r="Y9">
        <v>1.25</v>
      </c>
      <c r="Z9">
        <v>0.218</v>
      </c>
      <c r="AA9">
        <v>0.20200000000000001</v>
      </c>
      <c r="AB9">
        <v>0.35899999999999999</v>
      </c>
      <c r="AC9">
        <v>1.5859999999999999</v>
      </c>
      <c r="AD9" t="s">
        <v>114</v>
      </c>
      <c r="AE9" t="s">
        <v>114</v>
      </c>
      <c r="AF9">
        <v>16.675000000000001</v>
      </c>
      <c r="AG9">
        <v>19.329999999999998</v>
      </c>
      <c r="AH9">
        <v>3.9319999999999999</v>
      </c>
      <c r="AI9">
        <v>2.13</v>
      </c>
      <c r="AJ9">
        <v>5.0819999999999999</v>
      </c>
      <c r="AK9">
        <v>0.43099999999999999</v>
      </c>
      <c r="AL9">
        <v>2.8570000000000002</v>
      </c>
      <c r="AM9">
        <v>5.3629999999999995</v>
      </c>
      <c r="AN9">
        <v>0.311</v>
      </c>
      <c r="AO9">
        <v>5.0940000000000003</v>
      </c>
      <c r="AP9">
        <v>0.25</v>
      </c>
      <c r="AQ9">
        <v>3.0649999999999999</v>
      </c>
      <c r="AR9">
        <v>1.6219999999999999</v>
      </c>
      <c r="AS9">
        <v>5.26</v>
      </c>
      <c r="AT9">
        <v>2.375</v>
      </c>
      <c r="AU9">
        <v>2.2000000000000002</v>
      </c>
      <c r="AV9">
        <v>4.5449999999999999</v>
      </c>
      <c r="AW9">
        <v>0.20499999999999999</v>
      </c>
      <c r="AX9">
        <v>0.45</v>
      </c>
      <c r="AY9">
        <v>0.2</v>
      </c>
      <c r="AZ9">
        <v>0.33300000000000002</v>
      </c>
      <c r="BA9">
        <v>0.45100000000000001</v>
      </c>
      <c r="BB9">
        <v>0.2</v>
      </c>
      <c r="BC9">
        <v>0.70199999999999996</v>
      </c>
      <c r="BD9">
        <v>2.0950000000000002</v>
      </c>
      <c r="BE9">
        <v>3.5000000000000003E-2</v>
      </c>
      <c r="BF9">
        <v>0.20799999999999999</v>
      </c>
      <c r="BG9">
        <v>0.18</v>
      </c>
      <c r="BH9">
        <v>0.13</v>
      </c>
      <c r="BI9">
        <v>0.27100000000000002</v>
      </c>
      <c r="BJ9">
        <v>1.915</v>
      </c>
      <c r="BK9">
        <v>0.104</v>
      </c>
      <c r="BL9">
        <v>5.1520000000000001</v>
      </c>
      <c r="BM9">
        <v>0.60799999999999998</v>
      </c>
      <c r="BN9">
        <v>0.61499999999999999</v>
      </c>
      <c r="BO9">
        <v>2.0670000000000002</v>
      </c>
      <c r="BP9">
        <v>4.2379999999999995</v>
      </c>
      <c r="BQ9">
        <v>3.972</v>
      </c>
      <c r="BR9">
        <v>3.16</v>
      </c>
      <c r="BS9">
        <v>0.371</v>
      </c>
      <c r="BT9">
        <v>6.4320000000000004</v>
      </c>
      <c r="BU9">
        <v>2.8940000000000001</v>
      </c>
      <c r="BV9">
        <v>8.3190000000000008</v>
      </c>
      <c r="BW9">
        <v>61.091999999999999</v>
      </c>
      <c r="BX9">
        <v>0</v>
      </c>
      <c r="BY9" t="s">
        <v>114</v>
      </c>
      <c r="BZ9" t="s">
        <v>114</v>
      </c>
      <c r="CA9" t="s">
        <v>114</v>
      </c>
      <c r="CB9" t="s">
        <v>114</v>
      </c>
      <c r="CC9" t="s">
        <v>114</v>
      </c>
      <c r="CD9" t="s">
        <v>114</v>
      </c>
      <c r="CE9" t="s">
        <v>114</v>
      </c>
      <c r="CF9" t="s">
        <v>114</v>
      </c>
      <c r="CG9" t="s">
        <v>114</v>
      </c>
    </row>
    <row r="10" spans="1:85" x14ac:dyDescent="0.25">
      <c r="A10" t="s">
        <v>132</v>
      </c>
      <c r="B10" t="s">
        <v>133</v>
      </c>
      <c r="C10" t="s">
        <v>120</v>
      </c>
      <c r="D10" t="s">
        <v>121</v>
      </c>
      <c r="E10" t="s">
        <v>122</v>
      </c>
      <c r="F10" t="s">
        <v>114</v>
      </c>
      <c r="G10">
        <v>236.40100000000001</v>
      </c>
      <c r="H10">
        <v>234.381</v>
      </c>
      <c r="I10">
        <v>233.45699999999999</v>
      </c>
      <c r="J10">
        <v>233.21700000000001</v>
      </c>
      <c r="K10">
        <v>232.363</v>
      </c>
      <c r="L10">
        <v>231.21299999999999</v>
      </c>
      <c r="M10">
        <v>230.45699999999999</v>
      </c>
      <c r="N10">
        <v>230.00700000000001</v>
      </c>
      <c r="O10">
        <v>229.828</v>
      </c>
      <c r="P10">
        <v>228.07400000000001</v>
      </c>
      <c r="Q10">
        <v>223.19399999999999</v>
      </c>
      <c r="R10">
        <v>220.84200000000001</v>
      </c>
      <c r="S10">
        <v>219.459</v>
      </c>
      <c r="T10">
        <v>206.96100000000001</v>
      </c>
      <c r="U10">
        <v>201.881</v>
      </c>
      <c r="V10">
        <v>193.613</v>
      </c>
      <c r="W10">
        <v>191.11099999999999</v>
      </c>
      <c r="X10">
        <v>190.76599999999999</v>
      </c>
      <c r="Y10">
        <v>190.536</v>
      </c>
      <c r="Z10">
        <v>189.286</v>
      </c>
      <c r="AA10">
        <v>189.06800000000001</v>
      </c>
      <c r="AB10">
        <v>188.86600000000001</v>
      </c>
      <c r="AC10">
        <v>188.50700000000001</v>
      </c>
      <c r="AD10" t="s">
        <v>114</v>
      </c>
      <c r="AE10" t="s">
        <v>114</v>
      </c>
      <c r="AF10">
        <v>186.92099999999999</v>
      </c>
      <c r="AG10">
        <v>170.24600000000001</v>
      </c>
      <c r="AH10">
        <v>150.916</v>
      </c>
      <c r="AI10">
        <v>146.98400000000001</v>
      </c>
      <c r="AJ10">
        <v>144.85400000000001</v>
      </c>
      <c r="AK10">
        <v>139.77199999999999</v>
      </c>
      <c r="AL10">
        <v>139.34100000000001</v>
      </c>
      <c r="AM10">
        <v>136.48400000000001</v>
      </c>
      <c r="AN10">
        <v>131.12100000000001</v>
      </c>
      <c r="AO10">
        <v>130.81</v>
      </c>
      <c r="AP10">
        <v>125.71599999999999</v>
      </c>
      <c r="AQ10">
        <v>125.46599999999999</v>
      </c>
      <c r="AR10">
        <v>122.401</v>
      </c>
      <c r="AS10">
        <v>120.779</v>
      </c>
      <c r="AT10">
        <v>115.51900000000001</v>
      </c>
      <c r="AU10">
        <v>113.14400000000001</v>
      </c>
      <c r="AV10">
        <v>110.944</v>
      </c>
      <c r="AW10">
        <v>106.399</v>
      </c>
      <c r="AX10">
        <v>106.194</v>
      </c>
      <c r="AY10">
        <v>105.744</v>
      </c>
      <c r="AZ10">
        <v>105.544</v>
      </c>
      <c r="BA10">
        <v>105.211</v>
      </c>
      <c r="BB10">
        <v>104.76</v>
      </c>
      <c r="BC10">
        <v>104.56</v>
      </c>
      <c r="BD10">
        <v>103.858</v>
      </c>
      <c r="BE10">
        <v>101.76300000000001</v>
      </c>
      <c r="BF10">
        <v>101.72799999999999</v>
      </c>
      <c r="BG10">
        <v>101.52</v>
      </c>
      <c r="BH10">
        <v>101.34</v>
      </c>
      <c r="BI10">
        <v>101.21</v>
      </c>
      <c r="BJ10">
        <v>100.93899999999999</v>
      </c>
      <c r="BK10">
        <v>99.024000000000001</v>
      </c>
      <c r="BL10">
        <v>98.92</v>
      </c>
      <c r="BM10">
        <v>93.768000000000001</v>
      </c>
      <c r="BN10">
        <v>93.16</v>
      </c>
      <c r="BO10">
        <v>92.545000000000002</v>
      </c>
      <c r="BP10">
        <v>90.477999999999994</v>
      </c>
      <c r="BQ10">
        <v>86.24</v>
      </c>
      <c r="BR10">
        <v>82.268000000000001</v>
      </c>
      <c r="BS10">
        <v>79.108000000000004</v>
      </c>
      <c r="BT10">
        <v>78.736999999999995</v>
      </c>
      <c r="BU10">
        <v>72.305000000000007</v>
      </c>
      <c r="BV10">
        <v>69.411000000000001</v>
      </c>
      <c r="BW10">
        <v>61.091999999999999</v>
      </c>
      <c r="BX10" t="s">
        <v>114</v>
      </c>
      <c r="BY10" t="s">
        <v>114</v>
      </c>
      <c r="BZ10" t="s">
        <v>114</v>
      </c>
      <c r="CA10" t="s">
        <v>114</v>
      </c>
      <c r="CB10" t="s">
        <v>114</v>
      </c>
      <c r="CC10" t="s">
        <v>114</v>
      </c>
      <c r="CD10" t="s">
        <v>114</v>
      </c>
      <c r="CE10" t="s">
        <v>114</v>
      </c>
      <c r="CF10" t="s">
        <v>114</v>
      </c>
      <c r="CG10" t="s">
        <v>114</v>
      </c>
    </row>
    <row r="11" spans="1:85" x14ac:dyDescent="0.25">
      <c r="A11" t="s">
        <v>134</v>
      </c>
      <c r="B11" t="s">
        <v>135</v>
      </c>
      <c r="C11" t="s">
        <v>120</v>
      </c>
      <c r="D11" t="s">
        <v>121</v>
      </c>
      <c r="E11" t="s">
        <v>122</v>
      </c>
      <c r="F11">
        <v>286.947</v>
      </c>
      <c r="G11">
        <v>286.947</v>
      </c>
      <c r="H11">
        <v>288.96699999999998</v>
      </c>
      <c r="I11">
        <v>289.96100000000001</v>
      </c>
      <c r="J11">
        <v>290.20100000000002</v>
      </c>
      <c r="K11">
        <v>291.05500000000001</v>
      </c>
      <c r="L11">
        <v>292.96100000000001</v>
      </c>
      <c r="M11">
        <v>293.411</v>
      </c>
      <c r="N11">
        <v>293.58999999999997</v>
      </c>
      <c r="O11">
        <v>295.34399999999999</v>
      </c>
      <c r="P11">
        <v>300.22399999999999</v>
      </c>
      <c r="Q11">
        <v>302.60000000000002</v>
      </c>
      <c r="R11">
        <v>304</v>
      </c>
      <c r="S11">
        <v>316.5</v>
      </c>
      <c r="T11">
        <v>321.5</v>
      </c>
      <c r="U11">
        <v>329.8</v>
      </c>
      <c r="V11">
        <v>332.3</v>
      </c>
      <c r="W11">
        <v>332.7</v>
      </c>
      <c r="X11">
        <v>332.9</v>
      </c>
      <c r="Y11">
        <v>334.1</v>
      </c>
      <c r="Z11">
        <v>334.4</v>
      </c>
      <c r="AA11">
        <v>334.6</v>
      </c>
      <c r="AB11">
        <v>334.9</v>
      </c>
      <c r="AC11">
        <v>336.5</v>
      </c>
      <c r="AD11" t="s">
        <v>114</v>
      </c>
      <c r="AE11" t="s">
        <v>114</v>
      </c>
      <c r="AF11">
        <v>353.2</v>
      </c>
      <c r="AG11">
        <v>372.5</v>
      </c>
      <c r="AH11">
        <v>376.4</v>
      </c>
      <c r="AI11">
        <v>378.6</v>
      </c>
      <c r="AJ11">
        <v>383.6</v>
      </c>
      <c r="AK11">
        <v>384.1</v>
      </c>
      <c r="AL11">
        <v>386.9</v>
      </c>
      <c r="AM11">
        <v>392.3</v>
      </c>
      <c r="AN11">
        <v>392.6</v>
      </c>
      <c r="AO11">
        <v>397.7</v>
      </c>
      <c r="AP11">
        <v>398</v>
      </c>
      <c r="AQ11">
        <v>401</v>
      </c>
      <c r="AR11">
        <v>402.6</v>
      </c>
      <c r="AS11">
        <v>407.9</v>
      </c>
      <c r="AT11">
        <v>410.3</v>
      </c>
      <c r="AU11">
        <v>412.6</v>
      </c>
      <c r="AV11">
        <v>417.1</v>
      </c>
      <c r="AW11">
        <v>417.3</v>
      </c>
      <c r="AX11">
        <v>417.8</v>
      </c>
      <c r="AY11">
        <v>418</v>
      </c>
      <c r="AZ11">
        <v>418.3</v>
      </c>
      <c r="BA11">
        <v>418.7</v>
      </c>
      <c r="BB11">
        <v>418.9</v>
      </c>
      <c r="BC11">
        <v>419.6</v>
      </c>
      <c r="BD11">
        <v>421.7</v>
      </c>
      <c r="BE11">
        <v>421.8</v>
      </c>
      <c r="BF11">
        <v>422</v>
      </c>
      <c r="BG11">
        <v>422.2</v>
      </c>
      <c r="BH11">
        <v>422.3</v>
      </c>
      <c r="BI11">
        <v>422.6</v>
      </c>
      <c r="BJ11">
        <v>424.5</v>
      </c>
      <c r="BK11">
        <v>424.6</v>
      </c>
      <c r="BL11">
        <v>429.7</v>
      </c>
      <c r="BM11">
        <v>430.3</v>
      </c>
      <c r="BN11">
        <v>431</v>
      </c>
      <c r="BO11">
        <v>433</v>
      </c>
      <c r="BP11">
        <v>437.3</v>
      </c>
      <c r="BQ11">
        <v>441.4</v>
      </c>
      <c r="BR11">
        <v>444.6</v>
      </c>
      <c r="BS11">
        <v>445</v>
      </c>
      <c r="BT11">
        <v>451.4</v>
      </c>
      <c r="BU11">
        <v>454.6</v>
      </c>
      <c r="BV11">
        <v>462.9</v>
      </c>
      <c r="BW11">
        <v>524</v>
      </c>
      <c r="BX11">
        <v>524</v>
      </c>
      <c r="BY11">
        <v>524</v>
      </c>
      <c r="BZ11" t="s">
        <v>114</v>
      </c>
      <c r="CA11" t="s">
        <v>114</v>
      </c>
      <c r="CB11" t="s">
        <v>114</v>
      </c>
      <c r="CC11" t="s">
        <v>114</v>
      </c>
      <c r="CD11" t="s">
        <v>114</v>
      </c>
      <c r="CE11" t="s">
        <v>114</v>
      </c>
      <c r="CF11" t="s">
        <v>114</v>
      </c>
      <c r="CG11" t="s">
        <v>114</v>
      </c>
    </row>
    <row r="12" spans="1:85" x14ac:dyDescent="0.25">
      <c r="A12" t="s">
        <v>136</v>
      </c>
      <c r="B12" t="s">
        <v>135</v>
      </c>
      <c r="C12" t="s">
        <v>114</v>
      </c>
      <c r="D12" t="s">
        <v>114</v>
      </c>
      <c r="E12" t="s">
        <v>128</v>
      </c>
      <c r="F12">
        <v>54.192067988668555</v>
      </c>
      <c r="G12">
        <v>54.192067988668555</v>
      </c>
      <c r="H12">
        <v>54.573559962228515</v>
      </c>
      <c r="I12">
        <v>54.761284230406048</v>
      </c>
      <c r="J12">
        <v>54.806610009442878</v>
      </c>
      <c r="K12">
        <v>54.967894239848917</v>
      </c>
      <c r="L12">
        <v>55.327856468366384</v>
      </c>
      <c r="M12">
        <v>55.412842304060433</v>
      </c>
      <c r="N12">
        <v>55.446647780925396</v>
      </c>
      <c r="O12">
        <v>55.77790368271954</v>
      </c>
      <c r="P12">
        <v>56.699527856468364</v>
      </c>
      <c r="Q12">
        <v>57.148253068932959</v>
      </c>
      <c r="R12">
        <v>57.412653446647781</v>
      </c>
      <c r="S12">
        <v>59.773371104815865</v>
      </c>
      <c r="T12">
        <v>60.717658168083098</v>
      </c>
      <c r="U12">
        <v>62.285174693106704</v>
      </c>
      <c r="V12">
        <v>62.757318224740324</v>
      </c>
      <c r="W12">
        <v>62.832861189801697</v>
      </c>
      <c r="X12">
        <v>62.870632672332391</v>
      </c>
      <c r="Y12">
        <v>63.097261567516526</v>
      </c>
      <c r="Z12">
        <v>63.153918791312556</v>
      </c>
      <c r="AA12">
        <v>63.19169027384325</v>
      </c>
      <c r="AB12">
        <v>63.24834749763928</v>
      </c>
      <c r="AC12">
        <v>63.550519357884795</v>
      </c>
      <c r="AD12" t="s">
        <v>114</v>
      </c>
      <c r="AE12" t="s">
        <v>114</v>
      </c>
      <c r="AF12">
        <v>66.704438149197358</v>
      </c>
      <c r="AG12">
        <v>70.349386213408877</v>
      </c>
      <c r="AH12">
        <v>71.085930122757318</v>
      </c>
      <c r="AI12">
        <v>71.501416430594901</v>
      </c>
      <c r="AJ12">
        <v>72.44570349386214</v>
      </c>
      <c r="AK12">
        <v>72.540132200188864</v>
      </c>
      <c r="AL12">
        <v>73.068932955618507</v>
      </c>
      <c r="AM12">
        <v>74.08876298394712</v>
      </c>
      <c r="AN12">
        <v>74.145420207743157</v>
      </c>
      <c r="AO12">
        <v>75.108593012275733</v>
      </c>
      <c r="AP12">
        <v>75.16525023607177</v>
      </c>
      <c r="AQ12">
        <v>75.7318224740321</v>
      </c>
      <c r="AR12">
        <v>76.033994334277622</v>
      </c>
      <c r="AS12">
        <v>77.034938621340885</v>
      </c>
      <c r="AT12">
        <v>77.488196411709154</v>
      </c>
      <c r="AU12">
        <v>77.922568460812087</v>
      </c>
      <c r="AV12">
        <v>78.772426817752603</v>
      </c>
      <c r="AW12">
        <v>78.81019830028329</v>
      </c>
      <c r="AX12">
        <v>78.904627006610013</v>
      </c>
      <c r="AY12">
        <v>78.9423984891407</v>
      </c>
      <c r="AZ12">
        <v>78.999055712936737</v>
      </c>
      <c r="BA12">
        <v>79.074598677998111</v>
      </c>
      <c r="BB12">
        <v>79.112370160528798</v>
      </c>
      <c r="BC12">
        <v>79.244570349386208</v>
      </c>
      <c r="BD12">
        <v>79.641170915958455</v>
      </c>
      <c r="BE12">
        <v>79.660056657223791</v>
      </c>
      <c r="BF12">
        <v>79.697828139754492</v>
      </c>
      <c r="BG12">
        <v>79.735599622285179</v>
      </c>
      <c r="BH12">
        <v>79.754485363550515</v>
      </c>
      <c r="BI12">
        <v>79.811142587346552</v>
      </c>
      <c r="BJ12">
        <v>80.169971671388097</v>
      </c>
      <c r="BK12">
        <v>80.188857412653448</v>
      </c>
      <c r="BL12">
        <v>81.152030217186024</v>
      </c>
      <c r="BM12">
        <v>81.265344664778098</v>
      </c>
      <c r="BN12">
        <v>81.397544853635509</v>
      </c>
      <c r="BO12">
        <v>81.775259678942405</v>
      </c>
      <c r="BP12">
        <v>82.587346553352219</v>
      </c>
      <c r="BQ12">
        <v>83.361661945231347</v>
      </c>
      <c r="BR12">
        <v>83.966005665722378</v>
      </c>
      <c r="BS12">
        <v>84.041548630783765</v>
      </c>
      <c r="BT12">
        <v>85.250236071765812</v>
      </c>
      <c r="BU12">
        <v>85.854579792256843</v>
      </c>
      <c r="BV12">
        <v>87.422096317280449</v>
      </c>
      <c r="BW12">
        <v>98.961284230406036</v>
      </c>
      <c r="BX12">
        <v>98.961284230406036</v>
      </c>
      <c r="BY12">
        <v>98.961284230406036</v>
      </c>
      <c r="BZ12" t="s">
        <v>114</v>
      </c>
      <c r="CA12" t="s">
        <v>114</v>
      </c>
      <c r="CB12" t="s">
        <v>114</v>
      </c>
      <c r="CC12" t="s">
        <v>114</v>
      </c>
      <c r="CD12" t="s">
        <v>114</v>
      </c>
      <c r="CE12" t="s">
        <v>114</v>
      </c>
      <c r="CF12" t="s">
        <v>114</v>
      </c>
      <c r="CG12" t="s">
        <v>114</v>
      </c>
    </row>
    <row r="13" spans="1:85" x14ac:dyDescent="0.25">
      <c r="A13" t="s">
        <v>137</v>
      </c>
      <c r="B13" t="s">
        <v>114</v>
      </c>
      <c r="C13" t="s">
        <v>114</v>
      </c>
      <c r="D13" t="s">
        <v>114</v>
      </c>
      <c r="E13" t="s">
        <v>128</v>
      </c>
      <c r="F13" t="s">
        <v>114</v>
      </c>
      <c r="G13">
        <v>538.46799999999996</v>
      </c>
      <c r="H13">
        <v>481.63399999999996</v>
      </c>
      <c r="I13">
        <v>496.71</v>
      </c>
      <c r="J13">
        <v>536.95399999999995</v>
      </c>
      <c r="K13">
        <v>478.79300000000001</v>
      </c>
      <c r="L13">
        <v>489.70699999999999</v>
      </c>
      <c r="M13">
        <v>442.846</v>
      </c>
      <c r="N13">
        <v>545.26499999999999</v>
      </c>
      <c r="O13">
        <v>447.38599999999997</v>
      </c>
      <c r="P13">
        <v>452.85500000000002</v>
      </c>
      <c r="Q13">
        <v>442.923</v>
      </c>
      <c r="R13">
        <v>426.12699999999995</v>
      </c>
      <c r="S13">
        <v>437.01</v>
      </c>
      <c r="T13">
        <v>434.03399999999999</v>
      </c>
      <c r="U13">
        <v>449.85200000000009</v>
      </c>
      <c r="V13">
        <v>447.57299999999998</v>
      </c>
      <c r="W13">
        <v>459.41399999999999</v>
      </c>
      <c r="X13">
        <v>457.709</v>
      </c>
      <c r="Y13">
        <v>460.76399999999995</v>
      </c>
      <c r="Z13">
        <v>448.54699999999997</v>
      </c>
      <c r="AA13">
        <v>484.5</v>
      </c>
      <c r="AB13">
        <v>497.08199999999999</v>
      </c>
      <c r="AC13">
        <v>457.01099999999997</v>
      </c>
      <c r="AD13">
        <v>456.952</v>
      </c>
      <c r="AE13">
        <v>559.16499999999996</v>
      </c>
      <c r="AF13">
        <v>517.49200000000008</v>
      </c>
      <c r="AG13">
        <v>516.899</v>
      </c>
      <c r="AH13">
        <v>490.59899999999993</v>
      </c>
      <c r="AI13">
        <v>470.834</v>
      </c>
      <c r="AJ13">
        <v>504.92600000000004</v>
      </c>
      <c r="AK13">
        <v>489.46800000000002</v>
      </c>
      <c r="AL13">
        <v>494.01200000000006</v>
      </c>
      <c r="AM13">
        <v>483.01</v>
      </c>
      <c r="AN13">
        <v>499.98700000000002</v>
      </c>
      <c r="AO13">
        <v>504.39600000000007</v>
      </c>
      <c r="AP13">
        <v>516.04500000000007</v>
      </c>
      <c r="AQ13">
        <v>512.45000000000005</v>
      </c>
      <c r="AR13">
        <v>518.71100000000001</v>
      </c>
      <c r="AS13">
        <v>523.88900000000001</v>
      </c>
      <c r="AT13">
        <v>534.82300000000009</v>
      </c>
      <c r="AU13">
        <v>517.51700000000005</v>
      </c>
      <c r="AV13">
        <v>516.05399999999997</v>
      </c>
      <c r="AW13">
        <v>529.3309999999999</v>
      </c>
      <c r="AX13">
        <v>510.56900000000007</v>
      </c>
      <c r="AY13">
        <v>517.20900000000006</v>
      </c>
      <c r="AZ13">
        <v>524.08600000000001</v>
      </c>
      <c r="BA13">
        <v>521.86399999999992</v>
      </c>
      <c r="BB13">
        <v>525.80499999999995</v>
      </c>
      <c r="BC13">
        <v>532.39200000000005</v>
      </c>
      <c r="BD13">
        <v>513.21500000000003</v>
      </c>
      <c r="BE13">
        <v>512.56100000000004</v>
      </c>
      <c r="BF13">
        <v>535.02399999999989</v>
      </c>
      <c r="BG13">
        <v>537.67599999999993</v>
      </c>
      <c r="BH13">
        <v>536.798</v>
      </c>
      <c r="BI13">
        <v>523.91100000000006</v>
      </c>
      <c r="BJ13">
        <v>541.40100000000007</v>
      </c>
      <c r="BK13">
        <v>553.38599999999997</v>
      </c>
      <c r="BL13">
        <v>552.5630000000001</v>
      </c>
      <c r="BM13">
        <v>554.14699999999993</v>
      </c>
      <c r="BN13">
        <v>519.51099999999997</v>
      </c>
      <c r="BO13">
        <v>540.03599999999983</v>
      </c>
      <c r="BP13">
        <v>558.14700000000005</v>
      </c>
      <c r="BQ13">
        <v>558.19599999999991</v>
      </c>
      <c r="BR13">
        <v>556.24099999999999</v>
      </c>
      <c r="BS13">
        <v>553.03399999999999</v>
      </c>
      <c r="BT13">
        <v>573.08900000000006</v>
      </c>
      <c r="BU13">
        <v>581.53600000000006</v>
      </c>
      <c r="BV13">
        <v>591.35200000000009</v>
      </c>
      <c r="BW13">
        <v>595.79099999999994</v>
      </c>
      <c r="BX13">
        <v>636.48099999999999</v>
      </c>
      <c r="BY13">
        <v>673.2170000000001</v>
      </c>
      <c r="BZ13">
        <v>653.96900000000005</v>
      </c>
      <c r="CA13">
        <v>625.69399999999996</v>
      </c>
      <c r="CB13">
        <v>740.15899999999999</v>
      </c>
      <c r="CC13">
        <v>757.93799999999987</v>
      </c>
      <c r="CD13">
        <v>681.79</v>
      </c>
      <c r="CE13">
        <v>655.26299999999992</v>
      </c>
      <c r="CF13">
        <v>669.04600000000005</v>
      </c>
      <c r="CG13">
        <v>684.00399999999991</v>
      </c>
    </row>
    <row r="14" spans="1:85" x14ac:dyDescent="0.25">
      <c r="A14" t="s">
        <v>138</v>
      </c>
      <c r="B14" t="s">
        <v>139</v>
      </c>
      <c r="C14" t="s">
        <v>120</v>
      </c>
      <c r="D14" t="s">
        <v>121</v>
      </c>
      <c r="E14" t="s">
        <v>122</v>
      </c>
      <c r="F14" t="s">
        <v>114</v>
      </c>
      <c r="G14">
        <v>565.01900000000001</v>
      </c>
      <c r="H14">
        <v>607.61699999999996</v>
      </c>
      <c r="I14">
        <v>653.28</v>
      </c>
      <c r="J14">
        <v>679.74900000000002</v>
      </c>
      <c r="K14">
        <v>640.03899999999999</v>
      </c>
      <c r="L14">
        <v>651.47699999999998</v>
      </c>
      <c r="M14">
        <v>642.35599999999999</v>
      </c>
      <c r="N14">
        <v>688.34199999999998</v>
      </c>
      <c r="O14">
        <v>638.14099999999996</v>
      </c>
      <c r="P14">
        <v>636.30799999999999</v>
      </c>
      <c r="Q14">
        <v>636.72699999999998</v>
      </c>
      <c r="R14">
        <v>627.351</v>
      </c>
      <c r="S14">
        <v>640.76599999999996</v>
      </c>
      <c r="T14">
        <v>644.07399999999996</v>
      </c>
      <c r="U14">
        <v>648.89200000000005</v>
      </c>
      <c r="V14">
        <v>654.01499999999999</v>
      </c>
      <c r="W14">
        <v>664.50800000000004</v>
      </c>
      <c r="X14">
        <v>665.226</v>
      </c>
      <c r="Y14">
        <v>666.60799999999995</v>
      </c>
      <c r="Z14">
        <v>671.27099999999996</v>
      </c>
      <c r="AA14">
        <v>691.93399999999997</v>
      </c>
      <c r="AB14">
        <v>693.17700000000002</v>
      </c>
      <c r="AC14">
        <v>672.56</v>
      </c>
      <c r="AD14">
        <v>695.88400000000001</v>
      </c>
      <c r="AE14">
        <v>752.25900000000001</v>
      </c>
      <c r="AF14">
        <v>717.14200000000005</v>
      </c>
      <c r="AG14">
        <v>723.303</v>
      </c>
      <c r="AH14">
        <v>713.01599999999996</v>
      </c>
      <c r="AI14">
        <v>709.29700000000003</v>
      </c>
      <c r="AJ14">
        <v>719.03300000000002</v>
      </c>
      <c r="AK14">
        <v>717.61500000000001</v>
      </c>
      <c r="AL14">
        <v>721.88400000000001</v>
      </c>
      <c r="AM14">
        <v>729.68600000000004</v>
      </c>
      <c r="AN14">
        <v>740.15300000000002</v>
      </c>
      <c r="AO14">
        <v>743.90200000000004</v>
      </c>
      <c r="AP14">
        <v>749.73</v>
      </c>
      <c r="AQ14">
        <v>753.02300000000002</v>
      </c>
      <c r="AR14">
        <v>761.56700000000001</v>
      </c>
      <c r="AS14">
        <v>767.30399999999997</v>
      </c>
      <c r="AT14">
        <v>775.41700000000003</v>
      </c>
      <c r="AU14">
        <v>779.495</v>
      </c>
      <c r="AV14">
        <v>786.51199999999994</v>
      </c>
      <c r="AW14">
        <v>790.54899999999998</v>
      </c>
      <c r="AX14">
        <v>790.34900000000005</v>
      </c>
      <c r="AY14">
        <v>790.93100000000004</v>
      </c>
      <c r="AZ14">
        <v>793.6</v>
      </c>
      <c r="BA14">
        <v>804.92</v>
      </c>
      <c r="BB14">
        <v>800.57399999999996</v>
      </c>
      <c r="BC14">
        <v>804.37099999999998</v>
      </c>
      <c r="BD14">
        <v>803.34</v>
      </c>
      <c r="BE14">
        <v>811.42399999999998</v>
      </c>
      <c r="BF14">
        <v>822.68899999999996</v>
      </c>
      <c r="BG14">
        <v>815.64499999999998</v>
      </c>
      <c r="BH14">
        <v>821.78499999999997</v>
      </c>
      <c r="BI14">
        <v>821.899</v>
      </c>
      <c r="BJ14">
        <v>824.11300000000006</v>
      </c>
      <c r="BK14">
        <v>835.423</v>
      </c>
      <c r="BL14">
        <v>836.60900000000004</v>
      </c>
      <c r="BM14">
        <v>850.48599999999999</v>
      </c>
      <c r="BN14">
        <v>846.43700000000001</v>
      </c>
      <c r="BO14">
        <v>852.23299999999995</v>
      </c>
      <c r="BP14">
        <v>869.91600000000005</v>
      </c>
      <c r="BQ14">
        <v>884.21199999999999</v>
      </c>
      <c r="BR14">
        <v>896.76300000000003</v>
      </c>
      <c r="BS14">
        <v>903.61900000000003</v>
      </c>
      <c r="BT14">
        <v>906.24400000000003</v>
      </c>
      <c r="BU14">
        <v>920.79100000000005</v>
      </c>
      <c r="BV14">
        <v>931.80799999999999</v>
      </c>
      <c r="BW14">
        <v>946.08600000000001</v>
      </c>
      <c r="BX14">
        <v>1008.537</v>
      </c>
      <c r="BY14">
        <v>1010.614</v>
      </c>
      <c r="BZ14">
        <v>1017.15</v>
      </c>
      <c r="CA14">
        <v>1015.482</v>
      </c>
      <c r="CB14">
        <v>1156.2329999999999</v>
      </c>
      <c r="CC14">
        <v>1163.204</v>
      </c>
      <c r="CD14">
        <v>1113.646</v>
      </c>
      <c r="CE14">
        <v>1116.9939999999999</v>
      </c>
      <c r="CF14">
        <v>1128.7940000000001</v>
      </c>
      <c r="CG14">
        <v>1122.338</v>
      </c>
    </row>
    <row r="15" spans="1:85" x14ac:dyDescent="0.25">
      <c r="A15" t="s">
        <v>140</v>
      </c>
      <c r="B15" t="s">
        <v>114</v>
      </c>
      <c r="C15" t="s">
        <v>114</v>
      </c>
      <c r="D15" t="s">
        <v>114</v>
      </c>
      <c r="E15" t="s">
        <v>141</v>
      </c>
      <c r="F15" t="s">
        <v>114</v>
      </c>
      <c r="G15">
        <v>26.551000000000002</v>
      </c>
      <c r="H15">
        <v>125.983</v>
      </c>
      <c r="I15">
        <v>156.57</v>
      </c>
      <c r="J15">
        <v>142.79500000000002</v>
      </c>
      <c r="K15">
        <v>161.24600000000001</v>
      </c>
      <c r="L15">
        <v>161.77000000000001</v>
      </c>
      <c r="M15">
        <v>199.51</v>
      </c>
      <c r="N15">
        <v>143.077</v>
      </c>
      <c r="O15">
        <v>190.755</v>
      </c>
      <c r="P15">
        <v>183.453</v>
      </c>
      <c r="Q15">
        <v>193.804</v>
      </c>
      <c r="R15">
        <v>201.22400000000002</v>
      </c>
      <c r="S15">
        <v>203.756</v>
      </c>
      <c r="T15">
        <v>210.04</v>
      </c>
      <c r="U15">
        <v>199.04</v>
      </c>
      <c r="V15">
        <v>206.44199999999998</v>
      </c>
      <c r="W15">
        <v>205.09400000000002</v>
      </c>
      <c r="X15">
        <v>207.517</v>
      </c>
      <c r="Y15">
        <v>205.84399999999999</v>
      </c>
      <c r="Z15">
        <v>222.72399999999999</v>
      </c>
      <c r="AA15">
        <v>207.43399999999997</v>
      </c>
      <c r="AB15">
        <v>196.095</v>
      </c>
      <c r="AC15">
        <v>215.54900000000001</v>
      </c>
      <c r="AD15">
        <v>238.93199999999999</v>
      </c>
      <c r="AE15">
        <v>193.09399999999999</v>
      </c>
      <c r="AF15">
        <v>199.65</v>
      </c>
      <c r="AG15">
        <v>206.404</v>
      </c>
      <c r="AH15">
        <v>222.417</v>
      </c>
      <c r="AI15">
        <v>238.46300000000002</v>
      </c>
      <c r="AJ15">
        <v>214.107</v>
      </c>
      <c r="AK15">
        <v>228.14699999999999</v>
      </c>
      <c r="AL15">
        <v>227.87199999999999</v>
      </c>
      <c r="AM15">
        <v>246.67600000000002</v>
      </c>
      <c r="AN15">
        <v>240.166</v>
      </c>
      <c r="AO15">
        <v>239.506</v>
      </c>
      <c r="AP15">
        <v>233.685</v>
      </c>
      <c r="AQ15">
        <v>240.57300000000001</v>
      </c>
      <c r="AR15">
        <v>242.85600000000002</v>
      </c>
      <c r="AS15">
        <v>243.41499999999999</v>
      </c>
      <c r="AT15">
        <v>240.59399999999999</v>
      </c>
      <c r="AU15">
        <v>261.97800000000001</v>
      </c>
      <c r="AV15">
        <v>270.45799999999997</v>
      </c>
      <c r="AW15">
        <v>261.21800000000002</v>
      </c>
      <c r="AX15">
        <v>279.77999999999997</v>
      </c>
      <c r="AY15">
        <v>273.72199999999998</v>
      </c>
      <c r="AZ15">
        <v>269.51400000000001</v>
      </c>
      <c r="BA15">
        <v>283.05600000000004</v>
      </c>
      <c r="BB15">
        <v>274.76900000000001</v>
      </c>
      <c r="BC15">
        <v>271.97899999999998</v>
      </c>
      <c r="BD15">
        <v>290.125</v>
      </c>
      <c r="BE15">
        <v>298.86299999999994</v>
      </c>
      <c r="BF15">
        <v>287.66500000000002</v>
      </c>
      <c r="BG15">
        <v>277.96899999999999</v>
      </c>
      <c r="BH15">
        <v>284.98699999999997</v>
      </c>
      <c r="BI15">
        <v>297.988</v>
      </c>
      <c r="BJ15">
        <v>282.71199999999999</v>
      </c>
      <c r="BK15">
        <v>282.03700000000003</v>
      </c>
      <c r="BL15">
        <v>284.04599999999999</v>
      </c>
      <c r="BM15">
        <v>296.339</v>
      </c>
      <c r="BN15">
        <v>326.92599999999999</v>
      </c>
      <c r="BO15">
        <v>312.19700000000006</v>
      </c>
      <c r="BP15">
        <v>311.76900000000001</v>
      </c>
      <c r="BQ15">
        <v>326.01600000000002</v>
      </c>
      <c r="BR15">
        <v>340.52199999999999</v>
      </c>
      <c r="BS15">
        <v>350.58500000000004</v>
      </c>
      <c r="BT15">
        <v>333.15499999999997</v>
      </c>
      <c r="BU15">
        <v>339.255</v>
      </c>
      <c r="BV15">
        <v>340.45599999999996</v>
      </c>
      <c r="BW15">
        <v>350.29500000000002</v>
      </c>
      <c r="BX15">
        <v>372.05600000000004</v>
      </c>
      <c r="BY15">
        <v>337.39699999999999</v>
      </c>
      <c r="BZ15">
        <v>363.18099999999998</v>
      </c>
      <c r="CA15">
        <v>389.78800000000001</v>
      </c>
      <c r="CB15">
        <v>416.07399999999996</v>
      </c>
      <c r="CC15">
        <v>405.26600000000002</v>
      </c>
      <c r="CD15">
        <v>431.85599999999999</v>
      </c>
      <c r="CE15">
        <v>461.73099999999999</v>
      </c>
      <c r="CF15">
        <v>459.74800000000005</v>
      </c>
      <c r="CG15">
        <v>438.334</v>
      </c>
    </row>
    <row r="16" spans="1:85" x14ac:dyDescent="0.25">
      <c r="A16" t="s">
        <v>142</v>
      </c>
      <c r="B16" t="s">
        <v>143</v>
      </c>
      <c r="C16" t="s">
        <v>120</v>
      </c>
      <c r="D16" t="s">
        <v>121</v>
      </c>
      <c r="E16" t="s">
        <v>122</v>
      </c>
      <c r="F16" t="s">
        <v>114</v>
      </c>
      <c r="G16">
        <v>26.544</v>
      </c>
      <c r="H16">
        <v>17.175000000000001</v>
      </c>
      <c r="I16">
        <v>37.311999999999998</v>
      </c>
      <c r="J16">
        <v>39.909999999999997</v>
      </c>
      <c r="K16">
        <v>23.774000000000001</v>
      </c>
      <c r="L16">
        <v>17.481999999999999</v>
      </c>
      <c r="M16">
        <v>33.844000000000001</v>
      </c>
      <c r="N16">
        <v>39.078000000000003</v>
      </c>
      <c r="O16">
        <v>23.974</v>
      </c>
      <c r="P16">
        <v>30.056999999999999</v>
      </c>
      <c r="Q16">
        <v>21.154</v>
      </c>
      <c r="R16">
        <v>25.722999999999999</v>
      </c>
      <c r="S16">
        <v>28.256</v>
      </c>
      <c r="T16">
        <v>34.536000000000001</v>
      </c>
      <c r="U16">
        <v>23.495000000000001</v>
      </c>
      <c r="V16">
        <v>30.939</v>
      </c>
      <c r="W16">
        <v>29.370999999999999</v>
      </c>
      <c r="X16">
        <v>32.014000000000003</v>
      </c>
      <c r="Y16">
        <v>29.890999999999998</v>
      </c>
      <c r="Z16">
        <v>47.220999999999997</v>
      </c>
      <c r="AA16">
        <v>56.064</v>
      </c>
      <c r="AB16">
        <v>44.01</v>
      </c>
      <c r="AC16">
        <v>36.488999999999997</v>
      </c>
      <c r="AD16">
        <v>59.753</v>
      </c>
      <c r="AE16">
        <v>88.212999999999994</v>
      </c>
      <c r="AF16">
        <v>59.628</v>
      </c>
      <c r="AG16">
        <v>53.344999999999999</v>
      </c>
      <c r="AH16">
        <v>38.341000000000001</v>
      </c>
      <c r="AI16">
        <v>54.069000000000003</v>
      </c>
      <c r="AJ16">
        <v>56.146999999999998</v>
      </c>
      <c r="AK16">
        <v>44.039000000000001</v>
      </c>
      <c r="AL16">
        <v>43.860999999999997</v>
      </c>
      <c r="AM16">
        <v>62.442</v>
      </c>
      <c r="AN16">
        <v>52.127000000000002</v>
      </c>
      <c r="AO16">
        <v>51.335999999999999</v>
      </c>
      <c r="AP16">
        <v>45.667000000000002</v>
      </c>
      <c r="AQ16">
        <v>52.552999999999997</v>
      </c>
      <c r="AR16">
        <v>55.335999999999999</v>
      </c>
      <c r="AS16">
        <v>52.87</v>
      </c>
      <c r="AT16">
        <v>50.06</v>
      </c>
      <c r="AU16">
        <v>71.424999999999997</v>
      </c>
      <c r="AV16">
        <v>79.933999999999997</v>
      </c>
      <c r="AW16">
        <v>70.569000000000003</v>
      </c>
      <c r="AX16">
        <v>87.224000000000004</v>
      </c>
      <c r="AY16">
        <v>81.201999999999998</v>
      </c>
      <c r="AZ16">
        <v>76.997</v>
      </c>
      <c r="BA16">
        <v>87.347999999999999</v>
      </c>
      <c r="BB16">
        <v>79.242000000000004</v>
      </c>
      <c r="BC16">
        <v>76.430999999999997</v>
      </c>
      <c r="BD16">
        <v>94.619</v>
      </c>
      <c r="BE16">
        <v>103.86199999999999</v>
      </c>
      <c r="BF16">
        <v>92.18</v>
      </c>
      <c r="BG16">
        <v>82.963999999999999</v>
      </c>
      <c r="BH16">
        <v>89.956999999999994</v>
      </c>
      <c r="BI16">
        <v>100.881</v>
      </c>
      <c r="BJ16">
        <v>85.64</v>
      </c>
      <c r="BK16">
        <v>81.037000000000006</v>
      </c>
      <c r="BL16">
        <v>83.039000000000001</v>
      </c>
      <c r="BM16">
        <v>95.338999999999999</v>
      </c>
      <c r="BN16">
        <v>124.102</v>
      </c>
      <c r="BO16">
        <v>109.66200000000001</v>
      </c>
      <c r="BP16">
        <v>105.59</v>
      </c>
      <c r="BQ16">
        <v>119.90600000000001</v>
      </c>
      <c r="BR16">
        <v>134.90199999999999</v>
      </c>
      <c r="BS16">
        <v>144.648</v>
      </c>
      <c r="BT16">
        <v>126.755</v>
      </c>
      <c r="BU16">
        <v>132.63399999999999</v>
      </c>
      <c r="BV16">
        <v>134.083</v>
      </c>
      <c r="BW16">
        <v>144.71</v>
      </c>
      <c r="BX16">
        <v>166.43700000000001</v>
      </c>
      <c r="BY16">
        <v>131.88499999999999</v>
      </c>
      <c r="BZ16">
        <v>157.19800000000001</v>
      </c>
      <c r="CA16">
        <v>180.95699999999999</v>
      </c>
      <c r="CB16">
        <v>207.19800000000001</v>
      </c>
      <c r="CC16">
        <v>196.399</v>
      </c>
      <c r="CD16">
        <v>222.608</v>
      </c>
      <c r="CE16">
        <v>252.61500000000001</v>
      </c>
      <c r="CF16">
        <v>261.68900000000002</v>
      </c>
      <c r="CG16">
        <v>229.38399999999999</v>
      </c>
    </row>
    <row r="17" spans="1:85" x14ac:dyDescent="0.25">
      <c r="A17" t="s">
        <v>144</v>
      </c>
      <c r="B17" t="s">
        <v>145</v>
      </c>
      <c r="C17" t="s">
        <v>120</v>
      </c>
      <c r="D17" t="s">
        <v>121</v>
      </c>
      <c r="E17" t="s">
        <v>122</v>
      </c>
      <c r="F17" t="s">
        <v>114</v>
      </c>
      <c r="G17">
        <v>0</v>
      </c>
      <c r="H17">
        <v>108.65</v>
      </c>
      <c r="I17">
        <v>119.2</v>
      </c>
      <c r="J17">
        <v>102.878</v>
      </c>
      <c r="K17">
        <v>137.465</v>
      </c>
      <c r="L17">
        <v>144.28100000000001</v>
      </c>
      <c r="M17">
        <v>165.53299999999999</v>
      </c>
      <c r="N17">
        <v>103.946</v>
      </c>
      <c r="O17">
        <v>166.78</v>
      </c>
      <c r="P17">
        <v>153.364</v>
      </c>
      <c r="Q17">
        <v>172.5</v>
      </c>
      <c r="R17">
        <v>175.5</v>
      </c>
      <c r="S17">
        <v>175.5</v>
      </c>
      <c r="T17">
        <v>175.5</v>
      </c>
      <c r="U17">
        <v>175.5</v>
      </c>
      <c r="V17">
        <v>175.5</v>
      </c>
      <c r="W17">
        <v>175.5</v>
      </c>
      <c r="X17">
        <v>175.5</v>
      </c>
      <c r="Y17">
        <v>175.5</v>
      </c>
      <c r="Z17">
        <v>175.5</v>
      </c>
      <c r="AA17">
        <v>151.20599999999999</v>
      </c>
      <c r="AB17">
        <v>152.06700000000001</v>
      </c>
      <c r="AC17">
        <v>179</v>
      </c>
      <c r="AD17">
        <v>179</v>
      </c>
      <c r="AE17">
        <v>104.842</v>
      </c>
      <c r="AF17">
        <v>139.91999999999999</v>
      </c>
      <c r="AG17">
        <v>152.251</v>
      </c>
      <c r="AH17">
        <v>184</v>
      </c>
      <c r="AI17">
        <v>184</v>
      </c>
      <c r="AJ17">
        <v>157.76400000000001</v>
      </c>
      <c r="AK17">
        <v>184</v>
      </c>
      <c r="AL17">
        <v>184</v>
      </c>
      <c r="AM17">
        <v>184</v>
      </c>
      <c r="AN17">
        <v>188</v>
      </c>
      <c r="AO17">
        <v>188</v>
      </c>
      <c r="AP17">
        <v>188</v>
      </c>
      <c r="AQ17">
        <v>188</v>
      </c>
      <c r="AR17">
        <v>187.5</v>
      </c>
      <c r="AS17">
        <v>190.5</v>
      </c>
      <c r="AT17">
        <v>190.5</v>
      </c>
      <c r="AU17">
        <v>190.5</v>
      </c>
      <c r="AV17">
        <v>190.5</v>
      </c>
      <c r="AW17">
        <v>190.5</v>
      </c>
      <c r="AX17">
        <v>192.5</v>
      </c>
      <c r="AY17">
        <v>192.5</v>
      </c>
      <c r="AZ17">
        <v>192.5</v>
      </c>
      <c r="BA17">
        <v>195.5</v>
      </c>
      <c r="BB17">
        <v>195.5</v>
      </c>
      <c r="BC17">
        <v>195.5</v>
      </c>
      <c r="BD17">
        <v>195.5</v>
      </c>
      <c r="BE17">
        <v>195</v>
      </c>
      <c r="BF17">
        <v>195</v>
      </c>
      <c r="BG17">
        <v>195</v>
      </c>
      <c r="BH17">
        <v>195.005</v>
      </c>
      <c r="BI17">
        <v>197</v>
      </c>
      <c r="BJ17">
        <v>197</v>
      </c>
      <c r="BK17">
        <v>201</v>
      </c>
      <c r="BL17">
        <v>201</v>
      </c>
      <c r="BM17">
        <v>201</v>
      </c>
      <c r="BN17">
        <v>202.5</v>
      </c>
      <c r="BO17">
        <v>202.5</v>
      </c>
      <c r="BP17">
        <v>206</v>
      </c>
      <c r="BQ17">
        <v>206</v>
      </c>
      <c r="BR17">
        <v>205.5</v>
      </c>
      <c r="BS17">
        <v>205.5</v>
      </c>
      <c r="BT17">
        <v>205.5</v>
      </c>
      <c r="BU17">
        <v>205.5</v>
      </c>
      <c r="BV17">
        <v>205.5</v>
      </c>
      <c r="BW17">
        <v>205.5</v>
      </c>
      <c r="BX17">
        <v>205.5</v>
      </c>
      <c r="BY17">
        <v>205.5</v>
      </c>
      <c r="BZ17">
        <v>205.5</v>
      </c>
      <c r="CA17">
        <v>208.5</v>
      </c>
      <c r="CB17">
        <v>208.5</v>
      </c>
      <c r="CC17">
        <v>208.5</v>
      </c>
      <c r="CD17">
        <v>208.5</v>
      </c>
      <c r="CE17">
        <v>208.5</v>
      </c>
      <c r="CF17">
        <v>197.559</v>
      </c>
      <c r="CG17">
        <v>208.5</v>
      </c>
    </row>
    <row r="18" spans="1:85" x14ac:dyDescent="0.25">
      <c r="A18" t="s">
        <v>146</v>
      </c>
      <c r="B18" t="s">
        <v>147</v>
      </c>
      <c r="C18" t="s">
        <v>120</v>
      </c>
      <c r="D18" t="s">
        <v>121</v>
      </c>
      <c r="E18" t="s">
        <v>122</v>
      </c>
      <c r="F18" t="s">
        <v>114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 t="s">
        <v>148</v>
      </c>
      <c r="B19" t="s">
        <v>149</v>
      </c>
      <c r="C19" t="s">
        <v>120</v>
      </c>
      <c r="D19" t="s">
        <v>121</v>
      </c>
      <c r="E19" t="s">
        <v>122</v>
      </c>
      <c r="F19" t="s">
        <v>114</v>
      </c>
      <c r="G19">
        <v>7.0000000000000001E-3</v>
      </c>
      <c r="H19">
        <v>0.158</v>
      </c>
      <c r="I19">
        <v>5.8000000000000003E-2</v>
      </c>
      <c r="J19">
        <v>7.0000000000000001E-3</v>
      </c>
      <c r="K19">
        <v>7.0000000000000001E-3</v>
      </c>
      <c r="L19">
        <v>7.0000000000000001E-3</v>
      </c>
      <c r="M19">
        <v>0.13300000000000001</v>
      </c>
      <c r="N19">
        <v>5.2999999999999999E-2</v>
      </c>
      <c r="O19">
        <v>1E-3</v>
      </c>
      <c r="P19">
        <v>3.2000000000000001E-2</v>
      </c>
      <c r="Q19">
        <v>0.15</v>
      </c>
      <c r="R19">
        <v>1E-3</v>
      </c>
      <c r="S19">
        <v>0</v>
      </c>
      <c r="T19">
        <v>4.0000000000000001E-3</v>
      </c>
      <c r="U19">
        <v>4.4999999999999998E-2</v>
      </c>
      <c r="V19">
        <v>3.0000000000000001E-3</v>
      </c>
      <c r="W19">
        <v>0.223</v>
      </c>
      <c r="X19">
        <v>3.0000000000000001E-3</v>
      </c>
      <c r="Y19">
        <v>0.45300000000000001</v>
      </c>
      <c r="Z19">
        <v>3.0000000000000001E-3</v>
      </c>
      <c r="AA19">
        <v>0.16400000000000001</v>
      </c>
      <c r="AB19">
        <v>1.7999999999999999E-2</v>
      </c>
      <c r="AC19">
        <v>0.06</v>
      </c>
      <c r="AD19">
        <v>0.17899999999999999</v>
      </c>
      <c r="AE19">
        <v>3.9E-2</v>
      </c>
      <c r="AF19">
        <v>0.10199999999999999</v>
      </c>
      <c r="AG19">
        <v>0.80800000000000005</v>
      </c>
      <c r="AH19">
        <v>7.5999999999999998E-2</v>
      </c>
      <c r="AI19">
        <v>0.39400000000000002</v>
      </c>
      <c r="AJ19">
        <v>0.19600000000000001</v>
      </c>
      <c r="AK19">
        <v>0.108</v>
      </c>
      <c r="AL19">
        <v>1.0999999999999999E-2</v>
      </c>
      <c r="AM19">
        <v>0.23400000000000001</v>
      </c>
      <c r="AN19">
        <v>3.9E-2</v>
      </c>
      <c r="AO19">
        <v>0.17</v>
      </c>
      <c r="AP19">
        <v>1.7999999999999999E-2</v>
      </c>
      <c r="AQ19">
        <v>0.02</v>
      </c>
      <c r="AR19">
        <v>0.02</v>
      </c>
      <c r="AS19">
        <v>4.4999999999999998E-2</v>
      </c>
      <c r="AT19">
        <v>3.4000000000000002E-2</v>
      </c>
      <c r="AU19">
        <v>5.2999999999999999E-2</v>
      </c>
      <c r="AV19">
        <v>2.4E-2</v>
      </c>
      <c r="AW19">
        <v>0.14899999999999999</v>
      </c>
      <c r="AX19">
        <v>5.6000000000000001E-2</v>
      </c>
      <c r="AY19">
        <v>0.02</v>
      </c>
      <c r="AZ19">
        <v>1.7000000000000001E-2</v>
      </c>
      <c r="BA19">
        <v>0.20799999999999999</v>
      </c>
      <c r="BB19">
        <v>2.7E-2</v>
      </c>
      <c r="BC19">
        <v>4.8000000000000001E-2</v>
      </c>
      <c r="BD19">
        <v>6.0000000000000001E-3</v>
      </c>
      <c r="BE19">
        <v>1E-3</v>
      </c>
      <c r="BF19">
        <v>0.48499999999999999</v>
      </c>
      <c r="BG19">
        <v>5.0000000000000001E-3</v>
      </c>
      <c r="BH19">
        <v>2.5000000000000001E-2</v>
      </c>
      <c r="BI19">
        <v>0.107</v>
      </c>
      <c r="BJ19">
        <v>7.1999999999999995E-2</v>
      </c>
      <c r="BK19">
        <v>0</v>
      </c>
      <c r="BL19">
        <v>7.0000000000000001E-3</v>
      </c>
      <c r="BM19">
        <v>0</v>
      </c>
      <c r="BN19">
        <v>0.32400000000000001</v>
      </c>
      <c r="BO19">
        <v>3.5000000000000003E-2</v>
      </c>
      <c r="BP19">
        <v>0.17899999999999999</v>
      </c>
      <c r="BQ19">
        <v>0.11</v>
      </c>
      <c r="BR19">
        <v>0.12</v>
      </c>
      <c r="BS19">
        <v>0.437</v>
      </c>
      <c r="BT19">
        <v>0.9</v>
      </c>
      <c r="BU19">
        <v>1.121</v>
      </c>
      <c r="BV19">
        <v>0.873</v>
      </c>
      <c r="BW19">
        <v>8.5000000000000006E-2</v>
      </c>
      <c r="BX19">
        <v>0.11899999999999999</v>
      </c>
      <c r="BY19">
        <v>1.2E-2</v>
      </c>
      <c r="BZ19">
        <v>0.48299999999999998</v>
      </c>
      <c r="CA19">
        <v>0.33100000000000002</v>
      </c>
      <c r="CB19">
        <v>0.376</v>
      </c>
      <c r="CC19">
        <v>0.36699999999999999</v>
      </c>
      <c r="CD19">
        <v>0.748</v>
      </c>
      <c r="CE19">
        <v>0.61599999999999999</v>
      </c>
      <c r="CF19">
        <v>0.5</v>
      </c>
      <c r="CG19">
        <v>0.45</v>
      </c>
    </row>
    <row r="20" spans="1:85" x14ac:dyDescent="0.25">
      <c r="A20" t="s">
        <v>150</v>
      </c>
      <c r="B20" t="s">
        <v>151</v>
      </c>
      <c r="C20" t="s">
        <v>120</v>
      </c>
      <c r="D20" t="s">
        <v>121</v>
      </c>
      <c r="E20" t="s">
        <v>122</v>
      </c>
      <c r="F20" t="s">
        <v>114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 t="s">
        <v>152</v>
      </c>
      <c r="B21" t="s">
        <v>153</v>
      </c>
      <c r="C21" t="s">
        <v>120</v>
      </c>
      <c r="D21" t="s">
        <v>121</v>
      </c>
      <c r="E21" t="s">
        <v>122</v>
      </c>
      <c r="F21" t="s">
        <v>114</v>
      </c>
      <c r="G21">
        <v>211.226</v>
      </c>
      <c r="H21">
        <v>199.83099999999999</v>
      </c>
      <c r="I21">
        <v>187.12299999999999</v>
      </c>
      <c r="J21">
        <v>209.392</v>
      </c>
      <c r="K21">
        <v>168.54499999999999</v>
      </c>
      <c r="L21">
        <v>201.41499999999999</v>
      </c>
      <c r="M21">
        <v>150.01900000000001</v>
      </c>
      <c r="N21">
        <v>240.19200000000001</v>
      </c>
      <c r="O21">
        <v>166.14500000000001</v>
      </c>
      <c r="P21">
        <v>202.94499999999999</v>
      </c>
      <c r="Q21">
        <v>198.232</v>
      </c>
      <c r="R21">
        <v>181.14500000000001</v>
      </c>
      <c r="S21">
        <v>179.16200000000001</v>
      </c>
      <c r="T21">
        <v>195.20099999999999</v>
      </c>
      <c r="U21">
        <v>226.755</v>
      </c>
      <c r="V21">
        <v>187.11199999999999</v>
      </c>
      <c r="W21">
        <v>187.393</v>
      </c>
      <c r="X21">
        <v>196.262</v>
      </c>
      <c r="Y21">
        <v>223.73500000000001</v>
      </c>
      <c r="Z21">
        <v>200.44399999999999</v>
      </c>
      <c r="AA21">
        <v>215.69</v>
      </c>
      <c r="AB21">
        <v>227.88399999999999</v>
      </c>
      <c r="AC21">
        <v>202.44900000000001</v>
      </c>
      <c r="AD21">
        <v>202.327</v>
      </c>
      <c r="AE21">
        <v>298.94299999999998</v>
      </c>
      <c r="AF21">
        <v>244.083</v>
      </c>
      <c r="AG21">
        <v>256.07799999999997</v>
      </c>
      <c r="AH21">
        <v>223.637</v>
      </c>
      <c r="AI21">
        <v>203.67400000000001</v>
      </c>
      <c r="AJ21">
        <v>215.501</v>
      </c>
      <c r="AK21">
        <v>217.95699999999999</v>
      </c>
      <c r="AL21">
        <v>231.88800000000001</v>
      </c>
      <c r="AM21">
        <v>230.56899999999999</v>
      </c>
      <c r="AN21">
        <v>226.935</v>
      </c>
      <c r="AO21">
        <v>230.15600000000001</v>
      </c>
      <c r="AP21">
        <v>269.10500000000002</v>
      </c>
      <c r="AQ21">
        <v>268.04700000000003</v>
      </c>
      <c r="AR21">
        <v>265.36599999999999</v>
      </c>
      <c r="AS21">
        <v>258.76</v>
      </c>
      <c r="AT21">
        <v>274.47800000000001</v>
      </c>
      <c r="AU21">
        <v>275.81900000000002</v>
      </c>
      <c r="AV21">
        <v>269.18099999999998</v>
      </c>
      <c r="AW21">
        <v>272.26</v>
      </c>
      <c r="AX21">
        <v>256.14800000000002</v>
      </c>
      <c r="AY21">
        <v>281.53899999999999</v>
      </c>
      <c r="AZ21">
        <v>284.03500000000003</v>
      </c>
      <c r="BA21">
        <v>272.32900000000001</v>
      </c>
      <c r="BB21">
        <v>255.821</v>
      </c>
      <c r="BC21">
        <v>264.66199999999998</v>
      </c>
      <c r="BD21">
        <v>275.34699999999998</v>
      </c>
      <c r="BE21">
        <v>271.26400000000001</v>
      </c>
      <c r="BF21">
        <v>276.32900000000001</v>
      </c>
      <c r="BG21">
        <v>279.536</v>
      </c>
      <c r="BH21">
        <v>309.815</v>
      </c>
      <c r="BI21">
        <v>280.024</v>
      </c>
      <c r="BJ21">
        <v>273.35399999999998</v>
      </c>
      <c r="BK21">
        <v>294.64600000000002</v>
      </c>
      <c r="BL21">
        <v>319.50400000000002</v>
      </c>
      <c r="BM21">
        <v>333.697</v>
      </c>
      <c r="BN21">
        <v>296.19799999999998</v>
      </c>
      <c r="BO21">
        <v>315.952</v>
      </c>
      <c r="BP21">
        <v>329.80099999999999</v>
      </c>
      <c r="BQ21">
        <v>343.05099999999999</v>
      </c>
      <c r="BR21">
        <v>336.91199999999998</v>
      </c>
      <c r="BS21">
        <v>319.27499999999998</v>
      </c>
      <c r="BT21">
        <v>351.673</v>
      </c>
      <c r="BU21">
        <v>366.51</v>
      </c>
      <c r="BV21">
        <v>354.80200000000002</v>
      </c>
      <c r="BW21">
        <v>374.20499999999998</v>
      </c>
      <c r="BX21">
        <v>415.95</v>
      </c>
      <c r="BY21">
        <v>466.46800000000002</v>
      </c>
      <c r="BZ21">
        <v>443.10199999999998</v>
      </c>
      <c r="CA21">
        <v>408.15</v>
      </c>
      <c r="CB21">
        <v>479.49900000000002</v>
      </c>
      <c r="CC21">
        <v>540.01800000000003</v>
      </c>
      <c r="CD21">
        <v>507.68400000000003</v>
      </c>
      <c r="CE21">
        <v>462.28699999999998</v>
      </c>
      <c r="CF21">
        <v>456.10199999999998</v>
      </c>
      <c r="CG21">
        <v>489.68</v>
      </c>
    </row>
    <row r="22" spans="1:85" x14ac:dyDescent="0.25">
      <c r="A22" t="s">
        <v>114</v>
      </c>
      <c r="B22" t="s">
        <v>114</v>
      </c>
      <c r="C22" t="s">
        <v>114</v>
      </c>
      <c r="D22" t="s">
        <v>114</v>
      </c>
      <c r="E22" t="s">
        <v>115</v>
      </c>
      <c r="F22" t="s">
        <v>114</v>
      </c>
      <c r="G22" t="s">
        <v>114</v>
      </c>
      <c r="H22" t="s">
        <v>114</v>
      </c>
      <c r="I22" t="s">
        <v>114</v>
      </c>
      <c r="J22" t="s">
        <v>114</v>
      </c>
      <c r="K22" t="s">
        <v>114</v>
      </c>
      <c r="L22" t="s">
        <v>114</v>
      </c>
      <c r="M22" t="s">
        <v>114</v>
      </c>
      <c r="N22" t="s">
        <v>114</v>
      </c>
      <c r="O22" t="s">
        <v>114</v>
      </c>
      <c r="P22" t="s">
        <v>114</v>
      </c>
      <c r="Q22" t="s">
        <v>114</v>
      </c>
      <c r="R22" t="s">
        <v>114</v>
      </c>
      <c r="S22" t="s">
        <v>114</v>
      </c>
      <c r="T22" t="s">
        <v>114</v>
      </c>
      <c r="U22" t="s">
        <v>114</v>
      </c>
      <c r="V22" t="s">
        <v>114</v>
      </c>
      <c r="W22" t="s">
        <v>114</v>
      </c>
      <c r="X22" t="s">
        <v>114</v>
      </c>
      <c r="Y22" t="s">
        <v>114</v>
      </c>
      <c r="Z22" t="s">
        <v>114</v>
      </c>
      <c r="AA22" t="s">
        <v>114</v>
      </c>
      <c r="AB22" t="s">
        <v>114</v>
      </c>
      <c r="AC22" t="s">
        <v>114</v>
      </c>
      <c r="AD22" t="s">
        <v>114</v>
      </c>
      <c r="AE22" t="s">
        <v>114</v>
      </c>
      <c r="AF22" t="s">
        <v>114</v>
      </c>
      <c r="AG22" t="s">
        <v>114</v>
      </c>
      <c r="AH22" t="s">
        <v>114</v>
      </c>
      <c r="AI22" t="s">
        <v>114</v>
      </c>
      <c r="AJ22" t="s">
        <v>114</v>
      </c>
      <c r="AK22" t="s">
        <v>114</v>
      </c>
      <c r="AL22" t="s">
        <v>114</v>
      </c>
      <c r="AM22" t="s">
        <v>114</v>
      </c>
      <c r="AN22" t="s">
        <v>114</v>
      </c>
      <c r="AO22" t="s">
        <v>114</v>
      </c>
      <c r="AP22" t="s">
        <v>114</v>
      </c>
      <c r="AQ22" t="s">
        <v>114</v>
      </c>
      <c r="AR22" t="s">
        <v>114</v>
      </c>
      <c r="AS22" t="s">
        <v>114</v>
      </c>
      <c r="AT22" t="s">
        <v>114</v>
      </c>
      <c r="AU22" t="s">
        <v>114</v>
      </c>
      <c r="AV22" t="s">
        <v>114</v>
      </c>
      <c r="AW22" t="s">
        <v>114</v>
      </c>
      <c r="AX22" t="s">
        <v>114</v>
      </c>
      <c r="AY22" t="s">
        <v>114</v>
      </c>
      <c r="AZ22" t="s">
        <v>114</v>
      </c>
      <c r="BA22" t="s">
        <v>114</v>
      </c>
      <c r="BB22" t="s">
        <v>114</v>
      </c>
      <c r="BC22" t="s">
        <v>114</v>
      </c>
      <c r="BD22" t="s">
        <v>114</v>
      </c>
      <c r="BE22" t="s">
        <v>114</v>
      </c>
      <c r="BF22" t="s">
        <v>114</v>
      </c>
      <c r="BG22" t="s">
        <v>114</v>
      </c>
      <c r="BH22" t="s">
        <v>114</v>
      </c>
      <c r="BI22" t="s">
        <v>114</v>
      </c>
      <c r="BJ22" t="s">
        <v>114</v>
      </c>
      <c r="BK22" t="s">
        <v>114</v>
      </c>
      <c r="BL22" t="s">
        <v>114</v>
      </c>
      <c r="BM22" t="s">
        <v>114</v>
      </c>
      <c r="BN22" t="s">
        <v>114</v>
      </c>
      <c r="BO22" t="s">
        <v>114</v>
      </c>
      <c r="BP22" t="s">
        <v>114</v>
      </c>
      <c r="BQ22" t="s">
        <v>114</v>
      </c>
      <c r="BR22" t="s">
        <v>114</v>
      </c>
      <c r="BS22" t="s">
        <v>114</v>
      </c>
      <c r="BT22" t="s">
        <v>114</v>
      </c>
      <c r="BU22" t="s">
        <v>114</v>
      </c>
      <c r="BV22" t="s">
        <v>114</v>
      </c>
      <c r="BW22" t="s">
        <v>114</v>
      </c>
      <c r="BX22" t="s">
        <v>114</v>
      </c>
      <c r="BY22" t="s">
        <v>114</v>
      </c>
      <c r="BZ22" t="s">
        <v>114</v>
      </c>
      <c r="CA22" t="s">
        <v>114</v>
      </c>
      <c r="CB22" t="s">
        <v>114</v>
      </c>
      <c r="CC22" t="s">
        <v>114</v>
      </c>
      <c r="CD22" t="s">
        <v>114</v>
      </c>
      <c r="CE22" t="s">
        <v>114</v>
      </c>
      <c r="CF22" t="s">
        <v>114</v>
      </c>
      <c r="CG22" t="s">
        <v>114</v>
      </c>
    </row>
    <row r="23" spans="1:85" x14ac:dyDescent="0.25">
      <c r="A23" t="s">
        <v>154</v>
      </c>
      <c r="B23" t="s">
        <v>155</v>
      </c>
      <c r="C23" t="s">
        <v>114</v>
      </c>
      <c r="D23" t="s">
        <v>114</v>
      </c>
      <c r="E23" t="s">
        <v>128</v>
      </c>
      <c r="F23">
        <v>135.07599999999999</v>
      </c>
      <c r="G23">
        <v>133.33699999999999</v>
      </c>
      <c r="H23">
        <v>112.56699999999999</v>
      </c>
      <c r="I23">
        <v>120.473</v>
      </c>
      <c r="J23">
        <v>145.31299999999999</v>
      </c>
      <c r="K23">
        <v>88.269000000000005</v>
      </c>
      <c r="L23">
        <v>114.961</v>
      </c>
      <c r="M23">
        <v>80.358000000000004</v>
      </c>
      <c r="N23">
        <v>175.01400000000001</v>
      </c>
      <c r="O23">
        <v>86.596000000000004</v>
      </c>
      <c r="P23">
        <v>129.21700000000001</v>
      </c>
      <c r="Q23">
        <v>115.879</v>
      </c>
      <c r="R23">
        <v>103.069</v>
      </c>
      <c r="S23">
        <v>102.431</v>
      </c>
      <c r="T23">
        <v>125.242</v>
      </c>
      <c r="U23">
        <v>146.66999999999999</v>
      </c>
      <c r="V23">
        <v>114.934</v>
      </c>
      <c r="W23">
        <v>113.155</v>
      </c>
      <c r="X23">
        <v>125.256</v>
      </c>
      <c r="Y23">
        <v>150.65799999999999</v>
      </c>
      <c r="Z23">
        <v>143.50700000000001</v>
      </c>
      <c r="AA23">
        <v>167.88900000000001</v>
      </c>
      <c r="AB23">
        <v>168.10499999999999</v>
      </c>
      <c r="AC23">
        <v>135.214</v>
      </c>
      <c r="AD23">
        <v>158.77699999999999</v>
      </c>
      <c r="AE23">
        <v>283.61399999999998</v>
      </c>
      <c r="AF23">
        <v>200.16499999999999</v>
      </c>
      <c r="AG23">
        <v>205.88499999999999</v>
      </c>
      <c r="AH23">
        <v>158.65299999999999</v>
      </c>
      <c r="AI23">
        <v>154.26400000000001</v>
      </c>
      <c r="AJ23">
        <v>168.20400000000001</v>
      </c>
      <c r="AK23">
        <v>158.494</v>
      </c>
      <c r="AL23">
        <v>172.428</v>
      </c>
      <c r="AM23">
        <v>189.249</v>
      </c>
      <c r="AN23">
        <v>175.27799999999999</v>
      </c>
      <c r="AO23">
        <v>177.732</v>
      </c>
      <c r="AP23">
        <v>211.012</v>
      </c>
      <c r="AQ23">
        <v>216.52600000000001</v>
      </c>
      <c r="AR23">
        <v>216.84800000000001</v>
      </c>
      <c r="AS23">
        <v>207.75700000000001</v>
      </c>
      <c r="AT23">
        <v>220.53899999999999</v>
      </c>
      <c r="AU23">
        <v>243.423</v>
      </c>
      <c r="AV23">
        <v>241.92699999999999</v>
      </c>
      <c r="AW23">
        <v>237.75899999999999</v>
      </c>
      <c r="AX23">
        <v>238.41800000000001</v>
      </c>
      <c r="AY23">
        <v>257.69099999999997</v>
      </c>
      <c r="AZ23">
        <v>255.881</v>
      </c>
      <c r="BA23">
        <v>255.185</v>
      </c>
      <c r="BB23">
        <v>229.86099999999999</v>
      </c>
      <c r="BC23">
        <v>236.602</v>
      </c>
      <c r="BD23">
        <v>265.358</v>
      </c>
      <c r="BE23">
        <v>269.62200000000001</v>
      </c>
      <c r="BF23">
        <v>263.41399999999999</v>
      </c>
      <c r="BG23">
        <v>253.88900000000001</v>
      </c>
      <c r="BH23">
        <v>294.5</v>
      </c>
      <c r="BI23">
        <v>274.54000000000002</v>
      </c>
      <c r="BJ23">
        <v>253.66800000000001</v>
      </c>
      <c r="BK23">
        <v>277.815</v>
      </c>
      <c r="BL23">
        <v>297.11799999999999</v>
      </c>
      <c r="BM23">
        <v>322.536</v>
      </c>
      <c r="BN23">
        <v>313.548</v>
      </c>
      <c r="BO23">
        <v>320.738</v>
      </c>
      <c r="BP23">
        <v>330.46899999999999</v>
      </c>
      <c r="BQ23">
        <v>357.51100000000002</v>
      </c>
      <c r="BR23">
        <v>366.90199999999999</v>
      </c>
      <c r="BS23">
        <v>357.52300000000002</v>
      </c>
      <c r="BT23">
        <v>373.322</v>
      </c>
      <c r="BU23">
        <v>394.238</v>
      </c>
      <c r="BV23">
        <v>383.25200000000001</v>
      </c>
      <c r="BW23">
        <v>412.81099999999998</v>
      </c>
      <c r="BX23">
        <v>476.76799999999997</v>
      </c>
      <c r="BY23">
        <v>490.95400000000001</v>
      </c>
      <c r="BZ23">
        <v>494.86599999999999</v>
      </c>
      <c r="CA23">
        <v>483.666</v>
      </c>
      <c r="CB23">
        <v>581.26099999999997</v>
      </c>
      <c r="CC23">
        <v>629.95100000000002</v>
      </c>
      <c r="CD23">
        <v>624.13300000000004</v>
      </c>
      <c r="CE23">
        <v>608.76700000000005</v>
      </c>
      <c r="CF23">
        <v>608.42100000000005</v>
      </c>
      <c r="CG23">
        <v>599.18499999999995</v>
      </c>
    </row>
    <row r="24" spans="1:85" x14ac:dyDescent="0.25">
      <c r="A24" t="s">
        <v>156</v>
      </c>
      <c r="B24" t="s">
        <v>114</v>
      </c>
      <c r="C24" t="s">
        <v>114</v>
      </c>
      <c r="D24" t="s">
        <v>114</v>
      </c>
      <c r="E24" t="s">
        <v>115</v>
      </c>
      <c r="F24" t="s">
        <v>114</v>
      </c>
      <c r="G24" t="s">
        <v>114</v>
      </c>
      <c r="H24" t="s">
        <v>114</v>
      </c>
      <c r="I24" t="s">
        <v>114</v>
      </c>
      <c r="J24" t="s">
        <v>114</v>
      </c>
      <c r="K24" t="s">
        <v>114</v>
      </c>
      <c r="L24" t="s">
        <v>114</v>
      </c>
      <c r="M24" t="s">
        <v>114</v>
      </c>
      <c r="N24" t="s">
        <v>114</v>
      </c>
      <c r="O24" t="s">
        <v>114</v>
      </c>
      <c r="P24" t="s">
        <v>114</v>
      </c>
      <c r="Q24" t="s">
        <v>114</v>
      </c>
      <c r="R24" t="s">
        <v>114</v>
      </c>
      <c r="S24" t="s">
        <v>114</v>
      </c>
      <c r="T24" t="s">
        <v>114</v>
      </c>
      <c r="U24" t="s">
        <v>114</v>
      </c>
      <c r="V24" t="s">
        <v>114</v>
      </c>
      <c r="W24" t="s">
        <v>114</v>
      </c>
      <c r="X24" t="s">
        <v>114</v>
      </c>
      <c r="Y24" t="s">
        <v>114</v>
      </c>
      <c r="Z24" t="s">
        <v>114</v>
      </c>
      <c r="AA24" t="s">
        <v>114</v>
      </c>
      <c r="AB24" t="s">
        <v>114</v>
      </c>
      <c r="AC24" t="s">
        <v>114</v>
      </c>
      <c r="AD24" t="s">
        <v>114</v>
      </c>
      <c r="AE24" t="s">
        <v>114</v>
      </c>
      <c r="AF24" t="s">
        <v>114</v>
      </c>
      <c r="AG24" t="s">
        <v>114</v>
      </c>
      <c r="AH24" t="s">
        <v>114</v>
      </c>
      <c r="AI24" t="s">
        <v>114</v>
      </c>
      <c r="AJ24" t="s">
        <v>114</v>
      </c>
      <c r="AK24" t="s">
        <v>114</v>
      </c>
      <c r="AL24" t="s">
        <v>114</v>
      </c>
      <c r="AM24" t="s">
        <v>114</v>
      </c>
      <c r="AN24" t="s">
        <v>114</v>
      </c>
      <c r="AO24" t="s">
        <v>114</v>
      </c>
      <c r="AP24" t="s">
        <v>114</v>
      </c>
      <c r="AQ24" t="s">
        <v>114</v>
      </c>
      <c r="AR24" t="s">
        <v>114</v>
      </c>
      <c r="AS24" t="s">
        <v>114</v>
      </c>
      <c r="AT24" t="s">
        <v>114</v>
      </c>
      <c r="AU24" t="s">
        <v>114</v>
      </c>
      <c r="AV24" t="s">
        <v>114</v>
      </c>
      <c r="AW24" t="s">
        <v>114</v>
      </c>
      <c r="AX24" t="s">
        <v>114</v>
      </c>
      <c r="AY24" t="s">
        <v>114</v>
      </c>
      <c r="AZ24" t="s">
        <v>114</v>
      </c>
      <c r="BA24" t="s">
        <v>114</v>
      </c>
      <c r="BB24" t="s">
        <v>114</v>
      </c>
      <c r="BC24" t="s">
        <v>114</v>
      </c>
      <c r="BD24" t="s">
        <v>114</v>
      </c>
      <c r="BE24" t="s">
        <v>114</v>
      </c>
      <c r="BF24" t="s">
        <v>114</v>
      </c>
      <c r="BG24" t="s">
        <v>114</v>
      </c>
      <c r="BH24" t="s">
        <v>114</v>
      </c>
      <c r="BI24" t="s">
        <v>114</v>
      </c>
      <c r="BJ24" t="s">
        <v>114</v>
      </c>
      <c r="BK24" t="s">
        <v>114</v>
      </c>
      <c r="BL24" t="s">
        <v>114</v>
      </c>
      <c r="BM24" t="s">
        <v>114</v>
      </c>
      <c r="BN24" t="s">
        <v>114</v>
      </c>
      <c r="BO24" t="s">
        <v>114</v>
      </c>
      <c r="BP24" t="s">
        <v>114</v>
      </c>
      <c r="BQ24" t="s">
        <v>114</v>
      </c>
      <c r="BR24" t="s">
        <v>114</v>
      </c>
      <c r="BS24" t="s">
        <v>114</v>
      </c>
      <c r="BT24" t="s">
        <v>114</v>
      </c>
      <c r="BU24" t="s">
        <v>114</v>
      </c>
      <c r="BV24" t="s">
        <v>114</v>
      </c>
      <c r="BW24" t="s">
        <v>114</v>
      </c>
      <c r="BX24" t="s">
        <v>114</v>
      </c>
      <c r="BY24" t="s">
        <v>114</v>
      </c>
      <c r="BZ24" t="s">
        <v>114</v>
      </c>
      <c r="CA24" t="s">
        <v>114</v>
      </c>
      <c r="CB24" t="s">
        <v>114</v>
      </c>
      <c r="CC24" t="s">
        <v>114</v>
      </c>
      <c r="CD24" t="s">
        <v>114</v>
      </c>
      <c r="CE24" t="s">
        <v>114</v>
      </c>
      <c r="CF24" t="s">
        <v>114</v>
      </c>
      <c r="CG24" t="s">
        <v>114</v>
      </c>
    </row>
    <row r="25" spans="1:85" x14ac:dyDescent="0.25">
      <c r="A25" t="s">
        <v>157</v>
      </c>
      <c r="B25" t="s">
        <v>114</v>
      </c>
      <c r="C25" t="s">
        <v>114</v>
      </c>
      <c r="D25" t="s">
        <v>114</v>
      </c>
      <c r="E25" t="s">
        <v>115</v>
      </c>
      <c r="F25" t="s">
        <v>114</v>
      </c>
      <c r="G25" t="s">
        <v>114</v>
      </c>
      <c r="H25" t="s">
        <v>114</v>
      </c>
      <c r="I25" t="s">
        <v>114</v>
      </c>
      <c r="J25" t="s">
        <v>114</v>
      </c>
      <c r="K25" t="s">
        <v>114</v>
      </c>
      <c r="L25" t="s">
        <v>114</v>
      </c>
      <c r="M25" t="s">
        <v>114</v>
      </c>
      <c r="N25" t="s">
        <v>114</v>
      </c>
      <c r="O25" t="s">
        <v>114</v>
      </c>
      <c r="P25" t="s">
        <v>114</v>
      </c>
      <c r="Q25" t="s">
        <v>114</v>
      </c>
      <c r="R25" t="s">
        <v>114</v>
      </c>
      <c r="S25" t="s">
        <v>114</v>
      </c>
      <c r="T25" t="s">
        <v>114</v>
      </c>
      <c r="U25" t="s">
        <v>114</v>
      </c>
      <c r="V25" t="s">
        <v>114</v>
      </c>
      <c r="W25" t="s">
        <v>114</v>
      </c>
      <c r="X25" t="s">
        <v>114</v>
      </c>
      <c r="Y25" t="s">
        <v>114</v>
      </c>
      <c r="Z25" t="s">
        <v>114</v>
      </c>
      <c r="AA25" t="s">
        <v>114</v>
      </c>
      <c r="AB25" t="s">
        <v>114</v>
      </c>
      <c r="AC25" t="s">
        <v>114</v>
      </c>
      <c r="AD25" t="s">
        <v>114</v>
      </c>
      <c r="AE25" t="s">
        <v>114</v>
      </c>
      <c r="AF25" t="s">
        <v>114</v>
      </c>
      <c r="AG25" t="s">
        <v>114</v>
      </c>
      <c r="AH25" t="s">
        <v>114</v>
      </c>
      <c r="AI25" t="s">
        <v>114</v>
      </c>
      <c r="AJ25" t="s">
        <v>114</v>
      </c>
      <c r="AK25" t="s">
        <v>114</v>
      </c>
      <c r="AL25" t="s">
        <v>114</v>
      </c>
      <c r="AM25" t="s">
        <v>114</v>
      </c>
      <c r="AN25" t="s">
        <v>114</v>
      </c>
      <c r="AO25" t="s">
        <v>114</v>
      </c>
      <c r="AP25" t="s">
        <v>114</v>
      </c>
      <c r="AQ25" t="s">
        <v>114</v>
      </c>
      <c r="AR25" t="s">
        <v>114</v>
      </c>
      <c r="AS25" t="s">
        <v>114</v>
      </c>
      <c r="AT25" t="s">
        <v>114</v>
      </c>
      <c r="AU25" t="s">
        <v>114</v>
      </c>
      <c r="AV25" t="s">
        <v>114</v>
      </c>
      <c r="AW25" t="s">
        <v>114</v>
      </c>
      <c r="AX25" t="s">
        <v>114</v>
      </c>
      <c r="AY25" t="s">
        <v>114</v>
      </c>
      <c r="AZ25" t="s">
        <v>114</v>
      </c>
      <c r="BA25" t="s">
        <v>114</v>
      </c>
      <c r="BB25" t="s">
        <v>114</v>
      </c>
      <c r="BC25" t="s">
        <v>114</v>
      </c>
      <c r="BD25" t="s">
        <v>114</v>
      </c>
      <c r="BE25" t="s">
        <v>114</v>
      </c>
      <c r="BF25" t="s">
        <v>114</v>
      </c>
      <c r="BG25" t="s">
        <v>114</v>
      </c>
      <c r="BH25" t="s">
        <v>114</v>
      </c>
      <c r="BI25" t="s">
        <v>114</v>
      </c>
      <c r="BJ25" t="s">
        <v>114</v>
      </c>
      <c r="BK25" t="s">
        <v>114</v>
      </c>
      <c r="BL25" t="s">
        <v>114</v>
      </c>
      <c r="BM25" t="s">
        <v>114</v>
      </c>
      <c r="BN25" t="s">
        <v>114</v>
      </c>
      <c r="BO25" t="s">
        <v>114</v>
      </c>
      <c r="BP25" t="s">
        <v>114</v>
      </c>
      <c r="BQ25" t="s">
        <v>114</v>
      </c>
      <c r="BR25" t="s">
        <v>114</v>
      </c>
      <c r="BS25" t="s">
        <v>114</v>
      </c>
      <c r="BT25" t="s">
        <v>114</v>
      </c>
      <c r="BU25" t="s">
        <v>114</v>
      </c>
      <c r="BV25" t="s">
        <v>114</v>
      </c>
      <c r="BW25" t="s">
        <v>114</v>
      </c>
      <c r="BX25" t="s">
        <v>114</v>
      </c>
      <c r="BY25" t="s">
        <v>114</v>
      </c>
      <c r="BZ25" t="s">
        <v>114</v>
      </c>
      <c r="CA25" t="s">
        <v>114</v>
      </c>
      <c r="CB25" t="s">
        <v>114</v>
      </c>
      <c r="CC25" t="s">
        <v>114</v>
      </c>
      <c r="CD25" t="s">
        <v>114</v>
      </c>
      <c r="CE25" t="s">
        <v>114</v>
      </c>
      <c r="CF25" t="s">
        <v>114</v>
      </c>
      <c r="CG25" t="s">
        <v>114</v>
      </c>
    </row>
    <row r="26" spans="1:85" x14ac:dyDescent="0.25">
      <c r="A26" t="s">
        <v>114</v>
      </c>
      <c r="B26" t="s">
        <v>114</v>
      </c>
      <c r="C26" t="s">
        <v>114</v>
      </c>
      <c r="D26" t="s">
        <v>114</v>
      </c>
      <c r="E26" t="s">
        <v>115</v>
      </c>
      <c r="F26" t="s">
        <v>114</v>
      </c>
      <c r="G26" t="s">
        <v>114</v>
      </c>
      <c r="H26" t="s">
        <v>114</v>
      </c>
      <c r="I26" t="s">
        <v>114</v>
      </c>
      <c r="J26" t="s">
        <v>114</v>
      </c>
      <c r="K26" t="s">
        <v>114</v>
      </c>
      <c r="L26" t="s">
        <v>114</v>
      </c>
      <c r="M26" t="s">
        <v>114</v>
      </c>
      <c r="N26" t="s">
        <v>114</v>
      </c>
      <c r="O26" t="s">
        <v>114</v>
      </c>
      <c r="P26" t="s">
        <v>114</v>
      </c>
      <c r="Q26" t="s">
        <v>114</v>
      </c>
      <c r="R26" t="s">
        <v>114</v>
      </c>
      <c r="S26" t="s">
        <v>114</v>
      </c>
      <c r="T26" t="s">
        <v>114</v>
      </c>
      <c r="U26" t="s">
        <v>114</v>
      </c>
      <c r="V26" t="s">
        <v>114</v>
      </c>
      <c r="W26" t="s">
        <v>114</v>
      </c>
      <c r="X26" t="s">
        <v>114</v>
      </c>
      <c r="Y26" t="s">
        <v>114</v>
      </c>
      <c r="Z26" t="s">
        <v>114</v>
      </c>
      <c r="AA26" t="s">
        <v>114</v>
      </c>
      <c r="AB26" t="s">
        <v>114</v>
      </c>
      <c r="AC26" t="s">
        <v>114</v>
      </c>
      <c r="AD26" t="s">
        <v>114</v>
      </c>
      <c r="AE26" t="s">
        <v>114</v>
      </c>
      <c r="AF26" t="s">
        <v>114</v>
      </c>
      <c r="AG26" t="s">
        <v>114</v>
      </c>
      <c r="AH26" t="s">
        <v>114</v>
      </c>
      <c r="AI26" t="s">
        <v>114</v>
      </c>
      <c r="AJ26" t="s">
        <v>114</v>
      </c>
      <c r="AK26" t="s">
        <v>114</v>
      </c>
      <c r="AL26" t="s">
        <v>114</v>
      </c>
      <c r="AM26" t="s">
        <v>114</v>
      </c>
      <c r="AN26" t="s">
        <v>114</v>
      </c>
      <c r="AO26" t="s">
        <v>114</v>
      </c>
      <c r="AP26" t="s">
        <v>114</v>
      </c>
      <c r="AQ26" t="s">
        <v>114</v>
      </c>
      <c r="AR26" t="s">
        <v>114</v>
      </c>
      <c r="AS26" t="s">
        <v>114</v>
      </c>
      <c r="AT26" t="s">
        <v>114</v>
      </c>
      <c r="AU26" t="s">
        <v>114</v>
      </c>
      <c r="AV26" t="s">
        <v>114</v>
      </c>
      <c r="AW26" t="s">
        <v>114</v>
      </c>
      <c r="AX26" t="s">
        <v>114</v>
      </c>
      <c r="AY26" t="s">
        <v>114</v>
      </c>
      <c r="AZ26" t="s">
        <v>114</v>
      </c>
      <c r="BA26" t="s">
        <v>114</v>
      </c>
      <c r="BB26" t="s">
        <v>114</v>
      </c>
      <c r="BC26" t="s">
        <v>114</v>
      </c>
      <c r="BD26" t="s">
        <v>114</v>
      </c>
      <c r="BE26" t="s">
        <v>114</v>
      </c>
      <c r="BF26" t="s">
        <v>114</v>
      </c>
      <c r="BG26" t="s">
        <v>114</v>
      </c>
      <c r="BH26" t="s">
        <v>114</v>
      </c>
      <c r="BI26" t="s">
        <v>114</v>
      </c>
      <c r="BJ26" t="s">
        <v>114</v>
      </c>
      <c r="BK26" t="s">
        <v>114</v>
      </c>
      <c r="BL26" t="s">
        <v>114</v>
      </c>
      <c r="BM26" t="s">
        <v>114</v>
      </c>
      <c r="BN26" t="s">
        <v>114</v>
      </c>
      <c r="BO26" t="s">
        <v>114</v>
      </c>
      <c r="BP26" t="s">
        <v>114</v>
      </c>
      <c r="BQ26" t="s">
        <v>114</v>
      </c>
      <c r="BR26" t="s">
        <v>114</v>
      </c>
      <c r="BS26" t="s">
        <v>114</v>
      </c>
      <c r="BT26" t="s">
        <v>114</v>
      </c>
      <c r="BU26" t="s">
        <v>114</v>
      </c>
      <c r="BV26" t="s">
        <v>114</v>
      </c>
      <c r="BW26" t="s">
        <v>114</v>
      </c>
      <c r="BX26" t="s">
        <v>114</v>
      </c>
      <c r="BY26" t="s">
        <v>114</v>
      </c>
      <c r="BZ26" t="s">
        <v>114</v>
      </c>
      <c r="CA26" t="s">
        <v>114</v>
      </c>
      <c r="CB26" t="s">
        <v>114</v>
      </c>
      <c r="CC26" t="s">
        <v>114</v>
      </c>
      <c r="CD26" t="s">
        <v>114</v>
      </c>
      <c r="CE26" t="s">
        <v>114</v>
      </c>
      <c r="CF26" t="s">
        <v>114</v>
      </c>
      <c r="CG26" t="s">
        <v>114</v>
      </c>
    </row>
    <row r="27" spans="1:85" x14ac:dyDescent="0.25">
      <c r="A27" t="s">
        <v>158</v>
      </c>
      <c r="B27" t="s">
        <v>159</v>
      </c>
      <c r="C27" t="s">
        <v>120</v>
      </c>
      <c r="D27" t="s">
        <v>121</v>
      </c>
      <c r="E27" t="s">
        <v>122</v>
      </c>
      <c r="F27" t="s">
        <v>114</v>
      </c>
      <c r="G27" t="s">
        <v>114</v>
      </c>
      <c r="H27" t="s">
        <v>114</v>
      </c>
      <c r="I27" t="s">
        <v>114</v>
      </c>
      <c r="J27" t="s">
        <v>114</v>
      </c>
      <c r="K27" t="s">
        <v>114</v>
      </c>
      <c r="L27" t="s">
        <v>114</v>
      </c>
      <c r="M27" t="s">
        <v>114</v>
      </c>
      <c r="N27" t="s">
        <v>114</v>
      </c>
      <c r="O27" t="s">
        <v>114</v>
      </c>
      <c r="P27" t="s">
        <v>114</v>
      </c>
      <c r="Q27" t="s">
        <v>114</v>
      </c>
      <c r="R27" t="s">
        <v>114</v>
      </c>
      <c r="S27" t="s">
        <v>114</v>
      </c>
      <c r="T27" t="s">
        <v>114</v>
      </c>
      <c r="U27" t="s">
        <v>114</v>
      </c>
      <c r="V27" t="s">
        <v>114</v>
      </c>
      <c r="W27" t="s">
        <v>114</v>
      </c>
      <c r="X27" t="s">
        <v>114</v>
      </c>
      <c r="Y27" t="s">
        <v>114</v>
      </c>
      <c r="Z27" t="s">
        <v>114</v>
      </c>
      <c r="AA27" t="s">
        <v>114</v>
      </c>
      <c r="AB27" t="s">
        <v>114</v>
      </c>
      <c r="AC27" t="s">
        <v>114</v>
      </c>
      <c r="AD27" t="s">
        <v>114</v>
      </c>
      <c r="AE27" t="s">
        <v>114</v>
      </c>
      <c r="AF27" t="s">
        <v>114</v>
      </c>
      <c r="AG27" t="s">
        <v>114</v>
      </c>
      <c r="AH27" t="s">
        <v>114</v>
      </c>
      <c r="AI27" t="s">
        <v>114</v>
      </c>
      <c r="AJ27" t="s">
        <v>114</v>
      </c>
      <c r="AK27" t="s">
        <v>114</v>
      </c>
      <c r="AL27" t="s">
        <v>114</v>
      </c>
      <c r="AM27" t="s">
        <v>114</v>
      </c>
      <c r="AN27">
        <v>0.77</v>
      </c>
      <c r="AO27">
        <v>0.77</v>
      </c>
      <c r="AP27">
        <v>0.77</v>
      </c>
      <c r="AQ27">
        <v>0.77</v>
      </c>
      <c r="AR27">
        <v>0.69</v>
      </c>
      <c r="AS27">
        <v>1.01</v>
      </c>
      <c r="AT27">
        <v>0.77</v>
      </c>
      <c r="AU27">
        <v>0.77</v>
      </c>
      <c r="AV27">
        <v>0.82</v>
      </c>
      <c r="AW27">
        <v>0.82</v>
      </c>
      <c r="AX27">
        <v>0.82</v>
      </c>
      <c r="AY27">
        <v>0.82</v>
      </c>
      <c r="AZ27">
        <v>0.69</v>
      </c>
      <c r="BA27">
        <v>0.69</v>
      </c>
      <c r="BB27">
        <v>0.69</v>
      </c>
      <c r="BC27">
        <v>0.69</v>
      </c>
      <c r="BD27">
        <v>0.66</v>
      </c>
      <c r="BE27">
        <v>0.66</v>
      </c>
      <c r="BF27">
        <v>0.86</v>
      </c>
      <c r="BG27">
        <v>0.66</v>
      </c>
      <c r="BH27">
        <v>0.5</v>
      </c>
      <c r="BI27">
        <v>0.5</v>
      </c>
      <c r="BJ27">
        <v>0.5</v>
      </c>
      <c r="BK27">
        <v>0.5</v>
      </c>
      <c r="BL27">
        <v>0.5</v>
      </c>
      <c r="BM27">
        <v>0.5</v>
      </c>
      <c r="BN27">
        <v>0.5</v>
      </c>
      <c r="BO27">
        <v>0.5</v>
      </c>
      <c r="BP27">
        <v>0.5</v>
      </c>
      <c r="BQ27">
        <v>0.5</v>
      </c>
      <c r="BR27">
        <v>0.5</v>
      </c>
      <c r="BS27">
        <v>0.5</v>
      </c>
      <c r="BT27">
        <v>0.5</v>
      </c>
      <c r="BU27">
        <v>0.5</v>
      </c>
      <c r="BV27">
        <v>0.5</v>
      </c>
      <c r="BW27">
        <v>0.5</v>
      </c>
      <c r="BX27">
        <v>0.5</v>
      </c>
      <c r="BY27">
        <v>0.5</v>
      </c>
      <c r="BZ27">
        <v>0.5</v>
      </c>
      <c r="CA27">
        <v>0.5</v>
      </c>
      <c r="CB27">
        <v>0.5</v>
      </c>
      <c r="CC27">
        <v>0.5</v>
      </c>
      <c r="CD27">
        <v>0.5</v>
      </c>
      <c r="CE27">
        <v>0.5</v>
      </c>
      <c r="CF27">
        <v>0.5</v>
      </c>
      <c r="CG27">
        <v>0.5</v>
      </c>
    </row>
    <row r="28" spans="1:85" x14ac:dyDescent="0.25">
      <c r="A28" t="s">
        <v>114</v>
      </c>
      <c r="B28" t="s">
        <v>114</v>
      </c>
      <c r="C28" t="s">
        <v>114</v>
      </c>
      <c r="D28" t="s">
        <v>114</v>
      </c>
      <c r="E28" t="s">
        <v>115</v>
      </c>
      <c r="F28" t="s">
        <v>114</v>
      </c>
      <c r="G28" t="s">
        <v>114</v>
      </c>
      <c r="H28" t="s">
        <v>114</v>
      </c>
      <c r="I28" t="s">
        <v>114</v>
      </c>
      <c r="J28" t="s">
        <v>114</v>
      </c>
      <c r="K28" t="s">
        <v>114</v>
      </c>
      <c r="L28" t="s">
        <v>114</v>
      </c>
      <c r="M28" t="s">
        <v>114</v>
      </c>
      <c r="N28" t="s">
        <v>114</v>
      </c>
      <c r="O28" t="s">
        <v>114</v>
      </c>
      <c r="P28" t="s">
        <v>114</v>
      </c>
      <c r="Q28" t="s">
        <v>114</v>
      </c>
      <c r="R28" t="s">
        <v>114</v>
      </c>
      <c r="S28" t="s">
        <v>114</v>
      </c>
      <c r="T28" t="s">
        <v>114</v>
      </c>
      <c r="U28" t="s">
        <v>114</v>
      </c>
      <c r="V28" t="s">
        <v>114</v>
      </c>
      <c r="W28" t="s">
        <v>114</v>
      </c>
      <c r="X28" t="s">
        <v>114</v>
      </c>
      <c r="Y28" t="s">
        <v>114</v>
      </c>
      <c r="Z28" t="s">
        <v>114</v>
      </c>
      <c r="AA28" t="s">
        <v>114</v>
      </c>
      <c r="AB28" t="s">
        <v>114</v>
      </c>
      <c r="AC28" t="s">
        <v>114</v>
      </c>
      <c r="AD28" t="s">
        <v>114</v>
      </c>
      <c r="AE28" t="s">
        <v>114</v>
      </c>
      <c r="AF28" t="s">
        <v>114</v>
      </c>
      <c r="AG28" t="s">
        <v>114</v>
      </c>
      <c r="AH28" t="s">
        <v>114</v>
      </c>
      <c r="AI28" t="s">
        <v>114</v>
      </c>
      <c r="AJ28" t="s">
        <v>114</v>
      </c>
      <c r="AK28" t="s">
        <v>114</v>
      </c>
      <c r="AL28" t="s">
        <v>114</v>
      </c>
      <c r="AM28" t="s">
        <v>114</v>
      </c>
      <c r="AN28" t="s">
        <v>114</v>
      </c>
      <c r="AO28" t="s">
        <v>114</v>
      </c>
      <c r="AP28" t="s">
        <v>114</v>
      </c>
      <c r="AQ28" t="s">
        <v>114</v>
      </c>
      <c r="AR28" t="s">
        <v>114</v>
      </c>
      <c r="AS28" t="s">
        <v>114</v>
      </c>
      <c r="AT28" t="s">
        <v>114</v>
      </c>
      <c r="AU28" t="s">
        <v>114</v>
      </c>
      <c r="AV28" t="s">
        <v>114</v>
      </c>
      <c r="AW28" t="s">
        <v>114</v>
      </c>
      <c r="AX28" t="s">
        <v>114</v>
      </c>
      <c r="AY28" t="s">
        <v>114</v>
      </c>
      <c r="AZ28" t="s">
        <v>114</v>
      </c>
      <c r="BA28" t="s">
        <v>114</v>
      </c>
      <c r="BB28" t="s">
        <v>114</v>
      </c>
      <c r="BC28" t="s">
        <v>114</v>
      </c>
      <c r="BD28" t="s">
        <v>114</v>
      </c>
      <c r="BE28" t="s">
        <v>114</v>
      </c>
      <c r="BF28" t="s">
        <v>114</v>
      </c>
      <c r="BG28" t="s">
        <v>114</v>
      </c>
      <c r="BH28" t="s">
        <v>114</v>
      </c>
      <c r="BI28" t="s">
        <v>114</v>
      </c>
      <c r="BJ28" t="s">
        <v>114</v>
      </c>
      <c r="BK28" t="s">
        <v>114</v>
      </c>
      <c r="BL28" t="s">
        <v>114</v>
      </c>
      <c r="BM28" t="s">
        <v>114</v>
      </c>
      <c r="BN28" t="s">
        <v>114</v>
      </c>
      <c r="BO28" t="s">
        <v>114</v>
      </c>
      <c r="BP28" t="s">
        <v>114</v>
      </c>
      <c r="BQ28" t="s">
        <v>114</v>
      </c>
      <c r="BR28" t="s">
        <v>114</v>
      </c>
      <c r="BS28" t="s">
        <v>114</v>
      </c>
      <c r="BT28" t="s">
        <v>114</v>
      </c>
      <c r="BU28" t="s">
        <v>114</v>
      </c>
      <c r="BV28" t="s">
        <v>114</v>
      </c>
      <c r="BW28" t="s">
        <v>114</v>
      </c>
      <c r="BX28" t="s">
        <v>114</v>
      </c>
      <c r="BY28" t="s">
        <v>114</v>
      </c>
      <c r="BZ28" t="s">
        <v>114</v>
      </c>
      <c r="CA28" t="s">
        <v>114</v>
      </c>
      <c r="CB28" t="s">
        <v>114</v>
      </c>
      <c r="CC28" t="s">
        <v>114</v>
      </c>
      <c r="CD28" t="s">
        <v>114</v>
      </c>
      <c r="CE28" t="s">
        <v>114</v>
      </c>
      <c r="CF28" t="s">
        <v>114</v>
      </c>
      <c r="CG28" t="s">
        <v>114</v>
      </c>
    </row>
    <row r="29" spans="1:85" x14ac:dyDescent="0.25">
      <c r="A29" t="s">
        <v>160</v>
      </c>
      <c r="B29" t="s">
        <v>114</v>
      </c>
      <c r="C29" t="s">
        <v>114</v>
      </c>
      <c r="D29" t="s">
        <v>114</v>
      </c>
      <c r="E29" t="s">
        <v>115</v>
      </c>
      <c r="F29" t="s">
        <v>114</v>
      </c>
      <c r="G29" t="s">
        <v>114</v>
      </c>
      <c r="H29" t="s">
        <v>114</v>
      </c>
      <c r="I29" t="s">
        <v>114</v>
      </c>
      <c r="J29" t="s">
        <v>114</v>
      </c>
      <c r="K29" t="s">
        <v>114</v>
      </c>
      <c r="L29" t="s">
        <v>114</v>
      </c>
      <c r="M29" t="s">
        <v>114</v>
      </c>
      <c r="N29" t="s">
        <v>114</v>
      </c>
      <c r="O29" t="s">
        <v>114</v>
      </c>
      <c r="P29" t="s">
        <v>114</v>
      </c>
      <c r="Q29" t="s">
        <v>114</v>
      </c>
      <c r="R29" t="s">
        <v>114</v>
      </c>
      <c r="S29" t="s">
        <v>114</v>
      </c>
      <c r="T29" t="s">
        <v>114</v>
      </c>
      <c r="U29" t="s">
        <v>114</v>
      </c>
      <c r="V29" t="s">
        <v>114</v>
      </c>
      <c r="W29" t="s">
        <v>114</v>
      </c>
      <c r="X29" t="s">
        <v>114</v>
      </c>
      <c r="Y29" t="s">
        <v>114</v>
      </c>
      <c r="Z29" t="s">
        <v>114</v>
      </c>
      <c r="AA29" t="s">
        <v>114</v>
      </c>
      <c r="AB29" t="s">
        <v>114</v>
      </c>
      <c r="AC29" t="s">
        <v>114</v>
      </c>
      <c r="AD29" t="s">
        <v>114</v>
      </c>
      <c r="AE29" t="s">
        <v>114</v>
      </c>
      <c r="AF29" t="s">
        <v>114</v>
      </c>
      <c r="AG29" t="s">
        <v>114</v>
      </c>
      <c r="AH29" t="s">
        <v>114</v>
      </c>
      <c r="AI29" t="s">
        <v>114</v>
      </c>
      <c r="AJ29" t="s">
        <v>114</v>
      </c>
      <c r="AK29" t="s">
        <v>114</v>
      </c>
      <c r="AL29" t="s">
        <v>114</v>
      </c>
      <c r="AM29" t="s">
        <v>114</v>
      </c>
      <c r="AN29" t="s">
        <v>114</v>
      </c>
      <c r="AO29" t="s">
        <v>114</v>
      </c>
      <c r="AP29" t="s">
        <v>114</v>
      </c>
      <c r="AQ29" t="s">
        <v>114</v>
      </c>
      <c r="AR29" t="s">
        <v>114</v>
      </c>
      <c r="AS29" t="s">
        <v>114</v>
      </c>
      <c r="AT29" t="s">
        <v>114</v>
      </c>
      <c r="AU29" t="s">
        <v>114</v>
      </c>
      <c r="AV29" t="s">
        <v>114</v>
      </c>
      <c r="AW29" t="s">
        <v>114</v>
      </c>
      <c r="AX29" t="s">
        <v>114</v>
      </c>
      <c r="AY29" t="s">
        <v>114</v>
      </c>
      <c r="AZ29" t="s">
        <v>114</v>
      </c>
      <c r="BA29" t="s">
        <v>114</v>
      </c>
      <c r="BB29" t="s">
        <v>114</v>
      </c>
      <c r="BC29" t="s">
        <v>114</v>
      </c>
      <c r="BD29" t="s">
        <v>114</v>
      </c>
      <c r="BE29" t="s">
        <v>114</v>
      </c>
      <c r="BF29" t="s">
        <v>114</v>
      </c>
      <c r="BG29" t="s">
        <v>114</v>
      </c>
      <c r="BH29" t="s">
        <v>114</v>
      </c>
      <c r="BI29" t="s">
        <v>114</v>
      </c>
      <c r="BJ29" t="s">
        <v>114</v>
      </c>
      <c r="BK29" t="s">
        <v>114</v>
      </c>
      <c r="BL29" t="s">
        <v>114</v>
      </c>
      <c r="BM29" t="s">
        <v>114</v>
      </c>
      <c r="BN29" t="s">
        <v>114</v>
      </c>
      <c r="BO29" t="s">
        <v>114</v>
      </c>
      <c r="BP29" t="s">
        <v>114</v>
      </c>
      <c r="BQ29" t="s">
        <v>114</v>
      </c>
      <c r="BR29" t="s">
        <v>114</v>
      </c>
      <c r="BS29" t="s">
        <v>114</v>
      </c>
      <c r="BT29" t="s">
        <v>114</v>
      </c>
      <c r="BU29" t="s">
        <v>114</v>
      </c>
      <c r="BV29" t="s">
        <v>114</v>
      </c>
      <c r="BW29" t="s">
        <v>114</v>
      </c>
      <c r="BX29" t="s">
        <v>114</v>
      </c>
      <c r="BY29" t="s">
        <v>114</v>
      </c>
      <c r="BZ29" t="s">
        <v>114</v>
      </c>
      <c r="CA29" t="s">
        <v>114</v>
      </c>
      <c r="CB29" t="s">
        <v>114</v>
      </c>
      <c r="CC29" t="s">
        <v>114</v>
      </c>
      <c r="CD29" t="s">
        <v>114</v>
      </c>
      <c r="CE29" t="s">
        <v>114</v>
      </c>
      <c r="CF29" t="s">
        <v>114</v>
      </c>
      <c r="CG29" t="s">
        <v>114</v>
      </c>
    </row>
    <row r="30" spans="1:85" x14ac:dyDescent="0.25">
      <c r="A30" t="s">
        <v>161</v>
      </c>
      <c r="B30" t="s">
        <v>114</v>
      </c>
      <c r="C30" t="s">
        <v>114</v>
      </c>
      <c r="D30" t="s">
        <v>114</v>
      </c>
      <c r="E30" t="s">
        <v>115</v>
      </c>
      <c r="F30" t="s">
        <v>114</v>
      </c>
      <c r="G30" t="s">
        <v>114</v>
      </c>
      <c r="H30" t="s">
        <v>114</v>
      </c>
      <c r="I30" t="s">
        <v>114</v>
      </c>
      <c r="J30" t="s">
        <v>114</v>
      </c>
      <c r="K30" t="s">
        <v>114</v>
      </c>
      <c r="L30" t="s">
        <v>114</v>
      </c>
      <c r="M30" t="s">
        <v>114</v>
      </c>
      <c r="N30" t="s">
        <v>114</v>
      </c>
      <c r="O30" t="s">
        <v>114</v>
      </c>
      <c r="P30" t="s">
        <v>114</v>
      </c>
      <c r="Q30" t="s">
        <v>114</v>
      </c>
      <c r="R30" t="s">
        <v>114</v>
      </c>
      <c r="S30" t="s">
        <v>114</v>
      </c>
      <c r="T30" t="s">
        <v>114</v>
      </c>
      <c r="U30" t="s">
        <v>114</v>
      </c>
      <c r="V30" t="s">
        <v>114</v>
      </c>
      <c r="W30" t="s">
        <v>114</v>
      </c>
      <c r="X30" t="s">
        <v>114</v>
      </c>
      <c r="Y30" t="s">
        <v>114</v>
      </c>
      <c r="Z30" t="s">
        <v>114</v>
      </c>
      <c r="AA30" t="s">
        <v>114</v>
      </c>
      <c r="AB30" t="s">
        <v>114</v>
      </c>
      <c r="AC30" t="s">
        <v>114</v>
      </c>
      <c r="AD30" t="s">
        <v>114</v>
      </c>
      <c r="AE30" t="s">
        <v>114</v>
      </c>
      <c r="AF30" t="s">
        <v>114</v>
      </c>
      <c r="AG30" t="s">
        <v>114</v>
      </c>
      <c r="AH30" t="s">
        <v>114</v>
      </c>
      <c r="AI30" t="s">
        <v>114</v>
      </c>
      <c r="AJ30" t="s">
        <v>114</v>
      </c>
      <c r="AK30" t="s">
        <v>114</v>
      </c>
      <c r="AL30" t="s">
        <v>114</v>
      </c>
      <c r="AM30" t="s">
        <v>114</v>
      </c>
      <c r="AN30" t="s">
        <v>114</v>
      </c>
      <c r="AO30" t="s">
        <v>114</v>
      </c>
      <c r="AP30" t="s">
        <v>114</v>
      </c>
      <c r="AQ30" t="s">
        <v>114</v>
      </c>
      <c r="AR30" t="s">
        <v>114</v>
      </c>
      <c r="AS30" t="s">
        <v>114</v>
      </c>
      <c r="AT30" t="s">
        <v>114</v>
      </c>
      <c r="AU30" t="s">
        <v>114</v>
      </c>
      <c r="AV30" t="s">
        <v>114</v>
      </c>
      <c r="AW30" t="s">
        <v>114</v>
      </c>
      <c r="AX30" t="s">
        <v>114</v>
      </c>
      <c r="AY30" t="s">
        <v>114</v>
      </c>
      <c r="AZ30" t="s">
        <v>114</v>
      </c>
      <c r="BA30" t="s">
        <v>114</v>
      </c>
      <c r="BB30" t="s">
        <v>114</v>
      </c>
      <c r="BC30" t="s">
        <v>114</v>
      </c>
      <c r="BD30" t="s">
        <v>114</v>
      </c>
      <c r="BE30" t="s">
        <v>114</v>
      </c>
      <c r="BF30" t="s">
        <v>114</v>
      </c>
      <c r="BG30" t="s">
        <v>114</v>
      </c>
      <c r="BH30" t="s">
        <v>114</v>
      </c>
      <c r="BI30" t="s">
        <v>114</v>
      </c>
      <c r="BJ30" t="s">
        <v>114</v>
      </c>
      <c r="BK30" t="s">
        <v>114</v>
      </c>
      <c r="BL30" t="s">
        <v>114</v>
      </c>
      <c r="BM30" t="s">
        <v>114</v>
      </c>
      <c r="BN30" t="s">
        <v>114</v>
      </c>
      <c r="BO30" t="s">
        <v>114</v>
      </c>
      <c r="BP30" t="s">
        <v>114</v>
      </c>
      <c r="BQ30" t="s">
        <v>114</v>
      </c>
      <c r="BR30" t="s">
        <v>114</v>
      </c>
      <c r="BS30" t="s">
        <v>114</v>
      </c>
      <c r="BT30" t="s">
        <v>114</v>
      </c>
      <c r="BU30" t="s">
        <v>114</v>
      </c>
      <c r="BV30" t="s">
        <v>114</v>
      </c>
      <c r="BW30" t="s">
        <v>114</v>
      </c>
      <c r="BX30" t="s">
        <v>114</v>
      </c>
      <c r="BY30" t="s">
        <v>114</v>
      </c>
      <c r="BZ30" t="s">
        <v>114</v>
      </c>
      <c r="CA30" t="s">
        <v>114</v>
      </c>
      <c r="CB30" t="s">
        <v>114</v>
      </c>
      <c r="CC30" t="s">
        <v>114</v>
      </c>
      <c r="CD30" t="s">
        <v>114</v>
      </c>
      <c r="CE30" t="s">
        <v>114</v>
      </c>
      <c r="CF30" t="s">
        <v>114</v>
      </c>
      <c r="CG30" t="s">
        <v>114</v>
      </c>
    </row>
    <row r="31" spans="1:85" x14ac:dyDescent="0.25">
      <c r="A31" t="s">
        <v>162</v>
      </c>
      <c r="B31" t="s">
        <v>163</v>
      </c>
      <c r="C31" t="s">
        <v>120</v>
      </c>
      <c r="D31" t="s">
        <v>121</v>
      </c>
      <c r="E31" t="s">
        <v>122</v>
      </c>
      <c r="F31">
        <v>17.2</v>
      </c>
      <c r="G31">
        <v>-38.9</v>
      </c>
      <c r="H31">
        <v>-12.6</v>
      </c>
      <c r="I31">
        <v>-24.7</v>
      </c>
      <c r="J31">
        <v>42</v>
      </c>
      <c r="K31">
        <v>-5.3</v>
      </c>
      <c r="L31">
        <v>8.1999999999999993</v>
      </c>
      <c r="M31">
        <v>-43.5</v>
      </c>
      <c r="N31">
        <v>50.8</v>
      </c>
      <c r="O31">
        <v>9.6999999999999993</v>
      </c>
      <c r="P31">
        <v>7.5</v>
      </c>
      <c r="Q31">
        <v>-6</v>
      </c>
      <c r="R31">
        <v>-10.7</v>
      </c>
      <c r="S31">
        <v>24.4</v>
      </c>
      <c r="T31">
        <v>4.3</v>
      </c>
      <c r="U31">
        <v>5.5</v>
      </c>
      <c r="V31">
        <v>-7</v>
      </c>
      <c r="W31">
        <v>1.2</v>
      </c>
      <c r="X31">
        <v>-0.4</v>
      </c>
      <c r="Y31">
        <v>-1.9</v>
      </c>
      <c r="Z31">
        <v>-20.5</v>
      </c>
      <c r="AA31">
        <v>-0.6</v>
      </c>
      <c r="AB31">
        <v>21.5</v>
      </c>
      <c r="AC31">
        <v>-17.7</v>
      </c>
      <c r="AD31">
        <v>-56.2</v>
      </c>
      <c r="AE31">
        <v>35.1</v>
      </c>
      <c r="AF31">
        <v>14.7</v>
      </c>
      <c r="AG31">
        <v>20.399999999999999</v>
      </c>
      <c r="AH31">
        <v>3.9</v>
      </c>
      <c r="AI31">
        <v>-2.6</v>
      </c>
      <c r="AJ31">
        <v>10.3</v>
      </c>
      <c r="AK31">
        <v>-0.9</v>
      </c>
      <c r="AL31">
        <v>-1.8</v>
      </c>
      <c r="AM31">
        <v>0.2</v>
      </c>
      <c r="AN31">
        <v>-1.3</v>
      </c>
      <c r="AO31">
        <v>-0.6</v>
      </c>
      <c r="AP31">
        <v>-2.1</v>
      </c>
      <c r="AQ31">
        <v>-1.1000000000000001</v>
      </c>
      <c r="AR31">
        <v>-2.6</v>
      </c>
      <c r="AS31">
        <v>0.8</v>
      </c>
      <c r="AT31">
        <v>-0.9</v>
      </c>
      <c r="AU31">
        <v>1.5</v>
      </c>
      <c r="AV31">
        <v>-1.5</v>
      </c>
      <c r="AW31">
        <v>-0.6</v>
      </c>
      <c r="AX31">
        <v>0.2</v>
      </c>
      <c r="AY31">
        <v>-1.9</v>
      </c>
      <c r="AZ31">
        <v>-9.8000000000000007</v>
      </c>
      <c r="BA31">
        <v>6.9</v>
      </c>
      <c r="BB31">
        <v>-2.1</v>
      </c>
      <c r="BC31">
        <v>2.4</v>
      </c>
      <c r="BD31">
        <v>-5.6</v>
      </c>
      <c r="BE31">
        <v>-9.6</v>
      </c>
      <c r="BF31">
        <v>15.3</v>
      </c>
      <c r="BG31">
        <v>-6.3</v>
      </c>
      <c r="BH31">
        <v>5.3</v>
      </c>
      <c r="BI31">
        <v>-0.2</v>
      </c>
      <c r="BJ31">
        <v>-0.2</v>
      </c>
      <c r="BK31">
        <v>-0.4</v>
      </c>
      <c r="BL31">
        <v>-6.4</v>
      </c>
      <c r="BM31">
        <v>5.3</v>
      </c>
      <c r="BN31">
        <v>-5.4</v>
      </c>
      <c r="BO31">
        <v>-6</v>
      </c>
      <c r="BP31">
        <v>-3</v>
      </c>
      <c r="BQ31">
        <v>-5.5</v>
      </c>
      <c r="BR31">
        <v>1.6</v>
      </c>
      <c r="BS31">
        <v>3.9</v>
      </c>
      <c r="BT31">
        <v>-7.9</v>
      </c>
      <c r="BU31">
        <v>-2.5</v>
      </c>
      <c r="BV31">
        <v>-1.3</v>
      </c>
      <c r="BW31">
        <v>-1.1000000000000001</v>
      </c>
      <c r="BX31">
        <v>3.5</v>
      </c>
      <c r="BY31">
        <v>-0.6</v>
      </c>
      <c r="BZ31">
        <v>5.2</v>
      </c>
      <c r="CA31">
        <v>-1.2</v>
      </c>
      <c r="CB31">
        <v>-5.9</v>
      </c>
      <c r="CC31">
        <v>53.5</v>
      </c>
      <c r="CD31">
        <v>-3.4</v>
      </c>
      <c r="CE31">
        <v>-8.6</v>
      </c>
      <c r="CF31">
        <v>17</v>
      </c>
      <c r="CG31">
        <v>-0.5</v>
      </c>
    </row>
    <row r="32" spans="1:85" x14ac:dyDescent="0.25">
      <c r="A32" t="s">
        <v>164</v>
      </c>
      <c r="B32" t="s">
        <v>114</v>
      </c>
      <c r="C32" t="s">
        <v>114</v>
      </c>
      <c r="D32" t="s">
        <v>114</v>
      </c>
      <c r="E32" t="s">
        <v>128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</row>
    <row r="33" spans="1:85" x14ac:dyDescent="0.25">
      <c r="A33" t="s">
        <v>165</v>
      </c>
      <c r="B33" t="s">
        <v>166</v>
      </c>
      <c r="C33" t="s">
        <v>120</v>
      </c>
      <c r="D33" t="s">
        <v>121</v>
      </c>
      <c r="E33" t="s">
        <v>122</v>
      </c>
      <c r="F33">
        <v>115.04</v>
      </c>
      <c r="G33">
        <v>97.89</v>
      </c>
      <c r="H33">
        <v>136.77000000000001</v>
      </c>
      <c r="I33">
        <v>149.35</v>
      </c>
      <c r="J33">
        <v>174</v>
      </c>
      <c r="K33">
        <v>131.96</v>
      </c>
      <c r="L33">
        <v>137.30000000000001</v>
      </c>
      <c r="M33">
        <v>129.13999999999999</v>
      </c>
      <c r="N33">
        <v>172.62</v>
      </c>
      <c r="O33">
        <v>121.82</v>
      </c>
      <c r="P33">
        <v>112.17</v>
      </c>
      <c r="Q33">
        <v>104.62</v>
      </c>
      <c r="R33">
        <v>110.64</v>
      </c>
      <c r="S33">
        <v>121.31</v>
      </c>
      <c r="T33">
        <v>96.91</v>
      </c>
      <c r="U33">
        <v>92.57</v>
      </c>
      <c r="V33">
        <v>87.05</v>
      </c>
      <c r="W33">
        <v>94.04</v>
      </c>
      <c r="X33">
        <v>92.87</v>
      </c>
      <c r="Y33">
        <v>93.28</v>
      </c>
      <c r="Z33">
        <v>95.15</v>
      </c>
      <c r="AA33">
        <v>115.63</v>
      </c>
      <c r="AB33">
        <v>116.28</v>
      </c>
      <c r="AC33">
        <v>94.74</v>
      </c>
      <c r="AD33">
        <v>112.46</v>
      </c>
      <c r="AE33">
        <v>168.66</v>
      </c>
      <c r="AF33">
        <v>133.58000000000001</v>
      </c>
      <c r="AG33">
        <v>118.91</v>
      </c>
      <c r="AH33">
        <v>98.49</v>
      </c>
      <c r="AI33">
        <v>94.63</v>
      </c>
      <c r="AJ33">
        <v>97.21</v>
      </c>
      <c r="AK33">
        <v>86.88</v>
      </c>
      <c r="AL33">
        <v>87.74</v>
      </c>
      <c r="AM33">
        <v>89.52</v>
      </c>
      <c r="AN33">
        <v>89.32</v>
      </c>
      <c r="AO33">
        <v>90.61</v>
      </c>
      <c r="AP33">
        <v>91.23</v>
      </c>
      <c r="AQ33">
        <v>93.37</v>
      </c>
      <c r="AR33">
        <v>94.47</v>
      </c>
      <c r="AS33">
        <v>97.03</v>
      </c>
      <c r="AT33">
        <v>96.25</v>
      </c>
      <c r="AU33">
        <v>97.17</v>
      </c>
      <c r="AV33">
        <v>95.62</v>
      </c>
      <c r="AW33">
        <v>97.13</v>
      </c>
      <c r="AX33">
        <v>97.73</v>
      </c>
      <c r="AY33">
        <v>97.56</v>
      </c>
      <c r="AZ33">
        <v>99.41</v>
      </c>
      <c r="BA33">
        <v>109.16</v>
      </c>
      <c r="BB33">
        <v>102.3</v>
      </c>
      <c r="BC33">
        <v>104.43</v>
      </c>
      <c r="BD33">
        <v>102.06</v>
      </c>
      <c r="BE33">
        <v>107.7</v>
      </c>
      <c r="BF33">
        <v>117.31</v>
      </c>
      <c r="BG33">
        <v>102.04</v>
      </c>
      <c r="BH33">
        <v>108.33</v>
      </c>
      <c r="BI33">
        <v>103.02</v>
      </c>
      <c r="BJ33">
        <v>103.19</v>
      </c>
      <c r="BK33">
        <v>103.4</v>
      </c>
      <c r="BL33">
        <v>103.84</v>
      </c>
      <c r="BM33">
        <v>110.29</v>
      </c>
      <c r="BN33">
        <v>105.01</v>
      </c>
      <c r="BO33">
        <v>110.41</v>
      </c>
      <c r="BP33">
        <v>116.37</v>
      </c>
      <c r="BQ33">
        <v>119.35</v>
      </c>
      <c r="BR33">
        <v>124.88</v>
      </c>
      <c r="BS33">
        <v>123.24</v>
      </c>
      <c r="BT33">
        <v>119.37</v>
      </c>
      <c r="BU33">
        <v>127.3</v>
      </c>
      <c r="BV33">
        <v>129.80000000000001</v>
      </c>
      <c r="BW33">
        <v>131.12</v>
      </c>
      <c r="BX33">
        <v>132.16999999999999</v>
      </c>
      <c r="BY33">
        <v>128.68</v>
      </c>
      <c r="BZ33">
        <v>129.31</v>
      </c>
      <c r="CA33">
        <v>124.15</v>
      </c>
      <c r="CB33">
        <v>125.3</v>
      </c>
      <c r="CC33">
        <v>131.24</v>
      </c>
      <c r="CD33">
        <v>77.72</v>
      </c>
      <c r="CE33">
        <v>81.099999999999994</v>
      </c>
      <c r="CF33">
        <v>89.66</v>
      </c>
      <c r="CG33">
        <v>72.680000000000007</v>
      </c>
    </row>
    <row r="34" spans="1:85" x14ac:dyDescent="0.25">
      <c r="A34" t="s">
        <v>167</v>
      </c>
      <c r="B34" t="s">
        <v>168</v>
      </c>
      <c r="C34" t="s">
        <v>120</v>
      </c>
      <c r="D34" t="s">
        <v>121</v>
      </c>
      <c r="E34" t="s">
        <v>122</v>
      </c>
      <c r="F34">
        <v>115.04</v>
      </c>
      <c r="G34">
        <v>97.89</v>
      </c>
      <c r="H34">
        <v>136.77000000000001</v>
      </c>
      <c r="I34">
        <v>149.35</v>
      </c>
      <c r="J34">
        <v>174</v>
      </c>
      <c r="K34">
        <v>131.96</v>
      </c>
      <c r="L34">
        <v>137.30000000000001</v>
      </c>
      <c r="M34">
        <v>129.13999999999999</v>
      </c>
      <c r="N34">
        <v>172.62</v>
      </c>
      <c r="O34">
        <v>121.82</v>
      </c>
      <c r="P34">
        <v>112.17</v>
      </c>
      <c r="Q34">
        <v>104.62</v>
      </c>
      <c r="R34">
        <v>110.64</v>
      </c>
      <c r="S34">
        <v>121.31</v>
      </c>
      <c r="T34">
        <v>96.91</v>
      </c>
      <c r="U34">
        <v>92.57</v>
      </c>
      <c r="V34">
        <v>87.05</v>
      </c>
      <c r="W34">
        <v>94.04</v>
      </c>
      <c r="X34">
        <v>92.87</v>
      </c>
      <c r="Y34">
        <v>93.28</v>
      </c>
      <c r="Z34">
        <v>95.15</v>
      </c>
      <c r="AA34">
        <v>115.63</v>
      </c>
      <c r="AB34">
        <v>116.28</v>
      </c>
      <c r="AC34">
        <v>94.74</v>
      </c>
      <c r="AD34">
        <v>112.46</v>
      </c>
      <c r="AE34">
        <v>168.66</v>
      </c>
      <c r="AF34">
        <v>133.58000000000001</v>
      </c>
      <c r="AG34">
        <v>118.91</v>
      </c>
      <c r="AH34">
        <v>98.49</v>
      </c>
      <c r="AI34">
        <v>94.63</v>
      </c>
      <c r="AJ34">
        <v>97.21</v>
      </c>
      <c r="AK34">
        <v>86.88</v>
      </c>
      <c r="AL34">
        <v>87.74</v>
      </c>
      <c r="AM34">
        <v>89.52</v>
      </c>
      <c r="AN34">
        <v>89.32</v>
      </c>
      <c r="AO34">
        <v>90.61</v>
      </c>
      <c r="AP34">
        <v>91.23</v>
      </c>
      <c r="AQ34">
        <v>93.37</v>
      </c>
      <c r="AR34">
        <v>94.47</v>
      </c>
      <c r="AS34">
        <v>97.03</v>
      </c>
      <c r="AT34">
        <v>96.25</v>
      </c>
      <c r="AU34">
        <v>97.17</v>
      </c>
      <c r="AV34">
        <v>95.62</v>
      </c>
      <c r="AW34">
        <v>97.13</v>
      </c>
      <c r="AX34">
        <v>97.73</v>
      </c>
      <c r="AY34">
        <v>97.56</v>
      </c>
      <c r="AZ34">
        <v>99.41</v>
      </c>
      <c r="BA34">
        <v>109.16</v>
      </c>
      <c r="BB34">
        <v>102.3</v>
      </c>
      <c r="BC34">
        <v>104.43</v>
      </c>
      <c r="BD34">
        <v>102.06</v>
      </c>
      <c r="BE34">
        <v>107.7</v>
      </c>
      <c r="BF34">
        <v>117.31</v>
      </c>
      <c r="BG34">
        <v>102.04</v>
      </c>
      <c r="BH34">
        <v>108.33</v>
      </c>
      <c r="BI34">
        <v>103.02</v>
      </c>
      <c r="BJ34">
        <v>103.19</v>
      </c>
      <c r="BK34">
        <v>103.4</v>
      </c>
      <c r="BL34">
        <v>103.84</v>
      </c>
      <c r="BM34">
        <v>110.29</v>
      </c>
      <c r="BN34">
        <v>105.01</v>
      </c>
      <c r="BO34">
        <v>110.41</v>
      </c>
      <c r="BP34">
        <v>116.37</v>
      </c>
      <c r="BQ34">
        <v>119.35</v>
      </c>
      <c r="BR34">
        <v>124.88</v>
      </c>
      <c r="BS34">
        <v>123.24</v>
      </c>
      <c r="BT34">
        <v>119.37</v>
      </c>
      <c r="BU34">
        <v>127.3</v>
      </c>
      <c r="BV34">
        <v>129.80000000000001</v>
      </c>
      <c r="BW34">
        <v>131.12</v>
      </c>
      <c r="BX34">
        <v>132.16999999999999</v>
      </c>
      <c r="BY34">
        <v>128.68</v>
      </c>
      <c r="BZ34">
        <v>129.31</v>
      </c>
      <c r="CA34">
        <v>124.15</v>
      </c>
      <c r="CB34">
        <v>125.3</v>
      </c>
      <c r="CC34">
        <v>131.24</v>
      </c>
      <c r="CD34">
        <v>77.72</v>
      </c>
      <c r="CE34">
        <v>81.099999999999994</v>
      </c>
      <c r="CF34">
        <v>89.66</v>
      </c>
      <c r="CG34">
        <v>72.680000000000007</v>
      </c>
    </row>
    <row r="35" spans="1:85" x14ac:dyDescent="0.25">
      <c r="A35" t="s">
        <v>169</v>
      </c>
      <c r="B35" t="s">
        <v>170</v>
      </c>
      <c r="C35" t="s">
        <v>120</v>
      </c>
      <c r="D35" t="s">
        <v>121</v>
      </c>
      <c r="E35" t="s">
        <v>122</v>
      </c>
      <c r="F35">
        <v>0.15</v>
      </c>
      <c r="G35">
        <v>0.15</v>
      </c>
      <c r="H35">
        <v>0.15</v>
      </c>
      <c r="I35">
        <v>0.25</v>
      </c>
      <c r="J35">
        <v>0.25</v>
      </c>
      <c r="K35">
        <v>0.25</v>
      </c>
      <c r="L35">
        <v>0.25</v>
      </c>
      <c r="M35">
        <v>0.25</v>
      </c>
      <c r="N35">
        <v>0.25</v>
      </c>
      <c r="O35">
        <v>0.25</v>
      </c>
      <c r="P35">
        <v>0.25</v>
      </c>
      <c r="Q35">
        <v>0.25</v>
      </c>
      <c r="R35">
        <v>0.25</v>
      </c>
      <c r="S35">
        <v>0.25</v>
      </c>
      <c r="T35">
        <v>0.25</v>
      </c>
      <c r="U35">
        <v>0.25</v>
      </c>
      <c r="V35">
        <v>0.25</v>
      </c>
      <c r="W35">
        <v>0.25</v>
      </c>
      <c r="X35">
        <v>0.25</v>
      </c>
      <c r="Y35">
        <v>0.25</v>
      </c>
      <c r="Z35">
        <v>0.25</v>
      </c>
      <c r="AA35">
        <v>0.25</v>
      </c>
      <c r="AB35">
        <v>0.25</v>
      </c>
      <c r="AC35">
        <v>0.25</v>
      </c>
      <c r="AD35">
        <v>0.25</v>
      </c>
      <c r="AE35">
        <v>0.25</v>
      </c>
      <c r="AF35">
        <v>0.25</v>
      </c>
      <c r="AG35">
        <v>0.25</v>
      </c>
      <c r="AH35">
        <v>0.25</v>
      </c>
      <c r="AI35">
        <v>0.25</v>
      </c>
      <c r="AJ35">
        <v>0.25</v>
      </c>
      <c r="AK35">
        <v>0.25</v>
      </c>
      <c r="AL35">
        <v>0.25</v>
      </c>
      <c r="AM35">
        <v>0.5</v>
      </c>
      <c r="AN35">
        <v>0.5</v>
      </c>
      <c r="AO35">
        <v>0.5</v>
      </c>
      <c r="AP35">
        <v>0.5</v>
      </c>
      <c r="AQ35">
        <v>0.5</v>
      </c>
      <c r="AR35">
        <v>0.5</v>
      </c>
      <c r="AS35">
        <v>0.5</v>
      </c>
      <c r="AT35">
        <v>0.5</v>
      </c>
      <c r="AU35">
        <v>0.5</v>
      </c>
      <c r="AV35">
        <v>0.5</v>
      </c>
      <c r="AW35">
        <v>0.5</v>
      </c>
      <c r="AX35">
        <v>0.5</v>
      </c>
      <c r="AY35">
        <v>0.5</v>
      </c>
      <c r="AZ35">
        <v>0.5</v>
      </c>
      <c r="BA35">
        <v>0.5</v>
      </c>
      <c r="BB35">
        <v>0.5</v>
      </c>
      <c r="BC35">
        <v>0.5</v>
      </c>
      <c r="BD35">
        <v>0.5</v>
      </c>
      <c r="BE35">
        <v>0.5</v>
      </c>
      <c r="BF35">
        <v>0.5</v>
      </c>
      <c r="BG35">
        <v>0.5</v>
      </c>
      <c r="BH35">
        <v>0.5</v>
      </c>
      <c r="BI35">
        <v>0.5</v>
      </c>
      <c r="BJ35">
        <v>0.5</v>
      </c>
      <c r="BK35">
        <v>0.5</v>
      </c>
      <c r="BL35">
        <v>0.5</v>
      </c>
      <c r="BM35">
        <v>0.5</v>
      </c>
      <c r="BN35">
        <v>0.75</v>
      </c>
      <c r="BO35">
        <v>0.75</v>
      </c>
      <c r="BP35">
        <v>0.75</v>
      </c>
      <c r="BQ35">
        <v>0.75</v>
      </c>
      <c r="BR35">
        <v>0.75</v>
      </c>
      <c r="BS35">
        <v>0.75</v>
      </c>
      <c r="BT35">
        <v>0.75</v>
      </c>
      <c r="BU35">
        <v>0.75</v>
      </c>
      <c r="BV35">
        <v>0.75</v>
      </c>
      <c r="BW35">
        <v>0.75</v>
      </c>
      <c r="BX35">
        <v>0.75</v>
      </c>
      <c r="BY35">
        <v>0.75</v>
      </c>
      <c r="BZ35">
        <v>0.75</v>
      </c>
      <c r="CA35">
        <v>0.75</v>
      </c>
      <c r="CB35">
        <v>0.75</v>
      </c>
      <c r="CC35">
        <v>0.75</v>
      </c>
      <c r="CD35">
        <v>0.75</v>
      </c>
      <c r="CE35">
        <v>0.75</v>
      </c>
      <c r="CF35">
        <v>0.75</v>
      </c>
      <c r="CG35">
        <v>0.75</v>
      </c>
    </row>
    <row r="36" spans="1:85" x14ac:dyDescent="0.25">
      <c r="A36" t="s">
        <v>171</v>
      </c>
      <c r="B36" t="s">
        <v>172</v>
      </c>
      <c r="C36" t="s">
        <v>120</v>
      </c>
      <c r="D36" t="s">
        <v>121</v>
      </c>
      <c r="E36" t="s">
        <v>122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9</v>
      </c>
      <c r="AF36">
        <v>7</v>
      </c>
      <c r="AG36">
        <v>5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  <c r="AY36">
        <v>7</v>
      </c>
      <c r="AZ36">
        <v>7</v>
      </c>
      <c r="BA36">
        <v>7</v>
      </c>
      <c r="BB36">
        <v>7</v>
      </c>
      <c r="BC36">
        <v>7</v>
      </c>
      <c r="BD36">
        <v>7</v>
      </c>
      <c r="BE36">
        <v>7</v>
      </c>
      <c r="BF36">
        <v>7</v>
      </c>
      <c r="BG36">
        <v>7</v>
      </c>
      <c r="BH36">
        <v>7</v>
      </c>
      <c r="BI36">
        <v>7</v>
      </c>
      <c r="BJ36">
        <v>7</v>
      </c>
      <c r="BK36">
        <v>7</v>
      </c>
      <c r="BL36">
        <v>7</v>
      </c>
      <c r="BM36">
        <v>7</v>
      </c>
      <c r="BN36">
        <v>6</v>
      </c>
      <c r="BO36">
        <v>8</v>
      </c>
      <c r="BP36">
        <v>7</v>
      </c>
      <c r="BQ36">
        <v>7</v>
      </c>
      <c r="BR36">
        <v>7</v>
      </c>
      <c r="BS36">
        <v>7</v>
      </c>
      <c r="BT36">
        <v>7</v>
      </c>
      <c r="BU36">
        <v>7</v>
      </c>
      <c r="BV36">
        <v>7</v>
      </c>
      <c r="BW36">
        <v>7</v>
      </c>
      <c r="BX36">
        <v>7</v>
      </c>
      <c r="BY36">
        <v>7</v>
      </c>
      <c r="BZ36">
        <v>7</v>
      </c>
      <c r="CA36">
        <v>7</v>
      </c>
      <c r="CB36">
        <v>7</v>
      </c>
      <c r="CC36">
        <v>7</v>
      </c>
      <c r="CD36">
        <v>7</v>
      </c>
      <c r="CE36">
        <v>6</v>
      </c>
      <c r="CF36">
        <v>6</v>
      </c>
      <c r="CG36">
        <v>9</v>
      </c>
    </row>
    <row r="37" spans="1:85" x14ac:dyDescent="0.25">
      <c r="A37" t="s">
        <v>173</v>
      </c>
      <c r="B37" t="s">
        <v>114</v>
      </c>
      <c r="C37" t="s">
        <v>114</v>
      </c>
      <c r="D37" t="s">
        <v>114</v>
      </c>
      <c r="E37" t="s">
        <v>115</v>
      </c>
      <c r="F37" t="s">
        <v>114</v>
      </c>
      <c r="G37" t="s">
        <v>114</v>
      </c>
      <c r="H37" t="s">
        <v>114</v>
      </c>
      <c r="I37" t="s">
        <v>114</v>
      </c>
      <c r="J37" t="s">
        <v>114</v>
      </c>
      <c r="K37" t="s">
        <v>114</v>
      </c>
      <c r="L37" t="s">
        <v>114</v>
      </c>
      <c r="M37" t="s">
        <v>114</v>
      </c>
      <c r="N37" t="s">
        <v>114</v>
      </c>
      <c r="O37" t="s">
        <v>114</v>
      </c>
      <c r="P37" t="s">
        <v>114</v>
      </c>
      <c r="Q37" t="s">
        <v>114</v>
      </c>
      <c r="R37" t="s">
        <v>114</v>
      </c>
      <c r="S37" t="s">
        <v>114</v>
      </c>
      <c r="T37" t="s">
        <v>114</v>
      </c>
      <c r="U37" t="s">
        <v>114</v>
      </c>
      <c r="V37" t="s">
        <v>114</v>
      </c>
      <c r="W37" t="s">
        <v>114</v>
      </c>
      <c r="X37" t="s">
        <v>114</v>
      </c>
      <c r="Y37" t="s">
        <v>114</v>
      </c>
      <c r="Z37" t="s">
        <v>114</v>
      </c>
      <c r="AA37" t="s">
        <v>114</v>
      </c>
      <c r="AB37" t="s">
        <v>114</v>
      </c>
      <c r="AC37" t="s">
        <v>114</v>
      </c>
      <c r="AD37" t="s">
        <v>114</v>
      </c>
      <c r="AE37" t="s">
        <v>114</v>
      </c>
      <c r="AF37" t="s">
        <v>114</v>
      </c>
      <c r="AG37" t="s">
        <v>114</v>
      </c>
      <c r="AH37" t="s">
        <v>114</v>
      </c>
      <c r="AI37" t="s">
        <v>114</v>
      </c>
      <c r="AJ37" t="s">
        <v>114</v>
      </c>
      <c r="AK37" t="s">
        <v>114</v>
      </c>
      <c r="AL37" t="s">
        <v>114</v>
      </c>
      <c r="AM37" t="s">
        <v>114</v>
      </c>
      <c r="AN37" t="s">
        <v>114</v>
      </c>
      <c r="AO37" t="s">
        <v>114</v>
      </c>
      <c r="AP37" t="s">
        <v>114</v>
      </c>
      <c r="AQ37" t="s">
        <v>114</v>
      </c>
      <c r="AR37" t="s">
        <v>114</v>
      </c>
      <c r="AS37" t="s">
        <v>114</v>
      </c>
      <c r="AT37" t="s">
        <v>114</v>
      </c>
      <c r="AU37" t="s">
        <v>114</v>
      </c>
      <c r="AV37" t="s">
        <v>114</v>
      </c>
      <c r="AW37" t="s">
        <v>114</v>
      </c>
      <c r="AX37" t="s">
        <v>114</v>
      </c>
      <c r="AY37" t="s">
        <v>114</v>
      </c>
      <c r="AZ37" t="s">
        <v>114</v>
      </c>
      <c r="BA37" t="s">
        <v>114</v>
      </c>
      <c r="BB37" t="s">
        <v>114</v>
      </c>
      <c r="BC37" t="s">
        <v>114</v>
      </c>
      <c r="BD37" t="s">
        <v>114</v>
      </c>
      <c r="BE37" t="s">
        <v>114</v>
      </c>
      <c r="BF37" t="s">
        <v>114</v>
      </c>
      <c r="BG37" t="s">
        <v>114</v>
      </c>
      <c r="BH37" t="s">
        <v>114</v>
      </c>
      <c r="BI37" t="s">
        <v>114</v>
      </c>
      <c r="BJ37" t="s">
        <v>114</v>
      </c>
      <c r="BK37" t="s">
        <v>114</v>
      </c>
      <c r="BL37" t="s">
        <v>114</v>
      </c>
      <c r="BM37" t="s">
        <v>114</v>
      </c>
      <c r="BN37" t="s">
        <v>114</v>
      </c>
      <c r="BO37" t="s">
        <v>114</v>
      </c>
      <c r="BP37" t="s">
        <v>114</v>
      </c>
      <c r="BQ37" t="s">
        <v>114</v>
      </c>
      <c r="BR37" t="s">
        <v>114</v>
      </c>
      <c r="BS37" t="s">
        <v>114</v>
      </c>
      <c r="BT37" t="s">
        <v>114</v>
      </c>
      <c r="BU37" t="s">
        <v>114</v>
      </c>
      <c r="BV37" t="s">
        <v>114</v>
      </c>
      <c r="BW37" t="s">
        <v>114</v>
      </c>
      <c r="BX37" t="s">
        <v>114</v>
      </c>
      <c r="BY37" t="s">
        <v>114</v>
      </c>
      <c r="BZ37" t="s">
        <v>114</v>
      </c>
      <c r="CA37" t="s">
        <v>114</v>
      </c>
      <c r="CB37" t="s">
        <v>114</v>
      </c>
      <c r="CC37" t="s">
        <v>114</v>
      </c>
      <c r="CD37" t="s">
        <v>114</v>
      </c>
      <c r="CE37" t="s">
        <v>114</v>
      </c>
      <c r="CF37" t="s">
        <v>114</v>
      </c>
      <c r="CG37" t="s">
        <v>114</v>
      </c>
    </row>
    <row r="38" spans="1:85" x14ac:dyDescent="0.25">
      <c r="A38" t="s">
        <v>174</v>
      </c>
      <c r="B38" t="s">
        <v>175</v>
      </c>
      <c r="C38" t="s">
        <v>120</v>
      </c>
      <c r="D38" t="s">
        <v>121</v>
      </c>
      <c r="E38" t="s">
        <v>122</v>
      </c>
      <c r="F38" t="s">
        <v>114</v>
      </c>
      <c r="G38" t="s">
        <v>114</v>
      </c>
      <c r="H38">
        <v>9.9700000000000006</v>
      </c>
      <c r="I38" t="s">
        <v>114</v>
      </c>
      <c r="J38">
        <v>10.949</v>
      </c>
      <c r="K38" t="s">
        <v>114</v>
      </c>
      <c r="L38">
        <v>32.335000000000001</v>
      </c>
      <c r="M38" t="s">
        <v>114</v>
      </c>
      <c r="N38">
        <v>13.193</v>
      </c>
      <c r="O38" t="s">
        <v>114</v>
      </c>
      <c r="P38" t="s">
        <v>114</v>
      </c>
      <c r="Q38">
        <v>28.023</v>
      </c>
      <c r="R38" t="s">
        <v>114</v>
      </c>
      <c r="S38">
        <v>11.617000000000001</v>
      </c>
      <c r="T38" t="s">
        <v>114</v>
      </c>
      <c r="U38">
        <v>7.5220000000000002</v>
      </c>
      <c r="V38" t="s">
        <v>114</v>
      </c>
      <c r="W38">
        <v>6.2969999999999997</v>
      </c>
      <c r="X38" t="s">
        <v>114</v>
      </c>
      <c r="Y38">
        <v>6.48</v>
      </c>
      <c r="Z38" t="s">
        <v>114</v>
      </c>
      <c r="AA38">
        <v>4.9550000000000001</v>
      </c>
      <c r="AB38" t="s">
        <v>114</v>
      </c>
      <c r="AC38">
        <v>7.0919999999999996</v>
      </c>
      <c r="AD38" t="s">
        <v>114</v>
      </c>
      <c r="AE38" t="s">
        <v>114</v>
      </c>
      <c r="AF38" t="s">
        <v>114</v>
      </c>
      <c r="AG38">
        <v>20.914000000000001</v>
      </c>
      <c r="AH38">
        <v>10.143000000000001</v>
      </c>
      <c r="AI38" t="s">
        <v>114</v>
      </c>
      <c r="AJ38">
        <v>5.9260000000000002</v>
      </c>
      <c r="AK38" t="s">
        <v>114</v>
      </c>
      <c r="AL38">
        <v>3.194</v>
      </c>
      <c r="AM38" t="s">
        <v>114</v>
      </c>
      <c r="AN38">
        <v>1.9300000000000002</v>
      </c>
      <c r="AO38" t="s">
        <v>114</v>
      </c>
      <c r="AP38" t="s">
        <v>114</v>
      </c>
      <c r="AQ38">
        <v>3.4470000000000001</v>
      </c>
      <c r="AR38" t="s">
        <v>114</v>
      </c>
      <c r="AS38">
        <v>8.6069999999999993</v>
      </c>
      <c r="AT38" t="s">
        <v>114</v>
      </c>
      <c r="AU38">
        <v>3.43</v>
      </c>
      <c r="AV38" t="s">
        <v>114</v>
      </c>
      <c r="AW38">
        <v>6.8230000000000004</v>
      </c>
      <c r="AX38" t="s">
        <v>114</v>
      </c>
      <c r="AY38" t="s">
        <v>114</v>
      </c>
      <c r="AZ38">
        <v>3.91</v>
      </c>
      <c r="BA38">
        <v>2.6829999999999998</v>
      </c>
      <c r="BB38" t="s">
        <v>114</v>
      </c>
      <c r="BC38" t="s">
        <v>114</v>
      </c>
      <c r="BD38">
        <v>3.536</v>
      </c>
      <c r="BE38" t="s">
        <v>114</v>
      </c>
      <c r="BF38">
        <v>9.4770000000000003</v>
      </c>
      <c r="BG38" t="s">
        <v>114</v>
      </c>
      <c r="BH38">
        <v>3.5910000000000002</v>
      </c>
      <c r="BI38" t="s">
        <v>114</v>
      </c>
      <c r="BJ38">
        <v>5.83</v>
      </c>
      <c r="BK38" t="s">
        <v>114</v>
      </c>
      <c r="BL38" t="s">
        <v>114</v>
      </c>
      <c r="BM38">
        <v>5.23</v>
      </c>
      <c r="BN38" t="s">
        <v>114</v>
      </c>
      <c r="BO38">
        <v>2.9769999999999999</v>
      </c>
      <c r="BP38" t="s">
        <v>114</v>
      </c>
      <c r="BQ38">
        <v>5.1589999999999998</v>
      </c>
      <c r="BR38" t="s">
        <v>114</v>
      </c>
      <c r="BS38">
        <v>9.1129999999999995</v>
      </c>
      <c r="BT38" t="s">
        <v>114</v>
      </c>
      <c r="BU38">
        <v>4.2080000000000002</v>
      </c>
      <c r="BV38" t="s">
        <v>114</v>
      </c>
      <c r="BW38">
        <v>8.3279999999999994</v>
      </c>
      <c r="BX38" t="s">
        <v>114</v>
      </c>
      <c r="BY38">
        <v>7.7590000000000003</v>
      </c>
      <c r="BZ38" t="s">
        <v>114</v>
      </c>
      <c r="CA38">
        <v>3.7130000000000001</v>
      </c>
      <c r="CB38" t="s">
        <v>114</v>
      </c>
      <c r="CC38">
        <v>10.455</v>
      </c>
      <c r="CD38" t="s">
        <v>114</v>
      </c>
      <c r="CE38" t="s">
        <v>114</v>
      </c>
      <c r="CF38" t="s">
        <v>114</v>
      </c>
      <c r="CG38">
        <v>14.962</v>
      </c>
    </row>
    <row r="39" spans="1:85" x14ac:dyDescent="0.25">
      <c r="A39" t="s">
        <v>164</v>
      </c>
      <c r="B39" t="s">
        <v>114</v>
      </c>
      <c r="C39" t="s">
        <v>114</v>
      </c>
      <c r="D39" t="s">
        <v>114</v>
      </c>
      <c r="E39" t="s">
        <v>128</v>
      </c>
      <c r="F39" t="s">
        <v>114</v>
      </c>
      <c r="G39" t="s">
        <v>114</v>
      </c>
      <c r="H39">
        <v>1</v>
      </c>
      <c r="I39" t="s">
        <v>114</v>
      </c>
      <c r="J39">
        <v>1.0000913325417846</v>
      </c>
      <c r="K39" t="s">
        <v>114</v>
      </c>
      <c r="L39">
        <v>0.99984536879542285</v>
      </c>
      <c r="M39" t="s">
        <v>114</v>
      </c>
      <c r="N39">
        <v>0.9997726066853635</v>
      </c>
      <c r="O39" t="s">
        <v>114</v>
      </c>
      <c r="P39" t="s">
        <v>114</v>
      </c>
      <c r="Q39">
        <v>0.99989294508082649</v>
      </c>
      <c r="R39" t="s">
        <v>114</v>
      </c>
      <c r="S39">
        <v>1.0002582422312127</v>
      </c>
      <c r="T39" t="s">
        <v>114</v>
      </c>
      <c r="U39">
        <v>0.99973411326774786</v>
      </c>
      <c r="V39" t="s">
        <v>114</v>
      </c>
      <c r="W39">
        <v>1.0004764173415912</v>
      </c>
      <c r="X39" t="s">
        <v>114</v>
      </c>
      <c r="Y39">
        <v>1</v>
      </c>
      <c r="Z39" t="s">
        <v>114</v>
      </c>
      <c r="AA39">
        <v>1.0010090817356205</v>
      </c>
      <c r="AB39" t="s">
        <v>114</v>
      </c>
      <c r="AC39">
        <v>0.99971799210377899</v>
      </c>
      <c r="AD39" t="s">
        <v>114</v>
      </c>
      <c r="AE39" t="s">
        <v>114</v>
      </c>
      <c r="AF39" t="s">
        <v>114</v>
      </c>
      <c r="AG39">
        <v>0.99980874055656488</v>
      </c>
      <c r="AH39">
        <v>0.99970422951789406</v>
      </c>
      <c r="AI39" t="s">
        <v>114</v>
      </c>
      <c r="AJ39">
        <v>1.0006749915626054</v>
      </c>
      <c r="AK39" t="s">
        <v>114</v>
      </c>
      <c r="AL39">
        <v>0.99874765184721348</v>
      </c>
      <c r="AM39" t="s">
        <v>114</v>
      </c>
      <c r="AN39">
        <v>1</v>
      </c>
      <c r="AO39" t="s">
        <v>114</v>
      </c>
      <c r="AP39" t="s">
        <v>114</v>
      </c>
      <c r="AQ39">
        <v>1.0008703220191471</v>
      </c>
      <c r="AR39" t="s">
        <v>114</v>
      </c>
      <c r="AS39">
        <v>1.0003485535029628</v>
      </c>
      <c r="AT39" t="s">
        <v>114</v>
      </c>
      <c r="AU39">
        <v>1</v>
      </c>
      <c r="AV39" t="s">
        <v>114</v>
      </c>
      <c r="AW39">
        <v>0.99956031071376228</v>
      </c>
      <c r="AX39" t="s">
        <v>114</v>
      </c>
      <c r="AY39" t="s">
        <v>114</v>
      </c>
      <c r="AZ39">
        <v>1</v>
      </c>
      <c r="BA39">
        <v>0.99888184867685437</v>
      </c>
      <c r="BB39" t="s">
        <v>114</v>
      </c>
      <c r="BC39" t="s">
        <v>114</v>
      </c>
      <c r="BD39">
        <v>1.001131221719457</v>
      </c>
      <c r="BE39" t="s">
        <v>114</v>
      </c>
      <c r="BF39">
        <v>1.0003165558721114</v>
      </c>
      <c r="BG39" t="s">
        <v>114</v>
      </c>
      <c r="BH39">
        <v>0.99972152603731546</v>
      </c>
      <c r="BI39" t="s">
        <v>114</v>
      </c>
      <c r="BJ39">
        <v>1</v>
      </c>
      <c r="BK39" t="s">
        <v>114</v>
      </c>
      <c r="BL39" t="s">
        <v>114</v>
      </c>
      <c r="BM39">
        <v>1</v>
      </c>
      <c r="BN39" t="s">
        <v>114</v>
      </c>
      <c r="BO39">
        <v>1.0010077258985557</v>
      </c>
      <c r="BP39" t="s">
        <v>114</v>
      </c>
      <c r="BQ39">
        <v>1.0001938360147316</v>
      </c>
      <c r="BR39" t="s">
        <v>114</v>
      </c>
      <c r="BS39">
        <v>0.99967079995610664</v>
      </c>
      <c r="BT39" t="s">
        <v>114</v>
      </c>
      <c r="BU39">
        <v>1.0004752851711025</v>
      </c>
      <c r="BV39" t="s">
        <v>114</v>
      </c>
      <c r="BW39">
        <v>1.0002401536983669</v>
      </c>
      <c r="BX39" t="s">
        <v>114</v>
      </c>
      <c r="BY39">
        <v>1.0001288825879624</v>
      </c>
      <c r="BZ39" t="s">
        <v>114</v>
      </c>
      <c r="CA39">
        <v>0.99919202800969564</v>
      </c>
      <c r="CB39" t="s">
        <v>114</v>
      </c>
      <c r="CC39">
        <v>1.0004782400765184</v>
      </c>
      <c r="CD39" t="s">
        <v>114</v>
      </c>
      <c r="CE39" t="s">
        <v>114</v>
      </c>
      <c r="CF39" t="s">
        <v>114</v>
      </c>
      <c r="CG39">
        <v>0.99986632803101194</v>
      </c>
    </row>
    <row r="40" spans="1:85" x14ac:dyDescent="0.25">
      <c r="A40" t="s">
        <v>165</v>
      </c>
      <c r="B40" t="s">
        <v>176</v>
      </c>
      <c r="C40" t="s">
        <v>120</v>
      </c>
      <c r="D40" t="s">
        <v>121</v>
      </c>
      <c r="E40" t="s">
        <v>122</v>
      </c>
      <c r="F40" t="s">
        <v>114</v>
      </c>
      <c r="G40" t="s">
        <v>114</v>
      </c>
      <c r="H40">
        <v>9.9700000000000006</v>
      </c>
      <c r="I40" t="s">
        <v>114</v>
      </c>
      <c r="J40">
        <v>10.95</v>
      </c>
      <c r="K40" t="s">
        <v>114</v>
      </c>
      <c r="L40">
        <v>32.33</v>
      </c>
      <c r="M40" t="s">
        <v>114</v>
      </c>
      <c r="N40">
        <v>13.19</v>
      </c>
      <c r="O40" t="s">
        <v>114</v>
      </c>
      <c r="P40" t="s">
        <v>114</v>
      </c>
      <c r="Q40">
        <v>28.02</v>
      </c>
      <c r="R40" t="s">
        <v>114</v>
      </c>
      <c r="S40">
        <v>11.62</v>
      </c>
      <c r="T40" t="s">
        <v>114</v>
      </c>
      <c r="U40">
        <v>7.52</v>
      </c>
      <c r="V40" t="s">
        <v>114</v>
      </c>
      <c r="W40">
        <v>6.3</v>
      </c>
      <c r="X40" t="s">
        <v>114</v>
      </c>
      <c r="Y40">
        <v>6.48</v>
      </c>
      <c r="Z40" t="s">
        <v>114</v>
      </c>
      <c r="AA40">
        <v>4.96</v>
      </c>
      <c r="AB40" t="s">
        <v>114</v>
      </c>
      <c r="AC40">
        <v>7.09</v>
      </c>
      <c r="AD40" t="s">
        <v>114</v>
      </c>
      <c r="AE40" t="s">
        <v>114</v>
      </c>
      <c r="AF40" t="s">
        <v>114</v>
      </c>
      <c r="AG40">
        <v>20.91</v>
      </c>
      <c r="AH40">
        <v>10.14</v>
      </c>
      <c r="AI40" t="s">
        <v>114</v>
      </c>
      <c r="AJ40">
        <v>5.93</v>
      </c>
      <c r="AK40" t="s">
        <v>114</v>
      </c>
      <c r="AL40">
        <v>3.19</v>
      </c>
      <c r="AM40" t="s">
        <v>114</v>
      </c>
      <c r="AN40">
        <v>1.9300000000000002</v>
      </c>
      <c r="AO40" t="s">
        <v>114</v>
      </c>
      <c r="AP40" t="s">
        <v>114</v>
      </c>
      <c r="AQ40">
        <v>3.45</v>
      </c>
      <c r="AR40" t="s">
        <v>114</v>
      </c>
      <c r="AS40">
        <v>8.61</v>
      </c>
      <c r="AT40" t="s">
        <v>114</v>
      </c>
      <c r="AU40">
        <v>3.43</v>
      </c>
      <c r="AV40" t="s">
        <v>114</v>
      </c>
      <c r="AW40">
        <v>6.82</v>
      </c>
      <c r="AX40" t="s">
        <v>114</v>
      </c>
      <c r="AY40" t="s">
        <v>114</v>
      </c>
      <c r="AZ40">
        <v>3.91</v>
      </c>
      <c r="BA40">
        <v>2.68</v>
      </c>
      <c r="BB40" t="s">
        <v>114</v>
      </c>
      <c r="BC40" t="s">
        <v>114</v>
      </c>
      <c r="BD40">
        <v>3.54</v>
      </c>
      <c r="BE40" t="s">
        <v>114</v>
      </c>
      <c r="BF40">
        <v>9.48</v>
      </c>
      <c r="BG40" t="s">
        <v>114</v>
      </c>
      <c r="BH40">
        <v>3.59</v>
      </c>
      <c r="BI40" t="s">
        <v>114</v>
      </c>
      <c r="BJ40">
        <v>5.83</v>
      </c>
      <c r="BK40" t="s">
        <v>114</v>
      </c>
      <c r="BL40" t="s">
        <v>114</v>
      </c>
      <c r="BM40">
        <v>5.23</v>
      </c>
      <c r="BN40" t="s">
        <v>114</v>
      </c>
      <c r="BO40">
        <v>2.98</v>
      </c>
      <c r="BP40" t="s">
        <v>114</v>
      </c>
      <c r="BQ40">
        <v>5.16</v>
      </c>
      <c r="BR40" t="s">
        <v>114</v>
      </c>
      <c r="BS40">
        <v>9.11</v>
      </c>
      <c r="BT40" t="s">
        <v>114</v>
      </c>
      <c r="BU40">
        <v>4.21</v>
      </c>
      <c r="BV40" t="s">
        <v>114</v>
      </c>
      <c r="BW40">
        <v>8.33</v>
      </c>
      <c r="BX40" t="s">
        <v>114</v>
      </c>
      <c r="BY40">
        <v>7.76</v>
      </c>
      <c r="BZ40" t="s">
        <v>114</v>
      </c>
      <c r="CA40">
        <v>3.71</v>
      </c>
      <c r="CB40" t="s">
        <v>114</v>
      </c>
      <c r="CC40">
        <v>10.46</v>
      </c>
      <c r="CD40" t="s">
        <v>114</v>
      </c>
      <c r="CE40" t="s">
        <v>114</v>
      </c>
      <c r="CF40" t="s">
        <v>114</v>
      </c>
      <c r="CG40">
        <v>14.96</v>
      </c>
    </row>
    <row r="41" spans="1:85" x14ac:dyDescent="0.25">
      <c r="A41" t="s">
        <v>167</v>
      </c>
      <c r="B41" t="s">
        <v>175</v>
      </c>
      <c r="C41" t="s">
        <v>120</v>
      </c>
      <c r="D41" t="s">
        <v>121</v>
      </c>
      <c r="E41" t="s">
        <v>122</v>
      </c>
      <c r="F41" t="s">
        <v>114</v>
      </c>
      <c r="G41" t="s">
        <v>114</v>
      </c>
      <c r="H41">
        <v>9.9700000000000006</v>
      </c>
      <c r="I41" t="s">
        <v>114</v>
      </c>
      <c r="J41">
        <v>10.949</v>
      </c>
      <c r="K41" t="s">
        <v>114</v>
      </c>
      <c r="L41">
        <v>32.335000000000001</v>
      </c>
      <c r="M41" t="s">
        <v>114</v>
      </c>
      <c r="N41">
        <v>13.193</v>
      </c>
      <c r="O41" t="s">
        <v>114</v>
      </c>
      <c r="P41" t="s">
        <v>114</v>
      </c>
      <c r="Q41">
        <v>28.023</v>
      </c>
      <c r="R41" t="s">
        <v>114</v>
      </c>
      <c r="S41">
        <v>11.617000000000001</v>
      </c>
      <c r="T41" t="s">
        <v>114</v>
      </c>
      <c r="U41">
        <v>7.5220000000000002</v>
      </c>
      <c r="V41" t="s">
        <v>114</v>
      </c>
      <c r="W41">
        <v>6.2969999999999997</v>
      </c>
      <c r="X41" t="s">
        <v>114</v>
      </c>
      <c r="Y41">
        <v>6.48</v>
      </c>
      <c r="Z41" t="s">
        <v>114</v>
      </c>
      <c r="AA41">
        <v>4.9550000000000001</v>
      </c>
      <c r="AB41" t="s">
        <v>114</v>
      </c>
      <c r="AC41">
        <v>7.0919999999999996</v>
      </c>
      <c r="AD41" t="s">
        <v>114</v>
      </c>
      <c r="AE41" t="s">
        <v>114</v>
      </c>
      <c r="AF41" t="s">
        <v>114</v>
      </c>
      <c r="AG41">
        <v>20.914000000000001</v>
      </c>
      <c r="AH41">
        <v>10.143000000000001</v>
      </c>
      <c r="AI41" t="s">
        <v>114</v>
      </c>
      <c r="AJ41">
        <v>5.9260000000000002</v>
      </c>
      <c r="AK41" t="s">
        <v>114</v>
      </c>
      <c r="AL41">
        <v>3.194</v>
      </c>
      <c r="AM41" t="s">
        <v>114</v>
      </c>
      <c r="AN41">
        <v>1.9300000000000002</v>
      </c>
      <c r="AO41" t="s">
        <v>114</v>
      </c>
      <c r="AP41" t="s">
        <v>114</v>
      </c>
      <c r="AQ41">
        <v>3.4470000000000001</v>
      </c>
      <c r="AR41" t="s">
        <v>114</v>
      </c>
      <c r="AS41">
        <v>8.6069999999999993</v>
      </c>
      <c r="AT41" t="s">
        <v>114</v>
      </c>
      <c r="AU41">
        <v>3.43</v>
      </c>
      <c r="AV41" t="s">
        <v>114</v>
      </c>
      <c r="AW41">
        <v>6.8230000000000004</v>
      </c>
      <c r="AX41" t="s">
        <v>114</v>
      </c>
      <c r="AY41" t="s">
        <v>114</v>
      </c>
      <c r="AZ41">
        <v>3.91</v>
      </c>
      <c r="BA41">
        <v>2.6829999999999998</v>
      </c>
      <c r="BB41" t="s">
        <v>114</v>
      </c>
      <c r="BC41" t="s">
        <v>114</v>
      </c>
      <c r="BD41">
        <v>3.536</v>
      </c>
      <c r="BE41" t="s">
        <v>114</v>
      </c>
      <c r="BF41">
        <v>9.4770000000000003</v>
      </c>
      <c r="BG41" t="s">
        <v>114</v>
      </c>
      <c r="BH41">
        <v>3.5910000000000002</v>
      </c>
      <c r="BI41" t="s">
        <v>114</v>
      </c>
      <c r="BJ41">
        <v>5.83</v>
      </c>
      <c r="BK41" t="s">
        <v>114</v>
      </c>
      <c r="BL41" t="s">
        <v>114</v>
      </c>
      <c r="BM41">
        <v>5.23</v>
      </c>
      <c r="BN41" t="s">
        <v>114</v>
      </c>
      <c r="BO41">
        <v>2.9769999999999999</v>
      </c>
      <c r="BP41" t="s">
        <v>114</v>
      </c>
      <c r="BQ41">
        <v>5.1589999999999998</v>
      </c>
      <c r="BR41" t="s">
        <v>114</v>
      </c>
      <c r="BS41">
        <v>9.1129999999999995</v>
      </c>
      <c r="BT41" t="s">
        <v>114</v>
      </c>
      <c r="BU41">
        <v>4.2080000000000002</v>
      </c>
      <c r="BV41" t="s">
        <v>114</v>
      </c>
      <c r="BW41">
        <v>8.3279999999999994</v>
      </c>
      <c r="BX41" t="s">
        <v>114</v>
      </c>
      <c r="BY41">
        <v>7.7590000000000003</v>
      </c>
      <c r="BZ41" t="s">
        <v>114</v>
      </c>
      <c r="CA41">
        <v>3.7130000000000001</v>
      </c>
      <c r="CB41" t="s">
        <v>114</v>
      </c>
      <c r="CC41">
        <v>10.455</v>
      </c>
      <c r="CD41" t="s">
        <v>114</v>
      </c>
      <c r="CE41" t="s">
        <v>114</v>
      </c>
      <c r="CF41" t="s">
        <v>114</v>
      </c>
      <c r="CG41">
        <v>14.962</v>
      </c>
    </row>
    <row r="42" spans="1:85" x14ac:dyDescent="0.25">
      <c r="A42" t="s">
        <v>169</v>
      </c>
      <c r="B42" t="s">
        <v>177</v>
      </c>
      <c r="C42" t="s">
        <v>120</v>
      </c>
      <c r="D42" t="s">
        <v>121</v>
      </c>
      <c r="E42" t="s">
        <v>122</v>
      </c>
      <c r="F42" t="s">
        <v>114</v>
      </c>
      <c r="G42" t="s">
        <v>114</v>
      </c>
      <c r="H42">
        <v>0.15</v>
      </c>
      <c r="I42" t="s">
        <v>114</v>
      </c>
      <c r="J42" t="s">
        <v>114</v>
      </c>
      <c r="K42" t="s">
        <v>114</v>
      </c>
      <c r="L42">
        <v>0.25</v>
      </c>
      <c r="M42" t="s">
        <v>114</v>
      </c>
      <c r="N42" t="s">
        <v>114</v>
      </c>
      <c r="O42" t="s">
        <v>114</v>
      </c>
      <c r="P42" t="s">
        <v>114</v>
      </c>
      <c r="Q42">
        <v>0.25</v>
      </c>
      <c r="R42" t="s">
        <v>114</v>
      </c>
      <c r="S42">
        <v>0.25</v>
      </c>
      <c r="T42" t="s">
        <v>114</v>
      </c>
      <c r="U42">
        <v>0.25</v>
      </c>
      <c r="V42" t="s">
        <v>114</v>
      </c>
      <c r="W42">
        <v>0.25</v>
      </c>
      <c r="X42" t="s">
        <v>114</v>
      </c>
      <c r="Y42">
        <v>0.25</v>
      </c>
      <c r="Z42" t="s">
        <v>114</v>
      </c>
      <c r="AA42">
        <v>0.25</v>
      </c>
      <c r="AB42" t="s">
        <v>114</v>
      </c>
      <c r="AC42">
        <v>0.25</v>
      </c>
      <c r="AD42" t="s">
        <v>114</v>
      </c>
      <c r="AE42" t="s">
        <v>114</v>
      </c>
      <c r="AF42" t="s">
        <v>114</v>
      </c>
      <c r="AG42">
        <v>0.25</v>
      </c>
      <c r="AH42">
        <v>0.25</v>
      </c>
      <c r="AI42" t="s">
        <v>114</v>
      </c>
      <c r="AJ42">
        <v>0.25</v>
      </c>
      <c r="AK42" t="s">
        <v>114</v>
      </c>
      <c r="AL42">
        <v>0.25</v>
      </c>
      <c r="AM42" t="s">
        <v>114</v>
      </c>
      <c r="AN42">
        <v>0.5</v>
      </c>
      <c r="AO42" t="s">
        <v>114</v>
      </c>
      <c r="AP42" t="s">
        <v>114</v>
      </c>
      <c r="AQ42">
        <v>0.5</v>
      </c>
      <c r="AR42" t="s">
        <v>114</v>
      </c>
      <c r="AS42">
        <v>0.5</v>
      </c>
      <c r="AT42" t="s">
        <v>114</v>
      </c>
      <c r="AU42">
        <v>0.5</v>
      </c>
      <c r="AV42" t="s">
        <v>114</v>
      </c>
      <c r="AW42">
        <v>0.5</v>
      </c>
      <c r="AX42" t="s">
        <v>114</v>
      </c>
      <c r="AY42" t="s">
        <v>114</v>
      </c>
      <c r="AZ42">
        <v>0.5</v>
      </c>
      <c r="BA42">
        <v>0.5</v>
      </c>
      <c r="BB42" t="s">
        <v>114</v>
      </c>
      <c r="BC42" t="s">
        <v>114</v>
      </c>
      <c r="BD42">
        <v>0.5</v>
      </c>
      <c r="BE42" t="s">
        <v>114</v>
      </c>
      <c r="BF42">
        <v>0.5</v>
      </c>
      <c r="BG42" t="s">
        <v>114</v>
      </c>
      <c r="BH42">
        <v>0.5</v>
      </c>
      <c r="BI42" t="s">
        <v>114</v>
      </c>
      <c r="BJ42">
        <v>0.5</v>
      </c>
      <c r="BK42" t="s">
        <v>114</v>
      </c>
      <c r="BL42" t="s">
        <v>114</v>
      </c>
      <c r="BM42">
        <v>0.5</v>
      </c>
      <c r="BN42" t="s">
        <v>114</v>
      </c>
      <c r="BO42">
        <v>0.75</v>
      </c>
      <c r="BP42" t="s">
        <v>114</v>
      </c>
      <c r="BQ42">
        <v>0.75</v>
      </c>
      <c r="BR42" t="s">
        <v>114</v>
      </c>
      <c r="BS42">
        <v>0.75</v>
      </c>
      <c r="BT42" t="s">
        <v>114</v>
      </c>
      <c r="BU42">
        <v>0.75</v>
      </c>
      <c r="BV42" t="s">
        <v>114</v>
      </c>
      <c r="BW42">
        <v>0.75</v>
      </c>
      <c r="BX42" t="s">
        <v>114</v>
      </c>
      <c r="BY42">
        <v>0.75</v>
      </c>
      <c r="BZ42" t="s">
        <v>114</v>
      </c>
      <c r="CA42" t="s">
        <v>114</v>
      </c>
      <c r="CB42" t="s">
        <v>114</v>
      </c>
      <c r="CC42">
        <v>0.75</v>
      </c>
      <c r="CD42" t="s">
        <v>114</v>
      </c>
      <c r="CE42" t="s">
        <v>114</v>
      </c>
      <c r="CF42" t="s">
        <v>114</v>
      </c>
      <c r="CG42">
        <v>0.75</v>
      </c>
    </row>
    <row r="43" spans="1:85" x14ac:dyDescent="0.25">
      <c r="A43" t="s">
        <v>171</v>
      </c>
      <c r="B43" t="s">
        <v>178</v>
      </c>
      <c r="C43" t="s">
        <v>120</v>
      </c>
      <c r="D43" t="s">
        <v>121</v>
      </c>
      <c r="E43" t="s">
        <v>122</v>
      </c>
      <c r="F43" t="s">
        <v>114</v>
      </c>
      <c r="G43" t="s">
        <v>114</v>
      </c>
      <c r="H43">
        <v>28</v>
      </c>
      <c r="I43" t="s">
        <v>114</v>
      </c>
      <c r="J43">
        <v>91</v>
      </c>
      <c r="K43" t="s">
        <v>114</v>
      </c>
      <c r="L43">
        <v>28</v>
      </c>
      <c r="M43" t="s">
        <v>114</v>
      </c>
      <c r="N43">
        <v>90</v>
      </c>
      <c r="O43" t="s">
        <v>114</v>
      </c>
      <c r="P43" t="s">
        <v>114</v>
      </c>
      <c r="Q43">
        <v>35</v>
      </c>
      <c r="R43" t="s">
        <v>114</v>
      </c>
      <c r="S43">
        <v>91</v>
      </c>
      <c r="T43" t="s">
        <v>114</v>
      </c>
      <c r="U43">
        <v>28</v>
      </c>
      <c r="V43" t="s">
        <v>114</v>
      </c>
      <c r="W43">
        <v>91</v>
      </c>
      <c r="X43" t="s">
        <v>114</v>
      </c>
      <c r="Y43">
        <v>28</v>
      </c>
      <c r="Z43" t="s">
        <v>114</v>
      </c>
      <c r="AA43">
        <v>92</v>
      </c>
      <c r="AB43" t="s">
        <v>114</v>
      </c>
      <c r="AC43">
        <v>28</v>
      </c>
      <c r="AD43" t="s">
        <v>114</v>
      </c>
      <c r="AE43" t="s">
        <v>114</v>
      </c>
      <c r="AF43" t="s">
        <v>114</v>
      </c>
      <c r="AG43">
        <v>98</v>
      </c>
      <c r="AH43">
        <v>35</v>
      </c>
      <c r="AI43" t="s">
        <v>114</v>
      </c>
      <c r="AJ43">
        <v>91</v>
      </c>
      <c r="AK43" t="s">
        <v>114</v>
      </c>
      <c r="AL43">
        <v>28</v>
      </c>
      <c r="AM43" t="s">
        <v>114</v>
      </c>
      <c r="AN43">
        <v>91</v>
      </c>
      <c r="AO43" t="s">
        <v>114</v>
      </c>
      <c r="AP43" t="s">
        <v>114</v>
      </c>
      <c r="AQ43">
        <v>35</v>
      </c>
      <c r="AR43" t="s">
        <v>114</v>
      </c>
      <c r="AS43">
        <v>84</v>
      </c>
      <c r="AT43" t="s">
        <v>114</v>
      </c>
      <c r="AU43">
        <v>28</v>
      </c>
      <c r="AV43" t="s">
        <v>114</v>
      </c>
      <c r="AW43">
        <v>91</v>
      </c>
      <c r="AX43" t="s">
        <v>114</v>
      </c>
      <c r="AY43" t="s">
        <v>114</v>
      </c>
      <c r="AZ43">
        <v>35</v>
      </c>
      <c r="BA43">
        <v>91</v>
      </c>
      <c r="BB43" t="s">
        <v>114</v>
      </c>
      <c r="BC43" t="s">
        <v>114</v>
      </c>
      <c r="BD43">
        <v>28</v>
      </c>
      <c r="BE43" t="s">
        <v>114</v>
      </c>
      <c r="BF43">
        <v>91</v>
      </c>
      <c r="BG43" t="s">
        <v>114</v>
      </c>
      <c r="BH43">
        <v>28</v>
      </c>
      <c r="BI43" t="s">
        <v>114</v>
      </c>
      <c r="BJ43">
        <v>91</v>
      </c>
      <c r="BK43" t="s">
        <v>114</v>
      </c>
      <c r="BL43" t="s">
        <v>114</v>
      </c>
      <c r="BM43">
        <v>35</v>
      </c>
      <c r="BN43" t="s">
        <v>114</v>
      </c>
      <c r="BO43">
        <v>98</v>
      </c>
      <c r="BP43" t="s">
        <v>114</v>
      </c>
      <c r="BQ43">
        <v>28</v>
      </c>
      <c r="BR43" t="s">
        <v>114</v>
      </c>
      <c r="BS43">
        <v>91</v>
      </c>
      <c r="BT43" t="s">
        <v>114</v>
      </c>
      <c r="BU43">
        <v>28</v>
      </c>
      <c r="BV43" t="s">
        <v>114</v>
      </c>
      <c r="BW43">
        <v>91</v>
      </c>
      <c r="BX43" t="s">
        <v>114</v>
      </c>
      <c r="BY43">
        <v>28</v>
      </c>
      <c r="BZ43" t="s">
        <v>114</v>
      </c>
      <c r="CA43">
        <v>84</v>
      </c>
      <c r="CB43" t="s">
        <v>114</v>
      </c>
      <c r="CC43">
        <v>28</v>
      </c>
      <c r="CD43" t="s">
        <v>114</v>
      </c>
      <c r="CE43" t="s">
        <v>114</v>
      </c>
      <c r="CF43" t="s">
        <v>114</v>
      </c>
      <c r="CG43">
        <v>98</v>
      </c>
    </row>
    <row r="44" spans="1:85" x14ac:dyDescent="0.25">
      <c r="A44" t="s">
        <v>179</v>
      </c>
      <c r="B44" t="s">
        <v>114</v>
      </c>
      <c r="C44" t="s">
        <v>114</v>
      </c>
      <c r="D44" t="s">
        <v>114</v>
      </c>
      <c r="E44" t="s">
        <v>115</v>
      </c>
      <c r="F44" t="s">
        <v>114</v>
      </c>
      <c r="G44" t="s">
        <v>114</v>
      </c>
      <c r="H44" t="s">
        <v>114</v>
      </c>
      <c r="I44" t="s">
        <v>114</v>
      </c>
      <c r="J44" t="s">
        <v>114</v>
      </c>
      <c r="K44" t="s">
        <v>114</v>
      </c>
      <c r="L44" t="s">
        <v>114</v>
      </c>
      <c r="M44" t="s">
        <v>114</v>
      </c>
      <c r="N44" t="s">
        <v>114</v>
      </c>
      <c r="O44" t="s">
        <v>114</v>
      </c>
      <c r="P44" t="s">
        <v>114</v>
      </c>
      <c r="Q44" t="s">
        <v>114</v>
      </c>
      <c r="R44" t="s">
        <v>114</v>
      </c>
      <c r="S44" t="s">
        <v>114</v>
      </c>
      <c r="T44" t="s">
        <v>114</v>
      </c>
      <c r="U44" t="s">
        <v>114</v>
      </c>
      <c r="V44" t="s">
        <v>114</v>
      </c>
      <c r="W44" t="s">
        <v>114</v>
      </c>
      <c r="X44" t="s">
        <v>114</v>
      </c>
      <c r="Y44" t="s">
        <v>114</v>
      </c>
      <c r="Z44" t="s">
        <v>114</v>
      </c>
      <c r="AA44" t="s">
        <v>114</v>
      </c>
      <c r="AB44" t="s">
        <v>114</v>
      </c>
      <c r="AC44" t="s">
        <v>114</v>
      </c>
      <c r="AD44" t="s">
        <v>114</v>
      </c>
      <c r="AE44" t="s">
        <v>114</v>
      </c>
      <c r="AF44" t="s">
        <v>114</v>
      </c>
      <c r="AG44" t="s">
        <v>114</v>
      </c>
      <c r="AH44" t="s">
        <v>114</v>
      </c>
      <c r="AI44" t="s">
        <v>114</v>
      </c>
      <c r="AJ44" t="s">
        <v>114</v>
      </c>
      <c r="AK44" t="s">
        <v>114</v>
      </c>
      <c r="AL44" t="s">
        <v>114</v>
      </c>
      <c r="AM44" t="s">
        <v>114</v>
      </c>
      <c r="AN44" t="s">
        <v>114</v>
      </c>
      <c r="AO44" t="s">
        <v>114</v>
      </c>
      <c r="AP44" t="s">
        <v>114</v>
      </c>
      <c r="AQ44" t="s">
        <v>114</v>
      </c>
      <c r="AR44" t="s">
        <v>114</v>
      </c>
      <c r="AS44" t="s">
        <v>114</v>
      </c>
      <c r="AT44" t="s">
        <v>114</v>
      </c>
      <c r="AU44" t="s">
        <v>114</v>
      </c>
      <c r="AV44" t="s">
        <v>114</v>
      </c>
      <c r="AW44" t="s">
        <v>114</v>
      </c>
      <c r="AX44" t="s">
        <v>114</v>
      </c>
      <c r="AY44" t="s">
        <v>114</v>
      </c>
      <c r="AZ44" t="s">
        <v>114</v>
      </c>
      <c r="BA44" t="s">
        <v>114</v>
      </c>
      <c r="BB44" t="s">
        <v>114</v>
      </c>
      <c r="BC44" t="s">
        <v>114</v>
      </c>
      <c r="BD44" t="s">
        <v>114</v>
      </c>
      <c r="BE44" t="s">
        <v>114</v>
      </c>
      <c r="BF44" t="s">
        <v>114</v>
      </c>
      <c r="BG44" t="s">
        <v>114</v>
      </c>
      <c r="BH44" t="s">
        <v>114</v>
      </c>
      <c r="BI44" t="s">
        <v>114</v>
      </c>
      <c r="BJ44" t="s">
        <v>114</v>
      </c>
      <c r="BK44" t="s">
        <v>114</v>
      </c>
      <c r="BL44" t="s">
        <v>114</v>
      </c>
      <c r="BM44" t="s">
        <v>114</v>
      </c>
      <c r="BN44" t="s">
        <v>114</v>
      </c>
      <c r="BO44" t="s">
        <v>114</v>
      </c>
      <c r="BP44" t="s">
        <v>114</v>
      </c>
      <c r="BQ44" t="s">
        <v>114</v>
      </c>
      <c r="BR44" t="s">
        <v>114</v>
      </c>
      <c r="BS44" t="s">
        <v>114</v>
      </c>
      <c r="BT44" t="s">
        <v>114</v>
      </c>
      <c r="BU44" t="s">
        <v>114</v>
      </c>
      <c r="BV44" t="s">
        <v>114</v>
      </c>
      <c r="BW44" t="s">
        <v>114</v>
      </c>
      <c r="BX44" t="s">
        <v>114</v>
      </c>
      <c r="BY44" t="s">
        <v>114</v>
      </c>
      <c r="BZ44" t="s">
        <v>114</v>
      </c>
      <c r="CA44" t="s">
        <v>114</v>
      </c>
      <c r="CB44" t="s">
        <v>114</v>
      </c>
      <c r="CC44" t="s">
        <v>114</v>
      </c>
      <c r="CD44" t="s">
        <v>114</v>
      </c>
      <c r="CE44" t="s">
        <v>114</v>
      </c>
      <c r="CF44" t="s">
        <v>114</v>
      </c>
      <c r="CG44" t="s">
        <v>114</v>
      </c>
    </row>
    <row r="45" spans="1:85" x14ac:dyDescent="0.25">
      <c r="A45" t="s">
        <v>180</v>
      </c>
      <c r="B45" t="s">
        <v>114</v>
      </c>
      <c r="C45" t="s">
        <v>114</v>
      </c>
      <c r="D45" t="s">
        <v>114</v>
      </c>
      <c r="E45" t="s">
        <v>115</v>
      </c>
      <c r="F45" t="s">
        <v>114</v>
      </c>
      <c r="G45" t="s">
        <v>114</v>
      </c>
      <c r="H45" t="s">
        <v>114</v>
      </c>
      <c r="I45" t="s">
        <v>114</v>
      </c>
      <c r="J45" t="s">
        <v>114</v>
      </c>
      <c r="K45" t="s">
        <v>114</v>
      </c>
      <c r="L45" t="s">
        <v>114</v>
      </c>
      <c r="M45" t="s">
        <v>114</v>
      </c>
      <c r="N45" t="s">
        <v>114</v>
      </c>
      <c r="O45" t="s">
        <v>114</v>
      </c>
      <c r="P45" t="s">
        <v>114</v>
      </c>
      <c r="Q45" t="s">
        <v>114</v>
      </c>
      <c r="R45" t="s">
        <v>114</v>
      </c>
      <c r="S45" t="s">
        <v>114</v>
      </c>
      <c r="T45" t="s">
        <v>114</v>
      </c>
      <c r="U45" t="s">
        <v>114</v>
      </c>
      <c r="V45" t="s">
        <v>114</v>
      </c>
      <c r="W45" t="s">
        <v>114</v>
      </c>
      <c r="X45" t="s">
        <v>114</v>
      </c>
      <c r="Y45" t="s">
        <v>114</v>
      </c>
      <c r="Z45" t="s">
        <v>114</v>
      </c>
      <c r="AA45" t="s">
        <v>114</v>
      </c>
      <c r="AB45" t="s">
        <v>114</v>
      </c>
      <c r="AC45" t="s">
        <v>114</v>
      </c>
      <c r="AD45" t="s">
        <v>114</v>
      </c>
      <c r="AE45" t="s">
        <v>114</v>
      </c>
      <c r="AF45" t="s">
        <v>114</v>
      </c>
      <c r="AG45" t="s">
        <v>114</v>
      </c>
      <c r="AH45" t="s">
        <v>114</v>
      </c>
      <c r="AI45" t="s">
        <v>114</v>
      </c>
      <c r="AJ45" t="s">
        <v>114</v>
      </c>
      <c r="AK45" t="s">
        <v>114</v>
      </c>
      <c r="AL45" t="s">
        <v>114</v>
      </c>
      <c r="AM45" t="s">
        <v>114</v>
      </c>
      <c r="AN45" t="s">
        <v>114</v>
      </c>
      <c r="AO45" t="s">
        <v>114</v>
      </c>
      <c r="AP45" t="s">
        <v>114</v>
      </c>
      <c r="AQ45" t="s">
        <v>114</v>
      </c>
      <c r="AR45" t="s">
        <v>114</v>
      </c>
      <c r="AS45" t="s">
        <v>114</v>
      </c>
      <c r="AT45" t="s">
        <v>114</v>
      </c>
      <c r="AU45" t="s">
        <v>114</v>
      </c>
      <c r="AV45" t="s">
        <v>114</v>
      </c>
      <c r="AW45" t="s">
        <v>114</v>
      </c>
      <c r="AX45" t="s">
        <v>114</v>
      </c>
      <c r="AY45" t="s">
        <v>114</v>
      </c>
      <c r="AZ45" t="s">
        <v>114</v>
      </c>
      <c r="BA45" t="s">
        <v>114</v>
      </c>
      <c r="BB45" t="s">
        <v>114</v>
      </c>
      <c r="BC45" t="s">
        <v>114</v>
      </c>
      <c r="BD45" t="s">
        <v>114</v>
      </c>
      <c r="BE45" t="s">
        <v>114</v>
      </c>
      <c r="BF45" t="s">
        <v>114</v>
      </c>
      <c r="BG45" t="s">
        <v>114</v>
      </c>
      <c r="BH45" t="s">
        <v>114</v>
      </c>
      <c r="BI45" t="s">
        <v>114</v>
      </c>
      <c r="BJ45" t="s">
        <v>114</v>
      </c>
      <c r="BK45" t="s">
        <v>114</v>
      </c>
      <c r="BL45" t="s">
        <v>114</v>
      </c>
      <c r="BM45" t="s">
        <v>114</v>
      </c>
      <c r="BN45" t="s">
        <v>114</v>
      </c>
      <c r="BO45" t="s">
        <v>114</v>
      </c>
      <c r="BP45" t="s">
        <v>114</v>
      </c>
      <c r="BQ45" t="s">
        <v>114</v>
      </c>
      <c r="BR45" t="s">
        <v>114</v>
      </c>
      <c r="BS45" t="s">
        <v>114</v>
      </c>
      <c r="BT45" t="s">
        <v>114</v>
      </c>
      <c r="BU45" t="s">
        <v>114</v>
      </c>
      <c r="BV45" t="s">
        <v>114</v>
      </c>
      <c r="BW45" t="s">
        <v>114</v>
      </c>
      <c r="BX45" t="s">
        <v>114</v>
      </c>
      <c r="BY45" t="s">
        <v>114</v>
      </c>
      <c r="BZ45" t="s">
        <v>114</v>
      </c>
      <c r="CA45" t="s">
        <v>114</v>
      </c>
      <c r="CB45" t="s">
        <v>114</v>
      </c>
      <c r="CC45" t="s">
        <v>114</v>
      </c>
      <c r="CD45" t="s">
        <v>114</v>
      </c>
      <c r="CE45" t="s">
        <v>114</v>
      </c>
      <c r="CF45" t="s">
        <v>114</v>
      </c>
      <c r="CG45" t="s">
        <v>114</v>
      </c>
    </row>
    <row r="46" spans="1:85" x14ac:dyDescent="0.25">
      <c r="A46" t="s">
        <v>174</v>
      </c>
      <c r="B46" t="s">
        <v>181</v>
      </c>
      <c r="C46" t="s">
        <v>114</v>
      </c>
      <c r="D46" t="s">
        <v>114</v>
      </c>
      <c r="E46" t="s">
        <v>128</v>
      </c>
      <c r="F46" t="s">
        <v>114</v>
      </c>
      <c r="G46" t="s">
        <v>114</v>
      </c>
      <c r="H46">
        <v>-108.6498</v>
      </c>
      <c r="I46">
        <v>-119.2003</v>
      </c>
      <c r="J46">
        <v>-102.87780000000001</v>
      </c>
      <c r="K46">
        <v>-137.46520000000001</v>
      </c>
      <c r="L46">
        <v>-144.28070000000002</v>
      </c>
      <c r="M46">
        <v>-165.53270000000001</v>
      </c>
      <c r="N46">
        <v>-103.946</v>
      </c>
      <c r="O46">
        <v>-166.77979999999999</v>
      </c>
      <c r="P46">
        <v>-153.36349999999999</v>
      </c>
      <c r="Q46">
        <v>-172.5</v>
      </c>
      <c r="R46">
        <v>-175.5</v>
      </c>
      <c r="S46">
        <v>-175.5</v>
      </c>
      <c r="T46">
        <v>-175.5</v>
      </c>
      <c r="U46">
        <v>-175.5</v>
      </c>
      <c r="V46">
        <v>-175.5</v>
      </c>
      <c r="W46">
        <v>-175.5</v>
      </c>
      <c r="X46">
        <v>-175.5</v>
      </c>
      <c r="Y46">
        <v>-175.5</v>
      </c>
      <c r="Z46">
        <v>-175.5</v>
      </c>
      <c r="AA46">
        <v>-151.20599999999999</v>
      </c>
      <c r="AB46">
        <v>-152.06709000000001</v>
      </c>
      <c r="AC46">
        <v>-179</v>
      </c>
      <c r="AD46">
        <v>-179</v>
      </c>
      <c r="AE46">
        <v>-104.8419</v>
      </c>
      <c r="AF46">
        <v>-139.91970000000001</v>
      </c>
      <c r="AG46">
        <v>-152.25109</v>
      </c>
      <c r="AH46">
        <v>-184</v>
      </c>
      <c r="AI46">
        <v>-184</v>
      </c>
      <c r="AJ46">
        <v>-157.76429999999999</v>
      </c>
      <c r="AK46">
        <v>-184</v>
      </c>
      <c r="AL46">
        <v>-184</v>
      </c>
      <c r="AM46">
        <v>-184</v>
      </c>
      <c r="AN46">
        <v>-188</v>
      </c>
      <c r="AO46">
        <v>-188</v>
      </c>
      <c r="AP46">
        <v>-188</v>
      </c>
      <c r="AQ46">
        <v>-188</v>
      </c>
      <c r="AR46">
        <v>-187.5</v>
      </c>
      <c r="AS46">
        <v>-190.5</v>
      </c>
      <c r="AT46">
        <v>-190.5</v>
      </c>
      <c r="AU46">
        <v>-190.5</v>
      </c>
      <c r="AV46">
        <v>-190.5</v>
      </c>
      <c r="AW46">
        <v>-190.5</v>
      </c>
      <c r="AX46">
        <v>-192.5</v>
      </c>
      <c r="AY46">
        <v>-192.5</v>
      </c>
      <c r="AZ46">
        <v>-192.5</v>
      </c>
      <c r="BA46">
        <v>-195.5</v>
      </c>
      <c r="BB46">
        <v>-195.5</v>
      </c>
      <c r="BC46">
        <v>-195.5</v>
      </c>
      <c r="BD46">
        <v>-195.5</v>
      </c>
      <c r="BE46">
        <v>-195</v>
      </c>
      <c r="BF46">
        <v>-195</v>
      </c>
      <c r="BG46">
        <v>-195</v>
      </c>
      <c r="BH46">
        <v>-195</v>
      </c>
      <c r="BI46">
        <v>-197</v>
      </c>
      <c r="BJ46">
        <v>-197</v>
      </c>
      <c r="BK46">
        <v>-201</v>
      </c>
      <c r="BL46">
        <v>-201</v>
      </c>
      <c r="BM46">
        <v>-201</v>
      </c>
      <c r="BN46">
        <v>-202.5</v>
      </c>
      <c r="BO46">
        <v>-202.5</v>
      </c>
      <c r="BP46">
        <v>-206</v>
      </c>
      <c r="BQ46">
        <v>-206</v>
      </c>
      <c r="BR46">
        <v>-205.5</v>
      </c>
      <c r="BS46">
        <v>-205.5</v>
      </c>
      <c r="BT46">
        <v>-205.5</v>
      </c>
      <c r="BU46">
        <v>-205.5</v>
      </c>
      <c r="BV46">
        <v>-205.5</v>
      </c>
      <c r="BW46">
        <v>-205.5</v>
      </c>
      <c r="BX46">
        <v>-205.5</v>
      </c>
      <c r="BY46">
        <v>-205.5</v>
      </c>
      <c r="BZ46">
        <v>-205.5</v>
      </c>
      <c r="CA46">
        <v>-208.5</v>
      </c>
      <c r="CB46">
        <v>-208.5</v>
      </c>
      <c r="CC46">
        <v>-208.5</v>
      </c>
      <c r="CD46">
        <v>-208.5</v>
      </c>
      <c r="CE46">
        <v>-208.5</v>
      </c>
      <c r="CF46">
        <v>-197.55909</v>
      </c>
      <c r="CG46">
        <v>-208.5</v>
      </c>
    </row>
    <row r="47" spans="1:85" x14ac:dyDescent="0.25">
      <c r="A47" t="s">
        <v>182</v>
      </c>
      <c r="B47" t="s">
        <v>183</v>
      </c>
      <c r="C47" t="s">
        <v>114</v>
      </c>
      <c r="D47" t="s">
        <v>114</v>
      </c>
      <c r="E47" t="s">
        <v>128</v>
      </c>
      <c r="F47" t="s">
        <v>114</v>
      </c>
      <c r="G47" t="s">
        <v>114</v>
      </c>
      <c r="H47">
        <v>-108.6498</v>
      </c>
      <c r="I47">
        <v>-119.2003</v>
      </c>
      <c r="J47">
        <v>-102.87780000000001</v>
      </c>
      <c r="K47">
        <v>-137.46520000000001</v>
      </c>
      <c r="L47">
        <v>-144.28070000000002</v>
      </c>
      <c r="M47">
        <v>-165.53270000000001</v>
      </c>
      <c r="N47">
        <v>-103.946</v>
      </c>
      <c r="O47">
        <v>-166.77979999999999</v>
      </c>
      <c r="P47">
        <v>-153.36349999999999</v>
      </c>
      <c r="Q47">
        <v>-192.51459</v>
      </c>
      <c r="R47">
        <v>-199.721</v>
      </c>
      <c r="S47">
        <v>-180.90058999999999</v>
      </c>
      <c r="T47">
        <v>-223.22670000000002</v>
      </c>
      <c r="U47">
        <v>-219.077</v>
      </c>
      <c r="V47">
        <v>-219.13058999999998</v>
      </c>
      <c r="W47">
        <v>-195.51949999999999</v>
      </c>
      <c r="X47">
        <v>-216.07</v>
      </c>
      <c r="Y47">
        <v>-195.92400000000001</v>
      </c>
      <c r="Z47">
        <v>-211.02199999999999</v>
      </c>
      <c r="AA47">
        <v>-151.20599999999999</v>
      </c>
      <c r="AB47">
        <v>-152.06709000000001</v>
      </c>
      <c r="AC47">
        <v>-180.02679999999998</v>
      </c>
      <c r="AD47">
        <v>-185.79508999999999</v>
      </c>
      <c r="AE47">
        <v>-104.8419</v>
      </c>
      <c r="AF47">
        <v>-139.91970000000001</v>
      </c>
      <c r="AG47">
        <v>-152.25109</v>
      </c>
      <c r="AH47">
        <v>-186.72829999999999</v>
      </c>
      <c r="AI47">
        <v>-190.18941000000001</v>
      </c>
      <c r="AJ47">
        <v>-157.76429999999999</v>
      </c>
      <c r="AK47">
        <v>-218.11829999999998</v>
      </c>
      <c r="AL47">
        <v>-254.70229999999998</v>
      </c>
      <c r="AM47">
        <v>-257.51830000000001</v>
      </c>
      <c r="AN47">
        <v>-215.8023</v>
      </c>
      <c r="AO47">
        <v>-240.2123</v>
      </c>
      <c r="AP47">
        <v>-219.44029999999998</v>
      </c>
      <c r="AQ47">
        <v>-251.34729999999999</v>
      </c>
      <c r="AR47">
        <v>-265.06630999999999</v>
      </c>
      <c r="AS47">
        <v>-248.47220000000002</v>
      </c>
      <c r="AT47">
        <v>-272.91619000000003</v>
      </c>
      <c r="AU47">
        <v>-297.76218999999998</v>
      </c>
      <c r="AV47">
        <v>-314.84019000000001</v>
      </c>
      <c r="AW47">
        <v>-287.53919000000002</v>
      </c>
      <c r="AX47">
        <v>-283.97919000000002</v>
      </c>
      <c r="AY47">
        <v>-259.30119999999999</v>
      </c>
      <c r="AZ47">
        <v>-269.31319000000002</v>
      </c>
      <c r="BA47">
        <v>-229.88320000000002</v>
      </c>
      <c r="BB47">
        <v>-231.31820000000002</v>
      </c>
      <c r="BC47">
        <v>-239.28320000000002</v>
      </c>
      <c r="BD47">
        <v>-250.58770000000001</v>
      </c>
      <c r="BE47">
        <v>-239.73400000000001</v>
      </c>
      <c r="BF47">
        <v>-215.28020000000001</v>
      </c>
      <c r="BG47">
        <v>-251.86620000000002</v>
      </c>
      <c r="BH47">
        <v>-278.42619000000002</v>
      </c>
      <c r="BI47">
        <v>-276.04318999999998</v>
      </c>
      <c r="BJ47">
        <v>-235.12509</v>
      </c>
      <c r="BK47">
        <v>-254.15009000000001</v>
      </c>
      <c r="BL47">
        <v>-249.42458999999999</v>
      </c>
      <c r="BM47">
        <v>-267.80709000000002</v>
      </c>
      <c r="BN47">
        <v>-255.80608999999998</v>
      </c>
      <c r="BO47">
        <v>-253.82008999999999</v>
      </c>
      <c r="BP47">
        <v>-264.41609000000005</v>
      </c>
      <c r="BQ47">
        <v>-287.54209000000003</v>
      </c>
      <c r="BR47">
        <v>-270.43559000000005</v>
      </c>
      <c r="BS47">
        <v>-225.22359</v>
      </c>
      <c r="BT47">
        <v>-272.71919000000003</v>
      </c>
      <c r="BU47">
        <v>-286.41009000000003</v>
      </c>
      <c r="BV47">
        <v>-301.60409000000004</v>
      </c>
      <c r="BW47">
        <v>-311.97109</v>
      </c>
      <c r="BX47">
        <v>-349.19109000000003</v>
      </c>
      <c r="BY47">
        <v>-349.53609</v>
      </c>
      <c r="BZ47">
        <v>-335.19759000000005</v>
      </c>
      <c r="CA47">
        <v>-284.23459000000003</v>
      </c>
      <c r="CB47">
        <v>-298.93259</v>
      </c>
      <c r="CC47">
        <v>-356.29059000000001</v>
      </c>
      <c r="CD47">
        <v>-344.45059000000003</v>
      </c>
      <c r="CE47">
        <v>-324.05359000000004</v>
      </c>
      <c r="CF47">
        <v>-197.55909</v>
      </c>
      <c r="CG47">
        <v>-354.79109000000005</v>
      </c>
    </row>
    <row r="48" spans="1:85" x14ac:dyDescent="0.25">
      <c r="A48" t="s">
        <v>164</v>
      </c>
      <c r="B48" t="s">
        <v>184</v>
      </c>
      <c r="C48" t="s">
        <v>120</v>
      </c>
      <c r="D48" t="s">
        <v>121</v>
      </c>
      <c r="E48" t="s">
        <v>122</v>
      </c>
      <c r="F48" t="s">
        <v>114</v>
      </c>
      <c r="G48" t="s">
        <v>114</v>
      </c>
      <c r="H48">
        <v>0.67</v>
      </c>
      <c r="I48">
        <v>0.72</v>
      </c>
      <c r="J48">
        <v>0.63</v>
      </c>
      <c r="K48">
        <v>0.82</v>
      </c>
      <c r="L48">
        <v>0.86</v>
      </c>
      <c r="M48">
        <v>0.99</v>
      </c>
      <c r="N48">
        <v>0.6</v>
      </c>
      <c r="O48">
        <v>0.97</v>
      </c>
      <c r="P48">
        <v>0.89</v>
      </c>
      <c r="Q48">
        <v>1.1200000000000001</v>
      </c>
      <c r="R48">
        <v>1.1400000000000001</v>
      </c>
      <c r="S48">
        <v>1.03</v>
      </c>
      <c r="T48">
        <v>1.27</v>
      </c>
      <c r="U48">
        <v>1.25</v>
      </c>
      <c r="V48">
        <v>1.25</v>
      </c>
      <c r="W48">
        <v>1.1100000000000001</v>
      </c>
      <c r="X48">
        <v>1.23</v>
      </c>
      <c r="Y48">
        <v>1.1200000000000001</v>
      </c>
      <c r="Z48">
        <v>1.2</v>
      </c>
      <c r="AA48">
        <v>0.85</v>
      </c>
      <c r="AB48">
        <v>0.86</v>
      </c>
      <c r="AC48">
        <v>1.01</v>
      </c>
      <c r="AD48">
        <v>1.04</v>
      </c>
      <c r="AE48">
        <v>0.59</v>
      </c>
      <c r="AF48">
        <v>0.78</v>
      </c>
      <c r="AG48">
        <v>0.83</v>
      </c>
      <c r="AH48">
        <v>1.01</v>
      </c>
      <c r="AI48">
        <v>1.03</v>
      </c>
      <c r="AJ48">
        <v>0.86</v>
      </c>
      <c r="AK48">
        <v>1.19</v>
      </c>
      <c r="AL48">
        <v>1.38</v>
      </c>
      <c r="AM48">
        <v>1.4</v>
      </c>
      <c r="AN48">
        <v>1.1499999999999999</v>
      </c>
      <c r="AO48">
        <v>1.28</v>
      </c>
      <c r="AP48">
        <v>1.17</v>
      </c>
      <c r="AQ48">
        <v>1.34</v>
      </c>
      <c r="AR48">
        <v>1.41</v>
      </c>
      <c r="AS48">
        <v>1.3</v>
      </c>
      <c r="AT48">
        <v>1.43</v>
      </c>
      <c r="AU48">
        <v>1.56</v>
      </c>
      <c r="AV48">
        <v>1.65</v>
      </c>
      <c r="AW48">
        <v>1.51</v>
      </c>
      <c r="AX48">
        <v>1.48</v>
      </c>
      <c r="AY48">
        <v>1.35</v>
      </c>
      <c r="AZ48">
        <v>1.4</v>
      </c>
      <c r="BA48">
        <v>1.18</v>
      </c>
      <c r="BB48">
        <v>1.18</v>
      </c>
      <c r="BC48">
        <v>1.22</v>
      </c>
      <c r="BD48">
        <v>1.28</v>
      </c>
      <c r="BE48">
        <v>1.23</v>
      </c>
      <c r="BF48">
        <v>1.1000000000000001</v>
      </c>
      <c r="BG48">
        <v>1.29</v>
      </c>
      <c r="BH48">
        <v>1.43</v>
      </c>
      <c r="BI48">
        <v>1.4</v>
      </c>
      <c r="BJ48">
        <v>1.19</v>
      </c>
      <c r="BK48">
        <v>1.26</v>
      </c>
      <c r="BL48">
        <v>1.24</v>
      </c>
      <c r="BM48">
        <v>1.33</v>
      </c>
      <c r="BN48">
        <v>1.26</v>
      </c>
      <c r="BO48">
        <v>1.25</v>
      </c>
      <c r="BP48">
        <v>1.28</v>
      </c>
      <c r="BQ48">
        <v>1.4</v>
      </c>
      <c r="BR48">
        <v>1.32</v>
      </c>
      <c r="BS48">
        <v>1.1000000000000001</v>
      </c>
      <c r="BT48">
        <v>1.33</v>
      </c>
      <c r="BU48">
        <v>1.3900000000000001</v>
      </c>
      <c r="BV48">
        <v>1.47</v>
      </c>
      <c r="BW48">
        <v>1.52</v>
      </c>
      <c r="BX48">
        <v>1.7</v>
      </c>
      <c r="BY48">
        <v>1.7</v>
      </c>
      <c r="BZ48">
        <v>1.63</v>
      </c>
      <c r="CA48">
        <v>1.3599999999999999</v>
      </c>
      <c r="CB48">
        <v>1.43</v>
      </c>
      <c r="CC48">
        <v>1.71</v>
      </c>
      <c r="CD48">
        <v>1.65</v>
      </c>
      <c r="CE48">
        <v>1.55</v>
      </c>
      <c r="CF48">
        <v>0.95</v>
      </c>
      <c r="CG48">
        <v>1.7</v>
      </c>
    </row>
    <row r="49" spans="1:85" x14ac:dyDescent="0.25">
      <c r="A49" t="s">
        <v>171</v>
      </c>
      <c r="B49" t="s">
        <v>185</v>
      </c>
      <c r="C49" t="s">
        <v>120</v>
      </c>
      <c r="D49" t="s">
        <v>121</v>
      </c>
      <c r="E49" t="s">
        <v>122</v>
      </c>
      <c r="F49" t="s">
        <v>114</v>
      </c>
      <c r="G49" t="s">
        <v>114</v>
      </c>
      <c r="H49">
        <v>7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  <c r="U49">
        <v>7</v>
      </c>
      <c r="V49">
        <v>7</v>
      </c>
      <c r="W49">
        <v>7</v>
      </c>
      <c r="X49">
        <v>7</v>
      </c>
      <c r="Y49">
        <v>7</v>
      </c>
      <c r="Z49">
        <v>7</v>
      </c>
      <c r="AA49">
        <v>7</v>
      </c>
      <c r="AB49">
        <v>7</v>
      </c>
      <c r="AC49">
        <v>7</v>
      </c>
      <c r="AD49">
        <v>7</v>
      </c>
      <c r="AE49">
        <v>9</v>
      </c>
      <c r="AF49">
        <v>7</v>
      </c>
      <c r="AG49">
        <v>5</v>
      </c>
      <c r="AH49">
        <v>7</v>
      </c>
      <c r="AI49">
        <v>7</v>
      </c>
      <c r="AJ49">
        <v>7</v>
      </c>
      <c r="AK49">
        <v>7</v>
      </c>
      <c r="AL49">
        <v>7</v>
      </c>
      <c r="AM49">
        <v>7</v>
      </c>
      <c r="AN49">
        <v>7</v>
      </c>
      <c r="AO49">
        <v>7</v>
      </c>
      <c r="AP49">
        <v>7</v>
      </c>
      <c r="AQ49">
        <v>7</v>
      </c>
      <c r="AR49">
        <v>7</v>
      </c>
      <c r="AS49">
        <v>7</v>
      </c>
      <c r="AT49">
        <v>7</v>
      </c>
      <c r="AU49">
        <v>7</v>
      </c>
      <c r="AV49">
        <v>7</v>
      </c>
      <c r="AW49">
        <v>7</v>
      </c>
      <c r="AX49">
        <v>7</v>
      </c>
      <c r="AY49">
        <v>7</v>
      </c>
      <c r="AZ49">
        <v>7</v>
      </c>
      <c r="BA49">
        <v>7</v>
      </c>
      <c r="BB49">
        <v>7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K49">
        <v>7</v>
      </c>
      <c r="BL49">
        <v>7</v>
      </c>
      <c r="BM49">
        <v>7</v>
      </c>
      <c r="BN49">
        <v>6</v>
      </c>
      <c r="BO49">
        <v>8</v>
      </c>
      <c r="BP49">
        <v>7</v>
      </c>
      <c r="BQ49">
        <v>7</v>
      </c>
      <c r="BR49">
        <v>7</v>
      </c>
      <c r="BS49">
        <v>7</v>
      </c>
      <c r="BT49">
        <v>7</v>
      </c>
      <c r="BU49">
        <v>7</v>
      </c>
      <c r="BV49">
        <v>7</v>
      </c>
      <c r="BW49">
        <v>7</v>
      </c>
      <c r="BX49">
        <v>7</v>
      </c>
      <c r="BY49">
        <v>7</v>
      </c>
      <c r="BZ49">
        <v>7</v>
      </c>
      <c r="CA49">
        <v>7</v>
      </c>
      <c r="CB49">
        <v>7</v>
      </c>
      <c r="CC49">
        <v>7</v>
      </c>
      <c r="CD49">
        <v>7</v>
      </c>
      <c r="CE49">
        <v>6</v>
      </c>
      <c r="CF49">
        <v>6</v>
      </c>
      <c r="CG49">
        <v>9</v>
      </c>
    </row>
    <row r="50" spans="1:85" x14ac:dyDescent="0.25">
      <c r="A50" t="s">
        <v>186</v>
      </c>
      <c r="B50" t="s">
        <v>114</v>
      </c>
      <c r="C50" t="s">
        <v>114</v>
      </c>
      <c r="D50" t="s">
        <v>114</v>
      </c>
      <c r="E50" t="s">
        <v>115</v>
      </c>
      <c r="F50" t="s">
        <v>114</v>
      </c>
      <c r="G50" t="s">
        <v>114</v>
      </c>
      <c r="H50" t="s">
        <v>114</v>
      </c>
      <c r="I50" t="s">
        <v>114</v>
      </c>
      <c r="J50" t="s">
        <v>114</v>
      </c>
      <c r="K50" t="s">
        <v>114</v>
      </c>
      <c r="L50" t="s">
        <v>114</v>
      </c>
      <c r="M50" t="s">
        <v>114</v>
      </c>
      <c r="N50" t="s">
        <v>114</v>
      </c>
      <c r="O50" t="s">
        <v>114</v>
      </c>
      <c r="P50" t="s">
        <v>114</v>
      </c>
      <c r="Q50" t="s">
        <v>114</v>
      </c>
      <c r="R50" t="s">
        <v>114</v>
      </c>
      <c r="S50" t="s">
        <v>114</v>
      </c>
      <c r="T50" t="s">
        <v>114</v>
      </c>
      <c r="U50" t="s">
        <v>114</v>
      </c>
      <c r="V50" t="s">
        <v>114</v>
      </c>
      <c r="W50" t="s">
        <v>114</v>
      </c>
      <c r="X50" t="s">
        <v>114</v>
      </c>
      <c r="Y50" t="s">
        <v>114</v>
      </c>
      <c r="Z50" t="s">
        <v>114</v>
      </c>
      <c r="AA50" t="s">
        <v>114</v>
      </c>
      <c r="AB50" t="s">
        <v>114</v>
      </c>
      <c r="AC50" t="s">
        <v>114</v>
      </c>
      <c r="AD50" t="s">
        <v>114</v>
      </c>
      <c r="AE50" t="s">
        <v>114</v>
      </c>
      <c r="AF50" t="s">
        <v>114</v>
      </c>
      <c r="AG50" t="s">
        <v>114</v>
      </c>
      <c r="AH50" t="s">
        <v>114</v>
      </c>
      <c r="AI50" t="s">
        <v>114</v>
      </c>
      <c r="AJ50" t="s">
        <v>114</v>
      </c>
      <c r="AK50" t="s">
        <v>114</v>
      </c>
      <c r="AL50" t="s">
        <v>114</v>
      </c>
      <c r="AM50" t="s">
        <v>114</v>
      </c>
      <c r="AN50" t="s">
        <v>114</v>
      </c>
      <c r="AO50" t="s">
        <v>114</v>
      </c>
      <c r="AP50" t="s">
        <v>114</v>
      </c>
      <c r="AQ50" t="s">
        <v>114</v>
      </c>
      <c r="AR50" t="s">
        <v>114</v>
      </c>
      <c r="AS50" t="s">
        <v>114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114</v>
      </c>
      <c r="AZ50" t="s">
        <v>114</v>
      </c>
      <c r="BA50" t="s">
        <v>114</v>
      </c>
      <c r="BB50" t="s">
        <v>114</v>
      </c>
      <c r="BC50" t="s">
        <v>114</v>
      </c>
      <c r="BD50" t="s">
        <v>114</v>
      </c>
      <c r="BE50" t="s">
        <v>114</v>
      </c>
      <c r="BF50" t="s">
        <v>114</v>
      </c>
      <c r="BG50" t="s">
        <v>114</v>
      </c>
      <c r="BH50" t="s">
        <v>114</v>
      </c>
      <c r="BI50" t="s">
        <v>114</v>
      </c>
      <c r="BJ50" t="s">
        <v>114</v>
      </c>
      <c r="BK50" t="s">
        <v>114</v>
      </c>
      <c r="BL50" t="s">
        <v>114</v>
      </c>
      <c r="BM50" t="s">
        <v>114</v>
      </c>
      <c r="BN50" t="s">
        <v>114</v>
      </c>
      <c r="BO50" t="s">
        <v>114</v>
      </c>
      <c r="BP50" t="s">
        <v>114</v>
      </c>
      <c r="BQ50" t="s">
        <v>114</v>
      </c>
      <c r="BR50" t="s">
        <v>114</v>
      </c>
      <c r="BS50" t="s">
        <v>114</v>
      </c>
      <c r="BT50" t="s">
        <v>114</v>
      </c>
      <c r="BU50" t="s">
        <v>114</v>
      </c>
      <c r="BV50" t="s">
        <v>114</v>
      </c>
      <c r="BW50" t="s">
        <v>114</v>
      </c>
      <c r="BX50" t="s">
        <v>114</v>
      </c>
      <c r="BY50" t="s">
        <v>114</v>
      </c>
      <c r="BZ50" t="s">
        <v>114</v>
      </c>
      <c r="CA50" t="s">
        <v>114</v>
      </c>
      <c r="CB50" t="s">
        <v>114</v>
      </c>
      <c r="CC50" t="s">
        <v>114</v>
      </c>
      <c r="CD50" t="s">
        <v>114</v>
      </c>
      <c r="CE50" t="s">
        <v>114</v>
      </c>
      <c r="CF50" t="s">
        <v>114</v>
      </c>
      <c r="CG50" t="s">
        <v>114</v>
      </c>
    </row>
    <row r="51" spans="1:85" x14ac:dyDescent="0.25">
      <c r="A51" t="s">
        <v>129</v>
      </c>
      <c r="B51" t="s">
        <v>114</v>
      </c>
      <c r="C51" t="s">
        <v>114</v>
      </c>
      <c r="D51" t="s">
        <v>114</v>
      </c>
      <c r="E51" t="s">
        <v>115</v>
      </c>
      <c r="F51" t="s">
        <v>114</v>
      </c>
      <c r="G51" t="s">
        <v>114</v>
      </c>
      <c r="H51" t="s">
        <v>114</v>
      </c>
      <c r="I51" t="s">
        <v>114</v>
      </c>
      <c r="J51" t="s">
        <v>114</v>
      </c>
      <c r="K51" t="s">
        <v>114</v>
      </c>
      <c r="L51" t="s">
        <v>114</v>
      </c>
      <c r="M51" t="s">
        <v>114</v>
      </c>
      <c r="N51" t="s">
        <v>114</v>
      </c>
      <c r="O51" t="s">
        <v>114</v>
      </c>
      <c r="P51" t="s">
        <v>114</v>
      </c>
      <c r="Q51" t="s">
        <v>114</v>
      </c>
      <c r="R51" t="s">
        <v>114</v>
      </c>
      <c r="S51" t="s">
        <v>114</v>
      </c>
      <c r="T51" t="s">
        <v>114</v>
      </c>
      <c r="U51" t="s">
        <v>114</v>
      </c>
      <c r="V51" t="s">
        <v>114</v>
      </c>
      <c r="W51" t="s">
        <v>114</v>
      </c>
      <c r="X51" t="s">
        <v>114</v>
      </c>
      <c r="Y51" t="s">
        <v>114</v>
      </c>
      <c r="Z51" t="s">
        <v>114</v>
      </c>
      <c r="AA51" t="s">
        <v>114</v>
      </c>
      <c r="AB51" t="s">
        <v>114</v>
      </c>
      <c r="AC51" t="s">
        <v>114</v>
      </c>
      <c r="AD51" t="s">
        <v>114</v>
      </c>
      <c r="AE51" t="s">
        <v>114</v>
      </c>
      <c r="AF51" t="s">
        <v>114</v>
      </c>
      <c r="AG51" t="s">
        <v>114</v>
      </c>
      <c r="AH51" t="s">
        <v>114</v>
      </c>
      <c r="AI51" t="s">
        <v>114</v>
      </c>
      <c r="AJ51" t="s">
        <v>114</v>
      </c>
      <c r="AK51" t="s">
        <v>114</v>
      </c>
      <c r="AL51" t="s">
        <v>114</v>
      </c>
      <c r="AM51" t="s">
        <v>114</v>
      </c>
      <c r="AN51" t="s">
        <v>114</v>
      </c>
      <c r="AO51" t="s">
        <v>114</v>
      </c>
      <c r="AP51" t="s">
        <v>114</v>
      </c>
      <c r="AQ51" t="s">
        <v>114</v>
      </c>
      <c r="AR51" t="s">
        <v>114</v>
      </c>
      <c r="AS51" t="s">
        <v>114</v>
      </c>
      <c r="AT51" t="s">
        <v>114</v>
      </c>
      <c r="AU51" t="s">
        <v>114</v>
      </c>
      <c r="AV51" t="s">
        <v>114</v>
      </c>
      <c r="AW51" t="s">
        <v>114</v>
      </c>
      <c r="AX51" t="s">
        <v>114</v>
      </c>
      <c r="AY51" t="s">
        <v>114</v>
      </c>
      <c r="AZ51" t="s">
        <v>114</v>
      </c>
      <c r="BA51" t="s">
        <v>114</v>
      </c>
      <c r="BB51" t="s">
        <v>114</v>
      </c>
      <c r="BC51" t="s">
        <v>114</v>
      </c>
      <c r="BD51" t="s">
        <v>114</v>
      </c>
      <c r="BE51" t="s">
        <v>114</v>
      </c>
      <c r="BF51" t="s">
        <v>114</v>
      </c>
      <c r="BG51" t="s">
        <v>114</v>
      </c>
      <c r="BH51" t="s">
        <v>114</v>
      </c>
      <c r="BI51" t="s">
        <v>114</v>
      </c>
      <c r="BJ51" t="s">
        <v>114</v>
      </c>
      <c r="BK51" t="s">
        <v>114</v>
      </c>
      <c r="BL51" t="s">
        <v>114</v>
      </c>
      <c r="BM51" t="s">
        <v>114</v>
      </c>
      <c r="BN51" t="s">
        <v>114</v>
      </c>
      <c r="BO51" t="s">
        <v>114</v>
      </c>
      <c r="BP51" t="s">
        <v>114</v>
      </c>
      <c r="BQ51" t="s">
        <v>114</v>
      </c>
      <c r="BR51" t="s">
        <v>114</v>
      </c>
      <c r="BS51" t="s">
        <v>114</v>
      </c>
      <c r="BT51" t="s">
        <v>114</v>
      </c>
      <c r="BU51" t="s">
        <v>114</v>
      </c>
      <c r="BV51" t="s">
        <v>114</v>
      </c>
      <c r="BW51" t="s">
        <v>114</v>
      </c>
      <c r="BX51" t="s">
        <v>114</v>
      </c>
      <c r="BY51" t="s">
        <v>114</v>
      </c>
      <c r="BZ51" t="s">
        <v>114</v>
      </c>
      <c r="CA51" t="s">
        <v>114</v>
      </c>
      <c r="CB51" t="s">
        <v>114</v>
      </c>
      <c r="CC51" t="s">
        <v>114</v>
      </c>
      <c r="CD51" t="s">
        <v>114</v>
      </c>
      <c r="CE51" t="s">
        <v>114</v>
      </c>
      <c r="CF51" t="s">
        <v>114</v>
      </c>
      <c r="CG51" t="s">
        <v>114</v>
      </c>
    </row>
    <row r="52" spans="1:85" x14ac:dyDescent="0.25">
      <c r="A52" t="s">
        <v>187</v>
      </c>
      <c r="B52" t="s">
        <v>114</v>
      </c>
      <c r="C52" t="s">
        <v>114</v>
      </c>
      <c r="D52" t="s">
        <v>114</v>
      </c>
      <c r="E52" t="s">
        <v>115</v>
      </c>
      <c r="F52" t="s">
        <v>114</v>
      </c>
      <c r="G52" t="s">
        <v>114</v>
      </c>
      <c r="H52" t="s">
        <v>114</v>
      </c>
      <c r="I52" t="s">
        <v>114</v>
      </c>
      <c r="J52" t="s">
        <v>114</v>
      </c>
      <c r="K52" t="s">
        <v>114</v>
      </c>
      <c r="L52" t="s">
        <v>114</v>
      </c>
      <c r="M52" t="s">
        <v>114</v>
      </c>
      <c r="N52" t="s">
        <v>114</v>
      </c>
      <c r="O52" t="s">
        <v>114</v>
      </c>
      <c r="P52" t="s">
        <v>114</v>
      </c>
      <c r="Q52" t="s">
        <v>114</v>
      </c>
      <c r="R52" t="s">
        <v>114</v>
      </c>
      <c r="S52" t="s">
        <v>114</v>
      </c>
      <c r="T52" t="s">
        <v>114</v>
      </c>
      <c r="U52" t="s">
        <v>114</v>
      </c>
      <c r="V52" t="s">
        <v>114</v>
      </c>
      <c r="W52" t="s">
        <v>114</v>
      </c>
      <c r="X52" t="s">
        <v>114</v>
      </c>
      <c r="Y52" t="s">
        <v>114</v>
      </c>
      <c r="Z52" t="s">
        <v>114</v>
      </c>
      <c r="AA52" t="s">
        <v>114</v>
      </c>
      <c r="AB52" t="s">
        <v>114</v>
      </c>
      <c r="AC52" t="s">
        <v>114</v>
      </c>
      <c r="AD52" t="s">
        <v>114</v>
      </c>
      <c r="AE52" t="s">
        <v>114</v>
      </c>
      <c r="AF52" t="s">
        <v>114</v>
      </c>
      <c r="AG52" t="s">
        <v>114</v>
      </c>
      <c r="AH52" t="s">
        <v>114</v>
      </c>
      <c r="AI52" t="s">
        <v>114</v>
      </c>
      <c r="AJ52" t="s">
        <v>114</v>
      </c>
      <c r="AK52" t="s">
        <v>114</v>
      </c>
      <c r="AL52" t="s">
        <v>114</v>
      </c>
      <c r="AM52" t="s">
        <v>114</v>
      </c>
      <c r="AN52" t="s">
        <v>114</v>
      </c>
      <c r="AO52" t="s">
        <v>114</v>
      </c>
      <c r="AP52" t="s">
        <v>114</v>
      </c>
      <c r="AQ52" t="s">
        <v>114</v>
      </c>
      <c r="AR52" t="s">
        <v>114</v>
      </c>
      <c r="AS52" t="s">
        <v>114</v>
      </c>
      <c r="AT52" t="s">
        <v>114</v>
      </c>
      <c r="AU52" t="s">
        <v>114</v>
      </c>
      <c r="AV52" t="s">
        <v>114</v>
      </c>
      <c r="AW52" t="s">
        <v>114</v>
      </c>
      <c r="AX52" t="s">
        <v>114</v>
      </c>
      <c r="AY52" t="s">
        <v>114</v>
      </c>
      <c r="AZ52" t="s">
        <v>114</v>
      </c>
      <c r="BA52" t="s">
        <v>114</v>
      </c>
      <c r="BB52" t="s">
        <v>114</v>
      </c>
      <c r="BC52" t="s">
        <v>114</v>
      </c>
      <c r="BD52" t="s">
        <v>114</v>
      </c>
      <c r="BE52" t="s">
        <v>114</v>
      </c>
      <c r="BF52" t="s">
        <v>114</v>
      </c>
      <c r="BG52" t="s">
        <v>114</v>
      </c>
      <c r="BH52" t="s">
        <v>114</v>
      </c>
      <c r="BI52" t="s">
        <v>114</v>
      </c>
      <c r="BJ52" t="s">
        <v>114</v>
      </c>
      <c r="BK52" t="s">
        <v>114</v>
      </c>
      <c r="BL52" t="s">
        <v>114</v>
      </c>
      <c r="BM52" t="s">
        <v>114</v>
      </c>
      <c r="BN52" t="s">
        <v>114</v>
      </c>
      <c r="BO52" t="s">
        <v>114</v>
      </c>
      <c r="BP52" t="s">
        <v>114</v>
      </c>
      <c r="BQ52" t="s">
        <v>114</v>
      </c>
      <c r="BR52" t="s">
        <v>114</v>
      </c>
      <c r="BS52" t="s">
        <v>114</v>
      </c>
      <c r="BT52" t="s">
        <v>114</v>
      </c>
      <c r="BU52" t="s">
        <v>114</v>
      </c>
      <c r="BV52" t="s">
        <v>114</v>
      </c>
      <c r="BW52" t="s">
        <v>114</v>
      </c>
      <c r="BX52" t="s">
        <v>114</v>
      </c>
      <c r="BY52" t="s">
        <v>114</v>
      </c>
      <c r="BZ52" t="s">
        <v>114</v>
      </c>
      <c r="CA52" t="s">
        <v>114</v>
      </c>
      <c r="CB52" t="s">
        <v>114</v>
      </c>
      <c r="CC52" t="s">
        <v>114</v>
      </c>
      <c r="CD52" t="s">
        <v>114</v>
      </c>
      <c r="CE52" t="s">
        <v>114</v>
      </c>
      <c r="CF52" t="s">
        <v>114</v>
      </c>
      <c r="CG52" t="s">
        <v>114</v>
      </c>
    </row>
    <row r="53" spans="1:85" x14ac:dyDescent="0.25">
      <c r="A53" t="s">
        <v>188</v>
      </c>
      <c r="B53" t="s">
        <v>189</v>
      </c>
      <c r="C53" t="s">
        <v>120</v>
      </c>
      <c r="D53" t="s">
        <v>121</v>
      </c>
      <c r="E53" t="s">
        <v>122</v>
      </c>
      <c r="F53" t="s">
        <v>114</v>
      </c>
      <c r="G53">
        <v>210</v>
      </c>
      <c r="H53">
        <v>213</v>
      </c>
      <c r="I53">
        <v>213</v>
      </c>
      <c r="J53">
        <v>215</v>
      </c>
      <c r="K53">
        <v>217</v>
      </c>
      <c r="L53">
        <v>220</v>
      </c>
      <c r="M53">
        <v>220</v>
      </c>
      <c r="N53">
        <v>220</v>
      </c>
      <c r="O53">
        <v>225</v>
      </c>
      <c r="P53">
        <v>225</v>
      </c>
      <c r="Q53">
        <v>225</v>
      </c>
      <c r="R53">
        <v>225</v>
      </c>
      <c r="S53">
        <v>228</v>
      </c>
      <c r="T53">
        <v>229</v>
      </c>
      <c r="U53">
        <v>229</v>
      </c>
      <c r="V53">
        <v>229</v>
      </c>
      <c r="W53">
        <v>229</v>
      </c>
      <c r="X53">
        <v>229</v>
      </c>
      <c r="Y53">
        <v>230</v>
      </c>
      <c r="Z53">
        <v>231</v>
      </c>
      <c r="AA53">
        <v>231</v>
      </c>
      <c r="AB53">
        <v>234</v>
      </c>
      <c r="AC53">
        <v>234</v>
      </c>
      <c r="AD53">
        <v>236</v>
      </c>
      <c r="AE53">
        <v>236</v>
      </c>
      <c r="AF53">
        <v>235.41200000000001</v>
      </c>
      <c r="AG53">
        <v>235.41200000000001</v>
      </c>
      <c r="AH53">
        <v>241.251</v>
      </c>
      <c r="AI53">
        <v>241.42099999999999</v>
      </c>
      <c r="AJ53">
        <v>241.42099999999999</v>
      </c>
      <c r="AK53">
        <v>241.45599999999999</v>
      </c>
      <c r="AL53">
        <v>241.554</v>
      </c>
      <c r="AM53">
        <v>241.554</v>
      </c>
      <c r="AN53">
        <v>241.614</v>
      </c>
      <c r="AO53">
        <v>245.745</v>
      </c>
      <c r="AP53">
        <v>246.57400000000001</v>
      </c>
      <c r="AQ53">
        <v>246.57400000000001</v>
      </c>
      <c r="AR53">
        <v>246.994</v>
      </c>
      <c r="AS53">
        <v>246.703</v>
      </c>
      <c r="AT53">
        <v>249.768</v>
      </c>
      <c r="AU53">
        <v>250.08699999999999</v>
      </c>
      <c r="AV53">
        <v>250.13900000000001</v>
      </c>
      <c r="AW53">
        <v>250.13900000000001</v>
      </c>
      <c r="AX53">
        <v>250.59700000000001</v>
      </c>
      <c r="AY53">
        <v>252.499</v>
      </c>
      <c r="AZ53">
        <v>252.499</v>
      </c>
      <c r="BA53">
        <v>252.499</v>
      </c>
      <c r="BB53">
        <v>255.38399999999999</v>
      </c>
      <c r="BC53">
        <v>255.709</v>
      </c>
      <c r="BD53">
        <v>256.11500000000001</v>
      </c>
      <c r="BE53">
        <v>256.43299999999999</v>
      </c>
      <c r="BF53">
        <v>256.83</v>
      </c>
      <c r="BG53">
        <v>256.45</v>
      </c>
      <c r="BH53">
        <v>256.45</v>
      </c>
      <c r="BI53">
        <v>256.63799999999998</v>
      </c>
      <c r="BJ53">
        <v>259.00400000000002</v>
      </c>
      <c r="BK53">
        <v>259.154</v>
      </c>
      <c r="BL53">
        <v>263.22199999999998</v>
      </c>
      <c r="BM53">
        <v>263.22199999999998</v>
      </c>
      <c r="BN53">
        <v>263.447</v>
      </c>
      <c r="BO53">
        <v>265.58999999999997</v>
      </c>
      <c r="BP53">
        <v>265.58999999999997</v>
      </c>
      <c r="BQ53">
        <v>269.02199999999999</v>
      </c>
      <c r="BR53">
        <v>269.33999999999997</v>
      </c>
      <c r="BS53">
        <v>269.33999999999997</v>
      </c>
      <c r="BT53">
        <v>269.09199999999998</v>
      </c>
      <c r="BU53">
        <v>269.17200000000003</v>
      </c>
      <c r="BV53">
        <v>269.50400000000002</v>
      </c>
      <c r="BW53">
        <v>269.55799999999999</v>
      </c>
      <c r="BX53">
        <v>269.87799999999999</v>
      </c>
      <c r="BY53">
        <v>270.51100000000002</v>
      </c>
      <c r="BZ53">
        <v>270.61700000000002</v>
      </c>
      <c r="CA53">
        <v>270.86900000000003</v>
      </c>
      <c r="CB53">
        <v>275.23599999999999</v>
      </c>
      <c r="CC53">
        <v>276.16000000000003</v>
      </c>
      <c r="CD53">
        <v>276.59800000000001</v>
      </c>
      <c r="CE53">
        <v>276.90300000000002</v>
      </c>
      <c r="CF53">
        <v>276.80700000000002</v>
      </c>
      <c r="CG53">
        <v>276.80700000000002</v>
      </c>
    </row>
    <row r="54" spans="1:85" x14ac:dyDescent="0.25">
      <c r="A54" t="s">
        <v>190</v>
      </c>
      <c r="B54" t="s">
        <v>191</v>
      </c>
      <c r="C54" t="s">
        <v>114</v>
      </c>
      <c r="D54" t="s">
        <v>114</v>
      </c>
      <c r="E54" t="s">
        <v>128</v>
      </c>
      <c r="F54" t="s">
        <v>114</v>
      </c>
      <c r="G54" t="s">
        <v>114</v>
      </c>
      <c r="H54" t="s">
        <v>114</v>
      </c>
      <c r="I54">
        <v>162.5</v>
      </c>
      <c r="J54">
        <v>164.5</v>
      </c>
      <c r="K54">
        <v>164.5</v>
      </c>
      <c r="L54">
        <v>167.5</v>
      </c>
      <c r="M54">
        <v>167.5</v>
      </c>
      <c r="N54">
        <v>167.5</v>
      </c>
      <c r="O54">
        <v>172.5</v>
      </c>
      <c r="P54">
        <v>172.5</v>
      </c>
      <c r="Q54">
        <v>172.5</v>
      </c>
      <c r="R54">
        <v>172.5</v>
      </c>
      <c r="S54">
        <v>175.5</v>
      </c>
      <c r="T54">
        <v>175.5</v>
      </c>
      <c r="U54">
        <v>175.5</v>
      </c>
      <c r="V54">
        <v>175.5</v>
      </c>
      <c r="W54">
        <v>175.5</v>
      </c>
      <c r="X54">
        <v>175.5</v>
      </c>
      <c r="Y54">
        <v>175.5</v>
      </c>
      <c r="Z54">
        <v>175.5</v>
      </c>
      <c r="AA54">
        <v>175.5</v>
      </c>
      <c r="AB54">
        <v>177.5</v>
      </c>
      <c r="AC54">
        <v>177.5</v>
      </c>
      <c r="AD54">
        <v>179</v>
      </c>
      <c r="AE54">
        <v>179</v>
      </c>
      <c r="AF54">
        <v>178.5</v>
      </c>
      <c r="AG54">
        <v>178.5</v>
      </c>
      <c r="AH54">
        <v>184</v>
      </c>
      <c r="AI54">
        <v>184</v>
      </c>
      <c r="AJ54">
        <v>184</v>
      </c>
      <c r="AK54">
        <v>184</v>
      </c>
      <c r="AL54">
        <v>184</v>
      </c>
      <c r="AM54">
        <v>184</v>
      </c>
      <c r="AN54">
        <v>184</v>
      </c>
      <c r="AO54">
        <v>188</v>
      </c>
      <c r="AP54">
        <v>188</v>
      </c>
      <c r="AQ54">
        <v>188</v>
      </c>
      <c r="AR54">
        <v>188</v>
      </c>
      <c r="AS54">
        <v>187.5</v>
      </c>
      <c r="AT54">
        <v>190.5</v>
      </c>
      <c r="AU54">
        <v>190.5</v>
      </c>
      <c r="AV54">
        <v>190.5</v>
      </c>
      <c r="AW54">
        <v>190.5</v>
      </c>
      <c r="AX54">
        <v>190.5</v>
      </c>
      <c r="AY54">
        <v>192.5</v>
      </c>
      <c r="AZ54">
        <v>192.5</v>
      </c>
      <c r="BA54">
        <v>192.5</v>
      </c>
      <c r="BB54">
        <v>195.5</v>
      </c>
      <c r="BC54">
        <v>195.5</v>
      </c>
      <c r="BD54">
        <v>195.5</v>
      </c>
      <c r="BE54">
        <v>195.5</v>
      </c>
      <c r="BF54">
        <v>195</v>
      </c>
      <c r="BG54">
        <v>195</v>
      </c>
      <c r="BH54">
        <v>195</v>
      </c>
      <c r="BI54">
        <v>195</v>
      </c>
      <c r="BJ54">
        <v>197</v>
      </c>
      <c r="BK54">
        <v>197</v>
      </c>
      <c r="BL54">
        <v>201</v>
      </c>
      <c r="BM54">
        <v>201</v>
      </c>
      <c r="BN54">
        <v>201</v>
      </c>
      <c r="BO54">
        <v>202.5</v>
      </c>
      <c r="BP54">
        <v>203</v>
      </c>
      <c r="BQ54">
        <v>206</v>
      </c>
      <c r="BR54">
        <v>206</v>
      </c>
      <c r="BS54">
        <v>205.5</v>
      </c>
      <c r="BT54">
        <v>205.5</v>
      </c>
      <c r="BU54">
        <v>205.5</v>
      </c>
      <c r="BV54">
        <v>205.5</v>
      </c>
      <c r="BW54">
        <v>205.5</v>
      </c>
      <c r="BX54">
        <v>205.5</v>
      </c>
      <c r="BY54">
        <v>205.5</v>
      </c>
      <c r="BZ54">
        <v>205.5</v>
      </c>
      <c r="CA54">
        <v>205.5</v>
      </c>
      <c r="CB54">
        <v>208.5</v>
      </c>
      <c r="CC54">
        <v>208.5</v>
      </c>
      <c r="CD54">
        <v>208.5</v>
      </c>
      <c r="CE54">
        <v>208.5</v>
      </c>
      <c r="CF54">
        <v>208.5</v>
      </c>
      <c r="CG54">
        <v>208.5</v>
      </c>
    </row>
    <row r="55" spans="1:85" x14ac:dyDescent="0.25">
      <c r="A55" t="s">
        <v>192</v>
      </c>
      <c r="B55" t="s">
        <v>193</v>
      </c>
      <c r="C55" t="s">
        <v>114</v>
      </c>
      <c r="D55" t="s">
        <v>114</v>
      </c>
      <c r="E55" t="s">
        <v>128</v>
      </c>
      <c r="F55">
        <v>35.116999999999997</v>
      </c>
      <c r="G55">
        <v>35.116999999999997</v>
      </c>
      <c r="H55">
        <v>35.607999999999997</v>
      </c>
      <c r="I55">
        <v>35.866999999999997</v>
      </c>
      <c r="J55">
        <v>36.465000000000003</v>
      </c>
      <c r="K55">
        <v>37.768000000000001</v>
      </c>
      <c r="L55">
        <v>37.768000000000001</v>
      </c>
      <c r="M55">
        <v>37.768000000000001</v>
      </c>
      <c r="N55">
        <v>37.768000000000001</v>
      </c>
      <c r="O55">
        <v>37.768000000000001</v>
      </c>
      <c r="P55">
        <v>37.768000000000001</v>
      </c>
      <c r="Q55">
        <v>37.768000000000001</v>
      </c>
      <c r="R55">
        <v>37.863</v>
      </c>
      <c r="S55">
        <v>37.941000000000003</v>
      </c>
      <c r="T55">
        <v>38.076000000000001</v>
      </c>
      <c r="U55">
        <v>38.305</v>
      </c>
      <c r="V55">
        <v>38.771999999999998</v>
      </c>
      <c r="W55">
        <v>38.771999999999998</v>
      </c>
      <c r="X55">
        <v>38.771999999999998</v>
      </c>
      <c r="Y55">
        <v>39.265999999999998</v>
      </c>
      <c r="Z55">
        <v>39.750999999999998</v>
      </c>
      <c r="AA55">
        <v>40.375</v>
      </c>
      <c r="AB55">
        <v>40.865000000000002</v>
      </c>
      <c r="AC55">
        <v>41.378999999999998</v>
      </c>
      <c r="AD55">
        <v>41.648000000000003</v>
      </c>
      <c r="AE55">
        <v>41.646999999999998</v>
      </c>
      <c r="AF55">
        <v>41.68</v>
      </c>
      <c r="AG55">
        <v>41.68</v>
      </c>
      <c r="AH55">
        <v>41.69</v>
      </c>
      <c r="AI55">
        <v>41.86</v>
      </c>
      <c r="AJ55">
        <v>41.86</v>
      </c>
      <c r="AK55">
        <v>41.895000000000003</v>
      </c>
      <c r="AL55">
        <v>41.978000000000002</v>
      </c>
      <c r="AM55">
        <v>41.978000000000002</v>
      </c>
      <c r="AN55">
        <v>42.008000000000003</v>
      </c>
      <c r="AO55">
        <v>42.018999999999998</v>
      </c>
      <c r="AP55">
        <v>42.847000000000001</v>
      </c>
      <c r="AQ55">
        <v>42.847000000000001</v>
      </c>
      <c r="AR55">
        <v>43.146999999999998</v>
      </c>
      <c r="AS55">
        <v>43.281999999999996</v>
      </c>
      <c r="AT55">
        <v>43.281999999999996</v>
      </c>
      <c r="AU55">
        <v>43.600999999999999</v>
      </c>
      <c r="AV55">
        <v>43.648000000000003</v>
      </c>
      <c r="AW55">
        <v>43.648000000000003</v>
      </c>
      <c r="AX55">
        <v>44.082000000000001</v>
      </c>
      <c r="AY55">
        <v>44.082000000000001</v>
      </c>
      <c r="AZ55">
        <v>44.082000000000001</v>
      </c>
      <c r="BA55">
        <v>44.082000000000001</v>
      </c>
      <c r="BB55">
        <v>44.082000000000001</v>
      </c>
      <c r="BC55">
        <v>44.337000000000003</v>
      </c>
      <c r="BD55">
        <v>44.73</v>
      </c>
      <c r="BE55">
        <v>44.978999999999999</v>
      </c>
      <c r="BF55">
        <v>45.259</v>
      </c>
      <c r="BG55">
        <v>45.44</v>
      </c>
      <c r="BH55">
        <v>45.44</v>
      </c>
      <c r="BI55">
        <v>45.618000000000002</v>
      </c>
      <c r="BJ55">
        <v>46</v>
      </c>
      <c r="BK55">
        <v>46.15</v>
      </c>
      <c r="BL55">
        <v>46.15</v>
      </c>
      <c r="BM55">
        <v>46.15</v>
      </c>
      <c r="BN55">
        <v>46.363999999999997</v>
      </c>
      <c r="BO55">
        <v>46.780999999999999</v>
      </c>
      <c r="BP55">
        <v>46.780999999999999</v>
      </c>
      <c r="BQ55">
        <v>47.002000000000002</v>
      </c>
      <c r="BR55">
        <v>47.302</v>
      </c>
      <c r="BS55">
        <v>47.348999999999997</v>
      </c>
      <c r="BT55">
        <v>47.667000000000002</v>
      </c>
      <c r="BU55">
        <v>47.731999999999999</v>
      </c>
      <c r="BV55">
        <v>47.99</v>
      </c>
      <c r="BW55">
        <v>48.042999999999999</v>
      </c>
      <c r="BX55">
        <v>48.353999999999999</v>
      </c>
      <c r="BY55">
        <v>48.844999999999999</v>
      </c>
      <c r="BZ55">
        <v>48.941000000000003</v>
      </c>
      <c r="CA55">
        <v>49.149000000000001</v>
      </c>
      <c r="CB55">
        <v>50.161999999999999</v>
      </c>
      <c r="CC55">
        <v>51.085000000000001</v>
      </c>
      <c r="CD55">
        <v>51.463999999999999</v>
      </c>
      <c r="CE55">
        <v>51.759</v>
      </c>
      <c r="CF55">
        <v>52.069000000000003</v>
      </c>
      <c r="CG55">
        <v>52.069000000000003</v>
      </c>
    </row>
    <row r="56" spans="1:85" x14ac:dyDescent="0.25">
      <c r="A56" t="s">
        <v>194</v>
      </c>
      <c r="B56" t="s">
        <v>195</v>
      </c>
      <c r="C56" t="s">
        <v>114</v>
      </c>
      <c r="D56" t="s">
        <v>114</v>
      </c>
      <c r="E56" t="s">
        <v>128</v>
      </c>
      <c r="F56">
        <v>14.188000000000001</v>
      </c>
      <c r="G56">
        <v>14.188000000000001</v>
      </c>
      <c r="H56">
        <v>14.188000000000001</v>
      </c>
      <c r="I56">
        <v>14.233000000000001</v>
      </c>
      <c r="J56">
        <v>14.257</v>
      </c>
      <c r="K56">
        <v>14.364000000000001</v>
      </c>
      <c r="L56">
        <v>14.364000000000001</v>
      </c>
      <c r="M56">
        <v>14.364000000000001</v>
      </c>
      <c r="N56">
        <v>14.407</v>
      </c>
      <c r="O56">
        <v>14.407</v>
      </c>
      <c r="P56">
        <v>14.407</v>
      </c>
      <c r="Q56">
        <v>14.407</v>
      </c>
      <c r="R56">
        <v>14.552</v>
      </c>
      <c r="S56">
        <v>14.715999999999999</v>
      </c>
      <c r="T56">
        <v>14.792999999999999</v>
      </c>
      <c r="U56">
        <v>14.814</v>
      </c>
      <c r="V56">
        <v>14.814</v>
      </c>
      <c r="W56">
        <v>14.814</v>
      </c>
      <c r="X56">
        <v>14.866</v>
      </c>
      <c r="Y56">
        <v>14.949</v>
      </c>
      <c r="Z56">
        <v>15.137</v>
      </c>
      <c r="AA56">
        <v>15.225</v>
      </c>
      <c r="AB56">
        <v>15.244999999999999</v>
      </c>
      <c r="AC56">
        <v>15.244999999999999</v>
      </c>
      <c r="AD56">
        <v>15.446</v>
      </c>
      <c r="AE56">
        <v>15.446</v>
      </c>
      <c r="AF56">
        <v>15.448</v>
      </c>
      <c r="AG56">
        <v>15.448</v>
      </c>
      <c r="AH56">
        <v>15.448</v>
      </c>
      <c r="AI56">
        <v>15.448</v>
      </c>
      <c r="AJ56">
        <v>15.448</v>
      </c>
      <c r="AK56">
        <v>15.448</v>
      </c>
      <c r="AL56">
        <v>15.462999999999999</v>
      </c>
      <c r="AM56">
        <v>15.462999999999999</v>
      </c>
      <c r="AN56">
        <v>15.493</v>
      </c>
      <c r="AO56">
        <v>15.532999999999999</v>
      </c>
      <c r="AP56">
        <v>15.532999999999999</v>
      </c>
      <c r="AQ56">
        <v>15.532999999999999</v>
      </c>
      <c r="AR56">
        <v>15.653</v>
      </c>
      <c r="AS56">
        <v>15.71</v>
      </c>
      <c r="AT56">
        <v>15.808999999999999</v>
      </c>
      <c r="AU56">
        <v>15.808999999999999</v>
      </c>
      <c r="AV56">
        <v>15.815</v>
      </c>
      <c r="AW56">
        <v>15.815</v>
      </c>
      <c r="AX56">
        <v>15.839</v>
      </c>
      <c r="AY56">
        <v>15.839</v>
      </c>
      <c r="AZ56">
        <v>15.839</v>
      </c>
      <c r="BA56">
        <v>15.839</v>
      </c>
      <c r="BB56">
        <v>15.839</v>
      </c>
      <c r="BC56">
        <v>15.909000000000001</v>
      </c>
      <c r="BD56">
        <v>15.922000000000001</v>
      </c>
      <c r="BE56">
        <v>15.99</v>
      </c>
      <c r="BF56">
        <v>16.067</v>
      </c>
      <c r="BG56">
        <v>16.067</v>
      </c>
      <c r="BH56">
        <v>16.067</v>
      </c>
      <c r="BI56">
        <v>16.077000000000002</v>
      </c>
      <c r="BJ56">
        <v>16.077000000000002</v>
      </c>
      <c r="BK56">
        <v>16.077000000000002</v>
      </c>
      <c r="BL56">
        <v>16.077000000000002</v>
      </c>
      <c r="BM56">
        <v>16.077000000000002</v>
      </c>
      <c r="BN56">
        <v>16.087</v>
      </c>
      <c r="BO56">
        <v>16.119</v>
      </c>
      <c r="BP56">
        <v>16.119</v>
      </c>
      <c r="BQ56">
        <v>16.143000000000001</v>
      </c>
      <c r="BR56">
        <v>16.161000000000001</v>
      </c>
      <c r="BS56">
        <v>16.163</v>
      </c>
      <c r="BT56">
        <v>16.163</v>
      </c>
      <c r="BU56">
        <v>16.178000000000001</v>
      </c>
      <c r="BV56">
        <v>16.253</v>
      </c>
      <c r="BW56">
        <v>16.253</v>
      </c>
      <c r="BX56">
        <v>16.263000000000002</v>
      </c>
      <c r="BY56">
        <v>16.283000000000001</v>
      </c>
      <c r="BZ56">
        <v>16.292999999999999</v>
      </c>
      <c r="CA56">
        <v>16.337</v>
      </c>
      <c r="CB56">
        <v>16.341999999999999</v>
      </c>
      <c r="CC56">
        <v>16.341999999999999</v>
      </c>
      <c r="CD56">
        <v>16.401</v>
      </c>
      <c r="CE56">
        <v>16.411000000000001</v>
      </c>
      <c r="CF56">
        <v>16.414000000000001</v>
      </c>
      <c r="CG56">
        <v>16.414000000000001</v>
      </c>
    </row>
    <row r="57" spans="1:85" x14ac:dyDescent="0.25">
      <c r="A57" t="s">
        <v>129</v>
      </c>
      <c r="B57" t="s">
        <v>114</v>
      </c>
      <c r="C57" t="s">
        <v>114</v>
      </c>
      <c r="D57" t="s">
        <v>114</v>
      </c>
      <c r="E57" t="s">
        <v>115</v>
      </c>
      <c r="F57" t="s">
        <v>114</v>
      </c>
      <c r="G57" t="s">
        <v>114</v>
      </c>
      <c r="H57" t="s">
        <v>114</v>
      </c>
      <c r="I57" t="s">
        <v>114</v>
      </c>
      <c r="J57" t="s">
        <v>114</v>
      </c>
      <c r="K57" t="s">
        <v>114</v>
      </c>
      <c r="L57" t="s">
        <v>114</v>
      </c>
      <c r="M57" t="s">
        <v>114</v>
      </c>
      <c r="N57" t="s">
        <v>114</v>
      </c>
      <c r="O57" t="s">
        <v>114</v>
      </c>
      <c r="P57" t="s">
        <v>114</v>
      </c>
      <c r="Q57" t="s">
        <v>114</v>
      </c>
      <c r="R57" t="s">
        <v>114</v>
      </c>
      <c r="S57" t="s">
        <v>114</v>
      </c>
      <c r="T57" t="s">
        <v>114</v>
      </c>
      <c r="U57" t="s">
        <v>114</v>
      </c>
      <c r="V57" t="s">
        <v>114</v>
      </c>
      <c r="W57" t="s">
        <v>114</v>
      </c>
      <c r="X57" t="s">
        <v>114</v>
      </c>
      <c r="Y57" t="s">
        <v>114</v>
      </c>
      <c r="Z57" t="s">
        <v>114</v>
      </c>
      <c r="AA57" t="s">
        <v>114</v>
      </c>
      <c r="AB57" t="s">
        <v>114</v>
      </c>
      <c r="AC57" t="s">
        <v>114</v>
      </c>
      <c r="AD57" t="s">
        <v>114</v>
      </c>
      <c r="AE57" t="s">
        <v>114</v>
      </c>
      <c r="AF57" t="s">
        <v>114</v>
      </c>
      <c r="AG57" t="s">
        <v>114</v>
      </c>
      <c r="AH57" t="s">
        <v>114</v>
      </c>
      <c r="AI57" t="s">
        <v>114</v>
      </c>
      <c r="AJ57" t="s">
        <v>114</v>
      </c>
      <c r="AK57" t="s">
        <v>114</v>
      </c>
      <c r="AL57" t="s">
        <v>114</v>
      </c>
      <c r="AM57" t="s">
        <v>114</v>
      </c>
      <c r="AN57" t="s">
        <v>114</v>
      </c>
      <c r="AO57" t="s">
        <v>114</v>
      </c>
      <c r="AP57" t="s">
        <v>114</v>
      </c>
      <c r="AQ57" t="s">
        <v>114</v>
      </c>
      <c r="AR57" t="s">
        <v>114</v>
      </c>
      <c r="AS57" t="s">
        <v>114</v>
      </c>
      <c r="AT57" t="s">
        <v>114</v>
      </c>
      <c r="AU57" t="s">
        <v>114</v>
      </c>
      <c r="AV57" t="s">
        <v>114</v>
      </c>
      <c r="AW57" t="s">
        <v>114</v>
      </c>
      <c r="AX57" t="s">
        <v>114</v>
      </c>
      <c r="AY57" t="s">
        <v>114</v>
      </c>
      <c r="AZ57" t="s">
        <v>114</v>
      </c>
      <c r="BA57" t="s">
        <v>114</v>
      </c>
      <c r="BB57" t="s">
        <v>114</v>
      </c>
      <c r="BC57" t="s">
        <v>114</v>
      </c>
      <c r="BD57" t="s">
        <v>114</v>
      </c>
      <c r="BE57" t="s">
        <v>114</v>
      </c>
      <c r="BF57" t="s">
        <v>114</v>
      </c>
      <c r="BG57" t="s">
        <v>114</v>
      </c>
      <c r="BH57" t="s">
        <v>114</v>
      </c>
      <c r="BI57" t="s">
        <v>114</v>
      </c>
      <c r="BJ57" t="s">
        <v>114</v>
      </c>
      <c r="BK57" t="s">
        <v>114</v>
      </c>
      <c r="BL57" t="s">
        <v>114</v>
      </c>
      <c r="BM57" t="s">
        <v>114</v>
      </c>
      <c r="BN57" t="s">
        <v>114</v>
      </c>
      <c r="BO57" t="s">
        <v>114</v>
      </c>
      <c r="BP57" t="s">
        <v>114</v>
      </c>
      <c r="BQ57" t="s">
        <v>114</v>
      </c>
      <c r="BR57" t="s">
        <v>114</v>
      </c>
      <c r="BS57" t="s">
        <v>114</v>
      </c>
      <c r="BT57" t="s">
        <v>114</v>
      </c>
      <c r="BU57" t="s">
        <v>114</v>
      </c>
      <c r="BV57" t="s">
        <v>114</v>
      </c>
      <c r="BW57" t="s">
        <v>114</v>
      </c>
      <c r="BX57" t="s">
        <v>114</v>
      </c>
      <c r="BY57" t="s">
        <v>114</v>
      </c>
      <c r="BZ57" t="s">
        <v>114</v>
      </c>
      <c r="CA57" t="s">
        <v>114</v>
      </c>
      <c r="CB57" t="s">
        <v>114</v>
      </c>
      <c r="CC57" t="s">
        <v>114</v>
      </c>
      <c r="CD57" t="s">
        <v>114</v>
      </c>
      <c r="CE57" t="s">
        <v>114</v>
      </c>
      <c r="CF57" t="s">
        <v>114</v>
      </c>
      <c r="CG57" t="s">
        <v>114</v>
      </c>
    </row>
    <row r="58" spans="1:85" x14ac:dyDescent="0.25">
      <c r="A58" t="s">
        <v>196</v>
      </c>
      <c r="B58" t="s">
        <v>197</v>
      </c>
      <c r="C58" t="s">
        <v>114</v>
      </c>
      <c r="D58" t="s">
        <v>114</v>
      </c>
      <c r="E58" t="s">
        <v>128</v>
      </c>
      <c r="F58" t="s">
        <v>114</v>
      </c>
      <c r="G58" t="s">
        <v>114</v>
      </c>
      <c r="H58" t="s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 t="s">
        <v>198</v>
      </c>
      <c r="B59" t="s">
        <v>199</v>
      </c>
      <c r="C59" t="s">
        <v>120</v>
      </c>
      <c r="D59" t="s">
        <v>121</v>
      </c>
      <c r="E59" t="s">
        <v>122</v>
      </c>
      <c r="F59" t="s">
        <v>114</v>
      </c>
      <c r="G59" t="s">
        <v>114</v>
      </c>
      <c r="H59">
        <v>0.13</v>
      </c>
      <c r="I59">
        <v>0.24</v>
      </c>
      <c r="J59">
        <v>0.25</v>
      </c>
      <c r="K59">
        <v>0.24</v>
      </c>
      <c r="L59">
        <v>0.24</v>
      </c>
      <c r="M59">
        <v>0.23</v>
      </c>
      <c r="N59">
        <v>0.24</v>
      </c>
      <c r="O59">
        <v>0.23</v>
      </c>
      <c r="P59">
        <v>0.23</v>
      </c>
      <c r="Q59">
        <v>0.22</v>
      </c>
      <c r="R59">
        <v>0.21</v>
      </c>
      <c r="S59">
        <v>0.22</v>
      </c>
      <c r="T59">
        <v>0.21</v>
      </c>
      <c r="U59">
        <v>0.21</v>
      </c>
      <c r="V59">
        <v>0.22</v>
      </c>
      <c r="W59">
        <v>0.23</v>
      </c>
      <c r="X59">
        <v>0.23</v>
      </c>
      <c r="Y59">
        <v>0.23</v>
      </c>
      <c r="Z59">
        <v>0.23</v>
      </c>
      <c r="AA59">
        <v>0.24</v>
      </c>
      <c r="AB59">
        <v>0.23</v>
      </c>
      <c r="AC59">
        <v>0.21</v>
      </c>
      <c r="AD59">
        <v>0.17</v>
      </c>
      <c r="AE59">
        <v>0.24</v>
      </c>
      <c r="AF59">
        <v>0.24</v>
      </c>
      <c r="AG59">
        <v>0.23</v>
      </c>
      <c r="AH59">
        <v>0.19</v>
      </c>
      <c r="AI59">
        <v>0.14000000000000001</v>
      </c>
      <c r="AJ59">
        <v>0.16</v>
      </c>
      <c r="AK59">
        <v>0.09</v>
      </c>
      <c r="AL59">
        <v>0.09</v>
      </c>
      <c r="AM59">
        <v>0.1</v>
      </c>
      <c r="AN59">
        <v>0.12</v>
      </c>
      <c r="AO59">
        <v>0.09</v>
      </c>
      <c r="AP59">
        <v>0.09</v>
      </c>
      <c r="AQ59">
        <v>0.08</v>
      </c>
      <c r="AR59">
        <v>0.08</v>
      </c>
      <c r="AS59">
        <v>0.11</v>
      </c>
      <c r="AT59">
        <v>0.08</v>
      </c>
      <c r="AU59">
        <v>0.08</v>
      </c>
      <c r="AV59">
        <v>0.09</v>
      </c>
      <c r="AW59">
        <v>0.11</v>
      </c>
      <c r="AX59">
        <v>0.1</v>
      </c>
      <c r="AY59">
        <v>0.1</v>
      </c>
      <c r="AZ59">
        <v>0.11</v>
      </c>
      <c r="BA59">
        <v>0.13</v>
      </c>
      <c r="BB59">
        <v>0.11</v>
      </c>
      <c r="BC59">
        <v>0.1</v>
      </c>
      <c r="BD59">
        <v>0.09</v>
      </c>
      <c r="BE59">
        <v>0.09</v>
      </c>
      <c r="BF59">
        <v>0.18</v>
      </c>
      <c r="BG59">
        <v>7.0000000000000007E-2</v>
      </c>
      <c r="BH59">
        <v>7.0000000000000007E-2</v>
      </c>
      <c r="BI59">
        <v>7.0000000000000007E-2</v>
      </c>
      <c r="BJ59">
        <v>7.0000000000000007E-2</v>
      </c>
      <c r="BK59">
        <v>0.06</v>
      </c>
      <c r="BL59">
        <v>0.05</v>
      </c>
      <c r="BM59">
        <v>0.05</v>
      </c>
      <c r="BN59">
        <v>0.05</v>
      </c>
      <c r="BO59">
        <v>0.05</v>
      </c>
      <c r="BP59">
        <v>0.04</v>
      </c>
      <c r="BQ59">
        <v>0.04</v>
      </c>
      <c r="BR59">
        <v>0.04</v>
      </c>
      <c r="BS59">
        <v>0.06</v>
      </c>
      <c r="BT59">
        <v>0.03</v>
      </c>
      <c r="BU59">
        <v>0.03</v>
      </c>
      <c r="BV59">
        <v>0.03</v>
      </c>
      <c r="BW59">
        <v>0.03</v>
      </c>
      <c r="BX59">
        <v>0.03</v>
      </c>
      <c r="BY59">
        <v>0.04</v>
      </c>
      <c r="BZ59">
        <v>0.04</v>
      </c>
      <c r="CA59">
        <v>0.04</v>
      </c>
      <c r="CB59">
        <v>0.01</v>
      </c>
      <c r="CC59">
        <v>0.01</v>
      </c>
      <c r="CD59">
        <v>0.01</v>
      </c>
      <c r="CE59">
        <v>0.01</v>
      </c>
      <c r="CF59">
        <v>0.03</v>
      </c>
      <c r="CG59">
        <v>0.01</v>
      </c>
    </row>
    <row r="60" spans="1:85" x14ac:dyDescent="0.25">
      <c r="A60" t="s">
        <v>200</v>
      </c>
      <c r="B60" t="s">
        <v>184</v>
      </c>
      <c r="C60" t="s">
        <v>120</v>
      </c>
      <c r="D60" t="s">
        <v>121</v>
      </c>
      <c r="E60" t="s">
        <v>122</v>
      </c>
      <c r="F60" t="s">
        <v>114</v>
      </c>
      <c r="G60" t="s">
        <v>114</v>
      </c>
      <c r="H60">
        <v>0.67</v>
      </c>
      <c r="I60">
        <v>0.72</v>
      </c>
      <c r="J60">
        <v>0.63</v>
      </c>
      <c r="K60">
        <v>0.82</v>
      </c>
      <c r="L60">
        <v>0.86</v>
      </c>
      <c r="M60">
        <v>0.99</v>
      </c>
      <c r="N60">
        <v>0.6</v>
      </c>
      <c r="O60">
        <v>0.97</v>
      </c>
      <c r="P60">
        <v>0.89</v>
      </c>
      <c r="Q60">
        <v>1.1200000000000001</v>
      </c>
      <c r="R60">
        <v>1.1400000000000001</v>
      </c>
      <c r="S60">
        <v>1.03</v>
      </c>
      <c r="T60">
        <v>1.27</v>
      </c>
      <c r="U60">
        <v>1.25</v>
      </c>
      <c r="V60">
        <v>1.25</v>
      </c>
      <c r="W60">
        <v>1.1100000000000001</v>
      </c>
      <c r="X60">
        <v>1.23</v>
      </c>
      <c r="Y60">
        <v>1.1200000000000001</v>
      </c>
      <c r="Z60">
        <v>1.2</v>
      </c>
      <c r="AA60">
        <v>0.85</v>
      </c>
      <c r="AB60">
        <v>0.86</v>
      </c>
      <c r="AC60">
        <v>1.01</v>
      </c>
      <c r="AD60">
        <v>1.04</v>
      </c>
      <c r="AE60">
        <v>0.59</v>
      </c>
      <c r="AF60">
        <v>0.78</v>
      </c>
      <c r="AG60">
        <v>0.83</v>
      </c>
      <c r="AH60">
        <v>1.01</v>
      </c>
      <c r="AI60">
        <v>1.03</v>
      </c>
      <c r="AJ60">
        <v>0.86</v>
      </c>
      <c r="AK60">
        <v>1.19</v>
      </c>
      <c r="AL60">
        <v>1.38</v>
      </c>
      <c r="AM60">
        <v>1.4</v>
      </c>
      <c r="AN60">
        <v>1.1499999999999999</v>
      </c>
      <c r="AO60">
        <v>1.28</v>
      </c>
      <c r="AP60">
        <v>1.17</v>
      </c>
      <c r="AQ60">
        <v>1.34</v>
      </c>
      <c r="AR60">
        <v>1.41</v>
      </c>
      <c r="AS60">
        <v>1.3</v>
      </c>
      <c r="AT60">
        <v>1.43</v>
      </c>
      <c r="AU60">
        <v>1.56</v>
      </c>
      <c r="AV60">
        <v>1.65</v>
      </c>
      <c r="AW60">
        <v>1.51</v>
      </c>
      <c r="AX60">
        <v>1.48</v>
      </c>
      <c r="AY60">
        <v>1.35</v>
      </c>
      <c r="AZ60">
        <v>1.4</v>
      </c>
      <c r="BA60">
        <v>1.18</v>
      </c>
      <c r="BB60">
        <v>1.18</v>
      </c>
      <c r="BC60">
        <v>1.22</v>
      </c>
      <c r="BD60">
        <v>1.28</v>
      </c>
      <c r="BE60">
        <v>1.23</v>
      </c>
      <c r="BF60">
        <v>1.1000000000000001</v>
      </c>
      <c r="BG60">
        <v>1.29</v>
      </c>
      <c r="BH60">
        <v>1.43</v>
      </c>
      <c r="BI60">
        <v>1.4</v>
      </c>
      <c r="BJ60">
        <v>1.19</v>
      </c>
      <c r="BK60">
        <v>1.26</v>
      </c>
      <c r="BL60">
        <v>1.24</v>
      </c>
      <c r="BM60">
        <v>1.33</v>
      </c>
      <c r="BN60">
        <v>1.26</v>
      </c>
      <c r="BO60">
        <v>1.25</v>
      </c>
      <c r="BP60">
        <v>1.28</v>
      </c>
      <c r="BQ60">
        <v>1.4</v>
      </c>
      <c r="BR60">
        <v>1.32</v>
      </c>
      <c r="BS60">
        <v>1.1000000000000001</v>
      </c>
      <c r="BT60">
        <v>1.33</v>
      </c>
      <c r="BU60">
        <v>1.3900000000000001</v>
      </c>
      <c r="BV60">
        <v>1.47</v>
      </c>
      <c r="BW60">
        <v>1.52</v>
      </c>
      <c r="BX60">
        <v>1.7</v>
      </c>
      <c r="BY60">
        <v>1.7</v>
      </c>
      <c r="BZ60">
        <v>1.63</v>
      </c>
      <c r="CA60">
        <v>1.3599999999999999</v>
      </c>
      <c r="CB60">
        <v>1.43</v>
      </c>
      <c r="CC60">
        <v>1.71</v>
      </c>
      <c r="CD60">
        <v>1.65</v>
      </c>
      <c r="CE60">
        <v>1.55</v>
      </c>
      <c r="CF60">
        <v>0.95</v>
      </c>
      <c r="CG60">
        <v>1.7</v>
      </c>
    </row>
    <row r="61" spans="1:85" x14ac:dyDescent="0.25">
      <c r="A61" t="s">
        <v>129</v>
      </c>
      <c r="B61" t="s">
        <v>114</v>
      </c>
      <c r="C61" t="s">
        <v>114</v>
      </c>
      <c r="D61" t="s">
        <v>114</v>
      </c>
      <c r="E61" t="s">
        <v>115</v>
      </c>
      <c r="F61" t="s">
        <v>114</v>
      </c>
      <c r="G61" t="s">
        <v>114</v>
      </c>
      <c r="H61" t="s">
        <v>114</v>
      </c>
      <c r="I61" t="s">
        <v>114</v>
      </c>
      <c r="J61" t="s">
        <v>114</v>
      </c>
      <c r="K61" t="s">
        <v>114</v>
      </c>
      <c r="L61" t="s">
        <v>114</v>
      </c>
      <c r="M61" t="s">
        <v>114</v>
      </c>
      <c r="N61" t="s">
        <v>114</v>
      </c>
      <c r="O61" t="s">
        <v>114</v>
      </c>
      <c r="P61" t="s">
        <v>114</v>
      </c>
      <c r="Q61" t="s">
        <v>114</v>
      </c>
      <c r="R61" t="s">
        <v>114</v>
      </c>
      <c r="S61" t="s">
        <v>114</v>
      </c>
      <c r="T61" t="s">
        <v>114</v>
      </c>
      <c r="U61" t="s">
        <v>114</v>
      </c>
      <c r="V61" t="s">
        <v>114</v>
      </c>
      <c r="W61" t="s">
        <v>114</v>
      </c>
      <c r="X61" t="s">
        <v>114</v>
      </c>
      <c r="Y61" t="s">
        <v>114</v>
      </c>
      <c r="Z61" t="s">
        <v>114</v>
      </c>
      <c r="AA61" t="s">
        <v>114</v>
      </c>
      <c r="AB61" t="s">
        <v>114</v>
      </c>
      <c r="AC61" t="s">
        <v>114</v>
      </c>
      <c r="AD61" t="s">
        <v>114</v>
      </c>
      <c r="AE61" t="s">
        <v>114</v>
      </c>
      <c r="AF61" t="s">
        <v>114</v>
      </c>
      <c r="AG61" t="s">
        <v>114</v>
      </c>
      <c r="AH61" t="s">
        <v>114</v>
      </c>
      <c r="AI61" t="s">
        <v>114</v>
      </c>
      <c r="AJ61" t="s">
        <v>114</v>
      </c>
      <c r="AK61" t="s">
        <v>114</v>
      </c>
      <c r="AL61" t="s">
        <v>114</v>
      </c>
      <c r="AM61" t="s">
        <v>114</v>
      </c>
      <c r="AN61" t="s">
        <v>114</v>
      </c>
      <c r="AO61" t="s">
        <v>114</v>
      </c>
      <c r="AP61" t="s">
        <v>114</v>
      </c>
      <c r="AQ61" t="s">
        <v>114</v>
      </c>
      <c r="AR61" t="s">
        <v>114</v>
      </c>
      <c r="AS61" t="s">
        <v>114</v>
      </c>
      <c r="AT61" t="s">
        <v>114</v>
      </c>
      <c r="AU61" t="s">
        <v>114</v>
      </c>
      <c r="AV61" t="s">
        <v>114</v>
      </c>
      <c r="AW61" t="s">
        <v>114</v>
      </c>
      <c r="AX61" t="s">
        <v>114</v>
      </c>
      <c r="AY61" t="s">
        <v>114</v>
      </c>
      <c r="AZ61" t="s">
        <v>114</v>
      </c>
      <c r="BA61" t="s">
        <v>114</v>
      </c>
      <c r="BB61" t="s">
        <v>114</v>
      </c>
      <c r="BC61" t="s">
        <v>114</v>
      </c>
      <c r="BD61" t="s">
        <v>114</v>
      </c>
      <c r="BE61" t="s">
        <v>114</v>
      </c>
      <c r="BF61" t="s">
        <v>114</v>
      </c>
      <c r="BG61" t="s">
        <v>114</v>
      </c>
      <c r="BH61" t="s">
        <v>114</v>
      </c>
      <c r="BI61" t="s">
        <v>114</v>
      </c>
      <c r="BJ61" t="s">
        <v>114</v>
      </c>
      <c r="BK61" t="s">
        <v>114</v>
      </c>
      <c r="BL61" t="s">
        <v>114</v>
      </c>
      <c r="BM61" t="s">
        <v>114</v>
      </c>
      <c r="BN61" t="s">
        <v>114</v>
      </c>
      <c r="BO61" t="s">
        <v>114</v>
      </c>
      <c r="BP61" t="s">
        <v>114</v>
      </c>
      <c r="BQ61" t="s">
        <v>114</v>
      </c>
      <c r="BR61" t="s">
        <v>114</v>
      </c>
      <c r="BS61" t="s">
        <v>114</v>
      </c>
      <c r="BT61" t="s">
        <v>114</v>
      </c>
      <c r="BU61" t="s">
        <v>114</v>
      </c>
      <c r="BV61" t="s">
        <v>114</v>
      </c>
      <c r="BW61" t="s">
        <v>114</v>
      </c>
      <c r="BX61" t="s">
        <v>114</v>
      </c>
      <c r="BY61" t="s">
        <v>114</v>
      </c>
      <c r="BZ61" t="s">
        <v>114</v>
      </c>
      <c r="CA61" t="s">
        <v>114</v>
      </c>
      <c r="CB61" t="s">
        <v>114</v>
      </c>
      <c r="CC61" t="s">
        <v>114</v>
      </c>
      <c r="CD61" t="s">
        <v>114</v>
      </c>
      <c r="CE61" t="s">
        <v>114</v>
      </c>
      <c r="CF61" t="s">
        <v>114</v>
      </c>
      <c r="CG61" t="s">
        <v>114</v>
      </c>
    </row>
    <row r="62" spans="1:85" x14ac:dyDescent="0.25">
      <c r="A62" t="s">
        <v>201</v>
      </c>
      <c r="B62" t="s">
        <v>114</v>
      </c>
      <c r="C62" t="s">
        <v>114</v>
      </c>
      <c r="D62" t="s">
        <v>114</v>
      </c>
      <c r="E62" t="s">
        <v>115</v>
      </c>
      <c r="F62" t="s">
        <v>114</v>
      </c>
      <c r="G62" t="s">
        <v>114</v>
      </c>
      <c r="H62" t="s">
        <v>114</v>
      </c>
      <c r="I62" t="s">
        <v>114</v>
      </c>
      <c r="J62" t="s">
        <v>114</v>
      </c>
      <c r="K62" t="s">
        <v>114</v>
      </c>
      <c r="L62" t="s">
        <v>114</v>
      </c>
      <c r="M62" t="s">
        <v>114</v>
      </c>
      <c r="N62" t="s">
        <v>114</v>
      </c>
      <c r="O62" t="s">
        <v>114</v>
      </c>
      <c r="P62" t="s">
        <v>114</v>
      </c>
      <c r="Q62" t="s">
        <v>114</v>
      </c>
      <c r="R62" t="s">
        <v>114</v>
      </c>
      <c r="S62" t="s">
        <v>114</v>
      </c>
      <c r="T62" t="s">
        <v>114</v>
      </c>
      <c r="U62" t="s">
        <v>114</v>
      </c>
      <c r="V62" t="s">
        <v>114</v>
      </c>
      <c r="W62" t="s">
        <v>114</v>
      </c>
      <c r="X62" t="s">
        <v>114</v>
      </c>
      <c r="Y62" t="s">
        <v>114</v>
      </c>
      <c r="Z62" t="s">
        <v>114</v>
      </c>
      <c r="AA62" t="s">
        <v>114</v>
      </c>
      <c r="AB62" t="s">
        <v>114</v>
      </c>
      <c r="AC62" t="s">
        <v>114</v>
      </c>
      <c r="AD62" t="s">
        <v>114</v>
      </c>
      <c r="AE62" t="s">
        <v>114</v>
      </c>
      <c r="AF62" t="s">
        <v>114</v>
      </c>
      <c r="AG62" t="s">
        <v>114</v>
      </c>
      <c r="AH62" t="s">
        <v>114</v>
      </c>
      <c r="AI62" t="s">
        <v>114</v>
      </c>
      <c r="AJ62" t="s">
        <v>114</v>
      </c>
      <c r="AK62" t="s">
        <v>114</v>
      </c>
      <c r="AL62" t="s">
        <v>114</v>
      </c>
      <c r="AM62" t="s">
        <v>114</v>
      </c>
      <c r="AN62" t="s">
        <v>114</v>
      </c>
      <c r="AO62" t="s">
        <v>114</v>
      </c>
      <c r="AP62" t="s">
        <v>114</v>
      </c>
      <c r="AQ62" t="s">
        <v>114</v>
      </c>
      <c r="AR62" t="s">
        <v>114</v>
      </c>
      <c r="AS62" t="s">
        <v>114</v>
      </c>
      <c r="AT62" t="s">
        <v>114</v>
      </c>
      <c r="AU62" t="s">
        <v>114</v>
      </c>
      <c r="AV62" t="s">
        <v>114</v>
      </c>
      <c r="AW62" t="s">
        <v>114</v>
      </c>
      <c r="AX62" t="s">
        <v>114</v>
      </c>
      <c r="AY62" t="s">
        <v>114</v>
      </c>
      <c r="AZ62" t="s">
        <v>114</v>
      </c>
      <c r="BA62" t="s">
        <v>114</v>
      </c>
      <c r="BB62" t="s">
        <v>114</v>
      </c>
      <c r="BC62" t="s">
        <v>114</v>
      </c>
      <c r="BD62" t="s">
        <v>114</v>
      </c>
      <c r="BE62" t="s">
        <v>114</v>
      </c>
      <c r="BF62" t="s">
        <v>114</v>
      </c>
      <c r="BG62" t="s">
        <v>114</v>
      </c>
      <c r="BH62" t="s">
        <v>114</v>
      </c>
      <c r="BI62" t="s">
        <v>114</v>
      </c>
      <c r="BJ62" t="s">
        <v>114</v>
      </c>
      <c r="BK62" t="s">
        <v>114</v>
      </c>
      <c r="BL62" t="s">
        <v>114</v>
      </c>
      <c r="BM62" t="s">
        <v>114</v>
      </c>
      <c r="BN62" t="s">
        <v>114</v>
      </c>
      <c r="BO62" t="s">
        <v>114</v>
      </c>
      <c r="BP62" t="s">
        <v>114</v>
      </c>
      <c r="BQ62" t="s">
        <v>114</v>
      </c>
      <c r="BR62" t="s">
        <v>114</v>
      </c>
      <c r="BS62" t="s">
        <v>114</v>
      </c>
      <c r="BT62" t="s">
        <v>114</v>
      </c>
      <c r="BU62" t="s">
        <v>114</v>
      </c>
      <c r="BV62" t="s">
        <v>114</v>
      </c>
      <c r="BW62" t="s">
        <v>114</v>
      </c>
      <c r="BX62" t="s">
        <v>114</v>
      </c>
      <c r="BY62" t="s">
        <v>114</v>
      </c>
      <c r="BZ62" t="s">
        <v>114</v>
      </c>
      <c r="CA62" t="s">
        <v>114</v>
      </c>
      <c r="CB62" t="s">
        <v>114</v>
      </c>
      <c r="CC62" t="s">
        <v>114</v>
      </c>
      <c r="CD62" t="s">
        <v>114</v>
      </c>
      <c r="CE62" t="s">
        <v>114</v>
      </c>
      <c r="CF62" t="s">
        <v>114</v>
      </c>
      <c r="CG62" t="s">
        <v>114</v>
      </c>
    </row>
    <row r="63" spans="1:85" x14ac:dyDescent="0.25">
      <c r="A63" t="s">
        <v>202</v>
      </c>
      <c r="B63" t="s">
        <v>114</v>
      </c>
      <c r="C63" t="s">
        <v>114</v>
      </c>
      <c r="D63" t="s">
        <v>114</v>
      </c>
      <c r="E63" t="s">
        <v>141</v>
      </c>
      <c r="F63">
        <v>239.51499999999999</v>
      </c>
      <c r="G63">
        <v>237.77</v>
      </c>
      <c r="H63">
        <v>217.006</v>
      </c>
      <c r="I63">
        <v>224.435</v>
      </c>
      <c r="J63">
        <v>249.30199999999999</v>
      </c>
      <c r="K63">
        <v>192.31899999999999</v>
      </c>
      <c r="L63">
        <v>218.89699999999999</v>
      </c>
      <c r="M63">
        <v>183.863</v>
      </c>
      <c r="N63">
        <v>279.27</v>
      </c>
      <c r="O63">
        <v>190.119</v>
      </c>
      <c r="P63">
        <v>235.39099999999999</v>
      </c>
      <c r="Q63">
        <v>219.386</v>
      </c>
      <c r="R63">
        <v>206.86099999999999</v>
      </c>
      <c r="S63">
        <v>207.41800000000001</v>
      </c>
      <c r="T63">
        <v>229.73699999999999</v>
      </c>
      <c r="U63">
        <v>250.25</v>
      </c>
      <c r="V63">
        <v>218.05099999999999</v>
      </c>
      <c r="W63">
        <v>216.76400000000001</v>
      </c>
      <c r="X63">
        <v>228.27600000000001</v>
      </c>
      <c r="Y63">
        <v>253.626</v>
      </c>
      <c r="Z63">
        <v>247.66499999999999</v>
      </c>
      <c r="AA63">
        <v>271.75400000000002</v>
      </c>
      <c r="AB63">
        <v>271.89400000000001</v>
      </c>
      <c r="AC63">
        <v>238.93800000000002</v>
      </c>
      <c r="AD63">
        <v>262.08</v>
      </c>
      <c r="AE63">
        <v>387.15599999999995</v>
      </c>
      <c r="AF63">
        <v>303.71100000000001</v>
      </c>
      <c r="AG63">
        <v>309.423</v>
      </c>
      <c r="AH63">
        <v>261.97800000000001</v>
      </c>
      <c r="AI63">
        <v>257.74299999999999</v>
      </c>
      <c r="AJ63">
        <v>271.59899999999999</v>
      </c>
      <c r="AK63">
        <v>261.99599999999998</v>
      </c>
      <c r="AL63">
        <v>275.74900000000002</v>
      </c>
      <c r="AM63">
        <v>293.01099999999997</v>
      </c>
      <c r="AN63">
        <v>279.06200000000001</v>
      </c>
      <c r="AO63">
        <v>281.49200000000002</v>
      </c>
      <c r="AP63">
        <v>314.77200000000005</v>
      </c>
      <c r="AQ63">
        <v>320.60000000000002</v>
      </c>
      <c r="AR63">
        <v>320.702</v>
      </c>
      <c r="AS63">
        <v>311.63</v>
      </c>
      <c r="AT63">
        <v>324.53800000000001</v>
      </c>
      <c r="AU63">
        <v>347.24400000000003</v>
      </c>
      <c r="AV63">
        <v>349.11500000000001</v>
      </c>
      <c r="AW63">
        <v>342.82900000000001</v>
      </c>
      <c r="AX63">
        <v>343.37200000000001</v>
      </c>
      <c r="AY63">
        <v>362.74099999999999</v>
      </c>
      <c r="AZ63">
        <v>361.03200000000004</v>
      </c>
      <c r="BA63">
        <v>359.67700000000002</v>
      </c>
      <c r="BB63">
        <v>335.06299999999999</v>
      </c>
      <c r="BC63">
        <v>341.09299999999996</v>
      </c>
      <c r="BD63">
        <v>369.96600000000001</v>
      </c>
      <c r="BE63">
        <v>375.12599999999998</v>
      </c>
      <c r="BF63">
        <v>368.50900000000001</v>
      </c>
      <c r="BG63">
        <v>362.5</v>
      </c>
      <c r="BH63">
        <v>399.77199999999999</v>
      </c>
      <c r="BI63">
        <v>380.90499999999997</v>
      </c>
      <c r="BJ63">
        <v>358.99399999999997</v>
      </c>
      <c r="BK63">
        <v>383.62300000000005</v>
      </c>
      <c r="BL63">
        <v>402.54300000000001</v>
      </c>
      <c r="BM63">
        <v>429.036</v>
      </c>
      <c r="BN63">
        <v>420.29999999999995</v>
      </c>
      <c r="BO63">
        <v>425.61400000000003</v>
      </c>
      <c r="BP63">
        <v>435.39099999999996</v>
      </c>
      <c r="BQ63">
        <v>462.95699999999999</v>
      </c>
      <c r="BR63">
        <v>471.81399999999996</v>
      </c>
      <c r="BS63">
        <v>463.923</v>
      </c>
      <c r="BT63">
        <v>478.428</v>
      </c>
      <c r="BU63">
        <v>499.14400000000001</v>
      </c>
      <c r="BV63">
        <v>488.88499999999999</v>
      </c>
      <c r="BW63">
        <v>518.91499999999996</v>
      </c>
      <c r="BX63">
        <v>582.38699999999994</v>
      </c>
      <c r="BY63">
        <v>598.35300000000007</v>
      </c>
      <c r="BZ63">
        <v>600.29999999999995</v>
      </c>
      <c r="CA63">
        <v>589.10699999999997</v>
      </c>
      <c r="CB63">
        <v>686.697</v>
      </c>
      <c r="CC63">
        <v>736.41700000000003</v>
      </c>
      <c r="CD63">
        <v>730.29200000000003</v>
      </c>
      <c r="CE63">
        <v>714.90200000000004</v>
      </c>
      <c r="CF63">
        <v>717.79099999999994</v>
      </c>
      <c r="CG63">
        <v>719.06399999999996</v>
      </c>
    </row>
    <row r="64" spans="1:85" x14ac:dyDescent="0.25">
      <c r="A64" t="s">
        <v>203</v>
      </c>
      <c r="B64" t="s">
        <v>204</v>
      </c>
      <c r="C64" t="s">
        <v>114</v>
      </c>
      <c r="D64" t="s">
        <v>114</v>
      </c>
      <c r="E64" t="s">
        <v>128</v>
      </c>
      <c r="F64">
        <v>214.37299999999999</v>
      </c>
      <c r="G64">
        <v>211.226</v>
      </c>
      <c r="H64">
        <v>199.83099999999999</v>
      </c>
      <c r="I64">
        <v>187.12299999999999</v>
      </c>
      <c r="J64">
        <v>209.392</v>
      </c>
      <c r="K64">
        <v>168.54499999999999</v>
      </c>
      <c r="L64">
        <v>201.41499999999999</v>
      </c>
      <c r="M64">
        <v>150.01900000000001</v>
      </c>
      <c r="N64">
        <v>240.19200000000001</v>
      </c>
      <c r="O64">
        <v>166.14500000000001</v>
      </c>
      <c r="P64">
        <v>206.261</v>
      </c>
      <c r="Q64">
        <v>198.232</v>
      </c>
      <c r="R64">
        <v>181.13800000000001</v>
      </c>
      <c r="S64">
        <v>179.16200000000001</v>
      </c>
      <c r="T64">
        <v>195.20099999999999</v>
      </c>
      <c r="U64">
        <v>226.755</v>
      </c>
      <c r="V64">
        <v>187.11199999999999</v>
      </c>
      <c r="W64">
        <v>187.393</v>
      </c>
      <c r="X64">
        <v>196.262</v>
      </c>
      <c r="Y64">
        <v>223.73500000000001</v>
      </c>
      <c r="Z64">
        <v>200.44399999999999</v>
      </c>
      <c r="AA64">
        <v>215.69</v>
      </c>
      <c r="AB64">
        <v>227.88399999999999</v>
      </c>
      <c r="AC64">
        <v>202.44900000000001</v>
      </c>
      <c r="AD64">
        <v>202.327</v>
      </c>
      <c r="AE64">
        <v>298.94299999999998</v>
      </c>
      <c r="AF64">
        <v>244.083</v>
      </c>
      <c r="AG64">
        <v>256.07799999999997</v>
      </c>
      <c r="AH64">
        <v>223.637</v>
      </c>
      <c r="AI64">
        <v>203.67400000000001</v>
      </c>
      <c r="AJ64">
        <v>215.452</v>
      </c>
      <c r="AK64">
        <v>217.95699999999999</v>
      </c>
      <c r="AL64">
        <v>231.88800000000001</v>
      </c>
      <c r="AM64">
        <v>230.56899999999999</v>
      </c>
      <c r="AN64">
        <v>226.935</v>
      </c>
      <c r="AO64">
        <v>230.15600000000001</v>
      </c>
      <c r="AP64">
        <v>269.10500000000002</v>
      </c>
      <c r="AQ64">
        <v>268.04700000000003</v>
      </c>
      <c r="AR64">
        <v>265.36599999999999</v>
      </c>
      <c r="AS64">
        <v>258.76</v>
      </c>
      <c r="AT64">
        <v>274.47800000000001</v>
      </c>
      <c r="AU64">
        <v>275.81900000000002</v>
      </c>
      <c r="AV64">
        <v>269.18099999999998</v>
      </c>
      <c r="AW64">
        <v>272.26</v>
      </c>
      <c r="AX64">
        <v>256.14800000000002</v>
      </c>
      <c r="AY64">
        <v>281.53899999999999</v>
      </c>
      <c r="AZ64">
        <v>284.03500000000003</v>
      </c>
      <c r="BA64">
        <v>272.32900000000001</v>
      </c>
      <c r="BB64">
        <v>255.821</v>
      </c>
      <c r="BC64">
        <v>264.66199999999998</v>
      </c>
      <c r="BD64">
        <v>275.34699999999998</v>
      </c>
      <c r="BE64">
        <v>271.26400000000001</v>
      </c>
      <c r="BF64">
        <v>276.32900000000001</v>
      </c>
      <c r="BG64">
        <v>279.536</v>
      </c>
      <c r="BH64">
        <v>309.815</v>
      </c>
      <c r="BI64">
        <v>280.024</v>
      </c>
      <c r="BJ64">
        <v>273.35399999999998</v>
      </c>
      <c r="BK64">
        <v>302.58600000000001</v>
      </c>
      <c r="BL64">
        <v>319.50400000000002</v>
      </c>
      <c r="BM64">
        <v>333.697</v>
      </c>
      <c r="BN64">
        <v>296.19799999999998</v>
      </c>
      <c r="BO64">
        <v>315.952</v>
      </c>
      <c r="BP64">
        <v>329.80099999999999</v>
      </c>
      <c r="BQ64">
        <v>343.05099999999999</v>
      </c>
      <c r="BR64">
        <v>336.91199999999998</v>
      </c>
      <c r="BS64">
        <v>319.27499999999998</v>
      </c>
      <c r="BT64">
        <v>351.673</v>
      </c>
      <c r="BU64">
        <v>366.51</v>
      </c>
      <c r="BV64">
        <v>354.80200000000002</v>
      </c>
      <c r="BW64">
        <v>374.20499999999998</v>
      </c>
      <c r="BX64">
        <v>415.95</v>
      </c>
      <c r="BY64">
        <v>466.46800000000002</v>
      </c>
      <c r="BZ64">
        <v>443.10199999999998</v>
      </c>
      <c r="CA64">
        <v>408.15</v>
      </c>
      <c r="CB64">
        <v>479.49900000000002</v>
      </c>
      <c r="CC64">
        <v>540.01800000000003</v>
      </c>
      <c r="CD64">
        <v>507.68400000000003</v>
      </c>
      <c r="CE64">
        <v>462.28699999999998</v>
      </c>
      <c r="CF64">
        <v>456.10199999999998</v>
      </c>
      <c r="CG64">
        <v>489.68</v>
      </c>
    </row>
    <row r="65" spans="1:85" x14ac:dyDescent="0.25">
      <c r="A65" t="s">
        <v>205</v>
      </c>
      <c r="B65" t="s">
        <v>206</v>
      </c>
      <c r="C65" t="s">
        <v>114</v>
      </c>
      <c r="D65" t="s">
        <v>114</v>
      </c>
      <c r="E65" t="s">
        <v>128</v>
      </c>
      <c r="F65">
        <v>25.141999999999999</v>
      </c>
      <c r="G65">
        <v>26.544</v>
      </c>
      <c r="H65">
        <v>17.175000000000001</v>
      </c>
      <c r="I65">
        <v>37.311999999999998</v>
      </c>
      <c r="J65">
        <v>39.909999999999997</v>
      </c>
      <c r="K65">
        <v>23.774000000000001</v>
      </c>
      <c r="L65">
        <v>17.481999999999999</v>
      </c>
      <c r="M65">
        <v>33.844000000000001</v>
      </c>
      <c r="N65">
        <v>39.078000000000003</v>
      </c>
      <c r="O65">
        <v>23.974</v>
      </c>
      <c r="P65">
        <v>29.13</v>
      </c>
      <c r="Q65">
        <v>21.154</v>
      </c>
      <c r="R65">
        <v>25.722999999999999</v>
      </c>
      <c r="S65">
        <v>28.256</v>
      </c>
      <c r="T65">
        <v>34.536000000000001</v>
      </c>
      <c r="U65">
        <v>23.495000000000001</v>
      </c>
      <c r="V65">
        <v>30.939</v>
      </c>
      <c r="W65">
        <v>29.370999999999999</v>
      </c>
      <c r="X65">
        <v>32.014000000000003</v>
      </c>
      <c r="Y65">
        <v>29.890999999999998</v>
      </c>
      <c r="Z65">
        <v>47.220999999999997</v>
      </c>
      <c r="AA65">
        <v>56.064</v>
      </c>
      <c r="AB65">
        <v>44.01</v>
      </c>
      <c r="AC65">
        <v>36.488999999999997</v>
      </c>
      <c r="AD65">
        <v>59.753</v>
      </c>
      <c r="AE65">
        <v>88.212999999999994</v>
      </c>
      <c r="AF65">
        <v>59.628</v>
      </c>
      <c r="AG65">
        <v>53.344999999999999</v>
      </c>
      <c r="AH65">
        <v>38.341000000000001</v>
      </c>
      <c r="AI65">
        <v>54.069000000000003</v>
      </c>
      <c r="AJ65">
        <v>56.146999999999998</v>
      </c>
      <c r="AK65">
        <v>44.039000000000001</v>
      </c>
      <c r="AL65">
        <v>43.860999999999997</v>
      </c>
      <c r="AM65">
        <v>62.442</v>
      </c>
      <c r="AN65">
        <v>52.127000000000002</v>
      </c>
      <c r="AO65">
        <v>51.335999999999999</v>
      </c>
      <c r="AP65">
        <v>45.667000000000002</v>
      </c>
      <c r="AQ65">
        <v>52.552999999999997</v>
      </c>
      <c r="AR65">
        <v>55.335999999999999</v>
      </c>
      <c r="AS65">
        <v>52.87</v>
      </c>
      <c r="AT65">
        <v>50.06</v>
      </c>
      <c r="AU65">
        <v>71.424999999999997</v>
      </c>
      <c r="AV65">
        <v>79.933999999999997</v>
      </c>
      <c r="AW65">
        <v>70.569000000000003</v>
      </c>
      <c r="AX65">
        <v>87.224000000000004</v>
      </c>
      <c r="AY65">
        <v>81.201999999999998</v>
      </c>
      <c r="AZ65">
        <v>76.997</v>
      </c>
      <c r="BA65">
        <v>87.347999999999999</v>
      </c>
      <c r="BB65">
        <v>79.242000000000004</v>
      </c>
      <c r="BC65">
        <v>76.430999999999997</v>
      </c>
      <c r="BD65">
        <v>94.619</v>
      </c>
      <c r="BE65">
        <v>103.86199999999999</v>
      </c>
      <c r="BF65">
        <v>92.18</v>
      </c>
      <c r="BG65">
        <v>82.963999999999999</v>
      </c>
      <c r="BH65">
        <v>89.956999999999994</v>
      </c>
      <c r="BI65">
        <v>100.881</v>
      </c>
      <c r="BJ65">
        <v>85.64</v>
      </c>
      <c r="BK65">
        <v>81.037000000000006</v>
      </c>
      <c r="BL65">
        <v>83.039000000000001</v>
      </c>
      <c r="BM65">
        <v>95.338999999999999</v>
      </c>
      <c r="BN65">
        <v>124.102</v>
      </c>
      <c r="BO65">
        <v>109.66200000000001</v>
      </c>
      <c r="BP65">
        <v>105.59</v>
      </c>
      <c r="BQ65">
        <v>119.90600000000001</v>
      </c>
      <c r="BR65">
        <v>134.90199999999999</v>
      </c>
      <c r="BS65">
        <v>144.648</v>
      </c>
      <c r="BT65">
        <v>126.755</v>
      </c>
      <c r="BU65">
        <v>132.63399999999999</v>
      </c>
      <c r="BV65">
        <v>134.083</v>
      </c>
      <c r="BW65">
        <v>144.71</v>
      </c>
      <c r="BX65">
        <v>166.43700000000001</v>
      </c>
      <c r="BY65">
        <v>131.88499999999999</v>
      </c>
      <c r="BZ65">
        <v>157.19800000000001</v>
      </c>
      <c r="CA65">
        <v>180.95699999999999</v>
      </c>
      <c r="CB65">
        <v>207.19800000000001</v>
      </c>
      <c r="CC65">
        <v>196.399</v>
      </c>
      <c r="CD65">
        <v>222.608</v>
      </c>
      <c r="CE65">
        <v>252.61500000000001</v>
      </c>
      <c r="CF65">
        <v>261.68900000000002</v>
      </c>
      <c r="CG65">
        <v>229.38399999999999</v>
      </c>
    </row>
    <row r="66" spans="1:85" x14ac:dyDescent="0.25">
      <c r="A66" t="s">
        <v>207</v>
      </c>
      <c r="B66" t="s">
        <v>208</v>
      </c>
      <c r="C66" t="s">
        <v>114</v>
      </c>
      <c r="D66" t="s">
        <v>114</v>
      </c>
      <c r="E66" t="s">
        <v>128</v>
      </c>
      <c r="F66">
        <v>104.428</v>
      </c>
      <c r="G66">
        <v>104.428</v>
      </c>
      <c r="H66">
        <v>104.428</v>
      </c>
      <c r="I66">
        <v>103.925</v>
      </c>
      <c r="J66">
        <v>103.925</v>
      </c>
      <c r="K66">
        <v>103.925</v>
      </c>
      <c r="L66">
        <v>103.925</v>
      </c>
      <c r="M66">
        <v>103.505</v>
      </c>
      <c r="N66">
        <v>103.505</v>
      </c>
      <c r="O66">
        <v>103.505</v>
      </c>
      <c r="P66">
        <v>103.506</v>
      </c>
      <c r="Q66">
        <v>103.50700000000001</v>
      </c>
      <c r="R66">
        <v>103.57</v>
      </c>
      <c r="S66">
        <v>103.57</v>
      </c>
      <c r="T66">
        <v>103.578</v>
      </c>
      <c r="U66">
        <v>103.578</v>
      </c>
      <c r="V66">
        <v>102.833</v>
      </c>
      <c r="W66">
        <v>102.833</v>
      </c>
      <c r="X66">
        <v>102.833</v>
      </c>
      <c r="Y66">
        <v>102.833</v>
      </c>
      <c r="Z66">
        <v>103.61</v>
      </c>
      <c r="AA66">
        <v>103.61</v>
      </c>
      <c r="AB66">
        <v>103.61</v>
      </c>
      <c r="AC66">
        <v>103.61</v>
      </c>
      <c r="AD66">
        <v>103.27200000000001</v>
      </c>
      <c r="AE66">
        <v>103.27200000000001</v>
      </c>
      <c r="AF66">
        <v>103.27200000000001</v>
      </c>
      <c r="AG66">
        <v>103.197</v>
      </c>
      <c r="AH66">
        <v>103.197</v>
      </c>
      <c r="AI66">
        <v>103.321</v>
      </c>
      <c r="AJ66">
        <v>103.321</v>
      </c>
      <c r="AK66">
        <v>103.321</v>
      </c>
      <c r="AL66">
        <v>103.321</v>
      </c>
      <c r="AM66">
        <v>103.76</v>
      </c>
      <c r="AN66">
        <v>103.76</v>
      </c>
      <c r="AO66">
        <v>103.76</v>
      </c>
      <c r="AP66">
        <v>103.76</v>
      </c>
      <c r="AQ66">
        <v>103.76</v>
      </c>
      <c r="AR66">
        <v>103.753</v>
      </c>
      <c r="AS66">
        <v>103.753</v>
      </c>
      <c r="AT66">
        <v>103.753</v>
      </c>
      <c r="AU66">
        <v>103.754</v>
      </c>
      <c r="AV66">
        <v>104.93899999999999</v>
      </c>
      <c r="AW66">
        <v>104.93899999999999</v>
      </c>
      <c r="AX66">
        <v>104.93899999999999</v>
      </c>
      <c r="AY66">
        <v>104.93899999999999</v>
      </c>
      <c r="AZ66">
        <v>104.93899999999999</v>
      </c>
      <c r="BA66">
        <v>104.473</v>
      </c>
      <c r="BB66">
        <v>104.473</v>
      </c>
      <c r="BC66">
        <v>104.473</v>
      </c>
      <c r="BD66">
        <v>104.473</v>
      </c>
      <c r="BE66">
        <v>105.066</v>
      </c>
      <c r="BF66">
        <v>105.066</v>
      </c>
      <c r="BG66">
        <v>105.066</v>
      </c>
      <c r="BH66">
        <v>105.066</v>
      </c>
      <c r="BI66">
        <v>105.30200000000001</v>
      </c>
      <c r="BJ66">
        <v>105.30200000000001</v>
      </c>
      <c r="BK66">
        <v>105.30200000000001</v>
      </c>
      <c r="BL66">
        <v>105.303</v>
      </c>
      <c r="BM66">
        <v>105.303</v>
      </c>
      <c r="BN66">
        <v>104.871</v>
      </c>
      <c r="BO66">
        <v>104.871</v>
      </c>
      <c r="BP66">
        <v>104.871</v>
      </c>
      <c r="BQ66">
        <v>104.871</v>
      </c>
      <c r="BR66">
        <v>104.893</v>
      </c>
      <c r="BS66">
        <v>104.893</v>
      </c>
      <c r="BT66">
        <v>104.89400000000001</v>
      </c>
      <c r="BU66">
        <v>104.89400000000001</v>
      </c>
      <c r="BV66">
        <v>105.61799999999999</v>
      </c>
      <c r="BW66">
        <v>105.61799999999999</v>
      </c>
      <c r="BX66">
        <v>105.61799999999999</v>
      </c>
      <c r="BY66">
        <v>105.61799999999999</v>
      </c>
      <c r="BZ66">
        <v>105.434</v>
      </c>
      <c r="CA66">
        <v>105.434</v>
      </c>
      <c r="CB66">
        <v>105.434</v>
      </c>
      <c r="CC66">
        <v>105.434</v>
      </c>
      <c r="CD66">
        <v>106.008</v>
      </c>
      <c r="CE66">
        <v>106.008</v>
      </c>
      <c r="CF66">
        <v>106.008</v>
      </c>
      <c r="CG66">
        <v>106.008</v>
      </c>
    </row>
    <row r="67" spans="1:85" x14ac:dyDescent="0.25">
      <c r="A67" t="s">
        <v>209</v>
      </c>
      <c r="B67" t="s">
        <v>210</v>
      </c>
      <c r="C67" t="s">
        <v>114</v>
      </c>
      <c r="D67" t="s">
        <v>114</v>
      </c>
      <c r="E67" t="s">
        <v>128</v>
      </c>
      <c r="F67">
        <v>1.0999999999999999E-2</v>
      </c>
      <c r="G67">
        <v>5.0000000000000001E-3</v>
      </c>
      <c r="H67">
        <v>1.0999999999999999E-2</v>
      </c>
      <c r="I67">
        <v>3.6999999999999998E-2</v>
      </c>
      <c r="J67">
        <v>6.4000000000000001E-2</v>
      </c>
      <c r="K67">
        <v>0.125</v>
      </c>
      <c r="L67">
        <v>1.0999999999999999E-2</v>
      </c>
      <c r="M67">
        <v>0</v>
      </c>
      <c r="N67">
        <v>0.751</v>
      </c>
      <c r="O67">
        <v>1.7999999999999999E-2</v>
      </c>
      <c r="P67">
        <v>0</v>
      </c>
      <c r="Q67">
        <v>0</v>
      </c>
      <c r="R67">
        <v>0.222</v>
      </c>
      <c r="S67">
        <v>1.417</v>
      </c>
      <c r="T67">
        <v>0.91700000000000004</v>
      </c>
      <c r="U67">
        <v>2E-3</v>
      </c>
      <c r="V67">
        <v>0.28399999999999997</v>
      </c>
      <c r="W67">
        <v>0.77600000000000002</v>
      </c>
      <c r="X67">
        <v>0.187</v>
      </c>
      <c r="Y67">
        <v>0.13500000000000001</v>
      </c>
      <c r="Z67">
        <v>0.54800000000000004</v>
      </c>
      <c r="AA67">
        <v>0.255</v>
      </c>
      <c r="AB67">
        <v>0.17899999999999999</v>
      </c>
      <c r="AC67">
        <v>0.114</v>
      </c>
      <c r="AD67">
        <v>3.1E-2</v>
      </c>
      <c r="AE67">
        <v>0.27</v>
      </c>
      <c r="AF67">
        <v>0.27400000000000002</v>
      </c>
      <c r="AG67">
        <v>0.34100000000000003</v>
      </c>
      <c r="AH67">
        <v>0.128</v>
      </c>
      <c r="AI67">
        <v>0.158</v>
      </c>
      <c r="AJ67">
        <v>7.3999999999999996E-2</v>
      </c>
      <c r="AK67">
        <v>0.18099999999999999</v>
      </c>
      <c r="AL67">
        <v>0</v>
      </c>
      <c r="AM67">
        <v>2E-3</v>
      </c>
      <c r="AN67">
        <v>2.4E-2</v>
      </c>
      <c r="AO67">
        <v>0</v>
      </c>
      <c r="AP67">
        <v>0</v>
      </c>
      <c r="AQ67">
        <v>0.314</v>
      </c>
      <c r="AR67">
        <v>0.10100000000000001</v>
      </c>
      <c r="AS67">
        <v>0.12</v>
      </c>
      <c r="AT67">
        <v>0.246</v>
      </c>
      <c r="AU67">
        <v>6.7000000000000004E-2</v>
      </c>
      <c r="AV67">
        <v>2.2490000000000001</v>
      </c>
      <c r="AW67">
        <v>0.13100000000000001</v>
      </c>
      <c r="AX67">
        <v>1.4999999999999999E-2</v>
      </c>
      <c r="AY67">
        <v>0.111</v>
      </c>
      <c r="AZ67">
        <v>0.21199999999999999</v>
      </c>
      <c r="BA67">
        <v>1.9E-2</v>
      </c>
      <c r="BB67">
        <v>0.72899999999999998</v>
      </c>
      <c r="BC67">
        <v>1.7999999999999999E-2</v>
      </c>
      <c r="BD67">
        <v>0.13500000000000001</v>
      </c>
      <c r="BE67">
        <v>0.438</v>
      </c>
      <c r="BF67">
        <v>2.9000000000000001E-2</v>
      </c>
      <c r="BG67">
        <v>3.5449999999999999</v>
      </c>
      <c r="BH67">
        <v>0.20599999999999999</v>
      </c>
      <c r="BI67">
        <v>1.0629999999999999</v>
      </c>
      <c r="BJ67">
        <v>2.4E-2</v>
      </c>
      <c r="BK67">
        <v>0.50600000000000001</v>
      </c>
      <c r="BL67">
        <v>0.122</v>
      </c>
      <c r="BM67">
        <v>1.1970000000000001</v>
      </c>
      <c r="BN67">
        <v>1.881</v>
      </c>
      <c r="BO67">
        <v>5.0000000000000001E-3</v>
      </c>
      <c r="BP67">
        <v>5.0999999999999997E-2</v>
      </c>
      <c r="BQ67">
        <v>0.57499999999999996</v>
      </c>
      <c r="BR67">
        <v>1.9E-2</v>
      </c>
      <c r="BS67">
        <v>1.5069999999999999</v>
      </c>
      <c r="BT67">
        <v>0.21199999999999999</v>
      </c>
      <c r="BU67">
        <v>1.2E-2</v>
      </c>
      <c r="BV67">
        <v>1.4999999999999999E-2</v>
      </c>
      <c r="BW67">
        <v>0.48599999999999999</v>
      </c>
      <c r="BX67">
        <v>1E-3</v>
      </c>
      <c r="BY67">
        <v>1.7809999999999999</v>
      </c>
      <c r="BZ67">
        <v>0</v>
      </c>
      <c r="CA67">
        <v>7.0000000000000001E-3</v>
      </c>
      <c r="CB67">
        <v>2E-3</v>
      </c>
      <c r="CC67">
        <v>1.032</v>
      </c>
      <c r="CD67">
        <v>0.151</v>
      </c>
      <c r="CE67">
        <v>0.127</v>
      </c>
      <c r="CF67">
        <v>3.3620000000000001</v>
      </c>
      <c r="CG67">
        <v>13.871</v>
      </c>
    </row>
    <row r="68" spans="1:85" x14ac:dyDescent="0.25">
      <c r="A68" t="s">
        <v>211</v>
      </c>
      <c r="B68" t="s">
        <v>212</v>
      </c>
      <c r="C68" t="s">
        <v>114</v>
      </c>
      <c r="D68" t="s">
        <v>114</v>
      </c>
      <c r="E68" t="s">
        <v>128</v>
      </c>
      <c r="F68">
        <v>374.81400000000002</v>
      </c>
      <c r="G68">
        <v>376.55399999999997</v>
      </c>
      <c r="H68">
        <v>331.75700000000001</v>
      </c>
      <c r="I68">
        <v>359.74400000000003</v>
      </c>
      <c r="J68">
        <v>378.291</v>
      </c>
      <c r="K68">
        <v>362.38600000000002</v>
      </c>
      <c r="L68">
        <v>340.428</v>
      </c>
      <c r="M68">
        <v>345.09199999999998</v>
      </c>
      <c r="N68">
        <v>357.29599999999999</v>
      </c>
      <c r="O68">
        <v>333.416</v>
      </c>
      <c r="P68">
        <v>302.11700000000002</v>
      </c>
      <c r="Q68">
        <v>297.01499999999999</v>
      </c>
      <c r="R68">
        <v>297.40499999999997</v>
      </c>
      <c r="S68">
        <v>310.505</v>
      </c>
      <c r="T68">
        <v>291.70499999999998</v>
      </c>
      <c r="U68">
        <v>276.26100000000002</v>
      </c>
      <c r="V68">
        <v>314.048</v>
      </c>
      <c r="W68">
        <v>325.82799999999997</v>
      </c>
      <c r="X68">
        <v>315.08600000000001</v>
      </c>
      <c r="Y68">
        <v>291.69499999999999</v>
      </c>
      <c r="Z68">
        <v>302.99299999999999</v>
      </c>
      <c r="AA68">
        <v>324.57299999999998</v>
      </c>
      <c r="AB68">
        <v>325.32499999999999</v>
      </c>
      <c r="AC68">
        <v>311.245</v>
      </c>
      <c r="AD68">
        <v>311.827</v>
      </c>
      <c r="AE68">
        <v>317.35300000000001</v>
      </c>
      <c r="AF68">
        <v>330.68099999999998</v>
      </c>
      <c r="AG68">
        <v>318.75700000000001</v>
      </c>
      <c r="AH68">
        <v>324.17500000000001</v>
      </c>
      <c r="AI68">
        <v>324.86200000000002</v>
      </c>
      <c r="AJ68">
        <v>346.976</v>
      </c>
      <c r="AK68">
        <v>328.96199999999999</v>
      </c>
      <c r="AL68">
        <v>319.57400000000001</v>
      </c>
      <c r="AM68">
        <v>310.11399999999998</v>
      </c>
      <c r="AN68">
        <v>330.59100000000001</v>
      </c>
      <c r="AO68">
        <v>331.96100000000001</v>
      </c>
      <c r="AP68">
        <v>305.33800000000002</v>
      </c>
      <c r="AQ68">
        <v>302.80200000000002</v>
      </c>
      <c r="AR68">
        <v>312.16399999999999</v>
      </c>
      <c r="AS68">
        <v>324.166</v>
      </c>
      <c r="AT68">
        <v>319.471</v>
      </c>
      <c r="AU68">
        <v>301.161</v>
      </c>
      <c r="AV68">
        <v>306.36099999999999</v>
      </c>
      <c r="AW68">
        <v>316.68200000000002</v>
      </c>
      <c r="AX68">
        <v>314.39699999999999</v>
      </c>
      <c r="AY68">
        <v>295.61</v>
      </c>
      <c r="AZ68">
        <v>299.988</v>
      </c>
      <c r="BA68">
        <v>309.66000000000003</v>
      </c>
      <c r="BB68">
        <v>329.93200000000002</v>
      </c>
      <c r="BC68">
        <v>328.02300000000002</v>
      </c>
      <c r="BD68">
        <v>298.52600000000001</v>
      </c>
      <c r="BE68">
        <v>302.26799999999997</v>
      </c>
      <c r="BF68">
        <v>320.50599999999997</v>
      </c>
      <c r="BG68">
        <v>319.65199999999999</v>
      </c>
      <c r="BH68">
        <v>288.52</v>
      </c>
      <c r="BI68">
        <v>305.68900000000002</v>
      </c>
      <c r="BJ68">
        <v>330.19600000000003</v>
      </c>
      <c r="BK68">
        <v>327.517</v>
      </c>
      <c r="BL68">
        <v>295.29199999999997</v>
      </c>
      <c r="BM68">
        <v>282.67500000000001</v>
      </c>
      <c r="BN68">
        <v>286.08800000000002</v>
      </c>
      <c r="BO68">
        <v>287.01799999999997</v>
      </c>
      <c r="BP68">
        <v>291.42500000000001</v>
      </c>
      <c r="BQ68">
        <v>278.39999999999998</v>
      </c>
      <c r="BR68">
        <v>282.91199999999998</v>
      </c>
      <c r="BS68">
        <v>296.17700000000002</v>
      </c>
      <c r="BT68">
        <v>286.14600000000002</v>
      </c>
      <c r="BU68">
        <v>280.05700000000002</v>
      </c>
      <c r="BV68">
        <v>301.666</v>
      </c>
      <c r="BW68">
        <v>285.96699999999998</v>
      </c>
      <c r="BX68">
        <v>285.26600000000002</v>
      </c>
      <c r="BY68">
        <v>271.88900000000001</v>
      </c>
      <c r="BZ68">
        <v>276.584</v>
      </c>
      <c r="CA68">
        <v>283.36099999999999</v>
      </c>
      <c r="CB68">
        <v>327.53899999999999</v>
      </c>
      <c r="CC68">
        <v>285.71199999999999</v>
      </c>
      <c r="CD68">
        <v>242.71899999999999</v>
      </c>
      <c r="CE68">
        <v>261.762</v>
      </c>
      <c r="CF68">
        <v>281.92700000000002</v>
      </c>
      <c r="CG68">
        <v>263.24299999999999</v>
      </c>
    </row>
    <row r="69" spans="1:85" x14ac:dyDescent="0.25">
      <c r="A69" t="s">
        <v>213</v>
      </c>
      <c r="B69" t="s">
        <v>214</v>
      </c>
      <c r="C69" t="s">
        <v>114</v>
      </c>
      <c r="D69" t="s">
        <v>114</v>
      </c>
      <c r="E69" t="s">
        <v>128</v>
      </c>
      <c r="F69">
        <v>-0.1</v>
      </c>
      <c r="G69">
        <v>-0.1</v>
      </c>
      <c r="H69">
        <v>-0.1</v>
      </c>
      <c r="I69">
        <v>-0.1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114</v>
      </c>
      <c r="X69" t="s">
        <v>114</v>
      </c>
      <c r="Y69" t="s">
        <v>114</v>
      </c>
      <c r="Z69">
        <v>0</v>
      </c>
      <c r="AA69" t="s">
        <v>114</v>
      </c>
      <c r="AB69" t="s">
        <v>114</v>
      </c>
      <c r="AC69" t="s">
        <v>114</v>
      </c>
      <c r="AD69">
        <v>0</v>
      </c>
      <c r="AE69" t="s">
        <v>114</v>
      </c>
      <c r="AF69" t="s">
        <v>114</v>
      </c>
      <c r="AG69" t="s">
        <v>114</v>
      </c>
      <c r="AH69" t="s">
        <v>114</v>
      </c>
      <c r="AI69">
        <v>0</v>
      </c>
      <c r="AJ69" t="s">
        <v>114</v>
      </c>
      <c r="AK69" t="s">
        <v>114</v>
      </c>
      <c r="AL69" t="s">
        <v>114</v>
      </c>
      <c r="AM69">
        <v>0</v>
      </c>
      <c r="AN69" t="s">
        <v>114</v>
      </c>
      <c r="AO69" t="s">
        <v>114</v>
      </c>
      <c r="AP69" t="s">
        <v>114</v>
      </c>
      <c r="AQ69" t="s">
        <v>114</v>
      </c>
      <c r="AR69">
        <v>0</v>
      </c>
      <c r="AS69" t="s">
        <v>114</v>
      </c>
      <c r="AT69" t="s">
        <v>114</v>
      </c>
      <c r="AU69" t="s">
        <v>114</v>
      </c>
      <c r="AV69">
        <v>0</v>
      </c>
      <c r="AW69" t="s">
        <v>114</v>
      </c>
      <c r="AX69" t="s">
        <v>114</v>
      </c>
      <c r="AY69" t="s">
        <v>114</v>
      </c>
      <c r="AZ69" t="s">
        <v>114</v>
      </c>
      <c r="BA69">
        <v>0</v>
      </c>
      <c r="BB69" t="s">
        <v>114</v>
      </c>
      <c r="BC69" t="s">
        <v>114</v>
      </c>
      <c r="BD69" t="s">
        <v>114</v>
      </c>
      <c r="BE69">
        <v>0</v>
      </c>
      <c r="BF69" t="s">
        <v>114</v>
      </c>
      <c r="BG69" t="s">
        <v>114</v>
      </c>
      <c r="BH69" t="s">
        <v>114</v>
      </c>
      <c r="BI69">
        <v>0</v>
      </c>
      <c r="BJ69" t="s">
        <v>114</v>
      </c>
      <c r="BK69" t="s">
        <v>114</v>
      </c>
      <c r="BL69" t="s">
        <v>114</v>
      </c>
      <c r="BM69" t="s">
        <v>114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215</v>
      </c>
      <c r="B70" t="s">
        <v>114</v>
      </c>
      <c r="C70" t="s">
        <v>114</v>
      </c>
      <c r="D70" t="s">
        <v>114</v>
      </c>
      <c r="E70" t="s">
        <v>115</v>
      </c>
      <c r="F70" t="s">
        <v>114</v>
      </c>
      <c r="G70" t="s">
        <v>114</v>
      </c>
      <c r="H70" t="s">
        <v>114</v>
      </c>
      <c r="I70" t="s">
        <v>114</v>
      </c>
      <c r="J70" t="s">
        <v>114</v>
      </c>
      <c r="K70" t="s">
        <v>114</v>
      </c>
      <c r="L70" t="s">
        <v>114</v>
      </c>
      <c r="M70" t="s">
        <v>114</v>
      </c>
      <c r="N70" t="s">
        <v>114</v>
      </c>
      <c r="O70" t="s">
        <v>114</v>
      </c>
      <c r="P70" t="s">
        <v>114</v>
      </c>
      <c r="Q70" t="s">
        <v>114</v>
      </c>
      <c r="R70" t="s">
        <v>114</v>
      </c>
      <c r="S70" t="s">
        <v>114</v>
      </c>
      <c r="T70" t="s">
        <v>114</v>
      </c>
      <c r="U70" t="s">
        <v>114</v>
      </c>
      <c r="V70" t="s">
        <v>114</v>
      </c>
      <c r="W70" t="s">
        <v>114</v>
      </c>
      <c r="X70" t="s">
        <v>114</v>
      </c>
      <c r="Y70" t="s">
        <v>114</v>
      </c>
      <c r="Z70" t="s">
        <v>114</v>
      </c>
      <c r="AA70" t="s">
        <v>114</v>
      </c>
      <c r="AB70" t="s">
        <v>114</v>
      </c>
      <c r="AC70" t="s">
        <v>114</v>
      </c>
      <c r="AD70" t="s">
        <v>114</v>
      </c>
      <c r="AE70" t="s">
        <v>114</v>
      </c>
      <c r="AF70" t="s">
        <v>114</v>
      </c>
      <c r="AG70" t="s">
        <v>114</v>
      </c>
      <c r="AH70" t="s">
        <v>114</v>
      </c>
      <c r="AI70" t="s">
        <v>114</v>
      </c>
      <c r="AJ70" t="s">
        <v>114</v>
      </c>
      <c r="AK70" t="s">
        <v>114</v>
      </c>
      <c r="AL70" t="s">
        <v>114</v>
      </c>
      <c r="AM70" t="s">
        <v>114</v>
      </c>
      <c r="AN70" t="s">
        <v>114</v>
      </c>
      <c r="AO70" t="s">
        <v>114</v>
      </c>
      <c r="AP70" t="s">
        <v>114</v>
      </c>
      <c r="AQ70" t="s">
        <v>114</v>
      </c>
      <c r="AR70" t="s">
        <v>114</v>
      </c>
      <c r="AS70" t="s">
        <v>114</v>
      </c>
      <c r="AT70" t="s">
        <v>114</v>
      </c>
      <c r="AU70" t="s">
        <v>114</v>
      </c>
      <c r="AV70" t="s">
        <v>114</v>
      </c>
      <c r="AW70" t="s">
        <v>114</v>
      </c>
      <c r="AX70" t="s">
        <v>114</v>
      </c>
      <c r="AY70" t="s">
        <v>114</v>
      </c>
      <c r="AZ70" t="s">
        <v>114</v>
      </c>
      <c r="BA70" t="s">
        <v>114</v>
      </c>
      <c r="BB70" t="s">
        <v>114</v>
      </c>
      <c r="BC70" t="s">
        <v>114</v>
      </c>
      <c r="BD70" t="s">
        <v>114</v>
      </c>
      <c r="BE70" t="s">
        <v>114</v>
      </c>
      <c r="BF70" t="s">
        <v>114</v>
      </c>
      <c r="BG70" t="s">
        <v>114</v>
      </c>
      <c r="BH70" t="s">
        <v>114</v>
      </c>
      <c r="BI70" t="s">
        <v>114</v>
      </c>
      <c r="BJ70" t="s">
        <v>114</v>
      </c>
      <c r="BK70" t="s">
        <v>114</v>
      </c>
      <c r="BL70" t="s">
        <v>114</v>
      </c>
      <c r="BM70" t="s">
        <v>114</v>
      </c>
      <c r="BN70" t="s">
        <v>114</v>
      </c>
      <c r="BO70" t="s">
        <v>114</v>
      </c>
      <c r="BP70" t="s">
        <v>114</v>
      </c>
      <c r="BQ70" t="s">
        <v>114</v>
      </c>
      <c r="BR70" t="s">
        <v>114</v>
      </c>
      <c r="BS70" t="s">
        <v>114</v>
      </c>
      <c r="BT70" t="s">
        <v>114</v>
      </c>
      <c r="BU70" t="s">
        <v>114</v>
      </c>
      <c r="BV70" t="s">
        <v>114</v>
      </c>
      <c r="BW70" t="s">
        <v>114</v>
      </c>
      <c r="BX70" t="s">
        <v>114</v>
      </c>
      <c r="BY70" t="s">
        <v>114</v>
      </c>
      <c r="BZ70" t="s">
        <v>114</v>
      </c>
      <c r="CA70" t="s">
        <v>114</v>
      </c>
      <c r="CB70" t="s">
        <v>114</v>
      </c>
      <c r="CC70" t="s">
        <v>114</v>
      </c>
      <c r="CD70" t="s">
        <v>114</v>
      </c>
      <c r="CE70" t="s">
        <v>114</v>
      </c>
      <c r="CF70" t="s">
        <v>114</v>
      </c>
      <c r="CG70" t="s">
        <v>114</v>
      </c>
    </row>
    <row r="71" spans="1:85" x14ac:dyDescent="0.25">
      <c r="A71" t="s">
        <v>216</v>
      </c>
      <c r="B71" t="s">
        <v>114</v>
      </c>
      <c r="C71" t="s">
        <v>114</v>
      </c>
      <c r="D71" t="s">
        <v>114</v>
      </c>
      <c r="E71" t="s">
        <v>117</v>
      </c>
      <c r="F71" t="s">
        <v>114</v>
      </c>
      <c r="G71" t="s">
        <v>114</v>
      </c>
      <c r="H71" t="s">
        <v>114</v>
      </c>
      <c r="I71" t="s">
        <v>114</v>
      </c>
      <c r="J71" t="s">
        <v>114</v>
      </c>
      <c r="K71" t="s">
        <v>114</v>
      </c>
      <c r="L71" t="s">
        <v>114</v>
      </c>
      <c r="M71" t="s">
        <v>114</v>
      </c>
      <c r="N71" t="s">
        <v>114</v>
      </c>
      <c r="O71" t="s">
        <v>114</v>
      </c>
      <c r="P71" t="s">
        <v>114</v>
      </c>
      <c r="Q71" t="s">
        <v>114</v>
      </c>
      <c r="R71" t="s">
        <v>114</v>
      </c>
      <c r="S71" t="s">
        <v>114</v>
      </c>
      <c r="T71" t="s">
        <v>114</v>
      </c>
      <c r="U71" t="s">
        <v>114</v>
      </c>
      <c r="V71" t="s">
        <v>114</v>
      </c>
      <c r="W71" t="s">
        <v>114</v>
      </c>
      <c r="X71" t="s">
        <v>114</v>
      </c>
      <c r="Y71" t="s">
        <v>114</v>
      </c>
      <c r="Z71" t="s">
        <v>114</v>
      </c>
      <c r="AA71" t="s">
        <v>114</v>
      </c>
      <c r="AB71" t="s">
        <v>114</v>
      </c>
      <c r="AC71" t="s">
        <v>114</v>
      </c>
      <c r="AD71" t="s">
        <v>114</v>
      </c>
      <c r="AE71" t="s">
        <v>114</v>
      </c>
      <c r="AF71" t="s">
        <v>114</v>
      </c>
      <c r="AG71" t="s">
        <v>114</v>
      </c>
      <c r="AH71" t="s">
        <v>114</v>
      </c>
      <c r="AI71" t="s">
        <v>114</v>
      </c>
      <c r="AJ71" t="s">
        <v>114</v>
      </c>
      <c r="AK71" t="s">
        <v>114</v>
      </c>
      <c r="AL71" t="s">
        <v>114</v>
      </c>
      <c r="AM71" t="s">
        <v>114</v>
      </c>
      <c r="AN71" t="s">
        <v>114</v>
      </c>
      <c r="AO71" t="s">
        <v>114</v>
      </c>
      <c r="AP71" t="s">
        <v>114</v>
      </c>
      <c r="AQ71" t="s">
        <v>114</v>
      </c>
      <c r="AR71" t="s">
        <v>114</v>
      </c>
      <c r="AS71" t="s">
        <v>114</v>
      </c>
      <c r="AT71" t="s">
        <v>114</v>
      </c>
      <c r="AU71" t="s">
        <v>114</v>
      </c>
      <c r="AV71" t="s">
        <v>114</v>
      </c>
      <c r="AW71" t="s">
        <v>114</v>
      </c>
      <c r="AX71" t="s">
        <v>114</v>
      </c>
      <c r="AY71" t="s">
        <v>114</v>
      </c>
      <c r="AZ71" t="s">
        <v>114</v>
      </c>
      <c r="BA71" t="s">
        <v>114</v>
      </c>
      <c r="BB71" t="s">
        <v>114</v>
      </c>
      <c r="BC71" t="s">
        <v>114</v>
      </c>
      <c r="BD71" t="s">
        <v>114</v>
      </c>
      <c r="BE71" t="s">
        <v>114</v>
      </c>
      <c r="BF71" t="s">
        <v>114</v>
      </c>
      <c r="BG71" t="s">
        <v>114</v>
      </c>
      <c r="BH71" t="s">
        <v>114</v>
      </c>
      <c r="BI71" t="s">
        <v>114</v>
      </c>
      <c r="BJ71" t="s">
        <v>114</v>
      </c>
      <c r="BK71" t="s">
        <v>114</v>
      </c>
      <c r="BL71" t="s">
        <v>114</v>
      </c>
      <c r="BM71" t="s">
        <v>114</v>
      </c>
      <c r="BN71" t="s">
        <v>114</v>
      </c>
      <c r="BO71" t="s">
        <v>114</v>
      </c>
      <c r="BP71" t="s">
        <v>114</v>
      </c>
      <c r="BQ71" t="s">
        <v>114</v>
      </c>
      <c r="BR71" t="s">
        <v>114</v>
      </c>
      <c r="BS71" t="s">
        <v>114</v>
      </c>
      <c r="BT71" t="s">
        <v>114</v>
      </c>
      <c r="BU71" t="s">
        <v>114</v>
      </c>
      <c r="BV71" t="s">
        <v>114</v>
      </c>
      <c r="BW71" t="s">
        <v>114</v>
      </c>
      <c r="BX71" t="s">
        <v>114</v>
      </c>
      <c r="BY71" t="s">
        <v>114</v>
      </c>
      <c r="BZ71" t="s">
        <v>114</v>
      </c>
      <c r="CA71" t="s">
        <v>114</v>
      </c>
      <c r="CB71" t="s">
        <v>114</v>
      </c>
      <c r="CC71" t="s">
        <v>114</v>
      </c>
      <c r="CD71" t="s">
        <v>114</v>
      </c>
      <c r="CE71" t="s">
        <v>114</v>
      </c>
      <c r="CF71" t="s">
        <v>114</v>
      </c>
      <c r="CG71" t="s">
        <v>114</v>
      </c>
    </row>
    <row r="72" spans="1:85" x14ac:dyDescent="0.25">
      <c r="A72" t="s">
        <v>114</v>
      </c>
      <c r="B72" t="s">
        <v>114</v>
      </c>
      <c r="C72" t="s">
        <v>114</v>
      </c>
      <c r="D72" t="s">
        <v>114</v>
      </c>
      <c r="E72" t="s">
        <v>115</v>
      </c>
      <c r="F72" t="s">
        <v>114</v>
      </c>
      <c r="G72" t="s">
        <v>114</v>
      </c>
      <c r="H72" t="s">
        <v>114</v>
      </c>
      <c r="I72" t="s">
        <v>114</v>
      </c>
      <c r="J72" t="s">
        <v>114</v>
      </c>
      <c r="K72" t="s">
        <v>114</v>
      </c>
      <c r="L72" t="s">
        <v>114</v>
      </c>
      <c r="M72" t="s">
        <v>114</v>
      </c>
      <c r="N72" t="s">
        <v>114</v>
      </c>
      <c r="O72" t="s">
        <v>114</v>
      </c>
      <c r="P72" t="s">
        <v>114</v>
      </c>
      <c r="Q72" t="s">
        <v>114</v>
      </c>
      <c r="R72" t="s">
        <v>114</v>
      </c>
      <c r="S72" t="s">
        <v>114</v>
      </c>
      <c r="T72" t="s">
        <v>114</v>
      </c>
      <c r="U72" t="s">
        <v>114</v>
      </c>
      <c r="V72" t="s">
        <v>114</v>
      </c>
      <c r="W72" t="s">
        <v>114</v>
      </c>
      <c r="X72" t="s">
        <v>114</v>
      </c>
      <c r="Y72" t="s">
        <v>114</v>
      </c>
      <c r="Z72" t="s">
        <v>114</v>
      </c>
      <c r="AA72" t="s">
        <v>114</v>
      </c>
      <c r="AB72" t="s">
        <v>114</v>
      </c>
      <c r="AC72" t="s">
        <v>114</v>
      </c>
      <c r="AD72" t="s">
        <v>114</v>
      </c>
      <c r="AE72" t="s">
        <v>114</v>
      </c>
      <c r="AF72" t="s">
        <v>114</v>
      </c>
      <c r="AG72" t="s">
        <v>114</v>
      </c>
      <c r="AH72" t="s">
        <v>114</v>
      </c>
      <c r="AI72" t="s">
        <v>114</v>
      </c>
      <c r="AJ72" t="s">
        <v>114</v>
      </c>
      <c r="AK72" t="s">
        <v>114</v>
      </c>
      <c r="AL72" t="s">
        <v>114</v>
      </c>
      <c r="AM72" t="s">
        <v>114</v>
      </c>
      <c r="AN72" t="s">
        <v>114</v>
      </c>
      <c r="AO72" t="s">
        <v>114</v>
      </c>
      <c r="AP72" t="s">
        <v>114</v>
      </c>
      <c r="AQ72" t="s">
        <v>114</v>
      </c>
      <c r="AR72" t="s">
        <v>114</v>
      </c>
      <c r="AS72" t="s">
        <v>114</v>
      </c>
      <c r="AT72" t="s">
        <v>114</v>
      </c>
      <c r="AU72" t="s">
        <v>114</v>
      </c>
      <c r="AV72" t="s">
        <v>114</v>
      </c>
      <c r="AW72" t="s">
        <v>114</v>
      </c>
      <c r="AX72" t="s">
        <v>114</v>
      </c>
      <c r="AY72" t="s">
        <v>114</v>
      </c>
      <c r="AZ72" t="s">
        <v>114</v>
      </c>
      <c r="BA72" t="s">
        <v>114</v>
      </c>
      <c r="BB72" t="s">
        <v>114</v>
      </c>
      <c r="BC72" t="s">
        <v>114</v>
      </c>
      <c r="BD72" t="s">
        <v>114</v>
      </c>
      <c r="BE72" t="s">
        <v>114</v>
      </c>
      <c r="BF72" t="s">
        <v>114</v>
      </c>
      <c r="BG72" t="s">
        <v>114</v>
      </c>
      <c r="BH72" t="s">
        <v>114</v>
      </c>
      <c r="BI72" t="s">
        <v>114</v>
      </c>
      <c r="BJ72" t="s">
        <v>114</v>
      </c>
      <c r="BK72" t="s">
        <v>114</v>
      </c>
      <c r="BL72" t="s">
        <v>114</v>
      </c>
      <c r="BM72" t="s">
        <v>114</v>
      </c>
      <c r="BN72" t="s">
        <v>114</v>
      </c>
      <c r="BO72" t="s">
        <v>114</v>
      </c>
      <c r="BP72" t="s">
        <v>114</v>
      </c>
      <c r="BQ72" t="s">
        <v>114</v>
      </c>
      <c r="BR72" t="s">
        <v>114</v>
      </c>
      <c r="BS72" t="s">
        <v>114</v>
      </c>
      <c r="BT72" t="s">
        <v>114</v>
      </c>
      <c r="BU72" t="s">
        <v>114</v>
      </c>
      <c r="BV72" t="s">
        <v>114</v>
      </c>
      <c r="BW72" t="s">
        <v>114</v>
      </c>
      <c r="BX72" t="s">
        <v>114</v>
      </c>
      <c r="BY72" t="s">
        <v>114</v>
      </c>
      <c r="BZ72" t="s">
        <v>114</v>
      </c>
      <c r="CA72" t="s">
        <v>114</v>
      </c>
      <c r="CB72" t="s">
        <v>114</v>
      </c>
      <c r="CC72" t="s">
        <v>114</v>
      </c>
      <c r="CD72" t="s">
        <v>114</v>
      </c>
      <c r="CE72" t="s">
        <v>114</v>
      </c>
      <c r="CF72" t="s">
        <v>114</v>
      </c>
      <c r="CG72" t="s">
        <v>114</v>
      </c>
    </row>
    <row r="73" spans="1:85" x14ac:dyDescent="0.25">
      <c r="A73" t="s">
        <v>217</v>
      </c>
      <c r="B73" t="s">
        <v>114</v>
      </c>
      <c r="C73" t="s">
        <v>114</v>
      </c>
      <c r="D73" t="s">
        <v>114</v>
      </c>
      <c r="E73" t="s">
        <v>117</v>
      </c>
      <c r="F73" t="s">
        <v>114</v>
      </c>
      <c r="G73" t="s">
        <v>114</v>
      </c>
      <c r="H73" t="s">
        <v>114</v>
      </c>
      <c r="I73" t="s">
        <v>114</v>
      </c>
      <c r="J73" t="s">
        <v>114</v>
      </c>
      <c r="K73" t="s">
        <v>114</v>
      </c>
      <c r="L73" t="s">
        <v>114</v>
      </c>
      <c r="M73" t="s">
        <v>114</v>
      </c>
      <c r="N73" t="s">
        <v>114</v>
      </c>
      <c r="O73" t="s">
        <v>114</v>
      </c>
      <c r="P73" t="s">
        <v>114</v>
      </c>
      <c r="Q73" t="s">
        <v>114</v>
      </c>
      <c r="R73" t="s">
        <v>114</v>
      </c>
      <c r="S73" t="s">
        <v>114</v>
      </c>
      <c r="T73" t="s">
        <v>114</v>
      </c>
      <c r="U73" t="s">
        <v>114</v>
      </c>
      <c r="V73" t="s">
        <v>114</v>
      </c>
      <c r="W73" t="s">
        <v>114</v>
      </c>
      <c r="X73" t="s">
        <v>114</v>
      </c>
      <c r="Y73" t="s">
        <v>114</v>
      </c>
      <c r="Z73" t="s">
        <v>114</v>
      </c>
      <c r="AA73" t="s">
        <v>114</v>
      </c>
      <c r="AB73" t="s">
        <v>114</v>
      </c>
      <c r="AC73" t="s">
        <v>114</v>
      </c>
      <c r="AD73" t="s">
        <v>114</v>
      </c>
      <c r="AE73" t="s">
        <v>114</v>
      </c>
      <c r="AF73" t="s">
        <v>114</v>
      </c>
      <c r="AG73" t="s">
        <v>114</v>
      </c>
      <c r="AH73" t="s">
        <v>114</v>
      </c>
      <c r="AI73" t="s">
        <v>114</v>
      </c>
      <c r="AJ73" t="s">
        <v>114</v>
      </c>
      <c r="AK73" t="s">
        <v>114</v>
      </c>
      <c r="AL73" t="s">
        <v>114</v>
      </c>
      <c r="AM73" t="s">
        <v>114</v>
      </c>
      <c r="AN73" t="s">
        <v>114</v>
      </c>
      <c r="AO73" t="s">
        <v>114</v>
      </c>
      <c r="AP73" t="s">
        <v>114</v>
      </c>
      <c r="AQ73" t="s">
        <v>114</v>
      </c>
      <c r="AR73" t="s">
        <v>114</v>
      </c>
      <c r="AS73" t="s">
        <v>114</v>
      </c>
      <c r="AT73" t="s">
        <v>114</v>
      </c>
      <c r="AU73" t="s">
        <v>114</v>
      </c>
      <c r="AV73" t="s">
        <v>114</v>
      </c>
      <c r="AW73" t="s">
        <v>114</v>
      </c>
      <c r="AX73" t="s">
        <v>114</v>
      </c>
      <c r="AY73" t="s">
        <v>114</v>
      </c>
      <c r="AZ73" t="s">
        <v>114</v>
      </c>
      <c r="BA73" t="s">
        <v>114</v>
      </c>
      <c r="BB73" t="s">
        <v>114</v>
      </c>
      <c r="BC73" t="s">
        <v>114</v>
      </c>
      <c r="BD73" t="s">
        <v>114</v>
      </c>
      <c r="BE73" t="s">
        <v>114</v>
      </c>
      <c r="BF73" t="s">
        <v>114</v>
      </c>
      <c r="BG73" t="s">
        <v>114</v>
      </c>
      <c r="BH73" t="s">
        <v>114</v>
      </c>
      <c r="BI73" t="s">
        <v>114</v>
      </c>
      <c r="BJ73" t="s">
        <v>114</v>
      </c>
      <c r="BK73" t="s">
        <v>114</v>
      </c>
      <c r="BL73" t="s">
        <v>114</v>
      </c>
      <c r="BM73" t="s">
        <v>114</v>
      </c>
      <c r="BN73" t="s">
        <v>114</v>
      </c>
      <c r="BO73" t="s">
        <v>114</v>
      </c>
      <c r="BP73" t="s">
        <v>114</v>
      </c>
      <c r="BQ73" t="s">
        <v>114</v>
      </c>
      <c r="BR73" t="s">
        <v>114</v>
      </c>
      <c r="BS73" t="s">
        <v>114</v>
      </c>
      <c r="BT73" t="s">
        <v>114</v>
      </c>
      <c r="BU73" t="s">
        <v>114</v>
      </c>
      <c r="BV73" t="s">
        <v>114</v>
      </c>
      <c r="BW73" t="s">
        <v>114</v>
      </c>
      <c r="BX73" t="s">
        <v>114</v>
      </c>
      <c r="BY73" t="s">
        <v>114</v>
      </c>
      <c r="BZ73" t="s">
        <v>114</v>
      </c>
      <c r="CA73" t="s">
        <v>114</v>
      </c>
      <c r="CB73" t="s">
        <v>114</v>
      </c>
      <c r="CC73" t="s">
        <v>114</v>
      </c>
      <c r="CD73" t="s">
        <v>114</v>
      </c>
      <c r="CE73" t="s">
        <v>114</v>
      </c>
      <c r="CF73" t="s">
        <v>114</v>
      </c>
      <c r="CG73" t="s">
        <v>114</v>
      </c>
    </row>
    <row r="74" spans="1:85" x14ac:dyDescent="0.25">
      <c r="A74" t="s">
        <v>218</v>
      </c>
      <c r="B74" t="s">
        <v>114</v>
      </c>
      <c r="C74" t="s">
        <v>114</v>
      </c>
      <c r="D74" t="s">
        <v>114</v>
      </c>
      <c r="E74" t="s">
        <v>117</v>
      </c>
      <c r="F74" t="s">
        <v>114</v>
      </c>
      <c r="G74" t="s">
        <v>114</v>
      </c>
      <c r="H74" t="s">
        <v>114</v>
      </c>
      <c r="I74" t="s">
        <v>114</v>
      </c>
      <c r="J74" t="s">
        <v>114</v>
      </c>
      <c r="K74" t="s">
        <v>114</v>
      </c>
      <c r="L74" t="s">
        <v>114</v>
      </c>
      <c r="M74" t="s">
        <v>114</v>
      </c>
      <c r="N74" t="s">
        <v>114</v>
      </c>
      <c r="O74" t="s">
        <v>114</v>
      </c>
      <c r="P74" t="s">
        <v>114</v>
      </c>
      <c r="Q74" t="s">
        <v>114</v>
      </c>
      <c r="R74" t="s">
        <v>114</v>
      </c>
      <c r="S74" t="s">
        <v>114</v>
      </c>
      <c r="T74" t="s">
        <v>114</v>
      </c>
      <c r="U74" t="s">
        <v>114</v>
      </c>
      <c r="V74" t="s">
        <v>114</v>
      </c>
      <c r="W74" t="s">
        <v>114</v>
      </c>
      <c r="X74" t="s">
        <v>114</v>
      </c>
      <c r="Y74" t="s">
        <v>114</v>
      </c>
      <c r="Z74" t="s">
        <v>114</v>
      </c>
      <c r="AA74" t="s">
        <v>114</v>
      </c>
      <c r="AB74" t="s">
        <v>114</v>
      </c>
      <c r="AC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 t="s">
        <v>114</v>
      </c>
      <c r="AJ74" t="s">
        <v>114</v>
      </c>
      <c r="AK74" t="s">
        <v>114</v>
      </c>
      <c r="AL74" t="s">
        <v>114</v>
      </c>
      <c r="AM74" t="s">
        <v>114</v>
      </c>
      <c r="AN74" t="s">
        <v>114</v>
      </c>
      <c r="AO74" t="s">
        <v>114</v>
      </c>
      <c r="AP74" t="s">
        <v>114</v>
      </c>
      <c r="AQ74" t="s">
        <v>114</v>
      </c>
      <c r="AR74" t="s">
        <v>114</v>
      </c>
      <c r="AS74" t="s">
        <v>114</v>
      </c>
      <c r="AT74" t="s">
        <v>114</v>
      </c>
      <c r="AU74" t="s">
        <v>114</v>
      </c>
      <c r="AV74" t="s">
        <v>114</v>
      </c>
      <c r="AW74" t="s">
        <v>114</v>
      </c>
      <c r="AX74" t="s">
        <v>114</v>
      </c>
      <c r="AY74" t="s">
        <v>114</v>
      </c>
      <c r="AZ74" t="s">
        <v>114</v>
      </c>
      <c r="BA74" t="s">
        <v>114</v>
      </c>
      <c r="BB74" t="s">
        <v>114</v>
      </c>
      <c r="BC74" t="s">
        <v>114</v>
      </c>
      <c r="BD74" t="s">
        <v>114</v>
      </c>
      <c r="BE74" t="s">
        <v>114</v>
      </c>
      <c r="BF74" t="s">
        <v>114</v>
      </c>
      <c r="BG74" t="s">
        <v>114</v>
      </c>
      <c r="BH74" t="s">
        <v>114</v>
      </c>
      <c r="BI74" t="s">
        <v>114</v>
      </c>
      <c r="BJ74" t="s">
        <v>114</v>
      </c>
      <c r="BK74" t="s">
        <v>114</v>
      </c>
      <c r="BL74" t="s">
        <v>114</v>
      </c>
      <c r="BM74" t="s">
        <v>114</v>
      </c>
      <c r="BN74" t="s">
        <v>114</v>
      </c>
      <c r="BO74" t="s">
        <v>114</v>
      </c>
      <c r="BP74" t="s">
        <v>114</v>
      </c>
      <c r="BQ74" t="s">
        <v>114</v>
      </c>
      <c r="BR74" t="s">
        <v>114</v>
      </c>
      <c r="BS74" t="s">
        <v>114</v>
      </c>
      <c r="BT74" t="s">
        <v>114</v>
      </c>
      <c r="BU74" t="s">
        <v>114</v>
      </c>
      <c r="BV74" t="s">
        <v>114</v>
      </c>
      <c r="BW74" t="s">
        <v>114</v>
      </c>
      <c r="BX74" t="s">
        <v>114</v>
      </c>
      <c r="BY74" t="s">
        <v>114</v>
      </c>
      <c r="BZ74" t="s">
        <v>114</v>
      </c>
      <c r="CA74" t="s">
        <v>114</v>
      </c>
      <c r="CB74" t="s">
        <v>114</v>
      </c>
      <c r="CC74" t="s">
        <v>114</v>
      </c>
      <c r="CD74" t="s">
        <v>114</v>
      </c>
      <c r="CE74" t="s">
        <v>114</v>
      </c>
      <c r="CF74" t="s">
        <v>114</v>
      </c>
      <c r="CG74" t="s">
        <v>114</v>
      </c>
    </row>
    <row r="75" spans="1:85" x14ac:dyDescent="0.25">
      <c r="A75" t="s">
        <v>219</v>
      </c>
      <c r="B75" t="s">
        <v>114</v>
      </c>
      <c r="C75" t="s">
        <v>114</v>
      </c>
      <c r="D75" t="s">
        <v>114</v>
      </c>
      <c r="E75" t="s">
        <v>117</v>
      </c>
      <c r="F75" t="s">
        <v>114</v>
      </c>
      <c r="G75" t="s">
        <v>114</v>
      </c>
      <c r="H75" t="s">
        <v>114</v>
      </c>
      <c r="I75" t="s">
        <v>114</v>
      </c>
      <c r="J75" t="s">
        <v>114</v>
      </c>
      <c r="K75" t="s">
        <v>114</v>
      </c>
      <c r="L75" t="s">
        <v>114</v>
      </c>
      <c r="M75" t="s">
        <v>114</v>
      </c>
      <c r="N75" t="s">
        <v>114</v>
      </c>
      <c r="O75" t="s">
        <v>114</v>
      </c>
      <c r="P75" t="s">
        <v>114</v>
      </c>
      <c r="Q75" t="s">
        <v>114</v>
      </c>
      <c r="R75" t="s">
        <v>114</v>
      </c>
      <c r="S75" t="s">
        <v>114</v>
      </c>
      <c r="T75" t="s">
        <v>114</v>
      </c>
      <c r="U75" t="s">
        <v>114</v>
      </c>
      <c r="V75" t="s">
        <v>114</v>
      </c>
      <c r="W75" t="s">
        <v>114</v>
      </c>
      <c r="X75" t="s">
        <v>114</v>
      </c>
      <c r="Y75" t="s">
        <v>114</v>
      </c>
      <c r="Z75" t="s">
        <v>114</v>
      </c>
      <c r="AA75" t="s">
        <v>114</v>
      </c>
      <c r="AB75" t="s">
        <v>114</v>
      </c>
      <c r="AC75" t="s">
        <v>114</v>
      </c>
      <c r="AD75" t="s">
        <v>114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114</v>
      </c>
      <c r="AL75" t="s">
        <v>114</v>
      </c>
      <c r="AM75" t="s">
        <v>114</v>
      </c>
      <c r="AN75" t="s">
        <v>114</v>
      </c>
      <c r="AO75" t="s">
        <v>114</v>
      </c>
      <c r="AP75" t="s">
        <v>114</v>
      </c>
      <c r="AQ75" t="s">
        <v>114</v>
      </c>
      <c r="AR75" t="s">
        <v>114</v>
      </c>
      <c r="AS75" t="s">
        <v>114</v>
      </c>
      <c r="AT75" t="s">
        <v>114</v>
      </c>
      <c r="AU75" t="s">
        <v>114</v>
      </c>
      <c r="AV75" t="s">
        <v>114</v>
      </c>
      <c r="AW75" t="s">
        <v>114</v>
      </c>
      <c r="AX75" t="s">
        <v>114</v>
      </c>
      <c r="AY75" t="s">
        <v>114</v>
      </c>
      <c r="AZ75" t="s">
        <v>114</v>
      </c>
      <c r="BA75" t="s">
        <v>114</v>
      </c>
      <c r="BB75" t="s">
        <v>114</v>
      </c>
      <c r="BC75" t="s">
        <v>114</v>
      </c>
      <c r="BD75" t="s">
        <v>114</v>
      </c>
      <c r="BE75" t="s">
        <v>114</v>
      </c>
      <c r="BF75" t="s">
        <v>114</v>
      </c>
      <c r="BG75" t="s">
        <v>114</v>
      </c>
      <c r="BH75" t="s">
        <v>114</v>
      </c>
      <c r="BI75" t="s">
        <v>114</v>
      </c>
      <c r="BJ75" t="s">
        <v>114</v>
      </c>
      <c r="BK75" t="s">
        <v>114</v>
      </c>
      <c r="BL75" t="s">
        <v>114</v>
      </c>
      <c r="BM75" t="s">
        <v>114</v>
      </c>
      <c r="BN75" t="s">
        <v>114</v>
      </c>
      <c r="BO75" t="s">
        <v>114</v>
      </c>
      <c r="BP75" t="s">
        <v>114</v>
      </c>
      <c r="BQ75" t="s">
        <v>114</v>
      </c>
      <c r="BR75" t="s">
        <v>114</v>
      </c>
      <c r="BS75" t="s">
        <v>114</v>
      </c>
      <c r="BT75" t="s">
        <v>114</v>
      </c>
      <c r="BU75" t="s">
        <v>114</v>
      </c>
      <c r="BV75" t="s">
        <v>114</v>
      </c>
      <c r="BW75" t="s">
        <v>114</v>
      </c>
      <c r="BX75" t="s">
        <v>114</v>
      </c>
      <c r="BY75" t="s">
        <v>114</v>
      </c>
      <c r="BZ75" t="s">
        <v>114</v>
      </c>
      <c r="CA75" t="s">
        <v>114</v>
      </c>
      <c r="CB75" t="s">
        <v>114</v>
      </c>
      <c r="CC75" t="s">
        <v>114</v>
      </c>
      <c r="CD75" t="s">
        <v>114</v>
      </c>
      <c r="CE75" t="s">
        <v>114</v>
      </c>
      <c r="CF75" t="s">
        <v>114</v>
      </c>
      <c r="CG75" t="s">
        <v>114</v>
      </c>
    </row>
    <row r="76" spans="1:85" x14ac:dyDescent="0.25">
      <c r="A76" t="s">
        <v>220</v>
      </c>
      <c r="B76" t="s">
        <v>114</v>
      </c>
      <c r="C76" t="s">
        <v>114</v>
      </c>
      <c r="D76" t="s">
        <v>114</v>
      </c>
      <c r="E76" t="s">
        <v>117</v>
      </c>
      <c r="F76" t="s">
        <v>114</v>
      </c>
      <c r="G76" t="s">
        <v>114</v>
      </c>
      <c r="H76" t="s">
        <v>114</v>
      </c>
      <c r="I76" t="s">
        <v>114</v>
      </c>
      <c r="J76" t="s">
        <v>114</v>
      </c>
      <c r="K76" t="s">
        <v>114</v>
      </c>
      <c r="L76" t="s">
        <v>114</v>
      </c>
      <c r="M76" t="s">
        <v>114</v>
      </c>
      <c r="N76" t="s">
        <v>114</v>
      </c>
      <c r="O76" t="s">
        <v>114</v>
      </c>
      <c r="P76" t="s">
        <v>114</v>
      </c>
      <c r="Q76" t="s">
        <v>114</v>
      </c>
      <c r="R76" t="s">
        <v>114</v>
      </c>
      <c r="S76" t="s">
        <v>114</v>
      </c>
      <c r="T76" t="s">
        <v>114</v>
      </c>
      <c r="U76" t="s">
        <v>114</v>
      </c>
      <c r="V76" t="s">
        <v>114</v>
      </c>
      <c r="W76" t="s">
        <v>114</v>
      </c>
      <c r="X76" t="s">
        <v>114</v>
      </c>
      <c r="Y76" t="s">
        <v>114</v>
      </c>
      <c r="Z76" t="s">
        <v>114</v>
      </c>
      <c r="AA76" t="s">
        <v>114</v>
      </c>
      <c r="AB76" t="s">
        <v>114</v>
      </c>
      <c r="AC76" t="s">
        <v>114</v>
      </c>
      <c r="AD76" t="s">
        <v>114</v>
      </c>
      <c r="AE76" t="s">
        <v>114</v>
      </c>
      <c r="AF76" t="s">
        <v>114</v>
      </c>
      <c r="AG76" t="s">
        <v>114</v>
      </c>
      <c r="AH76" t="s">
        <v>114</v>
      </c>
      <c r="AI76" t="s">
        <v>114</v>
      </c>
      <c r="AJ76" t="s">
        <v>114</v>
      </c>
      <c r="AK76" t="s">
        <v>114</v>
      </c>
      <c r="AL76" t="s">
        <v>114</v>
      </c>
      <c r="AM76" t="s">
        <v>114</v>
      </c>
      <c r="AN76" t="s">
        <v>114</v>
      </c>
      <c r="AO76" t="s">
        <v>114</v>
      </c>
      <c r="AP76" t="s">
        <v>114</v>
      </c>
      <c r="AQ76" t="s">
        <v>114</v>
      </c>
      <c r="AR76" t="s">
        <v>114</v>
      </c>
      <c r="AS76" t="s">
        <v>114</v>
      </c>
      <c r="AT76" t="s">
        <v>114</v>
      </c>
      <c r="AU76" t="s">
        <v>114</v>
      </c>
      <c r="AV76" t="s">
        <v>114</v>
      </c>
      <c r="AW76" t="s">
        <v>114</v>
      </c>
      <c r="AX76" t="s">
        <v>114</v>
      </c>
      <c r="AY76" t="s">
        <v>114</v>
      </c>
      <c r="AZ76" t="s">
        <v>114</v>
      </c>
      <c r="BA76" t="s">
        <v>114</v>
      </c>
      <c r="BB76" t="s">
        <v>114</v>
      </c>
      <c r="BC76" t="s">
        <v>114</v>
      </c>
      <c r="BD76" t="s">
        <v>114</v>
      </c>
      <c r="BE76" t="s">
        <v>114</v>
      </c>
      <c r="BF76" t="s">
        <v>114</v>
      </c>
      <c r="BG76" t="s">
        <v>114</v>
      </c>
      <c r="BH76" t="s">
        <v>114</v>
      </c>
      <c r="BI76" t="s">
        <v>114</v>
      </c>
      <c r="BJ76" t="s">
        <v>114</v>
      </c>
      <c r="BK76" t="s">
        <v>114</v>
      </c>
      <c r="BL76" t="s">
        <v>114</v>
      </c>
      <c r="BM76" t="s">
        <v>114</v>
      </c>
      <c r="BN76" t="s">
        <v>114</v>
      </c>
      <c r="BO76" t="s">
        <v>114</v>
      </c>
      <c r="BP76" t="s">
        <v>114</v>
      </c>
      <c r="BQ76" t="s">
        <v>114</v>
      </c>
      <c r="BR76" t="s">
        <v>114</v>
      </c>
      <c r="BS76" t="s">
        <v>114</v>
      </c>
      <c r="BT76" t="s">
        <v>114</v>
      </c>
      <c r="BU76" t="s">
        <v>114</v>
      </c>
      <c r="BV76" t="s">
        <v>114</v>
      </c>
      <c r="BW76" t="s">
        <v>114</v>
      </c>
      <c r="BX76" t="s">
        <v>114</v>
      </c>
      <c r="BY76" t="s">
        <v>114</v>
      </c>
      <c r="BZ76" t="s">
        <v>114</v>
      </c>
      <c r="CA76" t="s">
        <v>114</v>
      </c>
      <c r="CB76" t="s">
        <v>114</v>
      </c>
      <c r="CC76" t="s">
        <v>114</v>
      </c>
      <c r="CD76" t="s">
        <v>114</v>
      </c>
      <c r="CE76" t="s">
        <v>114</v>
      </c>
      <c r="CF76" t="s">
        <v>114</v>
      </c>
      <c r="CG76" t="s">
        <v>114</v>
      </c>
    </row>
    <row r="77" spans="1:85" x14ac:dyDescent="0.25">
      <c r="A77" t="s">
        <v>216</v>
      </c>
      <c r="B77" t="s">
        <v>114</v>
      </c>
      <c r="C77" t="s">
        <v>114</v>
      </c>
      <c r="D77" t="s">
        <v>114</v>
      </c>
      <c r="E77" t="s">
        <v>117</v>
      </c>
      <c r="F77" t="s">
        <v>114</v>
      </c>
      <c r="G77" t="s">
        <v>114</v>
      </c>
      <c r="H77" t="s">
        <v>114</v>
      </c>
      <c r="I77" t="s">
        <v>114</v>
      </c>
      <c r="J77" t="s">
        <v>114</v>
      </c>
      <c r="K77" t="s">
        <v>114</v>
      </c>
      <c r="L77" t="s">
        <v>114</v>
      </c>
      <c r="M77" t="s">
        <v>114</v>
      </c>
      <c r="N77" t="s">
        <v>114</v>
      </c>
      <c r="O77" t="s">
        <v>114</v>
      </c>
      <c r="P77" t="s">
        <v>114</v>
      </c>
      <c r="Q77" t="s">
        <v>114</v>
      </c>
      <c r="R77" t="s">
        <v>114</v>
      </c>
      <c r="S77" t="s">
        <v>114</v>
      </c>
      <c r="T77" t="s">
        <v>114</v>
      </c>
      <c r="U77" t="s">
        <v>114</v>
      </c>
      <c r="V77" t="s">
        <v>114</v>
      </c>
      <c r="W77" t="s">
        <v>114</v>
      </c>
      <c r="X77" t="s">
        <v>114</v>
      </c>
      <c r="Y77" t="s">
        <v>114</v>
      </c>
      <c r="Z77" t="s">
        <v>114</v>
      </c>
      <c r="AA77" t="s">
        <v>114</v>
      </c>
      <c r="AB77" t="s">
        <v>114</v>
      </c>
      <c r="AC77" t="s">
        <v>114</v>
      </c>
      <c r="AD77" t="s">
        <v>114</v>
      </c>
      <c r="AE77" t="s">
        <v>114</v>
      </c>
      <c r="AF77" t="s">
        <v>114</v>
      </c>
      <c r="AG77" t="s">
        <v>114</v>
      </c>
      <c r="AH77" t="s">
        <v>114</v>
      </c>
      <c r="AI77" t="s">
        <v>114</v>
      </c>
      <c r="AJ77" t="s">
        <v>114</v>
      </c>
      <c r="AK77" t="s">
        <v>114</v>
      </c>
      <c r="AL77" t="s">
        <v>114</v>
      </c>
      <c r="AM77" t="s">
        <v>114</v>
      </c>
      <c r="AN77" t="s">
        <v>114</v>
      </c>
      <c r="AO77" t="s">
        <v>114</v>
      </c>
      <c r="AP77" t="s">
        <v>114</v>
      </c>
      <c r="AQ77" t="s">
        <v>114</v>
      </c>
      <c r="AR77" t="s">
        <v>114</v>
      </c>
      <c r="AS77" t="s">
        <v>114</v>
      </c>
      <c r="AT77" t="s">
        <v>114</v>
      </c>
      <c r="AU77" t="s">
        <v>114</v>
      </c>
      <c r="AV77" t="s">
        <v>114</v>
      </c>
      <c r="AW77" t="s">
        <v>114</v>
      </c>
      <c r="AX77" t="s">
        <v>114</v>
      </c>
      <c r="AY77" t="s">
        <v>114</v>
      </c>
      <c r="AZ77" t="s">
        <v>114</v>
      </c>
      <c r="BA77" t="s">
        <v>114</v>
      </c>
      <c r="BB77" t="s">
        <v>114</v>
      </c>
      <c r="BC77" t="s">
        <v>114</v>
      </c>
      <c r="BD77" t="s">
        <v>114</v>
      </c>
      <c r="BE77" t="s">
        <v>114</v>
      </c>
      <c r="BF77" t="s">
        <v>114</v>
      </c>
      <c r="BG77" t="s">
        <v>114</v>
      </c>
      <c r="BH77" t="s">
        <v>114</v>
      </c>
      <c r="BI77" t="s">
        <v>114</v>
      </c>
      <c r="BJ77" t="s">
        <v>114</v>
      </c>
      <c r="BK77" t="s">
        <v>114</v>
      </c>
      <c r="BL77" t="s">
        <v>114</v>
      </c>
      <c r="BM77" t="s">
        <v>114</v>
      </c>
      <c r="BN77" t="s">
        <v>114</v>
      </c>
      <c r="BO77" t="s">
        <v>114</v>
      </c>
      <c r="BP77" t="s">
        <v>114</v>
      </c>
      <c r="BQ77" t="s">
        <v>114</v>
      </c>
      <c r="BR77" t="s">
        <v>114</v>
      </c>
      <c r="BS77" t="s">
        <v>114</v>
      </c>
      <c r="BT77" t="s">
        <v>114</v>
      </c>
      <c r="BU77" t="s">
        <v>114</v>
      </c>
      <c r="BV77" t="s">
        <v>114</v>
      </c>
      <c r="BW77" t="s">
        <v>114</v>
      </c>
      <c r="BX77" t="s">
        <v>114</v>
      </c>
      <c r="BY77" t="s">
        <v>114</v>
      </c>
      <c r="BZ77" t="s">
        <v>114</v>
      </c>
      <c r="CA77" t="s">
        <v>114</v>
      </c>
      <c r="CB77" t="s">
        <v>114</v>
      </c>
      <c r="CC77" t="s">
        <v>114</v>
      </c>
      <c r="CD77" t="s">
        <v>114</v>
      </c>
      <c r="CE77" t="s">
        <v>114</v>
      </c>
      <c r="CF77" t="s">
        <v>114</v>
      </c>
      <c r="CG77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AA170"/>
  <sheetViews>
    <sheetView workbookViewId="0">
      <selection activeCell="B3" sqref="B3"/>
    </sheetView>
  </sheetViews>
  <sheetFormatPr baseColWidth="10" defaultRowHeight="15" x14ac:dyDescent="0.25"/>
  <cols>
    <col min="2" max="2" width="28.7109375" bestFit="1" customWidth="1"/>
    <col min="3" max="3" width="8.42578125" bestFit="1" customWidth="1"/>
    <col min="6" max="6" width="33.5703125" bestFit="1" customWidth="1"/>
    <col min="7" max="7" width="38.28515625" bestFit="1" customWidth="1"/>
    <col min="8" max="8" width="23.7109375" bestFit="1" customWidth="1"/>
  </cols>
  <sheetData>
    <row r="24" spans="1:27" x14ac:dyDescent="0.25">
      <c r="B24" t="s">
        <v>221</v>
      </c>
      <c r="D24" t="s">
        <v>161</v>
      </c>
      <c r="H24" t="s">
        <v>228</v>
      </c>
      <c r="K24" t="s">
        <v>227</v>
      </c>
    </row>
    <row r="25" spans="1:27" x14ac:dyDescent="0.25">
      <c r="B25" t="s">
        <v>230</v>
      </c>
      <c r="E25" t="s">
        <v>229</v>
      </c>
      <c r="H25" t="s">
        <v>222</v>
      </c>
      <c r="K25" t="s">
        <v>222</v>
      </c>
      <c r="N25" t="s">
        <v>223</v>
      </c>
      <c r="Q25" t="s">
        <v>224</v>
      </c>
      <c r="T25" t="s">
        <v>225</v>
      </c>
    </row>
    <row r="26" spans="1:27" x14ac:dyDescent="0.25">
      <c r="A26" t="s">
        <v>114</v>
      </c>
      <c r="B26" t="s">
        <v>143</v>
      </c>
      <c r="E26" t="s">
        <v>153</v>
      </c>
      <c r="H26" t="s">
        <v>168</v>
      </c>
      <c r="I26" t="s">
        <v>114</v>
      </c>
      <c r="K26" t="s">
        <v>175</v>
      </c>
      <c r="N26" t="s">
        <v>191</v>
      </c>
      <c r="Q26" t="s">
        <v>204</v>
      </c>
      <c r="T26" t="s">
        <v>206</v>
      </c>
      <c r="W26" t="s">
        <v>232</v>
      </c>
      <c r="Z26" t="s">
        <v>233</v>
      </c>
    </row>
    <row r="27" spans="1:27" x14ac:dyDescent="0.25">
      <c r="B27" t="s">
        <v>143</v>
      </c>
      <c r="E27" t="s">
        <v>231</v>
      </c>
      <c r="H27" t="s">
        <v>168</v>
      </c>
      <c r="K27" t="s">
        <v>175</v>
      </c>
      <c r="N27" t="s">
        <v>191</v>
      </c>
      <c r="Q27" t="s">
        <v>204</v>
      </c>
      <c r="T27" t="s">
        <v>206</v>
      </c>
      <c r="W27" t="s">
        <v>170</v>
      </c>
      <c r="Z27" t="s">
        <v>214</v>
      </c>
    </row>
    <row r="28" spans="1:27" x14ac:dyDescent="0.25">
      <c r="B28" t="s">
        <v>226</v>
      </c>
      <c r="C28" t="s">
        <v>121</v>
      </c>
      <c r="E28" t="s">
        <v>226</v>
      </c>
      <c r="F28" t="s">
        <v>121</v>
      </c>
      <c r="H28" t="s">
        <v>226</v>
      </c>
      <c r="I28" t="s">
        <v>121</v>
      </c>
      <c r="K28" t="s">
        <v>226</v>
      </c>
      <c r="L28" t="s">
        <v>121</v>
      </c>
      <c r="N28" t="s">
        <v>226</v>
      </c>
      <c r="O28" t="s">
        <v>121</v>
      </c>
      <c r="Q28" t="s">
        <v>226</v>
      </c>
      <c r="R28" t="s">
        <v>121</v>
      </c>
      <c r="T28" t="s">
        <v>226</v>
      </c>
      <c r="U28" t="s">
        <v>121</v>
      </c>
      <c r="W28" t="s">
        <v>226</v>
      </c>
      <c r="X28" t="s">
        <v>121</v>
      </c>
      <c r="Z28" t="s">
        <v>226</v>
      </c>
      <c r="AA28" t="s">
        <v>121</v>
      </c>
    </row>
    <row r="29" spans="1:27" x14ac:dyDescent="0.25">
      <c r="B29" s="2">
        <f>_xll.BDH($B$27,$C$28:$C$28,"1/1/2012","","Dir=V","Dts=S","Sort=A","Quote=C","QtTyp=Y","Days=W","Per=cw","DtFmt=D","Fill=P","UseDPDF=Y","cols=2;rows=142")</f>
        <v>40914</v>
      </c>
      <c r="C29">
        <v>463.565</v>
      </c>
      <c r="E29" s="2">
        <f>_xll.BDH($E$27,$F$28:$F$28,"1/1/2012","","Dir=V","Dts=S","Sort=A","Quote=C","QtTyp=Y","Days=W","Per=cw","DtFmt=D","Fill=P","UseDPDF=Y","cols=2;rows=142")</f>
        <v>40914</v>
      </c>
      <c r="F29">
        <v>130.62</v>
      </c>
      <c r="H29" s="2">
        <f>_xll.BDH($H$27,$I$28:$I$28,"1/1/2012","","Dir=V","Dts=S","Sort=A","Quote=C","QtTyp=Y","Days=W","Per=cw","DtFmt=D","Fill=P","UseDPDF=Y","cols=2;rows=142")</f>
        <v>40914</v>
      </c>
      <c r="I29">
        <v>130.62</v>
      </c>
      <c r="K29" s="2">
        <f>_xll.BDH($K$27,$L$28:$L$28,"1/1/2012","","Dir=V","Dts=S","Sort=A","Quote=C","QtTyp=Y","Days=W","Per=cw","DtFmt=D","Fill=P","UseDPDF=Y","cols=2;rows=142")</f>
        <v>40914</v>
      </c>
      <c r="L29" t="s">
        <v>234</v>
      </c>
      <c r="N29" s="2">
        <f>_xll.BDH($N$27,$O$28:$O$28,"1/1/2012","","Dir=V","Dts=S","Sort=A","Quote=C","QtTyp=Y","Days=W","Per=cw","DtFmt=D","Fill=P","UseDPDF=Y","cols=2;rows=142")</f>
        <v>40914</v>
      </c>
      <c r="O29">
        <v>213000</v>
      </c>
      <c r="Q29" s="2">
        <f>_xll.BDH($Q$27,$R$28:$R$28,"1/1/2012","","Dir=V","Dts=S","Sort=A","Quote=C","QtTyp=Y","Days=W","Per=cw","DtFmt=D","Fill=P","UseDPDF=Y","cols=2;rows=142")</f>
        <v>40914</v>
      </c>
      <c r="R29">
        <v>156466</v>
      </c>
      <c r="T29" s="2">
        <f>_xll.BDH($T$27,$U$28:$U$28,"1/1/2012","","Dir=V","Dts=S","Sort=A","Quote=C","QtTyp=Y","Days=W","Per=cw","DtFmt=D","Fill=P","UseDPDF=Y","cols=2;rows=142")</f>
        <v>40914</v>
      </c>
      <c r="U29">
        <v>463565</v>
      </c>
      <c r="W29" s="2">
        <f>_xll.BDH($W$27,$X$28:$X$28,"1/1/2012","","Dir=V","Dts=S","Sort=A","Quote=C","QtTyp=Y","Days=W","Per=cw","DtFmt=D","Fill=P","UseDPDF=Y","cols=2;rows=142")</f>
        <v>40914</v>
      </c>
      <c r="X29">
        <v>1</v>
      </c>
      <c r="Z29" s="2">
        <f>_xll.BDH($Z$27,$AA$28:$AA$28,"1/1/2012","","Dir=V","Dts=S","Sort=A","Quote=C","QtTyp=Y","Days=W","Per=cw","DtFmt=D","Fill=P","UseDPDF=Y","cols=2;rows=142")</f>
        <v>40914</v>
      </c>
      <c r="AA29">
        <v>0.25</v>
      </c>
    </row>
    <row r="30" spans="1:27" x14ac:dyDescent="0.25">
      <c r="B30" s="2">
        <v>40921</v>
      </c>
      <c r="C30">
        <v>493.27199999999999</v>
      </c>
      <c r="E30" s="2">
        <v>40921</v>
      </c>
      <c r="F30">
        <v>110.92</v>
      </c>
      <c r="H30" s="2">
        <v>40921</v>
      </c>
      <c r="I30">
        <v>110.92</v>
      </c>
      <c r="K30" s="2">
        <v>40921</v>
      </c>
      <c r="L30" t="s">
        <v>234</v>
      </c>
      <c r="N30" s="2">
        <v>40921</v>
      </c>
      <c r="O30">
        <v>217000</v>
      </c>
      <c r="Q30" s="2">
        <v>40921</v>
      </c>
      <c r="R30">
        <v>132536</v>
      </c>
      <c r="T30" s="2">
        <v>40921</v>
      </c>
      <c r="U30">
        <v>493272</v>
      </c>
      <c r="W30" s="2">
        <v>40921</v>
      </c>
      <c r="X30">
        <v>1</v>
      </c>
      <c r="Z30" s="2">
        <v>40921</v>
      </c>
      <c r="AA30">
        <v>0.25</v>
      </c>
    </row>
    <row r="31" spans="1:27" x14ac:dyDescent="0.25">
      <c r="B31" s="2">
        <v>40928</v>
      </c>
      <c r="C31">
        <v>491.78</v>
      </c>
      <c r="E31" s="2">
        <v>40928</v>
      </c>
      <c r="F31">
        <v>126.88</v>
      </c>
      <c r="H31" s="2">
        <v>40928</v>
      </c>
      <c r="I31">
        <v>126.88</v>
      </c>
      <c r="K31" s="2">
        <v>40928</v>
      </c>
      <c r="L31">
        <v>38.734000000000002</v>
      </c>
      <c r="N31" s="2">
        <v>40928</v>
      </c>
      <c r="O31">
        <v>219000</v>
      </c>
      <c r="Q31" s="2">
        <v>40928</v>
      </c>
      <c r="R31">
        <v>134722</v>
      </c>
      <c r="T31" s="2">
        <v>40928</v>
      </c>
      <c r="U31">
        <v>491780</v>
      </c>
      <c r="W31" s="2">
        <v>40928</v>
      </c>
      <c r="X31">
        <v>1</v>
      </c>
      <c r="Z31" s="2">
        <v>40928</v>
      </c>
      <c r="AA31">
        <v>0.25</v>
      </c>
    </row>
    <row r="32" spans="1:27" x14ac:dyDescent="0.25">
      <c r="B32" s="2">
        <v>40935</v>
      </c>
      <c r="C32">
        <v>488.88400000000001</v>
      </c>
      <c r="E32" s="2">
        <v>40935</v>
      </c>
      <c r="F32">
        <v>130.32</v>
      </c>
      <c r="H32" s="2">
        <v>40935</v>
      </c>
      <c r="I32">
        <v>130.32</v>
      </c>
      <c r="K32" s="2">
        <v>40935</v>
      </c>
      <c r="L32">
        <v>19.579999999999998</v>
      </c>
      <c r="N32" s="2">
        <v>40935</v>
      </c>
      <c r="O32">
        <v>219000</v>
      </c>
      <c r="Q32" s="2">
        <v>40935</v>
      </c>
      <c r="R32">
        <v>88939</v>
      </c>
      <c r="T32" s="2">
        <v>40935</v>
      </c>
      <c r="U32">
        <v>488884</v>
      </c>
      <c r="W32" s="2">
        <v>40935</v>
      </c>
      <c r="X32">
        <v>1</v>
      </c>
      <c r="Z32" s="2">
        <v>40935</v>
      </c>
      <c r="AA32">
        <v>0.25</v>
      </c>
    </row>
    <row r="33" spans="2:27" x14ac:dyDescent="0.25">
      <c r="B33" s="2">
        <v>40942</v>
      </c>
      <c r="C33">
        <v>511.43799999999999</v>
      </c>
      <c r="E33" s="2">
        <v>40942</v>
      </c>
      <c r="F33">
        <v>115.58</v>
      </c>
      <c r="H33" s="2">
        <v>40942</v>
      </c>
      <c r="I33">
        <v>115.58</v>
      </c>
      <c r="K33" s="2">
        <v>40942</v>
      </c>
      <c r="L33">
        <v>19.579999999999998</v>
      </c>
      <c r="N33" s="2">
        <v>40942</v>
      </c>
      <c r="O33">
        <v>219000</v>
      </c>
      <c r="Q33" s="2">
        <v>40942</v>
      </c>
      <c r="R33">
        <v>83915</v>
      </c>
      <c r="T33" s="2">
        <v>40942</v>
      </c>
      <c r="U33">
        <v>511438</v>
      </c>
      <c r="W33" s="2">
        <v>40942</v>
      </c>
      <c r="X33">
        <v>1</v>
      </c>
      <c r="Z33" s="2">
        <v>40942</v>
      </c>
      <c r="AA33">
        <v>0.25</v>
      </c>
    </row>
    <row r="34" spans="2:27" x14ac:dyDescent="0.25">
      <c r="B34" s="2">
        <v>40949</v>
      </c>
      <c r="C34">
        <v>507.87599999999998</v>
      </c>
      <c r="E34" s="2">
        <v>40949</v>
      </c>
      <c r="F34">
        <v>109.46</v>
      </c>
      <c r="H34" s="2">
        <v>40949</v>
      </c>
      <c r="I34">
        <v>109.46</v>
      </c>
      <c r="K34" s="2">
        <v>40949</v>
      </c>
      <c r="L34">
        <v>19.579999999999998</v>
      </c>
      <c r="N34" s="2">
        <v>40949</v>
      </c>
      <c r="O34">
        <v>219500</v>
      </c>
      <c r="Q34" s="2">
        <v>40949</v>
      </c>
      <c r="R34">
        <v>83209</v>
      </c>
      <c r="T34" s="2">
        <v>40949</v>
      </c>
      <c r="U34">
        <v>507876</v>
      </c>
      <c r="W34" s="2">
        <v>40949</v>
      </c>
      <c r="X34">
        <v>1</v>
      </c>
      <c r="Z34" s="2">
        <v>40949</v>
      </c>
      <c r="AA34">
        <v>0.25</v>
      </c>
    </row>
    <row r="35" spans="2:27" x14ac:dyDescent="0.25">
      <c r="B35" s="2">
        <v>40956</v>
      </c>
      <c r="C35">
        <v>454.35599999999999</v>
      </c>
      <c r="E35" s="2">
        <v>40956</v>
      </c>
      <c r="F35">
        <v>142.75</v>
      </c>
      <c r="H35" s="2">
        <v>40956</v>
      </c>
      <c r="I35">
        <v>142.75</v>
      </c>
      <c r="K35" s="2">
        <v>40956</v>
      </c>
      <c r="L35">
        <v>14.324999999999999</v>
      </c>
      <c r="N35" s="2">
        <v>40956</v>
      </c>
      <c r="O35">
        <v>219500</v>
      </c>
      <c r="Q35" s="2">
        <v>40956</v>
      </c>
      <c r="R35">
        <v>132473</v>
      </c>
      <c r="T35" s="2">
        <v>40956</v>
      </c>
      <c r="U35">
        <v>454356</v>
      </c>
      <c r="W35" s="2">
        <v>40956</v>
      </c>
      <c r="X35">
        <v>1</v>
      </c>
      <c r="Z35" s="2">
        <v>40956</v>
      </c>
      <c r="AA35">
        <v>0.25</v>
      </c>
    </row>
    <row r="36" spans="2:27" x14ac:dyDescent="0.25">
      <c r="B36" s="2">
        <v>40963</v>
      </c>
      <c r="C36">
        <v>477.32400000000001</v>
      </c>
      <c r="E36" s="2">
        <v>40963</v>
      </c>
      <c r="F36">
        <v>166.49</v>
      </c>
      <c r="H36" s="2">
        <v>40963</v>
      </c>
      <c r="I36">
        <v>166.49</v>
      </c>
      <c r="K36" s="2">
        <v>40963</v>
      </c>
      <c r="L36">
        <v>14.324999999999999</v>
      </c>
      <c r="N36" s="2">
        <v>40963</v>
      </c>
      <c r="O36">
        <v>219500</v>
      </c>
      <c r="Q36" s="2">
        <v>40963</v>
      </c>
      <c r="R36">
        <v>93676</v>
      </c>
      <c r="T36" s="2">
        <v>40963</v>
      </c>
      <c r="U36">
        <v>477324</v>
      </c>
      <c r="W36" s="2">
        <v>40963</v>
      </c>
      <c r="X36">
        <v>1</v>
      </c>
      <c r="Z36" s="2">
        <v>40963</v>
      </c>
      <c r="AA36">
        <v>0.25</v>
      </c>
    </row>
    <row r="37" spans="2:27" x14ac:dyDescent="0.25">
      <c r="B37" s="2">
        <v>40970</v>
      </c>
      <c r="C37">
        <v>820.81899999999996</v>
      </c>
      <c r="E37" s="2">
        <v>40970</v>
      </c>
      <c r="F37">
        <v>29.47</v>
      </c>
      <c r="H37" s="2">
        <v>40970</v>
      </c>
      <c r="I37">
        <v>29.47</v>
      </c>
      <c r="K37" s="2">
        <v>40970</v>
      </c>
      <c r="L37">
        <v>6.4960000000000004</v>
      </c>
      <c r="N37" s="2">
        <v>40970</v>
      </c>
      <c r="O37">
        <v>219500</v>
      </c>
      <c r="Q37" s="2">
        <v>40970</v>
      </c>
      <c r="R37">
        <v>91402</v>
      </c>
      <c r="T37" s="2">
        <v>40970</v>
      </c>
      <c r="U37">
        <v>820819</v>
      </c>
      <c r="W37" s="2">
        <v>40970</v>
      </c>
      <c r="X37">
        <v>1</v>
      </c>
      <c r="Z37" s="2">
        <v>40970</v>
      </c>
      <c r="AA37">
        <v>0.25</v>
      </c>
    </row>
    <row r="38" spans="2:27" x14ac:dyDescent="0.25">
      <c r="B38" s="2">
        <v>40977</v>
      </c>
      <c r="C38">
        <v>797.95299999999997</v>
      </c>
      <c r="E38" s="2">
        <v>40977</v>
      </c>
      <c r="F38">
        <v>17.54</v>
      </c>
      <c r="H38" s="2">
        <v>40977</v>
      </c>
      <c r="I38">
        <v>17.54</v>
      </c>
      <c r="K38" s="2">
        <v>40977</v>
      </c>
      <c r="L38">
        <v>6.4960000000000004</v>
      </c>
      <c r="N38" s="2">
        <v>40977</v>
      </c>
      <c r="O38">
        <v>218000</v>
      </c>
      <c r="Q38" s="2">
        <v>40977</v>
      </c>
      <c r="R38">
        <v>97943</v>
      </c>
      <c r="T38" s="2">
        <v>40977</v>
      </c>
      <c r="U38">
        <v>797953</v>
      </c>
      <c r="W38" s="2">
        <v>40977</v>
      </c>
      <c r="X38">
        <v>1</v>
      </c>
      <c r="Z38" s="2">
        <v>40977</v>
      </c>
      <c r="AA38">
        <v>0.25</v>
      </c>
    </row>
    <row r="39" spans="2:27" x14ac:dyDescent="0.25">
      <c r="B39" s="2">
        <v>40984</v>
      </c>
      <c r="C39">
        <v>758.75400000000002</v>
      </c>
      <c r="E39" s="2">
        <v>40984</v>
      </c>
      <c r="F39">
        <v>42.18</v>
      </c>
      <c r="H39" s="2">
        <v>40984</v>
      </c>
      <c r="I39">
        <v>42.18</v>
      </c>
      <c r="K39" s="2">
        <v>40984</v>
      </c>
      <c r="L39">
        <v>9.7539999999999996</v>
      </c>
      <c r="N39" s="2">
        <v>40984</v>
      </c>
      <c r="O39">
        <v>218000</v>
      </c>
      <c r="Q39" s="2">
        <v>40984</v>
      </c>
      <c r="R39">
        <v>132173</v>
      </c>
      <c r="T39" s="2">
        <v>40984</v>
      </c>
      <c r="U39">
        <v>758754</v>
      </c>
      <c r="W39" s="2">
        <v>40984</v>
      </c>
      <c r="X39">
        <v>1</v>
      </c>
      <c r="Z39" s="2">
        <v>40984</v>
      </c>
      <c r="AA39">
        <v>0.25</v>
      </c>
    </row>
    <row r="40" spans="2:27" x14ac:dyDescent="0.25">
      <c r="B40" s="2">
        <v>40991</v>
      </c>
      <c r="C40">
        <v>785.39300000000003</v>
      </c>
      <c r="E40" s="2">
        <v>40991</v>
      </c>
      <c r="F40">
        <v>59.54</v>
      </c>
      <c r="H40" s="2">
        <v>40991</v>
      </c>
      <c r="I40">
        <v>59.54</v>
      </c>
      <c r="K40" s="2">
        <v>40991</v>
      </c>
      <c r="L40">
        <v>9.7539999999999996</v>
      </c>
      <c r="N40" s="2">
        <v>40991</v>
      </c>
      <c r="O40">
        <v>213500</v>
      </c>
      <c r="Q40" s="2">
        <v>40991</v>
      </c>
      <c r="R40">
        <v>89273</v>
      </c>
      <c r="T40" s="2">
        <v>40991</v>
      </c>
      <c r="U40">
        <v>785393</v>
      </c>
      <c r="W40" s="2">
        <v>40991</v>
      </c>
      <c r="X40">
        <v>1</v>
      </c>
      <c r="Z40" s="2">
        <v>40991</v>
      </c>
      <c r="AA40">
        <v>0.25</v>
      </c>
    </row>
    <row r="41" spans="2:27" x14ac:dyDescent="0.25">
      <c r="B41" s="2">
        <v>40998</v>
      </c>
      <c r="C41">
        <v>778.702</v>
      </c>
      <c r="E41" s="2">
        <v>40998</v>
      </c>
      <c r="F41">
        <v>61.08</v>
      </c>
      <c r="H41" s="2">
        <v>40998</v>
      </c>
      <c r="I41">
        <v>61.08</v>
      </c>
      <c r="K41" s="2">
        <v>40998</v>
      </c>
      <c r="L41">
        <v>25.126999999999999</v>
      </c>
      <c r="N41" s="2">
        <v>40998</v>
      </c>
      <c r="O41">
        <v>213500</v>
      </c>
      <c r="Q41" s="2">
        <v>40998</v>
      </c>
      <c r="R41">
        <v>108653</v>
      </c>
      <c r="T41" s="2">
        <v>40998</v>
      </c>
      <c r="U41">
        <v>778702</v>
      </c>
      <c r="W41" s="2">
        <v>40998</v>
      </c>
      <c r="X41">
        <v>1</v>
      </c>
      <c r="Z41" s="2">
        <v>40998</v>
      </c>
      <c r="AA41">
        <v>0.25</v>
      </c>
    </row>
    <row r="42" spans="2:27" x14ac:dyDescent="0.25">
      <c r="B42" s="2">
        <v>41005</v>
      </c>
      <c r="C42">
        <v>784.82899999999995</v>
      </c>
      <c r="E42" s="2">
        <v>41005</v>
      </c>
      <c r="F42">
        <v>62.63</v>
      </c>
      <c r="H42" s="2">
        <v>41005</v>
      </c>
      <c r="I42">
        <v>62.63</v>
      </c>
      <c r="K42" s="2">
        <v>41005</v>
      </c>
      <c r="L42">
        <v>25.126999999999999</v>
      </c>
      <c r="N42" s="2">
        <v>41005</v>
      </c>
      <c r="O42">
        <v>214000</v>
      </c>
      <c r="Q42" s="2">
        <v>41005</v>
      </c>
      <c r="R42">
        <v>86028</v>
      </c>
      <c r="T42" s="2">
        <v>41005</v>
      </c>
      <c r="U42">
        <v>784829</v>
      </c>
      <c r="W42" s="2">
        <v>41005</v>
      </c>
      <c r="X42">
        <v>1</v>
      </c>
      <c r="Z42" s="2">
        <v>41005</v>
      </c>
      <c r="AA42">
        <v>0.25</v>
      </c>
    </row>
    <row r="43" spans="2:27" x14ac:dyDescent="0.25">
      <c r="B43" s="2">
        <v>41012</v>
      </c>
      <c r="C43">
        <v>742.82500000000005</v>
      </c>
      <c r="E43" s="2">
        <v>41012</v>
      </c>
      <c r="F43">
        <v>55.36</v>
      </c>
      <c r="H43" s="2">
        <v>41012</v>
      </c>
      <c r="I43">
        <v>55.36</v>
      </c>
      <c r="K43" s="2">
        <v>41012</v>
      </c>
      <c r="L43">
        <v>11.388999999999999</v>
      </c>
      <c r="N43" s="2">
        <v>41012</v>
      </c>
      <c r="O43">
        <v>214000</v>
      </c>
      <c r="Q43" s="2">
        <v>41012</v>
      </c>
      <c r="R43">
        <v>129019</v>
      </c>
      <c r="T43" s="2">
        <v>41012</v>
      </c>
      <c r="U43">
        <v>742825</v>
      </c>
      <c r="W43" s="2">
        <v>41012</v>
      </c>
      <c r="X43">
        <v>1</v>
      </c>
      <c r="Z43" s="2">
        <v>41012</v>
      </c>
      <c r="AA43">
        <v>0.25</v>
      </c>
    </row>
    <row r="44" spans="2:27" x14ac:dyDescent="0.25">
      <c r="B44" s="2">
        <v>41019</v>
      </c>
      <c r="C44">
        <v>775.65</v>
      </c>
      <c r="E44" s="2">
        <v>41019</v>
      </c>
      <c r="F44">
        <v>51.78</v>
      </c>
      <c r="H44" s="2">
        <v>41019</v>
      </c>
      <c r="I44">
        <v>51.78</v>
      </c>
      <c r="K44" s="2">
        <v>41019</v>
      </c>
      <c r="L44">
        <v>11.388999999999999</v>
      </c>
      <c r="N44" s="2">
        <v>41019</v>
      </c>
      <c r="O44">
        <v>214000</v>
      </c>
      <c r="Q44" s="2">
        <v>41019</v>
      </c>
      <c r="R44">
        <v>93498</v>
      </c>
      <c r="T44" s="2">
        <v>41019</v>
      </c>
      <c r="U44">
        <v>775650</v>
      </c>
      <c r="W44" s="2">
        <v>41019</v>
      </c>
      <c r="X44">
        <v>1</v>
      </c>
      <c r="Z44" s="2">
        <v>41019</v>
      </c>
      <c r="AA44">
        <v>0.25</v>
      </c>
    </row>
    <row r="45" spans="2:27" x14ac:dyDescent="0.25">
      <c r="B45" s="2">
        <v>41026</v>
      </c>
      <c r="C45">
        <v>793.95799999999997</v>
      </c>
      <c r="E45" s="2">
        <v>41026</v>
      </c>
      <c r="F45">
        <v>46.37</v>
      </c>
      <c r="H45" s="2">
        <v>41026</v>
      </c>
      <c r="I45">
        <v>46.37</v>
      </c>
      <c r="K45" s="2">
        <v>41026</v>
      </c>
      <c r="L45">
        <v>21.338000000000001</v>
      </c>
      <c r="N45" s="2">
        <v>41026</v>
      </c>
      <c r="O45">
        <v>214000</v>
      </c>
      <c r="Q45" s="2">
        <v>41026</v>
      </c>
      <c r="R45">
        <v>91254</v>
      </c>
      <c r="T45" s="2">
        <v>41026</v>
      </c>
      <c r="U45">
        <v>793958</v>
      </c>
      <c r="W45" s="2">
        <v>41026</v>
      </c>
      <c r="X45">
        <v>1</v>
      </c>
      <c r="Z45" s="2">
        <v>41026</v>
      </c>
      <c r="AA45">
        <v>0.25</v>
      </c>
    </row>
    <row r="46" spans="2:27" x14ac:dyDescent="0.25">
      <c r="B46" s="2">
        <v>41033</v>
      </c>
      <c r="C46">
        <v>801.48900000000003</v>
      </c>
      <c r="E46" s="2">
        <v>41033</v>
      </c>
      <c r="F46">
        <v>34.42</v>
      </c>
      <c r="H46" s="2">
        <v>41033</v>
      </c>
      <c r="I46">
        <v>34.42</v>
      </c>
      <c r="K46" s="2">
        <v>41033</v>
      </c>
      <c r="L46">
        <v>21.338000000000001</v>
      </c>
      <c r="N46" s="2">
        <v>41033</v>
      </c>
      <c r="O46">
        <v>214000</v>
      </c>
      <c r="Q46" s="2">
        <v>41033</v>
      </c>
      <c r="R46">
        <v>96860</v>
      </c>
      <c r="T46" s="2">
        <v>41033</v>
      </c>
      <c r="U46">
        <v>801489</v>
      </c>
      <c r="W46" s="2">
        <v>41033</v>
      </c>
      <c r="X46">
        <v>1</v>
      </c>
      <c r="Z46" s="2">
        <v>41033</v>
      </c>
      <c r="AA46">
        <v>0.25</v>
      </c>
    </row>
    <row r="47" spans="2:27" x14ac:dyDescent="0.25">
      <c r="B47" s="2">
        <v>41040</v>
      </c>
      <c r="C47">
        <v>763.11900000000003</v>
      </c>
      <c r="E47" s="2">
        <v>41040</v>
      </c>
      <c r="F47">
        <v>39.29</v>
      </c>
      <c r="H47" s="2">
        <v>41040</v>
      </c>
      <c r="I47">
        <v>39.29</v>
      </c>
      <c r="K47" s="2">
        <v>41040</v>
      </c>
      <c r="L47">
        <v>12.988</v>
      </c>
      <c r="N47" s="2">
        <v>41040</v>
      </c>
      <c r="O47">
        <v>214000</v>
      </c>
      <c r="Q47" s="2">
        <v>41040</v>
      </c>
      <c r="R47">
        <v>146815</v>
      </c>
      <c r="T47" s="2">
        <v>41040</v>
      </c>
      <c r="U47">
        <v>763119</v>
      </c>
      <c r="W47" s="2">
        <v>41040</v>
      </c>
      <c r="X47">
        <v>1</v>
      </c>
      <c r="Z47" s="2">
        <v>41040</v>
      </c>
      <c r="AA47">
        <v>0.25</v>
      </c>
    </row>
    <row r="48" spans="2:27" x14ac:dyDescent="0.25">
      <c r="B48" s="2">
        <v>41047</v>
      </c>
      <c r="C48">
        <v>789.71500000000003</v>
      </c>
      <c r="E48" s="2">
        <v>41047</v>
      </c>
      <c r="F48">
        <v>42.99</v>
      </c>
      <c r="H48" s="2">
        <v>41047</v>
      </c>
      <c r="I48">
        <v>42.99</v>
      </c>
      <c r="K48" s="2">
        <v>41047</v>
      </c>
      <c r="L48">
        <v>12.988</v>
      </c>
      <c r="N48" s="2">
        <v>41047</v>
      </c>
      <c r="O48">
        <v>212000</v>
      </c>
      <c r="Q48" s="2">
        <v>41047</v>
      </c>
      <c r="R48">
        <v>102482</v>
      </c>
      <c r="T48" s="2">
        <v>41047</v>
      </c>
      <c r="U48">
        <v>789715</v>
      </c>
      <c r="W48" s="2">
        <v>41047</v>
      </c>
      <c r="X48">
        <v>1</v>
      </c>
      <c r="Z48" s="2">
        <v>41047</v>
      </c>
      <c r="AA48">
        <v>0.25</v>
      </c>
    </row>
    <row r="49" spans="2:27" x14ac:dyDescent="0.25">
      <c r="B49" s="2">
        <v>41054</v>
      </c>
      <c r="C49">
        <v>760.10199999999998</v>
      </c>
      <c r="E49" s="2">
        <v>41054</v>
      </c>
      <c r="F49">
        <v>37.85</v>
      </c>
      <c r="H49" s="2">
        <v>41054</v>
      </c>
      <c r="I49">
        <v>37.85</v>
      </c>
      <c r="K49" s="2">
        <v>41054</v>
      </c>
      <c r="L49">
        <v>12.988</v>
      </c>
      <c r="N49" s="2">
        <v>41054</v>
      </c>
      <c r="O49">
        <v>212000</v>
      </c>
      <c r="Q49" s="2">
        <v>41054</v>
      </c>
      <c r="R49">
        <v>90035</v>
      </c>
      <c r="T49" s="2">
        <v>41054</v>
      </c>
      <c r="U49">
        <v>760102</v>
      </c>
      <c r="W49" s="2">
        <v>41054</v>
      </c>
      <c r="X49">
        <v>1</v>
      </c>
      <c r="Z49" s="2">
        <v>41054</v>
      </c>
      <c r="AA49">
        <v>0.25</v>
      </c>
    </row>
    <row r="50" spans="2:27" x14ac:dyDescent="0.25">
      <c r="B50" s="2">
        <v>41061</v>
      </c>
      <c r="C50">
        <v>784.97299999999996</v>
      </c>
      <c r="E50" s="2">
        <v>41061</v>
      </c>
      <c r="F50">
        <v>51.18</v>
      </c>
      <c r="H50" s="2">
        <v>41061</v>
      </c>
      <c r="I50">
        <v>51.18</v>
      </c>
      <c r="K50" s="2">
        <v>41061</v>
      </c>
      <c r="L50">
        <v>8.3070000000000004</v>
      </c>
      <c r="N50" s="2">
        <v>41061</v>
      </c>
      <c r="O50">
        <v>212000</v>
      </c>
      <c r="Q50" s="2">
        <v>41061</v>
      </c>
      <c r="R50">
        <v>94017</v>
      </c>
      <c r="T50" s="2">
        <v>41061</v>
      </c>
      <c r="U50">
        <v>784973</v>
      </c>
      <c r="W50" s="2">
        <v>41061</v>
      </c>
      <c r="X50">
        <v>1</v>
      </c>
      <c r="Z50" s="2">
        <v>41061</v>
      </c>
      <c r="AA50">
        <v>0.25</v>
      </c>
    </row>
    <row r="51" spans="2:27" x14ac:dyDescent="0.25">
      <c r="B51" s="2">
        <v>41068</v>
      </c>
      <c r="C51">
        <v>788.21799999999996</v>
      </c>
      <c r="E51" s="2">
        <v>41068</v>
      </c>
      <c r="F51">
        <v>119.37</v>
      </c>
      <c r="H51" s="2">
        <v>41068</v>
      </c>
      <c r="I51">
        <v>119.37</v>
      </c>
      <c r="K51" s="2">
        <v>41068</v>
      </c>
      <c r="L51">
        <v>8.3070000000000004</v>
      </c>
      <c r="N51" s="2">
        <v>41068</v>
      </c>
      <c r="O51">
        <v>212000</v>
      </c>
      <c r="Q51" s="2">
        <v>41068</v>
      </c>
      <c r="R51">
        <v>87070</v>
      </c>
      <c r="T51" s="2">
        <v>41068</v>
      </c>
      <c r="U51">
        <v>788218</v>
      </c>
      <c r="W51" s="2">
        <v>41068</v>
      </c>
      <c r="X51">
        <v>1</v>
      </c>
      <c r="Z51" s="2">
        <v>41068</v>
      </c>
      <c r="AA51">
        <v>0.25</v>
      </c>
    </row>
    <row r="52" spans="2:27" x14ac:dyDescent="0.25">
      <c r="B52" s="2">
        <v>41075</v>
      </c>
      <c r="C52">
        <v>741.19100000000003</v>
      </c>
      <c r="E52" s="2">
        <v>41075</v>
      </c>
      <c r="F52">
        <v>131.75</v>
      </c>
      <c r="H52" s="2">
        <v>41075</v>
      </c>
      <c r="I52">
        <v>131.75</v>
      </c>
      <c r="K52" s="2">
        <v>41075</v>
      </c>
      <c r="L52">
        <v>18.905000000000001</v>
      </c>
      <c r="N52" s="2">
        <v>41075</v>
      </c>
      <c r="O52">
        <v>210500</v>
      </c>
      <c r="Q52" s="2">
        <v>41075</v>
      </c>
      <c r="R52">
        <v>150901</v>
      </c>
      <c r="T52" s="2">
        <v>41075</v>
      </c>
      <c r="U52">
        <v>741191</v>
      </c>
      <c r="W52" s="2">
        <v>41075</v>
      </c>
      <c r="X52">
        <v>1</v>
      </c>
      <c r="Z52" s="2">
        <v>41075</v>
      </c>
      <c r="AA52">
        <v>0.25</v>
      </c>
    </row>
    <row r="53" spans="2:27" x14ac:dyDescent="0.25">
      <c r="B53" s="2">
        <v>41082</v>
      </c>
      <c r="C53">
        <v>775.26300000000003</v>
      </c>
      <c r="E53" s="2">
        <v>41082</v>
      </c>
      <c r="F53">
        <v>167.25</v>
      </c>
      <c r="H53" s="2">
        <v>41082</v>
      </c>
      <c r="I53">
        <v>167.25</v>
      </c>
      <c r="K53" s="2">
        <v>41082</v>
      </c>
      <c r="L53">
        <v>18.905000000000001</v>
      </c>
      <c r="N53" s="2">
        <v>41082</v>
      </c>
      <c r="O53">
        <v>210500</v>
      </c>
      <c r="Q53" s="2">
        <v>41082</v>
      </c>
      <c r="R53">
        <v>97022</v>
      </c>
      <c r="T53" s="2">
        <v>41082</v>
      </c>
      <c r="U53">
        <v>775263</v>
      </c>
      <c r="W53" s="2">
        <v>41082</v>
      </c>
      <c r="X53">
        <v>1</v>
      </c>
      <c r="Z53" s="2">
        <v>41082</v>
      </c>
      <c r="AA53">
        <v>0.25</v>
      </c>
    </row>
    <row r="54" spans="2:27" x14ac:dyDescent="0.25">
      <c r="B54" s="2">
        <v>41089</v>
      </c>
      <c r="C54">
        <v>772.85500000000002</v>
      </c>
      <c r="E54" s="2">
        <v>41089</v>
      </c>
      <c r="F54">
        <v>180.38</v>
      </c>
      <c r="H54" s="2">
        <v>41089</v>
      </c>
      <c r="I54">
        <v>180.38</v>
      </c>
      <c r="K54" s="2">
        <v>41089</v>
      </c>
      <c r="L54">
        <v>26.295000000000002</v>
      </c>
      <c r="N54" s="2">
        <v>41089</v>
      </c>
      <c r="O54">
        <v>210500</v>
      </c>
      <c r="Q54" s="2">
        <v>41089</v>
      </c>
      <c r="R54">
        <v>116654</v>
      </c>
      <c r="T54" s="2">
        <v>41089</v>
      </c>
      <c r="U54">
        <v>772855</v>
      </c>
      <c r="W54" s="2">
        <v>41089</v>
      </c>
      <c r="X54">
        <v>1</v>
      </c>
      <c r="Z54" s="2">
        <v>41089</v>
      </c>
      <c r="AA54">
        <v>0.25</v>
      </c>
    </row>
    <row r="55" spans="2:27" x14ac:dyDescent="0.25">
      <c r="B55" s="2">
        <v>41096</v>
      </c>
      <c r="C55">
        <v>795.20299999999997</v>
      </c>
      <c r="E55" s="2">
        <v>41096</v>
      </c>
      <c r="F55">
        <v>163.63</v>
      </c>
      <c r="H55" s="2">
        <v>41096</v>
      </c>
      <c r="I55">
        <v>163.63</v>
      </c>
      <c r="K55" s="2">
        <v>41096</v>
      </c>
      <c r="L55">
        <v>26.295000000000002</v>
      </c>
      <c r="N55" s="2">
        <v>41096</v>
      </c>
      <c r="O55">
        <v>211500</v>
      </c>
      <c r="Q55" s="2">
        <v>41096</v>
      </c>
      <c r="R55">
        <v>91789</v>
      </c>
      <c r="T55" s="2">
        <v>41096</v>
      </c>
      <c r="U55">
        <v>795203</v>
      </c>
      <c r="W55" s="2">
        <v>41096</v>
      </c>
      <c r="X55">
        <v>1</v>
      </c>
      <c r="Z55" s="2">
        <v>41096</v>
      </c>
      <c r="AA55">
        <v>0</v>
      </c>
    </row>
    <row r="56" spans="2:27" x14ac:dyDescent="0.25">
      <c r="B56" s="2">
        <v>41103</v>
      </c>
      <c r="C56">
        <v>386.82600000000002</v>
      </c>
      <c r="E56" s="2">
        <v>41103</v>
      </c>
      <c r="F56">
        <v>163.71</v>
      </c>
      <c r="H56" s="2">
        <v>41103</v>
      </c>
      <c r="I56">
        <v>163.71</v>
      </c>
      <c r="K56" s="2">
        <v>41103</v>
      </c>
      <c r="L56">
        <v>24.398</v>
      </c>
      <c r="N56" s="2">
        <v>41103</v>
      </c>
      <c r="O56">
        <v>211500</v>
      </c>
      <c r="Q56" s="2">
        <v>41103</v>
      </c>
      <c r="R56">
        <v>479749</v>
      </c>
      <c r="T56" s="2">
        <v>41103</v>
      </c>
      <c r="U56">
        <v>386826</v>
      </c>
      <c r="W56" s="2">
        <v>41103</v>
      </c>
      <c r="X56">
        <v>0.75</v>
      </c>
      <c r="Z56" s="2">
        <v>41103</v>
      </c>
      <c r="AA56">
        <v>0</v>
      </c>
    </row>
    <row r="57" spans="2:27" x14ac:dyDescent="0.25">
      <c r="B57" s="2">
        <v>41110</v>
      </c>
      <c r="C57">
        <v>349.43400000000003</v>
      </c>
      <c r="E57" s="2">
        <v>41110</v>
      </c>
      <c r="F57">
        <v>156.75</v>
      </c>
      <c r="H57" s="2">
        <v>41110</v>
      </c>
      <c r="I57">
        <v>156.75</v>
      </c>
      <c r="K57" s="2">
        <v>41110</v>
      </c>
      <c r="L57">
        <v>24.398</v>
      </c>
      <c r="N57" s="2">
        <v>41110</v>
      </c>
      <c r="O57">
        <v>211500</v>
      </c>
      <c r="Q57" s="2">
        <v>41110</v>
      </c>
      <c r="R57">
        <v>493000</v>
      </c>
      <c r="T57" s="2">
        <v>41110</v>
      </c>
      <c r="U57">
        <v>349434</v>
      </c>
      <c r="W57" s="2">
        <v>41110</v>
      </c>
      <c r="X57">
        <v>0.75</v>
      </c>
      <c r="Z57" s="2">
        <v>41110</v>
      </c>
      <c r="AA57">
        <v>0</v>
      </c>
    </row>
    <row r="58" spans="2:27" x14ac:dyDescent="0.25">
      <c r="B58" s="2">
        <v>41117</v>
      </c>
      <c r="C58">
        <v>337.02499999999998</v>
      </c>
      <c r="E58" s="2">
        <v>41117</v>
      </c>
      <c r="F58">
        <v>130.66999999999999</v>
      </c>
      <c r="H58" s="2">
        <v>41117</v>
      </c>
      <c r="I58">
        <v>130.66999999999999</v>
      </c>
      <c r="K58" s="2">
        <v>41117</v>
      </c>
      <c r="L58">
        <v>8.4499999999999993</v>
      </c>
      <c r="N58" s="2">
        <v>41117</v>
      </c>
      <c r="O58">
        <v>211500</v>
      </c>
      <c r="Q58" s="2">
        <v>41117</v>
      </c>
      <c r="R58">
        <v>515712</v>
      </c>
      <c r="T58" s="2">
        <v>41117</v>
      </c>
      <c r="U58">
        <v>337025</v>
      </c>
      <c r="W58" s="2">
        <v>41117</v>
      </c>
      <c r="X58">
        <v>0.75</v>
      </c>
      <c r="Z58" s="2">
        <v>41117</v>
      </c>
      <c r="AA58">
        <v>0</v>
      </c>
    </row>
    <row r="59" spans="2:27" x14ac:dyDescent="0.25">
      <c r="B59" s="2">
        <v>41124</v>
      </c>
      <c r="C59">
        <v>300.38400000000001</v>
      </c>
      <c r="E59" s="2">
        <v>41124</v>
      </c>
      <c r="F59">
        <v>132.77000000000001</v>
      </c>
      <c r="H59" s="2">
        <v>41124</v>
      </c>
      <c r="I59">
        <v>132.77000000000001</v>
      </c>
      <c r="K59" s="2">
        <v>41124</v>
      </c>
      <c r="L59">
        <v>8.4499999999999993</v>
      </c>
      <c r="N59" s="2">
        <v>41124</v>
      </c>
      <c r="O59">
        <v>211500</v>
      </c>
      <c r="Q59" s="2">
        <v>41124</v>
      </c>
      <c r="R59">
        <v>549658</v>
      </c>
      <c r="T59" s="2">
        <v>41124</v>
      </c>
      <c r="U59">
        <v>300384</v>
      </c>
      <c r="W59" s="2">
        <v>41124</v>
      </c>
      <c r="X59">
        <v>0.75</v>
      </c>
      <c r="Z59" s="2">
        <v>41124</v>
      </c>
      <c r="AA59">
        <v>0</v>
      </c>
    </row>
    <row r="60" spans="2:27" x14ac:dyDescent="0.25">
      <c r="B60" s="2">
        <v>41131</v>
      </c>
      <c r="C60">
        <v>310.822</v>
      </c>
      <c r="E60" s="2">
        <v>41131</v>
      </c>
      <c r="F60">
        <v>133.43</v>
      </c>
      <c r="H60" s="2">
        <v>41131</v>
      </c>
      <c r="I60">
        <v>133.43</v>
      </c>
      <c r="K60" s="2">
        <v>41131</v>
      </c>
      <c r="L60">
        <v>25.18</v>
      </c>
      <c r="N60" s="2">
        <v>41131</v>
      </c>
      <c r="O60">
        <v>211500</v>
      </c>
      <c r="Q60" s="2">
        <v>41131</v>
      </c>
      <c r="R60">
        <v>551836</v>
      </c>
      <c r="T60" s="2">
        <v>41131</v>
      </c>
      <c r="U60">
        <v>310822</v>
      </c>
      <c r="W60" s="2">
        <v>41131</v>
      </c>
      <c r="X60">
        <v>0.75</v>
      </c>
      <c r="Z60" s="2">
        <v>41131</v>
      </c>
      <c r="AA60">
        <v>0</v>
      </c>
    </row>
    <row r="61" spans="2:27" x14ac:dyDescent="0.25">
      <c r="B61" s="2">
        <v>41138</v>
      </c>
      <c r="C61">
        <v>326.92</v>
      </c>
      <c r="E61" s="2">
        <v>41138</v>
      </c>
      <c r="F61">
        <v>130.58000000000001</v>
      </c>
      <c r="H61" s="2">
        <v>41138</v>
      </c>
      <c r="I61">
        <v>130.58000000000001</v>
      </c>
      <c r="K61" s="2">
        <v>41138</v>
      </c>
      <c r="L61">
        <v>25.18</v>
      </c>
      <c r="N61" s="2">
        <v>41138</v>
      </c>
      <c r="O61">
        <v>211500</v>
      </c>
      <c r="Q61" s="2">
        <v>41138</v>
      </c>
      <c r="R61">
        <v>542145</v>
      </c>
      <c r="T61" s="2">
        <v>41138</v>
      </c>
      <c r="U61">
        <v>326920</v>
      </c>
      <c r="W61" s="2">
        <v>41138</v>
      </c>
      <c r="X61">
        <v>0.75</v>
      </c>
      <c r="Z61" s="2">
        <v>41138</v>
      </c>
      <c r="AA61">
        <v>0</v>
      </c>
    </row>
    <row r="62" spans="2:27" x14ac:dyDescent="0.25">
      <c r="B62" s="2">
        <v>41145</v>
      </c>
      <c r="C62">
        <v>329.34800000000001</v>
      </c>
      <c r="E62" s="2">
        <v>41145</v>
      </c>
      <c r="F62">
        <v>131.25</v>
      </c>
      <c r="H62" s="2">
        <v>41145</v>
      </c>
      <c r="I62">
        <v>131.25</v>
      </c>
      <c r="K62" s="2">
        <v>41145</v>
      </c>
      <c r="L62">
        <v>25.18</v>
      </c>
      <c r="N62" s="2">
        <v>41145</v>
      </c>
      <c r="O62">
        <v>209000</v>
      </c>
      <c r="Q62" s="2">
        <v>41145</v>
      </c>
      <c r="R62">
        <v>525497</v>
      </c>
      <c r="T62" s="2">
        <v>41145</v>
      </c>
      <c r="U62">
        <v>329348</v>
      </c>
      <c r="W62" s="2">
        <v>41145</v>
      </c>
      <c r="X62">
        <v>0.75</v>
      </c>
      <c r="Z62" s="2">
        <v>41145</v>
      </c>
      <c r="AA62">
        <v>0</v>
      </c>
    </row>
    <row r="63" spans="2:27" x14ac:dyDescent="0.25">
      <c r="B63" s="2">
        <v>41152</v>
      </c>
      <c r="C63">
        <v>345.95600000000002</v>
      </c>
      <c r="E63" s="2">
        <v>41152</v>
      </c>
      <c r="F63">
        <v>131.47999999999999</v>
      </c>
      <c r="H63" s="2">
        <v>41152</v>
      </c>
      <c r="I63">
        <v>131.47999999999999</v>
      </c>
      <c r="K63" s="2">
        <v>41152</v>
      </c>
      <c r="L63">
        <v>9.7460000000000004</v>
      </c>
      <c r="N63" s="2">
        <v>41152</v>
      </c>
      <c r="O63">
        <v>209000</v>
      </c>
      <c r="Q63" s="2">
        <v>41152</v>
      </c>
      <c r="R63">
        <v>541046</v>
      </c>
      <c r="T63" s="2">
        <v>41152</v>
      </c>
      <c r="U63">
        <v>345956</v>
      </c>
      <c r="W63" s="2">
        <v>41152</v>
      </c>
      <c r="X63">
        <v>0.75</v>
      </c>
      <c r="Z63" s="2">
        <v>41152</v>
      </c>
      <c r="AA63">
        <v>0</v>
      </c>
    </row>
    <row r="64" spans="2:27" x14ac:dyDescent="0.25">
      <c r="B64" s="2">
        <v>41159</v>
      </c>
      <c r="C64">
        <v>326.80500000000001</v>
      </c>
      <c r="E64" s="2">
        <v>41159</v>
      </c>
      <c r="F64">
        <v>126.33</v>
      </c>
      <c r="H64" s="2">
        <v>41159</v>
      </c>
      <c r="I64">
        <v>126.33</v>
      </c>
      <c r="K64" s="2">
        <v>41159</v>
      </c>
      <c r="L64">
        <v>9.7460000000000004</v>
      </c>
      <c r="N64" s="2">
        <v>41159</v>
      </c>
      <c r="O64">
        <v>209000</v>
      </c>
      <c r="Q64" s="2">
        <v>41159</v>
      </c>
      <c r="R64">
        <v>549287</v>
      </c>
      <c r="T64" s="2">
        <v>41159</v>
      </c>
      <c r="U64">
        <v>326804</v>
      </c>
      <c r="W64" s="2">
        <v>41159</v>
      </c>
      <c r="X64">
        <v>0.75</v>
      </c>
      <c r="Z64" s="2">
        <v>41159</v>
      </c>
      <c r="AA64">
        <v>0</v>
      </c>
    </row>
    <row r="65" spans="2:27" x14ac:dyDescent="0.25">
      <c r="B65" s="2">
        <v>41166</v>
      </c>
      <c r="C65">
        <v>335.048</v>
      </c>
      <c r="E65" s="2">
        <v>41166</v>
      </c>
      <c r="F65">
        <v>130.34</v>
      </c>
      <c r="H65" s="2">
        <v>41166</v>
      </c>
      <c r="I65">
        <v>130.34</v>
      </c>
      <c r="K65" s="2">
        <v>41166</v>
      </c>
      <c r="L65">
        <v>13.843999999999999</v>
      </c>
      <c r="N65" s="2">
        <v>41166</v>
      </c>
      <c r="O65">
        <v>209000</v>
      </c>
      <c r="Q65" s="2">
        <v>41166</v>
      </c>
      <c r="R65">
        <v>526420</v>
      </c>
      <c r="T65" s="2">
        <v>41166</v>
      </c>
      <c r="U65">
        <v>335048</v>
      </c>
      <c r="W65" s="2">
        <v>41166</v>
      </c>
      <c r="X65">
        <v>0.75</v>
      </c>
      <c r="Z65" s="2">
        <v>41166</v>
      </c>
      <c r="AA65">
        <v>0</v>
      </c>
    </row>
    <row r="66" spans="2:27" x14ac:dyDescent="0.25">
      <c r="B66" s="2">
        <v>41173</v>
      </c>
      <c r="C66">
        <v>305.64699999999999</v>
      </c>
      <c r="E66" s="2">
        <v>41173</v>
      </c>
      <c r="F66">
        <v>119.84</v>
      </c>
      <c r="H66" s="2">
        <v>41173</v>
      </c>
      <c r="I66">
        <v>119.84</v>
      </c>
      <c r="K66" s="2">
        <v>41173</v>
      </c>
      <c r="L66">
        <v>13.843999999999999</v>
      </c>
      <c r="N66" s="2">
        <v>41173</v>
      </c>
      <c r="O66">
        <v>209000</v>
      </c>
      <c r="Q66" s="2">
        <v>41173</v>
      </c>
      <c r="R66">
        <v>550482</v>
      </c>
      <c r="T66" s="2">
        <v>41173</v>
      </c>
      <c r="U66">
        <v>305647</v>
      </c>
      <c r="W66" s="2">
        <v>41173</v>
      </c>
      <c r="X66">
        <v>0.75</v>
      </c>
      <c r="Z66" s="2">
        <v>41173</v>
      </c>
      <c r="AA66">
        <v>0</v>
      </c>
    </row>
    <row r="67" spans="2:27" x14ac:dyDescent="0.25">
      <c r="B67" s="2">
        <v>41180</v>
      </c>
      <c r="C67">
        <v>315.75400000000002</v>
      </c>
      <c r="E67" s="2">
        <v>41180</v>
      </c>
      <c r="F67">
        <v>117.38</v>
      </c>
      <c r="H67" s="2">
        <v>41180</v>
      </c>
      <c r="I67">
        <v>117.38</v>
      </c>
      <c r="K67" s="2">
        <v>41180</v>
      </c>
      <c r="L67">
        <v>18.709</v>
      </c>
      <c r="N67" s="2">
        <v>41180</v>
      </c>
      <c r="O67">
        <v>209000</v>
      </c>
      <c r="Q67" s="2">
        <v>41180</v>
      </c>
      <c r="R67">
        <v>525830</v>
      </c>
      <c r="T67" s="2">
        <v>41180</v>
      </c>
      <c r="U67">
        <v>315754</v>
      </c>
      <c r="W67" s="2">
        <v>41180</v>
      </c>
      <c r="X67">
        <v>0.75</v>
      </c>
      <c r="Z67" s="2">
        <v>41180</v>
      </c>
      <c r="AA67">
        <v>0</v>
      </c>
    </row>
    <row r="68" spans="2:27" x14ac:dyDescent="0.25">
      <c r="B68" s="2">
        <v>41187</v>
      </c>
      <c r="C68">
        <v>296.464</v>
      </c>
      <c r="E68" s="2">
        <v>41187</v>
      </c>
      <c r="F68">
        <v>102.89</v>
      </c>
      <c r="H68" s="2">
        <v>41187</v>
      </c>
      <c r="I68">
        <v>102.89</v>
      </c>
      <c r="K68" s="2">
        <v>41187</v>
      </c>
      <c r="L68">
        <v>18.709</v>
      </c>
      <c r="N68" s="2">
        <v>41187</v>
      </c>
      <c r="O68">
        <v>209500</v>
      </c>
      <c r="Q68" s="2">
        <v>41187</v>
      </c>
      <c r="R68">
        <v>521337</v>
      </c>
      <c r="T68" s="2">
        <v>41187</v>
      </c>
      <c r="U68">
        <v>296464</v>
      </c>
      <c r="W68" s="2">
        <v>41187</v>
      </c>
      <c r="X68">
        <v>0.75</v>
      </c>
      <c r="Z68" s="2">
        <v>41187</v>
      </c>
      <c r="AA68">
        <v>0</v>
      </c>
    </row>
    <row r="69" spans="2:27" x14ac:dyDescent="0.25">
      <c r="B69" s="2">
        <v>41194</v>
      </c>
      <c r="C69">
        <v>260.47699999999998</v>
      </c>
      <c r="E69" s="2">
        <v>41194</v>
      </c>
      <c r="F69">
        <v>89.78</v>
      </c>
      <c r="H69" s="2">
        <v>41194</v>
      </c>
      <c r="I69">
        <v>89.78</v>
      </c>
      <c r="K69" s="2">
        <v>41194</v>
      </c>
      <c r="L69">
        <v>12.629</v>
      </c>
      <c r="N69" s="2">
        <v>41194</v>
      </c>
      <c r="O69">
        <v>209500</v>
      </c>
      <c r="Q69" s="2">
        <v>41194</v>
      </c>
      <c r="R69">
        <v>527502</v>
      </c>
      <c r="T69" s="2">
        <v>41194</v>
      </c>
      <c r="U69">
        <v>260477</v>
      </c>
      <c r="W69" s="2">
        <v>41194</v>
      </c>
      <c r="X69">
        <v>0.75</v>
      </c>
      <c r="Z69" s="2">
        <v>41194</v>
      </c>
      <c r="AA69">
        <v>0</v>
      </c>
    </row>
    <row r="70" spans="2:27" x14ac:dyDescent="0.25">
      <c r="B70" s="2">
        <v>41201</v>
      </c>
      <c r="C70">
        <v>248.71100000000001</v>
      </c>
      <c r="E70" s="2">
        <v>41201</v>
      </c>
      <c r="F70">
        <v>91.81</v>
      </c>
      <c r="H70" s="2">
        <v>41201</v>
      </c>
      <c r="I70">
        <v>91.81</v>
      </c>
      <c r="K70" s="2">
        <v>41201</v>
      </c>
      <c r="L70">
        <v>12.629</v>
      </c>
      <c r="N70" s="2">
        <v>41201</v>
      </c>
      <c r="O70">
        <v>209500</v>
      </c>
      <c r="Q70" s="2">
        <v>41201</v>
      </c>
      <c r="R70">
        <v>533667</v>
      </c>
      <c r="T70" s="2">
        <v>41201</v>
      </c>
      <c r="U70">
        <v>248711</v>
      </c>
      <c r="W70" s="2">
        <v>41201</v>
      </c>
      <c r="X70">
        <v>0.75</v>
      </c>
      <c r="Z70" s="2">
        <v>41201</v>
      </c>
      <c r="AA70">
        <v>0</v>
      </c>
    </row>
    <row r="71" spans="2:27" x14ac:dyDescent="0.25">
      <c r="B71" s="2">
        <v>41208</v>
      </c>
      <c r="C71">
        <v>266.96699999999998</v>
      </c>
      <c r="E71" s="2">
        <v>41208</v>
      </c>
      <c r="F71">
        <v>77.290000000000006</v>
      </c>
      <c r="H71" s="2">
        <v>41208</v>
      </c>
      <c r="I71">
        <v>77.290000000000006</v>
      </c>
      <c r="K71" s="2">
        <v>41208</v>
      </c>
      <c r="L71">
        <v>12.629</v>
      </c>
      <c r="N71" s="2">
        <v>41208</v>
      </c>
      <c r="O71">
        <v>209500</v>
      </c>
      <c r="Q71" s="2">
        <v>41208</v>
      </c>
      <c r="R71">
        <v>515268</v>
      </c>
      <c r="T71" s="2">
        <v>41208</v>
      </c>
      <c r="U71">
        <v>266967</v>
      </c>
      <c r="W71" s="2">
        <v>41208</v>
      </c>
      <c r="X71">
        <v>0.75</v>
      </c>
      <c r="Z71" s="2">
        <v>41208</v>
      </c>
      <c r="AA71">
        <v>0</v>
      </c>
    </row>
    <row r="72" spans="2:27" x14ac:dyDescent="0.25">
      <c r="B72" s="2">
        <v>41215</v>
      </c>
      <c r="C72">
        <v>261.36799999999999</v>
      </c>
      <c r="E72" s="2">
        <v>41215</v>
      </c>
      <c r="F72">
        <v>83.73</v>
      </c>
      <c r="H72" s="2">
        <v>41215</v>
      </c>
      <c r="I72">
        <v>83.73</v>
      </c>
      <c r="K72" s="2">
        <v>41215</v>
      </c>
      <c r="L72">
        <v>6.1559999999999997</v>
      </c>
      <c r="N72" s="2">
        <v>41215</v>
      </c>
      <c r="O72">
        <v>208500</v>
      </c>
      <c r="Q72" s="2">
        <v>41215</v>
      </c>
      <c r="R72">
        <v>515396</v>
      </c>
      <c r="T72" s="2">
        <v>41215</v>
      </c>
      <c r="U72">
        <v>261368</v>
      </c>
      <c r="W72" s="2">
        <v>41215</v>
      </c>
      <c r="X72">
        <v>0.75</v>
      </c>
      <c r="Z72" s="2">
        <v>41215</v>
      </c>
      <c r="AA72">
        <v>0</v>
      </c>
    </row>
    <row r="73" spans="2:27" x14ac:dyDescent="0.25">
      <c r="B73" s="2">
        <v>41222</v>
      </c>
      <c r="C73">
        <v>248.51</v>
      </c>
      <c r="E73" s="2">
        <v>41222</v>
      </c>
      <c r="F73">
        <v>79.47</v>
      </c>
      <c r="H73" s="2">
        <v>41222</v>
      </c>
      <c r="I73">
        <v>79.47</v>
      </c>
      <c r="K73" s="2">
        <v>41222</v>
      </c>
      <c r="L73">
        <v>6.1559999999999997</v>
      </c>
      <c r="N73" s="2">
        <v>41222</v>
      </c>
      <c r="O73">
        <v>208500</v>
      </c>
      <c r="Q73" s="2">
        <v>41222</v>
      </c>
      <c r="R73">
        <v>533997</v>
      </c>
      <c r="T73" s="2">
        <v>41222</v>
      </c>
      <c r="U73">
        <v>248510</v>
      </c>
      <c r="W73" s="2">
        <v>41222</v>
      </c>
      <c r="X73">
        <v>0.75</v>
      </c>
      <c r="Z73" s="2">
        <v>41222</v>
      </c>
      <c r="AA73">
        <v>0</v>
      </c>
    </row>
    <row r="74" spans="2:27" x14ac:dyDescent="0.25">
      <c r="B74" s="2">
        <v>41229</v>
      </c>
      <c r="C74">
        <v>215.9</v>
      </c>
      <c r="E74" s="2">
        <v>41229</v>
      </c>
      <c r="F74">
        <v>75.209999999999994</v>
      </c>
      <c r="H74" s="2">
        <v>41229</v>
      </c>
      <c r="I74">
        <v>75.209999999999994</v>
      </c>
      <c r="K74" s="2">
        <v>41229</v>
      </c>
      <c r="L74">
        <v>15.926</v>
      </c>
      <c r="N74" s="2">
        <v>41229</v>
      </c>
      <c r="O74">
        <v>208500</v>
      </c>
      <c r="Q74" s="2">
        <v>41229</v>
      </c>
      <c r="R74">
        <v>558511</v>
      </c>
      <c r="T74" s="2">
        <v>41229</v>
      </c>
      <c r="U74">
        <v>215900</v>
      </c>
      <c r="W74" s="2">
        <v>41229</v>
      </c>
      <c r="X74">
        <v>0.75</v>
      </c>
      <c r="Z74" s="2">
        <v>41229</v>
      </c>
      <c r="AA74">
        <v>0</v>
      </c>
    </row>
    <row r="75" spans="2:27" x14ac:dyDescent="0.25">
      <c r="B75" s="2">
        <v>41236</v>
      </c>
      <c r="C75">
        <v>233.55799999999999</v>
      </c>
      <c r="E75" s="2">
        <v>41236</v>
      </c>
      <c r="F75">
        <v>75.430000000000007</v>
      </c>
      <c r="H75" s="2">
        <v>41236</v>
      </c>
      <c r="I75">
        <v>75.430000000000007</v>
      </c>
      <c r="K75" s="2">
        <v>41236</v>
      </c>
      <c r="L75">
        <v>15.926</v>
      </c>
      <c r="N75" s="2">
        <v>41236</v>
      </c>
      <c r="O75">
        <v>208500</v>
      </c>
      <c r="Q75" s="2">
        <v>41236</v>
      </c>
      <c r="R75">
        <v>506889</v>
      </c>
      <c r="T75" s="2">
        <v>41236</v>
      </c>
      <c r="U75">
        <v>233558</v>
      </c>
      <c r="W75" s="2">
        <v>41236</v>
      </c>
      <c r="X75">
        <v>0.75</v>
      </c>
      <c r="Z75" s="2">
        <v>41236</v>
      </c>
      <c r="AA75">
        <v>0</v>
      </c>
    </row>
    <row r="76" spans="2:27" x14ac:dyDescent="0.25">
      <c r="B76" s="2">
        <v>41243</v>
      </c>
      <c r="C76">
        <v>237.81299999999999</v>
      </c>
      <c r="E76" s="2">
        <v>41243</v>
      </c>
      <c r="F76">
        <v>74.59</v>
      </c>
      <c r="H76" s="2">
        <v>41243</v>
      </c>
      <c r="I76">
        <v>74.59</v>
      </c>
      <c r="K76" s="2">
        <v>41243</v>
      </c>
      <c r="L76">
        <v>7.3710000000000004</v>
      </c>
      <c r="N76" s="2">
        <v>41243</v>
      </c>
      <c r="O76">
        <v>208500</v>
      </c>
      <c r="Q76" s="2">
        <v>41243</v>
      </c>
      <c r="R76">
        <v>489894</v>
      </c>
      <c r="T76" s="2">
        <v>41243</v>
      </c>
      <c r="U76">
        <v>237813</v>
      </c>
      <c r="W76" s="2">
        <v>41243</v>
      </c>
      <c r="X76">
        <v>0.75</v>
      </c>
      <c r="Z76" s="2">
        <v>41243</v>
      </c>
      <c r="AA76">
        <v>0</v>
      </c>
    </row>
    <row r="77" spans="2:27" x14ac:dyDescent="0.25">
      <c r="B77" s="2">
        <v>41250</v>
      </c>
      <c r="C77">
        <v>235.29599999999999</v>
      </c>
      <c r="E77" s="2">
        <v>41250</v>
      </c>
      <c r="F77">
        <v>70.760000000000005</v>
      </c>
      <c r="H77" s="2">
        <v>41250</v>
      </c>
      <c r="I77">
        <v>70.760000000000005</v>
      </c>
      <c r="K77" s="2">
        <v>41250</v>
      </c>
      <c r="L77">
        <v>7.3710000000000004</v>
      </c>
      <c r="N77" s="2">
        <v>41250</v>
      </c>
      <c r="O77">
        <v>208500</v>
      </c>
      <c r="Q77" s="2">
        <v>41250</v>
      </c>
      <c r="R77">
        <v>486908</v>
      </c>
      <c r="T77" s="2">
        <v>41250</v>
      </c>
      <c r="U77">
        <v>235296</v>
      </c>
      <c r="W77" s="2">
        <v>41250</v>
      </c>
      <c r="X77">
        <v>0.75</v>
      </c>
      <c r="Z77" s="2">
        <v>41250</v>
      </c>
      <c r="AA77">
        <v>0</v>
      </c>
    </row>
    <row r="78" spans="2:27" x14ac:dyDescent="0.25">
      <c r="B78" s="2">
        <v>41257</v>
      </c>
      <c r="C78">
        <v>225.06299999999999</v>
      </c>
      <c r="E78" s="2">
        <v>41257</v>
      </c>
      <c r="F78">
        <v>73.22</v>
      </c>
      <c r="H78" s="2">
        <v>41257</v>
      </c>
      <c r="I78">
        <v>73.22</v>
      </c>
      <c r="K78" s="2">
        <v>41257</v>
      </c>
      <c r="L78">
        <v>15.295999999999999</v>
      </c>
      <c r="N78" s="2">
        <v>41257</v>
      </c>
      <c r="O78">
        <v>208500</v>
      </c>
      <c r="Q78" s="2">
        <v>41257</v>
      </c>
      <c r="R78">
        <v>504948</v>
      </c>
      <c r="T78" s="2">
        <v>41257</v>
      </c>
      <c r="U78">
        <v>225063</v>
      </c>
      <c r="W78" s="2">
        <v>41257</v>
      </c>
      <c r="X78">
        <v>0.75</v>
      </c>
      <c r="Z78" s="2">
        <v>41257</v>
      </c>
      <c r="AA78">
        <v>0</v>
      </c>
    </row>
    <row r="79" spans="2:27" x14ac:dyDescent="0.25">
      <c r="B79" s="2">
        <v>41264</v>
      </c>
      <c r="C79">
        <v>229.38399999999999</v>
      </c>
      <c r="E79" s="2">
        <v>41264</v>
      </c>
      <c r="F79">
        <v>72.680000000000007</v>
      </c>
      <c r="H79" s="2">
        <v>41264</v>
      </c>
      <c r="I79">
        <v>72.680000000000007</v>
      </c>
      <c r="K79" s="2">
        <v>41264</v>
      </c>
      <c r="L79">
        <v>14.962</v>
      </c>
      <c r="N79" s="2">
        <v>41264</v>
      </c>
      <c r="O79">
        <v>208500</v>
      </c>
      <c r="Q79" s="2">
        <v>41264</v>
      </c>
      <c r="R79">
        <v>489680</v>
      </c>
      <c r="T79" s="2">
        <v>41264</v>
      </c>
      <c r="U79">
        <v>229384</v>
      </c>
      <c r="W79" s="2">
        <v>41264</v>
      </c>
      <c r="X79">
        <v>0.75</v>
      </c>
      <c r="Z79" s="2">
        <v>41264</v>
      </c>
      <c r="AA79">
        <v>0</v>
      </c>
    </row>
    <row r="80" spans="2:27" x14ac:dyDescent="0.25">
      <c r="B80" s="2">
        <v>41271</v>
      </c>
      <c r="C80">
        <v>261.68900000000002</v>
      </c>
      <c r="E80" s="2">
        <v>41271</v>
      </c>
      <c r="F80">
        <v>89.66</v>
      </c>
      <c r="H80" s="2">
        <v>41271</v>
      </c>
      <c r="I80">
        <v>89.66</v>
      </c>
      <c r="K80" s="2">
        <v>41271</v>
      </c>
      <c r="L80">
        <v>14.962</v>
      </c>
      <c r="N80" s="2">
        <v>41271</v>
      </c>
      <c r="O80">
        <v>208500</v>
      </c>
      <c r="Q80" s="2">
        <v>41271</v>
      </c>
      <c r="R80">
        <v>456102</v>
      </c>
      <c r="T80" s="2">
        <v>41271</v>
      </c>
      <c r="U80">
        <v>261689</v>
      </c>
      <c r="W80" s="2">
        <v>41271</v>
      </c>
      <c r="X80">
        <v>0.75</v>
      </c>
      <c r="Z80" s="2">
        <v>41271</v>
      </c>
      <c r="AA80">
        <v>0</v>
      </c>
    </row>
    <row r="81" spans="2:27" x14ac:dyDescent="0.25">
      <c r="B81" s="2">
        <v>41278</v>
      </c>
      <c r="C81">
        <v>252.61500000000001</v>
      </c>
      <c r="E81" s="2">
        <v>41278</v>
      </c>
      <c r="F81">
        <v>81.099999999999994</v>
      </c>
      <c r="H81" s="2">
        <v>41278</v>
      </c>
      <c r="I81">
        <v>81.099999999999994</v>
      </c>
      <c r="K81" s="2">
        <v>41278</v>
      </c>
      <c r="L81">
        <v>14.962</v>
      </c>
      <c r="N81" s="2">
        <v>41278</v>
      </c>
      <c r="O81">
        <v>208500</v>
      </c>
      <c r="Q81" s="2">
        <v>41278</v>
      </c>
      <c r="R81">
        <v>462287</v>
      </c>
      <c r="T81" s="2">
        <v>41278</v>
      </c>
      <c r="U81">
        <v>252615</v>
      </c>
      <c r="W81" s="2">
        <v>41278</v>
      </c>
      <c r="X81">
        <v>0.75</v>
      </c>
      <c r="Z81" s="2">
        <v>41278</v>
      </c>
      <c r="AA81">
        <v>0</v>
      </c>
    </row>
    <row r="82" spans="2:27" x14ac:dyDescent="0.25">
      <c r="B82" s="2">
        <v>41285</v>
      </c>
      <c r="C82">
        <v>222.608</v>
      </c>
      <c r="E82" s="2">
        <v>41285</v>
      </c>
      <c r="F82">
        <v>77.72</v>
      </c>
      <c r="H82" s="2">
        <v>41285</v>
      </c>
      <c r="I82">
        <v>77.72</v>
      </c>
      <c r="K82" s="2">
        <v>41285</v>
      </c>
      <c r="L82">
        <v>14.962</v>
      </c>
      <c r="N82" s="2">
        <v>41285</v>
      </c>
      <c r="O82">
        <v>208500</v>
      </c>
      <c r="Q82" s="2">
        <v>41285</v>
      </c>
      <c r="R82">
        <v>507684</v>
      </c>
      <c r="T82" s="2">
        <v>41285</v>
      </c>
      <c r="U82">
        <v>222608</v>
      </c>
      <c r="W82" s="2">
        <v>41285</v>
      </c>
      <c r="X82">
        <v>0.75</v>
      </c>
      <c r="Z82" s="2">
        <v>41285</v>
      </c>
      <c r="AA82">
        <v>0</v>
      </c>
    </row>
    <row r="83" spans="2:27" x14ac:dyDescent="0.25">
      <c r="B83" s="2">
        <v>41292</v>
      </c>
      <c r="C83">
        <v>196.399</v>
      </c>
      <c r="E83" s="2">
        <v>41292</v>
      </c>
      <c r="F83">
        <v>131.24</v>
      </c>
      <c r="H83" s="2">
        <v>41292</v>
      </c>
      <c r="I83">
        <v>131.24</v>
      </c>
      <c r="K83" s="2">
        <v>41292</v>
      </c>
      <c r="L83">
        <v>10.455</v>
      </c>
      <c r="N83" s="2">
        <v>41292</v>
      </c>
      <c r="O83">
        <v>208500</v>
      </c>
      <c r="Q83" s="2">
        <v>41292</v>
      </c>
      <c r="R83">
        <v>540018</v>
      </c>
      <c r="T83" s="2">
        <v>41292</v>
      </c>
      <c r="U83">
        <v>196399</v>
      </c>
      <c r="W83" s="2">
        <v>41292</v>
      </c>
      <c r="X83">
        <v>0.75</v>
      </c>
      <c r="Z83" s="2">
        <v>41292</v>
      </c>
      <c r="AA83">
        <v>0</v>
      </c>
    </row>
    <row r="84" spans="2:27" x14ac:dyDescent="0.25">
      <c r="B84" s="2">
        <v>41299</v>
      </c>
      <c r="C84">
        <v>207.19800000000001</v>
      </c>
      <c r="E84" s="2">
        <v>41299</v>
      </c>
      <c r="F84">
        <v>125.3</v>
      </c>
      <c r="H84" s="2">
        <v>41299</v>
      </c>
      <c r="I84">
        <v>125.3</v>
      </c>
      <c r="K84" s="2">
        <v>41299</v>
      </c>
      <c r="L84">
        <v>10.455</v>
      </c>
      <c r="N84" s="2">
        <v>41299</v>
      </c>
      <c r="O84">
        <v>208500</v>
      </c>
      <c r="Q84" s="2">
        <v>41299</v>
      </c>
      <c r="R84">
        <v>479499</v>
      </c>
      <c r="T84" s="2">
        <v>41299</v>
      </c>
      <c r="U84">
        <v>207198</v>
      </c>
      <c r="W84" s="2">
        <v>41299</v>
      </c>
      <c r="X84">
        <v>0.75</v>
      </c>
      <c r="Z84" s="2">
        <v>41299</v>
      </c>
      <c r="AA84">
        <v>0</v>
      </c>
    </row>
    <row r="85" spans="2:27" x14ac:dyDescent="0.25">
      <c r="B85" s="2">
        <v>41306</v>
      </c>
      <c r="C85">
        <v>180.95699999999999</v>
      </c>
      <c r="E85" s="2">
        <v>41306</v>
      </c>
      <c r="F85">
        <v>124.15</v>
      </c>
      <c r="H85" s="2">
        <v>41306</v>
      </c>
      <c r="I85">
        <v>124.15</v>
      </c>
      <c r="K85" s="2">
        <v>41306</v>
      </c>
      <c r="L85">
        <v>3.7130000000000001</v>
      </c>
      <c r="N85" s="2">
        <v>41306</v>
      </c>
      <c r="O85">
        <v>205500</v>
      </c>
      <c r="Q85" s="2">
        <v>41306</v>
      </c>
      <c r="R85">
        <v>408150</v>
      </c>
      <c r="T85" s="2">
        <v>41306</v>
      </c>
      <c r="U85">
        <v>180957</v>
      </c>
      <c r="W85" s="2">
        <v>41306</v>
      </c>
      <c r="X85">
        <v>0.75</v>
      </c>
      <c r="Z85" s="2">
        <v>41306</v>
      </c>
      <c r="AA85">
        <v>0</v>
      </c>
    </row>
    <row r="86" spans="2:27" x14ac:dyDescent="0.25">
      <c r="B86" s="2">
        <v>41313</v>
      </c>
      <c r="C86">
        <v>157.19800000000001</v>
      </c>
      <c r="E86" s="2">
        <v>41313</v>
      </c>
      <c r="F86">
        <v>129.31</v>
      </c>
      <c r="H86" s="2">
        <v>41313</v>
      </c>
      <c r="I86">
        <v>129.31</v>
      </c>
      <c r="K86" s="2">
        <v>41313</v>
      </c>
      <c r="L86">
        <v>3.7130000000000001</v>
      </c>
      <c r="N86" s="2">
        <v>41313</v>
      </c>
      <c r="O86">
        <v>205500</v>
      </c>
      <c r="Q86" s="2">
        <v>41313</v>
      </c>
      <c r="R86">
        <v>443102</v>
      </c>
      <c r="T86" s="2">
        <v>41313</v>
      </c>
      <c r="U86">
        <v>157198</v>
      </c>
      <c r="W86" s="2">
        <v>41313</v>
      </c>
      <c r="X86">
        <v>0.75</v>
      </c>
      <c r="Z86" s="2">
        <v>41313</v>
      </c>
      <c r="AA86">
        <v>0</v>
      </c>
    </row>
    <row r="87" spans="2:27" x14ac:dyDescent="0.25">
      <c r="B87" s="2">
        <v>41320</v>
      </c>
      <c r="C87">
        <v>131.88499999999999</v>
      </c>
      <c r="E87" s="2">
        <v>41320</v>
      </c>
      <c r="F87">
        <v>128.68</v>
      </c>
      <c r="H87" s="2">
        <v>41320</v>
      </c>
      <c r="I87">
        <v>128.68</v>
      </c>
      <c r="K87" s="2">
        <v>41320</v>
      </c>
      <c r="L87">
        <v>7.7590000000000003</v>
      </c>
      <c r="N87" s="2">
        <v>41320</v>
      </c>
      <c r="O87">
        <v>205500</v>
      </c>
      <c r="Q87" s="2">
        <v>41320</v>
      </c>
      <c r="R87">
        <v>466468</v>
      </c>
      <c r="T87" s="2">
        <v>41320</v>
      </c>
      <c r="U87">
        <v>131885</v>
      </c>
      <c r="W87" s="2">
        <v>41320</v>
      </c>
      <c r="X87">
        <v>0.75</v>
      </c>
      <c r="Z87" s="2">
        <v>41320</v>
      </c>
      <c r="AA87">
        <v>0</v>
      </c>
    </row>
    <row r="88" spans="2:27" x14ac:dyDescent="0.25">
      <c r="B88" s="2">
        <v>41327</v>
      </c>
      <c r="C88">
        <v>166.43700000000001</v>
      </c>
      <c r="E88" s="2">
        <v>41327</v>
      </c>
      <c r="F88">
        <v>132.16999999999999</v>
      </c>
      <c r="H88" s="2">
        <v>41327</v>
      </c>
      <c r="I88">
        <v>132.16999999999999</v>
      </c>
      <c r="K88" s="2">
        <v>41327</v>
      </c>
      <c r="L88">
        <v>7.7590000000000003</v>
      </c>
      <c r="N88" s="2">
        <v>41327</v>
      </c>
      <c r="O88">
        <v>205500</v>
      </c>
      <c r="Q88" s="2">
        <v>41327</v>
      </c>
      <c r="R88">
        <v>415950</v>
      </c>
      <c r="T88" s="2">
        <v>41327</v>
      </c>
      <c r="U88">
        <v>166437</v>
      </c>
      <c r="W88" s="2">
        <v>41327</v>
      </c>
      <c r="X88">
        <v>0.75</v>
      </c>
      <c r="Z88" s="2">
        <v>41327</v>
      </c>
      <c r="AA88">
        <v>0</v>
      </c>
    </row>
    <row r="89" spans="2:27" x14ac:dyDescent="0.25">
      <c r="B89" s="2">
        <v>41334</v>
      </c>
      <c r="C89">
        <v>144.71</v>
      </c>
      <c r="E89" s="2">
        <v>41334</v>
      </c>
      <c r="F89">
        <v>131.12</v>
      </c>
      <c r="H89" s="2">
        <v>41334</v>
      </c>
      <c r="I89">
        <v>131.12</v>
      </c>
      <c r="K89" s="2">
        <v>41334</v>
      </c>
      <c r="L89">
        <v>8.3279999999999994</v>
      </c>
      <c r="N89" s="2">
        <v>41334</v>
      </c>
      <c r="O89">
        <v>205500</v>
      </c>
      <c r="Q89" s="2">
        <v>41334</v>
      </c>
      <c r="R89">
        <v>374205</v>
      </c>
      <c r="T89" s="2">
        <v>41334</v>
      </c>
      <c r="U89">
        <v>144710</v>
      </c>
      <c r="W89" s="2">
        <v>41334</v>
      </c>
      <c r="X89">
        <v>0.75</v>
      </c>
      <c r="Z89" s="2">
        <v>41334</v>
      </c>
      <c r="AA89">
        <v>0</v>
      </c>
    </row>
    <row r="90" spans="2:27" x14ac:dyDescent="0.25">
      <c r="B90" s="2">
        <v>41341</v>
      </c>
      <c r="C90">
        <v>134.083</v>
      </c>
      <c r="E90" s="2">
        <v>41341</v>
      </c>
      <c r="F90">
        <v>129.80000000000001</v>
      </c>
      <c r="H90" s="2">
        <v>41341</v>
      </c>
      <c r="I90">
        <v>129.80000000000001</v>
      </c>
      <c r="K90" s="2">
        <v>41341</v>
      </c>
      <c r="L90">
        <v>8.3279999999999994</v>
      </c>
      <c r="N90" s="2">
        <v>41341</v>
      </c>
      <c r="O90">
        <v>205500</v>
      </c>
      <c r="Q90" s="2">
        <v>41341</v>
      </c>
      <c r="R90">
        <v>354802</v>
      </c>
      <c r="T90" s="2">
        <v>41341</v>
      </c>
      <c r="U90">
        <v>134083</v>
      </c>
      <c r="W90" s="2">
        <v>41341</v>
      </c>
      <c r="X90">
        <v>0.75</v>
      </c>
      <c r="Z90" s="2">
        <v>41341</v>
      </c>
      <c r="AA90">
        <v>0</v>
      </c>
    </row>
    <row r="91" spans="2:27" x14ac:dyDescent="0.25">
      <c r="B91" s="2">
        <v>41348</v>
      </c>
      <c r="C91">
        <v>132.63399999999999</v>
      </c>
      <c r="E91" s="2">
        <v>41348</v>
      </c>
      <c r="F91">
        <v>127.3</v>
      </c>
      <c r="H91" s="2">
        <v>41348</v>
      </c>
      <c r="I91">
        <v>127.3</v>
      </c>
      <c r="K91" s="2">
        <v>41348</v>
      </c>
      <c r="L91">
        <v>4.2080000000000002</v>
      </c>
      <c r="N91" s="2">
        <v>41348</v>
      </c>
      <c r="O91">
        <v>205500</v>
      </c>
      <c r="Q91" s="2">
        <v>41348</v>
      </c>
      <c r="R91">
        <v>366510</v>
      </c>
      <c r="T91" s="2">
        <v>41348</v>
      </c>
      <c r="U91">
        <v>132634</v>
      </c>
      <c r="W91" s="2">
        <v>41348</v>
      </c>
      <c r="X91">
        <v>0.75</v>
      </c>
      <c r="Z91" s="2">
        <v>41348</v>
      </c>
      <c r="AA91">
        <v>0</v>
      </c>
    </row>
    <row r="92" spans="2:27" x14ac:dyDescent="0.25">
      <c r="B92" s="2">
        <v>41355</v>
      </c>
      <c r="C92">
        <v>126.755</v>
      </c>
      <c r="E92" s="2">
        <v>41355</v>
      </c>
      <c r="F92">
        <v>119.37</v>
      </c>
      <c r="H92" s="2">
        <v>41355</v>
      </c>
      <c r="I92">
        <v>119.37</v>
      </c>
      <c r="K92" s="2">
        <v>41355</v>
      </c>
      <c r="L92">
        <v>4.2080000000000002</v>
      </c>
      <c r="N92" s="2">
        <v>41355</v>
      </c>
      <c r="O92">
        <v>205500</v>
      </c>
      <c r="Q92" s="2">
        <v>41355</v>
      </c>
      <c r="R92">
        <v>351673</v>
      </c>
      <c r="T92" s="2">
        <v>41355</v>
      </c>
      <c r="U92">
        <v>126755</v>
      </c>
      <c r="W92" s="2">
        <v>41355</v>
      </c>
      <c r="X92">
        <v>0.75</v>
      </c>
      <c r="Z92" s="2">
        <v>41355</v>
      </c>
      <c r="AA92">
        <v>0</v>
      </c>
    </row>
    <row r="93" spans="2:27" x14ac:dyDescent="0.25">
      <c r="B93" s="2">
        <v>41362</v>
      </c>
      <c r="C93">
        <v>144.648</v>
      </c>
      <c r="E93" s="2">
        <v>41362</v>
      </c>
      <c r="F93">
        <v>123.24</v>
      </c>
      <c r="H93" s="2">
        <v>41362</v>
      </c>
      <c r="I93">
        <v>123.24</v>
      </c>
      <c r="K93" s="2">
        <v>41362</v>
      </c>
      <c r="L93">
        <v>9.1129999999999995</v>
      </c>
      <c r="N93" s="2">
        <v>41362</v>
      </c>
      <c r="O93">
        <v>205500</v>
      </c>
      <c r="Q93" s="2">
        <v>41362</v>
      </c>
      <c r="R93">
        <v>319275</v>
      </c>
      <c r="T93" s="2">
        <v>41362</v>
      </c>
      <c r="U93">
        <v>144648</v>
      </c>
      <c r="W93" s="2">
        <v>41362</v>
      </c>
      <c r="X93">
        <v>0.75</v>
      </c>
      <c r="Z93" s="2">
        <v>41362</v>
      </c>
      <c r="AA93">
        <v>0</v>
      </c>
    </row>
    <row r="94" spans="2:27" x14ac:dyDescent="0.25">
      <c r="B94" s="2">
        <v>41369</v>
      </c>
      <c r="C94">
        <v>134.90199999999999</v>
      </c>
      <c r="E94" s="2">
        <v>41369</v>
      </c>
      <c r="F94">
        <v>124.88</v>
      </c>
      <c r="H94" s="2">
        <v>41369</v>
      </c>
      <c r="I94">
        <v>124.88</v>
      </c>
      <c r="K94" s="2">
        <v>41369</v>
      </c>
      <c r="L94">
        <v>9.1129999999999995</v>
      </c>
      <c r="N94" s="2">
        <v>41369</v>
      </c>
      <c r="O94">
        <v>206000</v>
      </c>
      <c r="Q94" s="2">
        <v>41369</v>
      </c>
      <c r="R94">
        <v>336912</v>
      </c>
      <c r="T94" s="2">
        <v>41369</v>
      </c>
      <c r="U94">
        <v>134902</v>
      </c>
      <c r="W94" s="2">
        <v>41369</v>
      </c>
      <c r="X94">
        <v>0.75</v>
      </c>
      <c r="Z94" s="2">
        <v>41369</v>
      </c>
      <c r="AA94">
        <v>0</v>
      </c>
    </row>
    <row r="95" spans="2:27" x14ac:dyDescent="0.25">
      <c r="B95" s="2">
        <v>41376</v>
      </c>
      <c r="C95">
        <v>119.90600000000001</v>
      </c>
      <c r="E95" s="2">
        <v>41376</v>
      </c>
      <c r="F95">
        <v>119.35</v>
      </c>
      <c r="H95" s="2">
        <v>41376</v>
      </c>
      <c r="I95">
        <v>119.35</v>
      </c>
      <c r="K95" s="2">
        <v>41376</v>
      </c>
      <c r="L95">
        <v>5.1589999999999998</v>
      </c>
      <c r="N95" s="2">
        <v>41376</v>
      </c>
      <c r="O95">
        <v>206000</v>
      </c>
      <c r="Q95" s="2">
        <v>41376</v>
      </c>
      <c r="R95">
        <v>343051</v>
      </c>
      <c r="T95" s="2">
        <v>41376</v>
      </c>
      <c r="U95">
        <v>119906</v>
      </c>
      <c r="W95" s="2">
        <v>41376</v>
      </c>
      <c r="X95">
        <v>0.75</v>
      </c>
      <c r="Z95" s="2">
        <v>41376</v>
      </c>
      <c r="AA95">
        <v>0</v>
      </c>
    </row>
    <row r="96" spans="2:27" x14ac:dyDescent="0.25">
      <c r="B96" s="2">
        <v>41383</v>
      </c>
      <c r="C96">
        <v>105.59</v>
      </c>
      <c r="E96" s="2">
        <v>41383</v>
      </c>
      <c r="F96">
        <v>116.37</v>
      </c>
      <c r="H96" s="2">
        <v>41383</v>
      </c>
      <c r="I96">
        <v>116.37</v>
      </c>
      <c r="K96" s="2">
        <v>41383</v>
      </c>
      <c r="L96">
        <v>5.1589999999999998</v>
      </c>
      <c r="N96" s="2">
        <v>41383</v>
      </c>
      <c r="O96">
        <v>203000</v>
      </c>
      <c r="Q96" s="2">
        <v>41383</v>
      </c>
      <c r="R96">
        <v>329801</v>
      </c>
      <c r="T96" s="2">
        <v>41383</v>
      </c>
      <c r="U96">
        <v>105590</v>
      </c>
      <c r="W96" s="2">
        <v>41383</v>
      </c>
      <c r="X96">
        <v>0.75</v>
      </c>
      <c r="Z96" s="2">
        <v>41383</v>
      </c>
      <c r="AA96">
        <v>0</v>
      </c>
    </row>
    <row r="97" spans="2:27" x14ac:dyDescent="0.25">
      <c r="B97" s="2">
        <v>41390</v>
      </c>
      <c r="C97">
        <v>109.66200000000001</v>
      </c>
      <c r="E97" s="2">
        <v>41390</v>
      </c>
      <c r="F97">
        <v>110.41</v>
      </c>
      <c r="H97" s="2">
        <v>41390</v>
      </c>
      <c r="I97">
        <v>110.41</v>
      </c>
      <c r="K97" s="2">
        <v>41390</v>
      </c>
      <c r="L97">
        <v>2.9769999999999999</v>
      </c>
      <c r="N97" s="2">
        <v>41390</v>
      </c>
      <c r="O97">
        <v>202500</v>
      </c>
      <c r="Q97" s="2">
        <v>41390</v>
      </c>
      <c r="R97">
        <v>315952</v>
      </c>
      <c r="T97" s="2">
        <v>41390</v>
      </c>
      <c r="U97">
        <v>109662</v>
      </c>
      <c r="W97" s="2">
        <v>41390</v>
      </c>
      <c r="X97">
        <v>0.75</v>
      </c>
      <c r="Z97" s="2">
        <v>41390</v>
      </c>
      <c r="AA97">
        <v>0</v>
      </c>
    </row>
    <row r="98" spans="2:27" x14ac:dyDescent="0.25">
      <c r="B98" s="2">
        <v>41397</v>
      </c>
      <c r="C98">
        <v>124.102</v>
      </c>
      <c r="E98" s="2">
        <v>41397</v>
      </c>
      <c r="F98">
        <v>105.01</v>
      </c>
      <c r="H98" s="2">
        <v>41397</v>
      </c>
      <c r="I98">
        <v>105.01</v>
      </c>
      <c r="K98" s="2">
        <v>41397</v>
      </c>
      <c r="L98">
        <v>2.9769999999999999</v>
      </c>
      <c r="N98" s="2">
        <v>41397</v>
      </c>
      <c r="O98">
        <v>201000</v>
      </c>
      <c r="Q98" s="2">
        <v>41397</v>
      </c>
      <c r="R98">
        <v>296198</v>
      </c>
      <c r="T98" s="2">
        <v>41397</v>
      </c>
      <c r="U98">
        <v>124102</v>
      </c>
      <c r="W98" s="2">
        <v>41397</v>
      </c>
      <c r="X98">
        <v>0.75</v>
      </c>
      <c r="Z98" s="2">
        <v>41397</v>
      </c>
      <c r="AA98">
        <v>0</v>
      </c>
    </row>
    <row r="99" spans="2:27" x14ac:dyDescent="0.25">
      <c r="B99" s="2">
        <v>41404</v>
      </c>
      <c r="C99">
        <v>95.338999999999999</v>
      </c>
      <c r="E99" s="2">
        <v>41404</v>
      </c>
      <c r="F99">
        <v>110.29</v>
      </c>
      <c r="H99" s="2">
        <v>41404</v>
      </c>
      <c r="I99">
        <v>110.29</v>
      </c>
      <c r="K99" s="2">
        <v>41404</v>
      </c>
      <c r="L99">
        <v>5.23</v>
      </c>
      <c r="N99" s="2">
        <v>41404</v>
      </c>
      <c r="O99">
        <v>201000</v>
      </c>
      <c r="Q99" s="2">
        <v>41404</v>
      </c>
      <c r="R99">
        <v>333697</v>
      </c>
      <c r="T99" s="2">
        <v>41404</v>
      </c>
      <c r="U99">
        <v>95339</v>
      </c>
      <c r="W99" s="2">
        <v>41404</v>
      </c>
      <c r="X99">
        <v>0.5</v>
      </c>
      <c r="Z99" s="2">
        <v>41404</v>
      </c>
      <c r="AA99">
        <v>0</v>
      </c>
    </row>
    <row r="100" spans="2:27" x14ac:dyDescent="0.25">
      <c r="B100" s="2">
        <v>41411</v>
      </c>
      <c r="C100">
        <v>83.039000000000001</v>
      </c>
      <c r="E100" s="2">
        <v>41411</v>
      </c>
      <c r="F100">
        <v>103.84</v>
      </c>
      <c r="H100" s="2">
        <v>41411</v>
      </c>
      <c r="I100">
        <v>103.84</v>
      </c>
      <c r="K100" s="2">
        <v>41411</v>
      </c>
      <c r="L100">
        <v>5.23</v>
      </c>
      <c r="N100" s="2">
        <v>41411</v>
      </c>
      <c r="O100">
        <v>201000</v>
      </c>
      <c r="Q100" s="2">
        <v>41411</v>
      </c>
      <c r="R100">
        <v>319504</v>
      </c>
      <c r="T100" s="2">
        <v>41411</v>
      </c>
      <c r="U100">
        <v>83039</v>
      </c>
      <c r="W100" s="2">
        <v>41411</v>
      </c>
      <c r="X100">
        <v>0.5</v>
      </c>
      <c r="Z100" s="2">
        <v>41411</v>
      </c>
      <c r="AA100">
        <v>0</v>
      </c>
    </row>
    <row r="101" spans="2:27" x14ac:dyDescent="0.25">
      <c r="B101" s="2">
        <v>41418</v>
      </c>
      <c r="C101">
        <v>81.037000000000006</v>
      </c>
      <c r="E101" s="2">
        <v>41418</v>
      </c>
      <c r="F101">
        <v>103.4</v>
      </c>
      <c r="H101" s="2">
        <v>41418</v>
      </c>
      <c r="I101">
        <v>103.4</v>
      </c>
      <c r="K101" s="2">
        <v>41418</v>
      </c>
      <c r="L101">
        <v>5.23</v>
      </c>
      <c r="N101" s="2">
        <v>41418</v>
      </c>
      <c r="O101">
        <v>197000</v>
      </c>
      <c r="Q101" s="2">
        <v>41418</v>
      </c>
      <c r="R101">
        <v>302586</v>
      </c>
      <c r="T101" s="2">
        <v>41418</v>
      </c>
      <c r="U101">
        <v>81037</v>
      </c>
      <c r="W101" s="2">
        <v>41418</v>
      </c>
      <c r="X101">
        <v>0.5</v>
      </c>
      <c r="Z101" s="2">
        <v>41418</v>
      </c>
      <c r="AA101">
        <v>0</v>
      </c>
    </row>
    <row r="102" spans="2:27" x14ac:dyDescent="0.25">
      <c r="B102" s="2">
        <v>41425</v>
      </c>
      <c r="C102">
        <v>85.64</v>
      </c>
      <c r="E102" s="2">
        <v>41425</v>
      </c>
      <c r="F102">
        <v>103.19</v>
      </c>
      <c r="H102" s="2">
        <v>41425</v>
      </c>
      <c r="I102">
        <v>103.19</v>
      </c>
      <c r="K102" s="2">
        <v>41425</v>
      </c>
      <c r="L102">
        <v>5.83</v>
      </c>
      <c r="N102" s="2">
        <v>41425</v>
      </c>
      <c r="O102">
        <v>197000</v>
      </c>
      <c r="Q102" s="2">
        <v>41425</v>
      </c>
      <c r="R102">
        <v>273354</v>
      </c>
      <c r="T102" s="2">
        <v>41425</v>
      </c>
      <c r="U102">
        <v>85640</v>
      </c>
      <c r="W102" s="2">
        <v>41425</v>
      </c>
      <c r="X102">
        <v>0.5</v>
      </c>
      <c r="Z102" s="2">
        <v>41425</v>
      </c>
      <c r="AA102">
        <v>0</v>
      </c>
    </row>
    <row r="103" spans="2:27" x14ac:dyDescent="0.25">
      <c r="B103" s="2">
        <v>41432</v>
      </c>
      <c r="C103">
        <v>100.881</v>
      </c>
      <c r="E103" s="2">
        <v>41432</v>
      </c>
      <c r="F103">
        <v>103.02</v>
      </c>
      <c r="H103" s="2">
        <v>41432</v>
      </c>
      <c r="I103">
        <v>103.02</v>
      </c>
      <c r="K103" s="2">
        <v>41432</v>
      </c>
      <c r="L103">
        <v>5.83</v>
      </c>
      <c r="N103" s="2">
        <v>41432</v>
      </c>
      <c r="O103">
        <v>195000</v>
      </c>
      <c r="Q103" s="2">
        <v>41432</v>
      </c>
      <c r="R103">
        <v>280024</v>
      </c>
      <c r="T103" s="2">
        <v>41432</v>
      </c>
      <c r="U103">
        <v>100881</v>
      </c>
      <c r="W103" s="2">
        <v>41432</v>
      </c>
      <c r="X103">
        <v>0.5</v>
      </c>
      <c r="Z103" s="2">
        <v>41432</v>
      </c>
      <c r="AA103">
        <v>0</v>
      </c>
    </row>
    <row r="104" spans="2:27" x14ac:dyDescent="0.25">
      <c r="B104" s="2">
        <v>41439</v>
      </c>
      <c r="C104">
        <v>89.956999999999994</v>
      </c>
      <c r="E104" s="2">
        <v>41439</v>
      </c>
      <c r="F104">
        <v>108.33</v>
      </c>
      <c r="H104" s="2">
        <v>41439</v>
      </c>
      <c r="I104">
        <v>108.33</v>
      </c>
      <c r="K104" s="2">
        <v>41439</v>
      </c>
      <c r="L104">
        <v>3.5910000000000002</v>
      </c>
      <c r="N104" s="2">
        <v>41439</v>
      </c>
      <c r="O104">
        <v>195000</v>
      </c>
      <c r="Q104" s="2">
        <v>41439</v>
      </c>
      <c r="R104">
        <v>309815</v>
      </c>
      <c r="T104" s="2">
        <v>41439</v>
      </c>
      <c r="U104">
        <v>89957</v>
      </c>
      <c r="W104" s="2">
        <v>41439</v>
      </c>
      <c r="X104">
        <v>0.5</v>
      </c>
      <c r="Z104" s="2">
        <v>41439</v>
      </c>
      <c r="AA104">
        <v>0</v>
      </c>
    </row>
    <row r="105" spans="2:27" x14ac:dyDescent="0.25">
      <c r="B105" s="2">
        <v>41446</v>
      </c>
      <c r="C105">
        <v>82.963999999999999</v>
      </c>
      <c r="E105" s="2">
        <v>41446</v>
      </c>
      <c r="F105">
        <v>102.04</v>
      </c>
      <c r="H105" s="2">
        <v>41446</v>
      </c>
      <c r="I105">
        <v>102.04</v>
      </c>
      <c r="K105" s="2">
        <v>41446</v>
      </c>
      <c r="L105">
        <v>3.5910000000000002</v>
      </c>
      <c r="N105" s="2">
        <v>41446</v>
      </c>
      <c r="O105">
        <v>195000</v>
      </c>
      <c r="Q105" s="2">
        <v>41446</v>
      </c>
      <c r="R105">
        <v>279536</v>
      </c>
      <c r="T105" s="2">
        <v>41446</v>
      </c>
      <c r="U105">
        <v>82964</v>
      </c>
      <c r="W105" s="2">
        <v>41446</v>
      </c>
      <c r="X105">
        <v>0.5</v>
      </c>
      <c r="Z105" s="2">
        <v>41446</v>
      </c>
      <c r="AA105">
        <v>0</v>
      </c>
    </row>
    <row r="106" spans="2:27" x14ac:dyDescent="0.25">
      <c r="B106" s="2">
        <v>41453</v>
      </c>
      <c r="C106">
        <v>92.18</v>
      </c>
      <c r="E106" s="2">
        <v>41453</v>
      </c>
      <c r="F106">
        <v>117.31</v>
      </c>
      <c r="H106" s="2">
        <v>41453</v>
      </c>
      <c r="I106">
        <v>117.31</v>
      </c>
      <c r="K106" s="2">
        <v>41453</v>
      </c>
      <c r="L106">
        <v>9.4770000000000003</v>
      </c>
      <c r="N106" s="2">
        <v>41453</v>
      </c>
      <c r="O106">
        <v>195000</v>
      </c>
      <c r="Q106" s="2">
        <v>41453</v>
      </c>
      <c r="R106">
        <v>276329</v>
      </c>
      <c r="T106" s="2">
        <v>41453</v>
      </c>
      <c r="U106">
        <v>92180</v>
      </c>
      <c r="W106" s="2">
        <v>41453</v>
      </c>
      <c r="X106">
        <v>0.5</v>
      </c>
      <c r="Z106" s="2">
        <v>41453</v>
      </c>
      <c r="AA106">
        <v>0</v>
      </c>
    </row>
    <row r="107" spans="2:27" x14ac:dyDescent="0.25">
      <c r="B107" s="2">
        <v>41460</v>
      </c>
      <c r="C107">
        <v>103.86199999999999</v>
      </c>
      <c r="E107" s="2">
        <v>41460</v>
      </c>
      <c r="F107">
        <v>107.7</v>
      </c>
      <c r="H107" s="2">
        <v>41460</v>
      </c>
      <c r="I107">
        <v>107.7</v>
      </c>
      <c r="K107" s="2">
        <v>41460</v>
      </c>
      <c r="L107">
        <v>9.4770000000000003</v>
      </c>
      <c r="N107" s="2">
        <v>41460</v>
      </c>
      <c r="O107">
        <v>195500</v>
      </c>
      <c r="Q107" s="2">
        <v>41460</v>
      </c>
      <c r="R107">
        <v>271264</v>
      </c>
      <c r="T107" s="2">
        <v>41460</v>
      </c>
      <c r="U107">
        <v>103862</v>
      </c>
      <c r="W107" s="2">
        <v>41460</v>
      </c>
      <c r="X107">
        <v>0.5</v>
      </c>
      <c r="Z107" s="2">
        <v>41460</v>
      </c>
      <c r="AA107">
        <v>0</v>
      </c>
    </row>
    <row r="108" spans="2:27" x14ac:dyDescent="0.25">
      <c r="B108" s="2">
        <v>41467</v>
      </c>
      <c r="C108">
        <v>94.619</v>
      </c>
      <c r="E108" s="2">
        <v>41467</v>
      </c>
      <c r="F108">
        <v>102.06</v>
      </c>
      <c r="H108" s="2">
        <v>41467</v>
      </c>
      <c r="I108">
        <v>102.06</v>
      </c>
      <c r="K108" s="2">
        <v>41467</v>
      </c>
      <c r="L108">
        <v>3.536</v>
      </c>
      <c r="N108" s="2">
        <v>41467</v>
      </c>
      <c r="O108">
        <v>195500</v>
      </c>
      <c r="Q108" s="2">
        <v>41467</v>
      </c>
      <c r="R108">
        <v>275347</v>
      </c>
      <c r="T108" s="2">
        <v>41467</v>
      </c>
      <c r="U108">
        <v>94619</v>
      </c>
      <c r="W108" s="2">
        <v>41467</v>
      </c>
      <c r="X108">
        <v>0.5</v>
      </c>
      <c r="Z108" s="2">
        <v>41467</v>
      </c>
      <c r="AA108">
        <v>0</v>
      </c>
    </row>
    <row r="109" spans="2:27" x14ac:dyDescent="0.25">
      <c r="B109" s="2">
        <v>41474</v>
      </c>
      <c r="C109">
        <v>76.430999999999997</v>
      </c>
      <c r="E109" s="2">
        <v>41474</v>
      </c>
      <c r="F109">
        <v>104.43</v>
      </c>
      <c r="H109" s="2">
        <v>41474</v>
      </c>
      <c r="I109">
        <v>104.43</v>
      </c>
      <c r="K109" s="2">
        <v>41474</v>
      </c>
      <c r="L109">
        <v>3.536</v>
      </c>
      <c r="N109" s="2">
        <v>41474</v>
      </c>
      <c r="O109">
        <v>195500</v>
      </c>
      <c r="Q109" s="2">
        <v>41474</v>
      </c>
      <c r="R109">
        <v>264662</v>
      </c>
      <c r="T109" s="2">
        <v>41474</v>
      </c>
      <c r="U109">
        <v>76431</v>
      </c>
      <c r="W109" s="2">
        <v>41474</v>
      </c>
      <c r="X109">
        <v>0.5</v>
      </c>
      <c r="Z109" s="2">
        <v>41474</v>
      </c>
      <c r="AA109">
        <v>0</v>
      </c>
    </row>
    <row r="110" spans="2:27" x14ac:dyDescent="0.25">
      <c r="B110" s="2">
        <v>41481</v>
      </c>
      <c r="C110">
        <v>79.242000000000004</v>
      </c>
      <c r="E110" s="2">
        <v>41481</v>
      </c>
      <c r="F110">
        <v>102.3</v>
      </c>
      <c r="H110" s="2">
        <v>41481</v>
      </c>
      <c r="I110">
        <v>102.3</v>
      </c>
      <c r="K110" s="2">
        <v>41481</v>
      </c>
      <c r="L110">
        <v>3.536</v>
      </c>
      <c r="N110" s="2">
        <v>41481</v>
      </c>
      <c r="O110">
        <v>195500</v>
      </c>
      <c r="Q110" s="2">
        <v>41481</v>
      </c>
      <c r="R110">
        <v>255821</v>
      </c>
      <c r="T110" s="2">
        <v>41481</v>
      </c>
      <c r="U110">
        <v>79242</v>
      </c>
      <c r="W110" s="2">
        <v>41481</v>
      </c>
      <c r="X110">
        <v>0.5</v>
      </c>
      <c r="Z110" s="2">
        <v>41481</v>
      </c>
      <c r="AA110">
        <v>0</v>
      </c>
    </row>
    <row r="111" spans="2:27" x14ac:dyDescent="0.25">
      <c r="B111" s="2">
        <v>41488</v>
      </c>
      <c r="C111">
        <v>87.347999999999999</v>
      </c>
      <c r="E111" s="2">
        <v>41488</v>
      </c>
      <c r="F111">
        <v>109.16</v>
      </c>
      <c r="H111" s="2">
        <v>41488</v>
      </c>
      <c r="I111">
        <v>109.16</v>
      </c>
      <c r="K111" s="2">
        <v>41488</v>
      </c>
      <c r="L111">
        <v>2.6829999999999998</v>
      </c>
      <c r="N111" s="2">
        <v>41488</v>
      </c>
      <c r="O111">
        <v>192500</v>
      </c>
      <c r="Q111" s="2">
        <v>41488</v>
      </c>
      <c r="R111">
        <v>272329</v>
      </c>
      <c r="T111" s="2">
        <v>41488</v>
      </c>
      <c r="U111">
        <v>87348</v>
      </c>
      <c r="W111" s="2">
        <v>41488</v>
      </c>
      <c r="X111">
        <v>0.5</v>
      </c>
      <c r="Z111" s="2">
        <v>41488</v>
      </c>
      <c r="AA111">
        <v>0</v>
      </c>
    </row>
    <row r="112" spans="2:27" x14ac:dyDescent="0.25">
      <c r="B112" s="2">
        <v>41495</v>
      </c>
      <c r="C112">
        <v>76.997</v>
      </c>
      <c r="E112" s="2">
        <v>41495</v>
      </c>
      <c r="F112">
        <v>99.41</v>
      </c>
      <c r="H112" s="2">
        <v>41495</v>
      </c>
      <c r="I112">
        <v>99.41</v>
      </c>
      <c r="K112" s="2">
        <v>41495</v>
      </c>
      <c r="L112">
        <v>3.91</v>
      </c>
      <c r="N112" s="2">
        <v>41495</v>
      </c>
      <c r="O112">
        <v>192500</v>
      </c>
      <c r="Q112" s="2">
        <v>41495</v>
      </c>
      <c r="R112">
        <v>284035</v>
      </c>
      <c r="T112" s="2">
        <v>41495</v>
      </c>
      <c r="U112">
        <v>76997</v>
      </c>
      <c r="W112" s="2">
        <v>41495</v>
      </c>
      <c r="X112">
        <v>0.5</v>
      </c>
      <c r="Z112" s="2">
        <v>41495</v>
      </c>
      <c r="AA112">
        <v>0</v>
      </c>
    </row>
    <row r="113" spans="2:27" x14ac:dyDescent="0.25">
      <c r="B113" s="2">
        <v>41502</v>
      </c>
      <c r="C113">
        <v>81.201999999999998</v>
      </c>
      <c r="E113" s="2">
        <v>41502</v>
      </c>
      <c r="F113">
        <v>97.56</v>
      </c>
      <c r="H113" s="2">
        <v>41502</v>
      </c>
      <c r="I113">
        <v>97.56</v>
      </c>
      <c r="K113" s="2">
        <v>41502</v>
      </c>
      <c r="L113">
        <v>3.91</v>
      </c>
      <c r="N113" s="2">
        <v>41502</v>
      </c>
      <c r="O113">
        <v>192500</v>
      </c>
      <c r="Q113" s="2">
        <v>41502</v>
      </c>
      <c r="R113">
        <v>281539</v>
      </c>
      <c r="T113" s="2">
        <v>41502</v>
      </c>
      <c r="U113">
        <v>81202</v>
      </c>
      <c r="W113" s="2">
        <v>41502</v>
      </c>
      <c r="X113">
        <v>0.5</v>
      </c>
      <c r="Z113" s="2">
        <v>41502</v>
      </c>
      <c r="AA113">
        <v>0</v>
      </c>
    </row>
    <row r="114" spans="2:27" x14ac:dyDescent="0.25">
      <c r="B114" s="2">
        <v>41509</v>
      </c>
      <c r="C114">
        <v>87.224000000000004</v>
      </c>
      <c r="E114" s="2">
        <v>41509</v>
      </c>
      <c r="F114">
        <v>97.73</v>
      </c>
      <c r="H114" s="2">
        <v>41509</v>
      </c>
      <c r="I114">
        <v>97.73</v>
      </c>
      <c r="K114" s="2">
        <v>41509</v>
      </c>
      <c r="L114">
        <v>3.91</v>
      </c>
      <c r="N114" s="2">
        <v>41509</v>
      </c>
      <c r="O114">
        <v>190500</v>
      </c>
      <c r="Q114" s="2">
        <v>41509</v>
      </c>
      <c r="R114">
        <v>256148</v>
      </c>
      <c r="T114" s="2">
        <v>41509</v>
      </c>
      <c r="U114">
        <v>87224</v>
      </c>
      <c r="W114" s="2">
        <v>41509</v>
      </c>
      <c r="X114">
        <v>0.5</v>
      </c>
      <c r="Z114" s="2">
        <v>41509</v>
      </c>
      <c r="AA114">
        <v>0</v>
      </c>
    </row>
    <row r="115" spans="2:27" x14ac:dyDescent="0.25">
      <c r="B115" s="2">
        <v>41516</v>
      </c>
      <c r="C115">
        <v>70.569000000000003</v>
      </c>
      <c r="E115" s="2">
        <v>41516</v>
      </c>
      <c r="F115">
        <v>97.13</v>
      </c>
      <c r="H115" s="2">
        <v>41516</v>
      </c>
      <c r="I115">
        <v>97.13</v>
      </c>
      <c r="K115" s="2">
        <v>41516</v>
      </c>
      <c r="L115">
        <v>6.8230000000000004</v>
      </c>
      <c r="N115" s="2">
        <v>41516</v>
      </c>
      <c r="O115">
        <v>190500</v>
      </c>
      <c r="Q115" s="2">
        <v>41516</v>
      </c>
      <c r="R115">
        <v>272260</v>
      </c>
      <c r="T115" s="2">
        <v>41516</v>
      </c>
      <c r="U115">
        <v>70569</v>
      </c>
      <c r="W115" s="2">
        <v>41516</v>
      </c>
      <c r="X115">
        <v>0.5</v>
      </c>
      <c r="Z115" s="2">
        <v>41516</v>
      </c>
      <c r="AA115">
        <v>0</v>
      </c>
    </row>
    <row r="116" spans="2:27" x14ac:dyDescent="0.25">
      <c r="B116" s="2">
        <v>41523</v>
      </c>
      <c r="C116">
        <v>79.933999999999997</v>
      </c>
      <c r="E116" s="2">
        <v>41523</v>
      </c>
      <c r="F116">
        <v>95.62</v>
      </c>
      <c r="H116" s="2">
        <v>41523</v>
      </c>
      <c r="I116">
        <v>95.62</v>
      </c>
      <c r="K116" s="2">
        <v>41523</v>
      </c>
      <c r="L116">
        <v>6.8230000000000004</v>
      </c>
      <c r="N116" s="2">
        <v>41523</v>
      </c>
      <c r="O116">
        <v>190500</v>
      </c>
      <c r="Q116" s="2">
        <v>41523</v>
      </c>
      <c r="R116">
        <v>269181</v>
      </c>
      <c r="T116" s="2">
        <v>41523</v>
      </c>
      <c r="U116">
        <v>79934</v>
      </c>
      <c r="W116" s="2">
        <v>41523</v>
      </c>
      <c r="X116">
        <v>0.5</v>
      </c>
      <c r="Z116" s="2">
        <v>41523</v>
      </c>
      <c r="AA116">
        <v>0</v>
      </c>
    </row>
    <row r="117" spans="2:27" x14ac:dyDescent="0.25">
      <c r="B117" s="2">
        <v>41530</v>
      </c>
      <c r="C117">
        <v>71.424999999999997</v>
      </c>
      <c r="E117" s="2">
        <v>41530</v>
      </c>
      <c r="F117">
        <v>97.17</v>
      </c>
      <c r="H117" s="2">
        <v>41530</v>
      </c>
      <c r="I117">
        <v>97.17</v>
      </c>
      <c r="K117" s="2">
        <v>41530</v>
      </c>
      <c r="L117">
        <v>3.43</v>
      </c>
      <c r="N117" s="2">
        <v>41530</v>
      </c>
      <c r="O117">
        <v>190500</v>
      </c>
      <c r="Q117" s="2">
        <v>41530</v>
      </c>
      <c r="R117">
        <v>275819</v>
      </c>
      <c r="T117" s="2">
        <v>41530</v>
      </c>
      <c r="U117">
        <v>71425</v>
      </c>
      <c r="W117" s="2">
        <v>41530</v>
      </c>
      <c r="X117">
        <v>0.5</v>
      </c>
      <c r="Z117" s="2">
        <v>41530</v>
      </c>
      <c r="AA117">
        <v>0</v>
      </c>
    </row>
    <row r="118" spans="2:27" x14ac:dyDescent="0.25">
      <c r="B118" s="2">
        <v>41537</v>
      </c>
      <c r="C118">
        <v>50.06</v>
      </c>
      <c r="E118" s="2">
        <v>41537</v>
      </c>
      <c r="F118">
        <v>96.25</v>
      </c>
      <c r="H118" s="2">
        <v>41537</v>
      </c>
      <c r="I118">
        <v>96.25</v>
      </c>
      <c r="K118" s="2">
        <v>41537</v>
      </c>
      <c r="L118">
        <v>3.43</v>
      </c>
      <c r="N118" s="2">
        <v>41537</v>
      </c>
      <c r="O118">
        <v>190500</v>
      </c>
      <c r="Q118" s="2">
        <v>41537</v>
      </c>
      <c r="R118">
        <v>274478</v>
      </c>
      <c r="T118" s="2">
        <v>41537</v>
      </c>
      <c r="U118">
        <v>50060</v>
      </c>
      <c r="W118" s="2">
        <v>41537</v>
      </c>
      <c r="X118">
        <v>0.5</v>
      </c>
      <c r="Z118" s="2">
        <v>41537</v>
      </c>
      <c r="AA118">
        <v>0</v>
      </c>
    </row>
    <row r="119" spans="2:27" x14ac:dyDescent="0.25">
      <c r="B119" s="2">
        <v>41544</v>
      </c>
      <c r="C119">
        <v>52.87</v>
      </c>
      <c r="E119" s="2">
        <v>41544</v>
      </c>
      <c r="F119">
        <v>97.03</v>
      </c>
      <c r="H119" s="2">
        <v>41544</v>
      </c>
      <c r="I119">
        <v>97.03</v>
      </c>
      <c r="K119" s="2">
        <v>41544</v>
      </c>
      <c r="L119">
        <v>8.6069999999999993</v>
      </c>
      <c r="N119" s="2">
        <v>41544</v>
      </c>
      <c r="O119">
        <v>187500</v>
      </c>
      <c r="Q119" s="2">
        <v>41544</v>
      </c>
      <c r="R119">
        <v>258760</v>
      </c>
      <c r="T119" s="2">
        <v>41544</v>
      </c>
      <c r="U119">
        <v>52870</v>
      </c>
      <c r="W119" s="2">
        <v>41544</v>
      </c>
      <c r="X119">
        <v>0.5</v>
      </c>
      <c r="Z119" s="2">
        <v>41544</v>
      </c>
      <c r="AA119">
        <v>0</v>
      </c>
    </row>
    <row r="120" spans="2:27" x14ac:dyDescent="0.25">
      <c r="B120" s="2">
        <v>41551</v>
      </c>
      <c r="C120">
        <v>55.335999999999999</v>
      </c>
      <c r="E120" s="2">
        <v>41551</v>
      </c>
      <c r="F120">
        <v>94.47</v>
      </c>
      <c r="H120" s="2">
        <v>41551</v>
      </c>
      <c r="I120">
        <v>94.47</v>
      </c>
      <c r="K120" s="2">
        <v>41551</v>
      </c>
      <c r="L120">
        <v>8.6069999999999993</v>
      </c>
      <c r="N120" s="2">
        <v>41551</v>
      </c>
      <c r="O120">
        <v>188000</v>
      </c>
      <c r="Q120" s="2">
        <v>41551</v>
      </c>
      <c r="R120">
        <v>265366</v>
      </c>
      <c r="T120" s="2">
        <v>41551</v>
      </c>
      <c r="U120">
        <v>55336</v>
      </c>
      <c r="W120" s="2">
        <v>41551</v>
      </c>
      <c r="X120">
        <v>0.5</v>
      </c>
      <c r="Z120" s="2">
        <v>41551</v>
      </c>
      <c r="AA120">
        <v>0</v>
      </c>
    </row>
    <row r="121" spans="2:27" x14ac:dyDescent="0.25">
      <c r="B121" s="2">
        <v>41558</v>
      </c>
      <c r="C121">
        <v>52.552999999999997</v>
      </c>
      <c r="E121" s="2">
        <v>41558</v>
      </c>
      <c r="F121">
        <v>93.37</v>
      </c>
      <c r="H121" s="2">
        <v>41558</v>
      </c>
      <c r="I121">
        <v>93.37</v>
      </c>
      <c r="K121" s="2">
        <v>41558</v>
      </c>
      <c r="L121">
        <v>3.4470000000000001</v>
      </c>
      <c r="N121" s="2">
        <v>41558</v>
      </c>
      <c r="O121">
        <v>188000</v>
      </c>
      <c r="Q121" s="2">
        <v>41558</v>
      </c>
      <c r="R121">
        <v>268047</v>
      </c>
      <c r="T121" s="2">
        <v>41558</v>
      </c>
      <c r="U121">
        <v>52553</v>
      </c>
      <c r="W121" s="2">
        <v>41558</v>
      </c>
      <c r="X121">
        <v>0.5</v>
      </c>
      <c r="Z121" s="2">
        <v>41558</v>
      </c>
      <c r="AA121">
        <v>0</v>
      </c>
    </row>
    <row r="122" spans="2:27" x14ac:dyDescent="0.25">
      <c r="B122" s="2">
        <v>41565</v>
      </c>
      <c r="C122">
        <v>45.667000000000002</v>
      </c>
      <c r="E122" s="2">
        <v>41565</v>
      </c>
      <c r="F122">
        <v>91.23</v>
      </c>
      <c r="H122" s="2">
        <v>41565</v>
      </c>
      <c r="I122">
        <v>91.23</v>
      </c>
      <c r="K122" s="2">
        <v>41565</v>
      </c>
      <c r="L122">
        <v>3.4470000000000001</v>
      </c>
      <c r="N122" s="2">
        <v>41565</v>
      </c>
      <c r="O122">
        <v>188000</v>
      </c>
      <c r="Q122" s="2">
        <v>41565</v>
      </c>
      <c r="R122">
        <v>269105</v>
      </c>
      <c r="T122" s="2">
        <v>41565</v>
      </c>
      <c r="U122">
        <v>45667</v>
      </c>
      <c r="W122" s="2">
        <v>41565</v>
      </c>
      <c r="X122">
        <v>0.5</v>
      </c>
      <c r="Z122" s="2">
        <v>41565</v>
      </c>
      <c r="AA122">
        <v>0</v>
      </c>
    </row>
    <row r="123" spans="2:27" x14ac:dyDescent="0.25">
      <c r="B123" s="2">
        <v>41572</v>
      </c>
      <c r="C123">
        <v>51.335999999999999</v>
      </c>
      <c r="E123" s="2">
        <v>41572</v>
      </c>
      <c r="F123">
        <v>90.61</v>
      </c>
      <c r="H123" s="2">
        <v>41572</v>
      </c>
      <c r="I123">
        <v>90.61</v>
      </c>
      <c r="K123" s="2">
        <v>41572</v>
      </c>
      <c r="L123">
        <v>3.4470000000000001</v>
      </c>
      <c r="N123" s="2">
        <v>41572</v>
      </c>
      <c r="O123">
        <v>188000</v>
      </c>
      <c r="Q123" s="2">
        <v>41572</v>
      </c>
      <c r="R123">
        <v>230156</v>
      </c>
      <c r="T123" s="2">
        <v>41572</v>
      </c>
      <c r="U123">
        <v>51336</v>
      </c>
      <c r="W123" s="2">
        <v>41572</v>
      </c>
      <c r="X123">
        <v>0.5</v>
      </c>
      <c r="Z123" s="2">
        <v>41572</v>
      </c>
      <c r="AA123">
        <v>0</v>
      </c>
    </row>
    <row r="124" spans="2:27" x14ac:dyDescent="0.25">
      <c r="B124" s="2">
        <v>41579</v>
      </c>
      <c r="C124">
        <v>52.127000000000002</v>
      </c>
      <c r="E124" s="2">
        <v>41579</v>
      </c>
      <c r="F124">
        <v>89.32</v>
      </c>
      <c r="H124" s="2">
        <v>41579</v>
      </c>
      <c r="I124">
        <v>89.32</v>
      </c>
      <c r="K124" s="2">
        <v>41579</v>
      </c>
      <c r="L124">
        <v>1.9300000000000002</v>
      </c>
      <c r="N124" s="2">
        <v>41579</v>
      </c>
      <c r="O124">
        <v>184000</v>
      </c>
      <c r="Q124" s="2">
        <v>41579</v>
      </c>
      <c r="R124">
        <v>226935</v>
      </c>
      <c r="T124" s="2">
        <v>41579</v>
      </c>
      <c r="U124">
        <v>52127</v>
      </c>
      <c r="W124" s="2">
        <v>41579</v>
      </c>
      <c r="X124">
        <v>0.5</v>
      </c>
      <c r="Z124" s="2">
        <v>41579</v>
      </c>
      <c r="AA124">
        <v>0</v>
      </c>
    </row>
    <row r="125" spans="2:27" x14ac:dyDescent="0.25">
      <c r="B125" s="2">
        <v>41586</v>
      </c>
      <c r="C125">
        <v>62.442</v>
      </c>
      <c r="E125" s="2">
        <v>41586</v>
      </c>
      <c r="F125">
        <v>89.52</v>
      </c>
      <c r="H125" s="2">
        <v>41586</v>
      </c>
      <c r="I125">
        <v>89.52</v>
      </c>
      <c r="K125" s="2">
        <v>41586</v>
      </c>
      <c r="L125">
        <v>1.9300000000000002</v>
      </c>
      <c r="N125" s="2">
        <v>41586</v>
      </c>
      <c r="O125">
        <v>184000</v>
      </c>
      <c r="Q125" s="2">
        <v>41586</v>
      </c>
      <c r="R125">
        <v>230569</v>
      </c>
      <c r="T125" s="2">
        <v>41586</v>
      </c>
      <c r="U125">
        <v>62442</v>
      </c>
      <c r="W125" s="2">
        <v>41586</v>
      </c>
      <c r="X125">
        <v>0.5</v>
      </c>
      <c r="Z125" s="2">
        <v>41586</v>
      </c>
      <c r="AA125">
        <v>0</v>
      </c>
    </row>
    <row r="126" spans="2:27" x14ac:dyDescent="0.25">
      <c r="B126" s="2">
        <v>41593</v>
      </c>
      <c r="C126">
        <v>43.860999999999997</v>
      </c>
      <c r="E126" s="2">
        <v>41593</v>
      </c>
      <c r="F126">
        <v>87.74</v>
      </c>
      <c r="H126" s="2">
        <v>41593</v>
      </c>
      <c r="I126">
        <v>87.74</v>
      </c>
      <c r="K126" s="2">
        <v>41593</v>
      </c>
      <c r="L126">
        <v>3.194</v>
      </c>
      <c r="N126" s="2">
        <v>41593</v>
      </c>
      <c r="O126">
        <v>184000</v>
      </c>
      <c r="Q126" s="2">
        <v>41593</v>
      </c>
      <c r="R126">
        <v>231888</v>
      </c>
      <c r="T126" s="2">
        <v>41593</v>
      </c>
      <c r="U126">
        <v>43861</v>
      </c>
      <c r="W126" s="2">
        <v>41593</v>
      </c>
      <c r="X126">
        <v>0.25</v>
      </c>
      <c r="Z126" s="2">
        <v>41593</v>
      </c>
      <c r="AA126">
        <v>0</v>
      </c>
    </row>
    <row r="127" spans="2:27" x14ac:dyDescent="0.25">
      <c r="B127" s="2">
        <v>41600</v>
      </c>
      <c r="C127">
        <v>44.039000000000001</v>
      </c>
      <c r="E127" s="2">
        <v>41600</v>
      </c>
      <c r="F127">
        <v>86.88</v>
      </c>
      <c r="H127" s="2">
        <v>41600</v>
      </c>
      <c r="I127">
        <v>86.88</v>
      </c>
      <c r="K127" s="2">
        <v>41600</v>
      </c>
      <c r="L127">
        <v>3.194</v>
      </c>
      <c r="N127" s="2">
        <v>41600</v>
      </c>
      <c r="O127">
        <v>184000</v>
      </c>
      <c r="Q127" s="2">
        <v>41600</v>
      </c>
      <c r="R127">
        <v>217957</v>
      </c>
      <c r="T127" s="2">
        <v>41600</v>
      </c>
      <c r="U127">
        <v>44039</v>
      </c>
      <c r="W127" s="2">
        <v>41600</v>
      </c>
      <c r="X127">
        <v>0.25</v>
      </c>
      <c r="Z127" s="2">
        <v>41600</v>
      </c>
      <c r="AA127">
        <v>0</v>
      </c>
    </row>
    <row r="128" spans="2:27" x14ac:dyDescent="0.25">
      <c r="B128" s="2">
        <v>41607</v>
      </c>
      <c r="C128">
        <v>56.146999999999998</v>
      </c>
      <c r="E128" s="2">
        <v>41607</v>
      </c>
      <c r="F128">
        <v>97.21</v>
      </c>
      <c r="H128" s="2">
        <v>41607</v>
      </c>
      <c r="I128">
        <v>97.21</v>
      </c>
      <c r="K128" s="2">
        <v>41607</v>
      </c>
      <c r="L128">
        <v>5.9260000000000002</v>
      </c>
      <c r="N128" s="2">
        <v>41607</v>
      </c>
      <c r="O128">
        <v>184000</v>
      </c>
      <c r="Q128" s="2">
        <v>41607</v>
      </c>
      <c r="R128">
        <v>215452</v>
      </c>
      <c r="T128" s="2">
        <v>41607</v>
      </c>
      <c r="U128">
        <v>56147</v>
      </c>
      <c r="W128" s="2">
        <v>41607</v>
      </c>
      <c r="X128">
        <v>0.25</v>
      </c>
      <c r="Z128" s="2">
        <v>41607</v>
      </c>
      <c r="AA128">
        <v>0</v>
      </c>
    </row>
    <row r="129" spans="2:27" x14ac:dyDescent="0.25">
      <c r="B129" s="2">
        <v>41614</v>
      </c>
      <c r="C129">
        <v>54.069000000000003</v>
      </c>
      <c r="E129" s="2">
        <v>41614</v>
      </c>
      <c r="F129">
        <v>94.63</v>
      </c>
      <c r="H129" s="2">
        <v>41614</v>
      </c>
      <c r="I129">
        <v>94.63</v>
      </c>
      <c r="K129" s="2">
        <v>41614</v>
      </c>
      <c r="L129">
        <v>5.9260000000000002</v>
      </c>
      <c r="N129" s="2">
        <v>41614</v>
      </c>
      <c r="O129">
        <v>184000</v>
      </c>
      <c r="Q129" s="2">
        <v>41614</v>
      </c>
      <c r="R129">
        <v>203674</v>
      </c>
      <c r="T129" s="2">
        <v>41614</v>
      </c>
      <c r="U129">
        <v>54069</v>
      </c>
      <c r="W129" s="2">
        <v>41614</v>
      </c>
      <c r="X129">
        <v>0.25</v>
      </c>
      <c r="Z129" s="2">
        <v>41614</v>
      </c>
      <c r="AA129">
        <v>0</v>
      </c>
    </row>
    <row r="130" spans="2:27" x14ac:dyDescent="0.25">
      <c r="B130" s="2">
        <v>41621</v>
      </c>
      <c r="C130">
        <v>38.341000000000001</v>
      </c>
      <c r="E130" s="2">
        <v>41621</v>
      </c>
      <c r="F130">
        <v>98.49</v>
      </c>
      <c r="H130" s="2">
        <v>41621</v>
      </c>
      <c r="I130">
        <v>98.49</v>
      </c>
      <c r="K130" s="2">
        <v>41621</v>
      </c>
      <c r="L130">
        <v>10.143000000000001</v>
      </c>
      <c r="N130" s="2">
        <v>41621</v>
      </c>
      <c r="O130">
        <v>184000</v>
      </c>
      <c r="Q130" s="2">
        <v>41621</v>
      </c>
      <c r="R130">
        <v>223637</v>
      </c>
      <c r="T130" s="2">
        <v>41621</v>
      </c>
      <c r="U130">
        <v>38341</v>
      </c>
      <c r="W130" s="2">
        <v>41621</v>
      </c>
      <c r="X130">
        <v>0.25</v>
      </c>
      <c r="Z130" s="2">
        <v>41621</v>
      </c>
      <c r="AA130">
        <v>0</v>
      </c>
    </row>
    <row r="131" spans="2:27" x14ac:dyDescent="0.25">
      <c r="B131" s="2">
        <v>41628</v>
      </c>
      <c r="C131">
        <v>53.344999999999999</v>
      </c>
      <c r="E131" s="2">
        <v>41628</v>
      </c>
      <c r="F131">
        <v>118.91</v>
      </c>
      <c r="H131" s="2">
        <v>41628</v>
      </c>
      <c r="I131">
        <v>118.91</v>
      </c>
      <c r="K131" s="2">
        <v>41628</v>
      </c>
      <c r="L131">
        <v>20.914000000000001</v>
      </c>
      <c r="N131" s="2">
        <v>41628</v>
      </c>
      <c r="O131">
        <v>178500</v>
      </c>
      <c r="Q131" s="2">
        <v>41628</v>
      </c>
      <c r="R131">
        <v>256078</v>
      </c>
      <c r="T131" s="2">
        <v>41628</v>
      </c>
      <c r="U131">
        <v>53345</v>
      </c>
      <c r="W131" s="2">
        <v>41628</v>
      </c>
      <c r="X131">
        <v>0.25</v>
      </c>
      <c r="Z131" s="2">
        <v>41628</v>
      </c>
      <c r="AA131">
        <v>0</v>
      </c>
    </row>
    <row r="132" spans="2:27" x14ac:dyDescent="0.25">
      <c r="B132" s="2">
        <v>41635</v>
      </c>
      <c r="C132">
        <v>59.628</v>
      </c>
      <c r="E132" s="2">
        <v>41635</v>
      </c>
      <c r="F132">
        <v>133.58000000000001</v>
      </c>
      <c r="H132" s="2">
        <v>41635</v>
      </c>
      <c r="I132">
        <v>133.58000000000001</v>
      </c>
      <c r="K132" s="2">
        <v>41635</v>
      </c>
      <c r="L132">
        <v>20.914000000000001</v>
      </c>
      <c r="N132" s="2">
        <v>41635</v>
      </c>
      <c r="O132">
        <v>178500</v>
      </c>
      <c r="Q132" s="2">
        <v>41635</v>
      </c>
      <c r="R132">
        <v>244083</v>
      </c>
      <c r="T132" s="2">
        <v>41635</v>
      </c>
      <c r="U132">
        <v>59628</v>
      </c>
      <c r="W132" s="2">
        <v>41635</v>
      </c>
      <c r="X132">
        <v>0.25</v>
      </c>
      <c r="Z132" s="2">
        <v>41635</v>
      </c>
      <c r="AA132">
        <v>0</v>
      </c>
    </row>
    <row r="133" spans="2:27" x14ac:dyDescent="0.25">
      <c r="B133" s="2">
        <v>41642</v>
      </c>
      <c r="C133">
        <v>88.212999999999994</v>
      </c>
      <c r="E133" s="2">
        <v>41642</v>
      </c>
      <c r="F133">
        <v>168.66</v>
      </c>
      <c r="H133" s="2">
        <v>41642</v>
      </c>
      <c r="I133">
        <v>168.66</v>
      </c>
      <c r="K133" s="2">
        <v>41642</v>
      </c>
      <c r="L133">
        <v>20.914000000000001</v>
      </c>
      <c r="N133" s="2">
        <v>41642</v>
      </c>
      <c r="O133">
        <v>179000</v>
      </c>
      <c r="Q133" s="2">
        <v>41642</v>
      </c>
      <c r="R133">
        <v>298943</v>
      </c>
      <c r="T133" s="2">
        <v>41642</v>
      </c>
      <c r="U133">
        <v>88213</v>
      </c>
      <c r="W133" s="2">
        <v>41642</v>
      </c>
      <c r="X133">
        <v>0.25</v>
      </c>
      <c r="Z133" s="2">
        <v>41642</v>
      </c>
      <c r="AA133">
        <v>0</v>
      </c>
    </row>
    <row r="134" spans="2:27" x14ac:dyDescent="0.25">
      <c r="B134" s="2">
        <v>41649</v>
      </c>
      <c r="C134">
        <v>59.753</v>
      </c>
      <c r="E134" s="2">
        <v>41649</v>
      </c>
      <c r="F134">
        <v>112.46</v>
      </c>
      <c r="H134" s="2">
        <v>41649</v>
      </c>
      <c r="I134">
        <v>112.46</v>
      </c>
      <c r="K134" s="2">
        <v>41649</v>
      </c>
      <c r="L134">
        <v>20.914000000000001</v>
      </c>
      <c r="N134" s="2">
        <v>41649</v>
      </c>
      <c r="O134">
        <v>179000</v>
      </c>
      <c r="Q134" s="2">
        <v>41649</v>
      </c>
      <c r="R134">
        <v>202327</v>
      </c>
      <c r="T134" s="2">
        <v>41649</v>
      </c>
      <c r="U134">
        <v>59753</v>
      </c>
      <c r="W134" s="2">
        <v>41649</v>
      </c>
      <c r="X134">
        <v>0.25</v>
      </c>
      <c r="Z134" s="2">
        <v>41649</v>
      </c>
      <c r="AA134">
        <v>0</v>
      </c>
    </row>
    <row r="135" spans="2:27" x14ac:dyDescent="0.25">
      <c r="B135" s="2">
        <v>41656</v>
      </c>
      <c r="C135">
        <v>36.488999999999997</v>
      </c>
      <c r="E135" s="2">
        <v>41656</v>
      </c>
      <c r="F135">
        <v>94.74</v>
      </c>
      <c r="H135" s="2">
        <v>41656</v>
      </c>
      <c r="I135">
        <v>94.74</v>
      </c>
      <c r="K135" s="2">
        <v>41656</v>
      </c>
      <c r="L135">
        <v>7.0919999999999996</v>
      </c>
      <c r="N135" s="2">
        <v>41656</v>
      </c>
      <c r="O135">
        <v>177500</v>
      </c>
      <c r="Q135" s="2">
        <v>41656</v>
      </c>
      <c r="R135">
        <v>202449</v>
      </c>
      <c r="T135" s="2">
        <v>41656</v>
      </c>
      <c r="U135">
        <v>36489</v>
      </c>
      <c r="W135" s="2">
        <v>41656</v>
      </c>
      <c r="X135">
        <v>0.25</v>
      </c>
      <c r="Z135" s="2">
        <v>41656</v>
      </c>
      <c r="AA135">
        <v>0</v>
      </c>
    </row>
    <row r="136" spans="2:27" x14ac:dyDescent="0.25">
      <c r="B136" s="2">
        <v>41663</v>
      </c>
      <c r="C136">
        <v>44.01</v>
      </c>
      <c r="E136" s="2">
        <v>41663</v>
      </c>
      <c r="F136">
        <v>116.28</v>
      </c>
      <c r="H136" s="2">
        <v>41663</v>
      </c>
      <c r="I136">
        <v>116.28</v>
      </c>
      <c r="K136" s="2">
        <v>41663</v>
      </c>
      <c r="L136">
        <v>7.0919999999999996</v>
      </c>
      <c r="N136" s="2">
        <v>41663</v>
      </c>
      <c r="O136">
        <v>177500</v>
      </c>
      <c r="Q136" s="2">
        <v>41663</v>
      </c>
      <c r="R136">
        <v>227884</v>
      </c>
      <c r="T136" s="2">
        <v>41663</v>
      </c>
      <c r="U136">
        <v>44010</v>
      </c>
      <c r="W136" s="2">
        <v>41663</v>
      </c>
      <c r="X136">
        <v>0.25</v>
      </c>
      <c r="Z136" s="2">
        <v>41663</v>
      </c>
      <c r="AA136">
        <v>0</v>
      </c>
    </row>
    <row r="137" spans="2:27" x14ac:dyDescent="0.25">
      <c r="B137" s="2">
        <v>41670</v>
      </c>
      <c r="C137">
        <v>56.064</v>
      </c>
      <c r="E137" s="2">
        <v>41670</v>
      </c>
      <c r="F137">
        <v>115.63</v>
      </c>
      <c r="H137" s="2">
        <v>41670</v>
      </c>
      <c r="I137">
        <v>115.63</v>
      </c>
      <c r="K137" s="2">
        <v>41670</v>
      </c>
      <c r="L137">
        <v>4.9550000000000001</v>
      </c>
      <c r="N137" s="2">
        <v>41670</v>
      </c>
      <c r="O137">
        <v>175500</v>
      </c>
      <c r="Q137" s="2">
        <v>41670</v>
      </c>
      <c r="R137">
        <v>215690</v>
      </c>
      <c r="T137" s="2">
        <v>41670</v>
      </c>
      <c r="U137">
        <v>56064</v>
      </c>
      <c r="W137" s="2">
        <v>41670</v>
      </c>
      <c r="X137">
        <v>0.25</v>
      </c>
      <c r="Z137" s="2">
        <v>41670</v>
      </c>
      <c r="AA137">
        <v>0</v>
      </c>
    </row>
    <row r="138" spans="2:27" x14ac:dyDescent="0.25">
      <c r="B138" s="2">
        <v>41677</v>
      </c>
      <c r="C138">
        <v>47.220999999999997</v>
      </c>
      <c r="E138" s="2">
        <v>41677</v>
      </c>
      <c r="F138">
        <v>95.15</v>
      </c>
      <c r="H138" s="2">
        <v>41677</v>
      </c>
      <c r="I138">
        <v>95.15</v>
      </c>
      <c r="K138" s="2">
        <v>41677</v>
      </c>
      <c r="L138">
        <v>4.9550000000000001</v>
      </c>
      <c r="N138" s="2">
        <v>41677</v>
      </c>
      <c r="O138">
        <v>175500</v>
      </c>
      <c r="Q138" s="2">
        <v>41677</v>
      </c>
      <c r="R138">
        <v>200444</v>
      </c>
      <c r="T138" s="2">
        <v>41677</v>
      </c>
      <c r="U138">
        <v>47221</v>
      </c>
      <c r="W138" s="2">
        <v>41677</v>
      </c>
      <c r="X138">
        <v>0.25</v>
      </c>
      <c r="Z138" s="2">
        <v>41677</v>
      </c>
      <c r="AA138">
        <v>0</v>
      </c>
    </row>
    <row r="139" spans="2:27" x14ac:dyDescent="0.25">
      <c r="B139" s="2">
        <v>41684</v>
      </c>
      <c r="C139">
        <v>29.890999999999998</v>
      </c>
      <c r="E139" s="2">
        <v>41684</v>
      </c>
      <c r="F139">
        <v>93.28</v>
      </c>
      <c r="H139" s="2">
        <v>41684</v>
      </c>
      <c r="I139">
        <v>93.28</v>
      </c>
      <c r="K139" s="2">
        <v>41684</v>
      </c>
      <c r="L139">
        <v>6.48</v>
      </c>
      <c r="N139" s="2">
        <v>41684</v>
      </c>
      <c r="O139">
        <v>175500</v>
      </c>
      <c r="Q139" s="2">
        <v>41684</v>
      </c>
      <c r="R139">
        <v>223735</v>
      </c>
      <c r="T139" s="2">
        <v>41684</v>
      </c>
      <c r="U139">
        <v>29891</v>
      </c>
      <c r="W139" s="2">
        <v>41684</v>
      </c>
      <c r="X139">
        <v>0.25</v>
      </c>
      <c r="Z139" s="2">
        <v>41684</v>
      </c>
      <c r="AA139">
        <v>0</v>
      </c>
    </row>
    <row r="140" spans="2:27" x14ac:dyDescent="0.25">
      <c r="B140" s="2">
        <v>41691</v>
      </c>
      <c r="C140">
        <v>32.014000000000003</v>
      </c>
      <c r="E140" s="2">
        <v>41691</v>
      </c>
      <c r="F140">
        <v>92.87</v>
      </c>
      <c r="H140" s="2">
        <v>41691</v>
      </c>
      <c r="I140">
        <v>92.87</v>
      </c>
      <c r="K140" s="2">
        <v>41691</v>
      </c>
      <c r="L140">
        <v>6.48</v>
      </c>
      <c r="N140" s="2">
        <v>41691</v>
      </c>
      <c r="O140">
        <v>175500</v>
      </c>
      <c r="Q140" s="2">
        <v>41691</v>
      </c>
      <c r="R140">
        <v>196262</v>
      </c>
      <c r="T140" s="2">
        <v>41691</v>
      </c>
      <c r="U140">
        <v>32014</v>
      </c>
      <c r="W140" s="2">
        <v>41691</v>
      </c>
      <c r="X140">
        <v>0.25</v>
      </c>
      <c r="Z140" s="2">
        <v>41691</v>
      </c>
      <c r="AA140">
        <v>0</v>
      </c>
    </row>
    <row r="141" spans="2:27" x14ac:dyDescent="0.25">
      <c r="B141" s="2">
        <v>41698</v>
      </c>
      <c r="C141">
        <v>29.370999999999999</v>
      </c>
      <c r="E141" s="2">
        <v>41698</v>
      </c>
      <c r="F141">
        <v>94.04</v>
      </c>
      <c r="H141" s="2">
        <v>41698</v>
      </c>
      <c r="I141">
        <v>94.04</v>
      </c>
      <c r="K141" s="2">
        <v>41698</v>
      </c>
      <c r="L141">
        <v>6.2969999999999997</v>
      </c>
      <c r="N141" s="2">
        <v>41698</v>
      </c>
      <c r="O141">
        <v>175500</v>
      </c>
      <c r="Q141" s="2">
        <v>41698</v>
      </c>
      <c r="R141">
        <v>187393</v>
      </c>
      <c r="T141" s="2">
        <v>41698</v>
      </c>
      <c r="U141">
        <v>29371</v>
      </c>
      <c r="W141" s="2">
        <v>41698</v>
      </c>
      <c r="X141">
        <v>0.25</v>
      </c>
      <c r="Z141" s="2">
        <v>41698</v>
      </c>
      <c r="AA141">
        <v>0</v>
      </c>
    </row>
    <row r="142" spans="2:27" x14ac:dyDescent="0.25">
      <c r="B142" s="2">
        <v>41705</v>
      </c>
      <c r="C142">
        <v>30.939</v>
      </c>
      <c r="E142" s="2">
        <v>41705</v>
      </c>
      <c r="F142">
        <v>87.05</v>
      </c>
      <c r="H142" s="2">
        <v>41705</v>
      </c>
      <c r="I142">
        <v>87.05</v>
      </c>
      <c r="K142" s="2">
        <v>41705</v>
      </c>
      <c r="L142">
        <v>6.2969999999999997</v>
      </c>
      <c r="N142" s="2">
        <v>41705</v>
      </c>
      <c r="O142">
        <v>175500</v>
      </c>
      <c r="Q142" s="2">
        <v>41705</v>
      </c>
      <c r="R142">
        <v>187112</v>
      </c>
      <c r="T142" s="2">
        <v>41705</v>
      </c>
      <c r="U142">
        <v>30939</v>
      </c>
      <c r="W142" s="2">
        <v>41705</v>
      </c>
      <c r="X142">
        <v>0.25</v>
      </c>
      <c r="Z142" s="2">
        <v>41705</v>
      </c>
      <c r="AA142">
        <v>0</v>
      </c>
    </row>
    <row r="143" spans="2:27" x14ac:dyDescent="0.25">
      <c r="B143" s="2">
        <v>41712</v>
      </c>
      <c r="C143">
        <v>23.495000000000001</v>
      </c>
      <c r="E143" s="2">
        <v>41712</v>
      </c>
      <c r="F143">
        <v>92.57</v>
      </c>
      <c r="H143" s="2">
        <v>41712</v>
      </c>
      <c r="I143">
        <v>92.57</v>
      </c>
      <c r="K143" s="2">
        <v>41712</v>
      </c>
      <c r="L143">
        <v>7.5220000000000002</v>
      </c>
      <c r="N143" s="2">
        <v>41712</v>
      </c>
      <c r="O143">
        <v>175500</v>
      </c>
      <c r="Q143" s="2">
        <v>41712</v>
      </c>
      <c r="R143">
        <v>226755</v>
      </c>
      <c r="T143" s="2">
        <v>41712</v>
      </c>
      <c r="U143">
        <v>23495</v>
      </c>
      <c r="W143" s="2">
        <v>41712</v>
      </c>
      <c r="X143">
        <v>0.25</v>
      </c>
      <c r="Z143" s="2">
        <v>41712</v>
      </c>
      <c r="AA143">
        <v>0</v>
      </c>
    </row>
    <row r="144" spans="2:27" x14ac:dyDescent="0.25">
      <c r="B144" s="2">
        <v>41719</v>
      </c>
      <c r="C144">
        <v>34.536000000000001</v>
      </c>
      <c r="E144" s="2">
        <v>41719</v>
      </c>
      <c r="F144">
        <v>96.91</v>
      </c>
      <c r="H144" s="2">
        <v>41719</v>
      </c>
      <c r="I144">
        <v>96.91</v>
      </c>
      <c r="K144" s="2">
        <v>41719</v>
      </c>
      <c r="L144">
        <v>7.5220000000000002</v>
      </c>
      <c r="N144" s="2">
        <v>41719</v>
      </c>
      <c r="O144">
        <v>175500</v>
      </c>
      <c r="Q144" s="2">
        <v>41719</v>
      </c>
      <c r="R144">
        <v>195201</v>
      </c>
      <c r="T144" s="2">
        <v>41719</v>
      </c>
      <c r="U144">
        <v>34536</v>
      </c>
      <c r="W144" s="2">
        <v>41719</v>
      </c>
      <c r="X144">
        <v>0.25</v>
      </c>
      <c r="Z144" s="2">
        <v>41719</v>
      </c>
      <c r="AA144">
        <v>0</v>
      </c>
    </row>
    <row r="145" spans="2:27" x14ac:dyDescent="0.25">
      <c r="B145" s="2">
        <v>41726</v>
      </c>
      <c r="C145">
        <v>28.256</v>
      </c>
      <c r="E145" s="2">
        <v>41726</v>
      </c>
      <c r="F145">
        <v>121.31</v>
      </c>
      <c r="H145" s="2">
        <v>41726</v>
      </c>
      <c r="I145">
        <v>121.31</v>
      </c>
      <c r="K145" s="2">
        <v>41726</v>
      </c>
      <c r="L145">
        <v>11.617000000000001</v>
      </c>
      <c r="N145" s="2">
        <v>41726</v>
      </c>
      <c r="O145">
        <v>175500</v>
      </c>
      <c r="Q145" s="2">
        <v>41726</v>
      </c>
      <c r="R145">
        <v>179162</v>
      </c>
      <c r="T145" s="2">
        <v>41726</v>
      </c>
      <c r="U145">
        <v>28256</v>
      </c>
      <c r="W145" s="2">
        <v>41726</v>
      </c>
      <c r="X145">
        <v>0.25</v>
      </c>
      <c r="Z145" s="2">
        <v>41726</v>
      </c>
      <c r="AA145">
        <v>0</v>
      </c>
    </row>
    <row r="146" spans="2:27" x14ac:dyDescent="0.25">
      <c r="B146" s="2">
        <v>41733</v>
      </c>
      <c r="C146">
        <v>25.722999999999999</v>
      </c>
      <c r="E146" s="2">
        <v>41733</v>
      </c>
      <c r="F146">
        <v>110.64</v>
      </c>
      <c r="H146" s="2">
        <v>41733</v>
      </c>
      <c r="I146">
        <v>110.64</v>
      </c>
      <c r="K146" s="2">
        <v>41733</v>
      </c>
      <c r="L146">
        <v>11.617000000000001</v>
      </c>
      <c r="N146" s="2">
        <v>41733</v>
      </c>
      <c r="O146">
        <v>172500</v>
      </c>
      <c r="Q146" s="2">
        <v>41733</v>
      </c>
      <c r="R146">
        <v>181138</v>
      </c>
      <c r="T146" s="2">
        <v>41733</v>
      </c>
      <c r="U146">
        <v>25723</v>
      </c>
      <c r="W146" s="2">
        <v>41733</v>
      </c>
      <c r="X146">
        <v>0.25</v>
      </c>
      <c r="Z146" s="2">
        <v>41733</v>
      </c>
      <c r="AA146">
        <v>0</v>
      </c>
    </row>
    <row r="147" spans="2:27" x14ac:dyDescent="0.25">
      <c r="B147" s="2">
        <v>41740</v>
      </c>
      <c r="C147">
        <v>21.154</v>
      </c>
      <c r="E147" s="2">
        <v>41740</v>
      </c>
      <c r="F147">
        <v>104.62</v>
      </c>
      <c r="H147" s="2">
        <v>41740</v>
      </c>
      <c r="I147">
        <v>104.62</v>
      </c>
      <c r="K147" s="2">
        <v>41740</v>
      </c>
      <c r="L147">
        <v>28.023</v>
      </c>
      <c r="N147" s="2">
        <v>41740</v>
      </c>
      <c r="O147">
        <v>172500</v>
      </c>
      <c r="Q147" s="2">
        <v>41740</v>
      </c>
      <c r="R147">
        <v>198232</v>
      </c>
      <c r="T147" s="2">
        <v>41740</v>
      </c>
      <c r="U147">
        <v>21154</v>
      </c>
      <c r="W147" s="2">
        <v>41740</v>
      </c>
      <c r="X147">
        <v>0.25</v>
      </c>
      <c r="Z147" s="2">
        <v>41740</v>
      </c>
      <c r="AA147">
        <v>0</v>
      </c>
    </row>
    <row r="148" spans="2:27" x14ac:dyDescent="0.25">
      <c r="B148" s="2">
        <v>41747</v>
      </c>
      <c r="C148">
        <v>30.056999999999999</v>
      </c>
      <c r="E148" s="2">
        <v>41747</v>
      </c>
      <c r="F148">
        <v>112.17</v>
      </c>
      <c r="H148" s="2">
        <v>41747</v>
      </c>
      <c r="I148">
        <v>112.17</v>
      </c>
      <c r="K148" s="2">
        <v>41747</v>
      </c>
      <c r="L148">
        <v>28.023</v>
      </c>
      <c r="N148" s="2">
        <v>41747</v>
      </c>
      <c r="O148">
        <v>172500</v>
      </c>
      <c r="Q148" s="2">
        <v>41747</v>
      </c>
      <c r="R148">
        <v>206261</v>
      </c>
      <c r="T148" s="2">
        <v>41747</v>
      </c>
      <c r="U148">
        <v>29130</v>
      </c>
      <c r="W148" s="2">
        <v>41747</v>
      </c>
      <c r="X148">
        <v>0.25</v>
      </c>
      <c r="Z148" s="2">
        <v>41747</v>
      </c>
      <c r="AA148">
        <v>0</v>
      </c>
    </row>
    <row r="149" spans="2:27" x14ac:dyDescent="0.25">
      <c r="B149" s="2">
        <v>41754</v>
      </c>
      <c r="C149">
        <v>23.974</v>
      </c>
      <c r="E149" s="2">
        <v>41754</v>
      </c>
      <c r="F149">
        <v>121.82</v>
      </c>
      <c r="H149" s="2">
        <v>41754</v>
      </c>
      <c r="I149">
        <v>121.82</v>
      </c>
      <c r="K149" s="2">
        <v>41754</v>
      </c>
      <c r="L149">
        <v>28.023</v>
      </c>
      <c r="N149" s="2">
        <v>41754</v>
      </c>
      <c r="O149">
        <v>172500</v>
      </c>
      <c r="Q149" s="2">
        <v>41754</v>
      </c>
      <c r="R149">
        <v>166145</v>
      </c>
      <c r="T149" s="2">
        <v>41754</v>
      </c>
      <c r="U149">
        <v>23974</v>
      </c>
      <c r="W149" s="2">
        <v>41754</v>
      </c>
      <c r="X149">
        <v>0.25</v>
      </c>
      <c r="Z149" s="2">
        <v>41754</v>
      </c>
      <c r="AA149">
        <v>0</v>
      </c>
    </row>
    <row r="150" spans="2:27" x14ac:dyDescent="0.25">
      <c r="B150" s="2">
        <v>41761</v>
      </c>
      <c r="C150">
        <v>39.078000000000003</v>
      </c>
      <c r="E150" s="2">
        <v>41761</v>
      </c>
      <c r="F150">
        <v>172.62</v>
      </c>
      <c r="H150" s="2">
        <v>41761</v>
      </c>
      <c r="I150">
        <v>172.62</v>
      </c>
      <c r="K150" s="2">
        <v>41761</v>
      </c>
      <c r="L150">
        <v>13.193</v>
      </c>
      <c r="N150" s="2">
        <v>41761</v>
      </c>
      <c r="O150">
        <v>167500</v>
      </c>
      <c r="Q150" s="2">
        <v>41761</v>
      </c>
      <c r="R150">
        <v>240192</v>
      </c>
      <c r="T150" s="2">
        <v>41761</v>
      </c>
      <c r="U150">
        <v>39078</v>
      </c>
      <c r="W150" s="2">
        <v>41761</v>
      </c>
      <c r="X150">
        <v>0.25</v>
      </c>
      <c r="Z150" s="2">
        <v>41761</v>
      </c>
      <c r="AA150">
        <v>0</v>
      </c>
    </row>
    <row r="151" spans="2:27" x14ac:dyDescent="0.25">
      <c r="B151" s="2">
        <v>41768</v>
      </c>
      <c r="C151">
        <v>33.844000000000001</v>
      </c>
      <c r="E151" s="2">
        <v>41768</v>
      </c>
      <c r="F151">
        <v>129.13999999999999</v>
      </c>
      <c r="H151" s="2">
        <v>41768</v>
      </c>
      <c r="I151">
        <v>129.13999999999999</v>
      </c>
      <c r="K151" s="2">
        <v>41768</v>
      </c>
      <c r="L151">
        <v>13.193</v>
      </c>
      <c r="N151" s="2">
        <v>41768</v>
      </c>
      <c r="O151">
        <v>167500</v>
      </c>
      <c r="Q151" s="2">
        <v>41768</v>
      </c>
      <c r="R151">
        <v>150019</v>
      </c>
      <c r="T151" s="2">
        <v>41768</v>
      </c>
      <c r="U151">
        <v>33844</v>
      </c>
      <c r="W151" s="2">
        <v>41768</v>
      </c>
      <c r="X151">
        <v>0.25</v>
      </c>
      <c r="Z151" s="2">
        <v>41768</v>
      </c>
      <c r="AA151">
        <v>0</v>
      </c>
    </row>
    <row r="152" spans="2:27" x14ac:dyDescent="0.25">
      <c r="B152" s="2">
        <v>41775</v>
      </c>
      <c r="C152">
        <v>17.481999999999999</v>
      </c>
      <c r="E152" s="2">
        <v>41775</v>
      </c>
      <c r="F152">
        <v>137.30000000000001</v>
      </c>
      <c r="H152" s="2">
        <v>41775</v>
      </c>
      <c r="I152">
        <v>137.30000000000001</v>
      </c>
      <c r="K152" s="2">
        <v>41775</v>
      </c>
      <c r="L152">
        <v>32.335000000000001</v>
      </c>
      <c r="N152" s="2">
        <v>41775</v>
      </c>
      <c r="O152">
        <v>167500</v>
      </c>
      <c r="Q152" s="2">
        <v>41775</v>
      </c>
      <c r="R152">
        <v>201415</v>
      </c>
      <c r="T152" s="2">
        <v>41775</v>
      </c>
      <c r="U152">
        <v>17482</v>
      </c>
      <c r="W152" s="2">
        <v>41775</v>
      </c>
      <c r="X152">
        <v>0.25</v>
      </c>
      <c r="Z152" s="2">
        <v>41775</v>
      </c>
      <c r="AA152">
        <v>0</v>
      </c>
    </row>
    <row r="153" spans="2:27" x14ac:dyDescent="0.25">
      <c r="B153" s="2">
        <v>41782</v>
      </c>
      <c r="C153">
        <v>23.774000000000001</v>
      </c>
      <c r="E153" s="2">
        <v>41782</v>
      </c>
      <c r="F153">
        <v>131.96</v>
      </c>
      <c r="H153" s="2">
        <v>41782</v>
      </c>
      <c r="I153">
        <v>131.96</v>
      </c>
      <c r="K153" s="2">
        <v>41782</v>
      </c>
      <c r="L153">
        <v>32.335000000000001</v>
      </c>
      <c r="N153" s="2">
        <v>41782</v>
      </c>
      <c r="O153">
        <v>164500</v>
      </c>
      <c r="Q153" s="2">
        <v>41782</v>
      </c>
      <c r="R153">
        <v>168545</v>
      </c>
      <c r="T153" s="2">
        <v>41782</v>
      </c>
      <c r="U153">
        <v>23774</v>
      </c>
      <c r="W153" s="2">
        <v>41782</v>
      </c>
      <c r="X153">
        <v>0.25</v>
      </c>
      <c r="Z153" s="2">
        <v>41782</v>
      </c>
      <c r="AA153">
        <v>0</v>
      </c>
    </row>
    <row r="154" spans="2:27" x14ac:dyDescent="0.25">
      <c r="B154" s="2">
        <v>41789</v>
      </c>
      <c r="C154">
        <v>39.909999999999997</v>
      </c>
      <c r="E154" s="2">
        <v>41789</v>
      </c>
      <c r="F154">
        <v>174</v>
      </c>
      <c r="H154" s="2">
        <v>41789</v>
      </c>
      <c r="I154">
        <v>174</v>
      </c>
      <c r="K154" s="2">
        <v>41789</v>
      </c>
      <c r="L154">
        <v>10.949</v>
      </c>
      <c r="N154" s="2">
        <v>41789</v>
      </c>
      <c r="O154">
        <v>164500</v>
      </c>
      <c r="Q154" s="2">
        <v>41789</v>
      </c>
      <c r="R154">
        <v>209392</v>
      </c>
      <c r="T154" s="2">
        <v>41789</v>
      </c>
      <c r="U154">
        <v>39910</v>
      </c>
      <c r="W154" s="2">
        <v>41789</v>
      </c>
      <c r="X154">
        <v>0.25</v>
      </c>
      <c r="Z154" s="2">
        <v>41789</v>
      </c>
      <c r="AA154">
        <v>0</v>
      </c>
    </row>
    <row r="155" spans="2:27" x14ac:dyDescent="0.25">
      <c r="B155" s="2">
        <v>41796</v>
      </c>
      <c r="C155">
        <v>37.311999999999998</v>
      </c>
      <c r="E155" s="2">
        <v>41796</v>
      </c>
      <c r="F155">
        <v>149.35</v>
      </c>
      <c r="H155" s="2">
        <v>41796</v>
      </c>
      <c r="I155">
        <v>149.35</v>
      </c>
      <c r="K155" s="2">
        <v>41796</v>
      </c>
      <c r="L155">
        <v>10.949</v>
      </c>
      <c r="N155" s="2">
        <v>41796</v>
      </c>
      <c r="O155">
        <v>162747</v>
      </c>
      <c r="Q155" s="2">
        <v>41796</v>
      </c>
      <c r="R155">
        <v>187123</v>
      </c>
      <c r="T155" s="2">
        <v>41796</v>
      </c>
      <c r="U155">
        <v>37312</v>
      </c>
      <c r="W155" s="2">
        <v>41796</v>
      </c>
      <c r="X155">
        <v>0.25</v>
      </c>
      <c r="Z155" s="2">
        <v>41796</v>
      </c>
      <c r="AA155">
        <v>-0.1</v>
      </c>
    </row>
    <row r="156" spans="2:27" x14ac:dyDescent="0.25">
      <c r="B156" s="2">
        <v>41803</v>
      </c>
      <c r="C156">
        <v>17.175000000000001</v>
      </c>
      <c r="E156" s="2">
        <v>41803</v>
      </c>
      <c r="F156">
        <v>136.77000000000001</v>
      </c>
      <c r="H156" s="2">
        <v>41803</v>
      </c>
      <c r="I156">
        <v>136.77000000000001</v>
      </c>
      <c r="K156" s="2">
        <v>41803</v>
      </c>
      <c r="L156">
        <v>9.9700000000000006</v>
      </c>
      <c r="N156" s="2">
        <v>41803</v>
      </c>
      <c r="O156">
        <v>162747</v>
      </c>
      <c r="Q156" s="2">
        <v>41803</v>
      </c>
      <c r="R156">
        <v>199831</v>
      </c>
      <c r="T156" s="2">
        <v>41803</v>
      </c>
      <c r="U156">
        <v>17175</v>
      </c>
      <c r="W156" s="2">
        <v>41803</v>
      </c>
      <c r="X156">
        <v>0.15</v>
      </c>
      <c r="Z156" s="2">
        <v>41803</v>
      </c>
      <c r="AA156">
        <v>-0.1</v>
      </c>
    </row>
    <row r="157" spans="2:27" x14ac:dyDescent="0.25">
      <c r="B157" s="2">
        <v>41810</v>
      </c>
      <c r="C157">
        <v>26.544</v>
      </c>
      <c r="E157" s="2">
        <v>41810</v>
      </c>
      <c r="F157">
        <v>97.89</v>
      </c>
      <c r="H157" s="2">
        <v>41810</v>
      </c>
      <c r="I157">
        <v>97.89</v>
      </c>
      <c r="K157" s="2">
        <v>41810</v>
      </c>
      <c r="L157">
        <v>9.9700000000000006</v>
      </c>
      <c r="N157" s="2">
        <v>41810</v>
      </c>
      <c r="O157">
        <v>160615</v>
      </c>
      <c r="Q157" s="2">
        <v>41810</v>
      </c>
      <c r="R157">
        <v>211226</v>
      </c>
      <c r="T157" s="2">
        <v>41810</v>
      </c>
      <c r="U157">
        <v>26544</v>
      </c>
      <c r="W157" s="2">
        <v>41810</v>
      </c>
      <c r="X157">
        <v>0.15</v>
      </c>
      <c r="Z157" s="2">
        <v>41810</v>
      </c>
      <c r="AA157">
        <v>-0.1</v>
      </c>
    </row>
    <row r="158" spans="2:27" x14ac:dyDescent="0.25">
      <c r="B158" s="2">
        <v>41817</v>
      </c>
      <c r="C158">
        <v>25.422999999999998</v>
      </c>
      <c r="E158" s="2">
        <v>41817</v>
      </c>
      <c r="F158">
        <v>115.04</v>
      </c>
      <c r="H158" s="2">
        <v>41817</v>
      </c>
      <c r="I158">
        <v>115.04</v>
      </c>
      <c r="K158" s="2">
        <v>41817</v>
      </c>
      <c r="L158">
        <v>10.385999999999999</v>
      </c>
      <c r="N158" s="2">
        <v>41817</v>
      </c>
      <c r="O158">
        <v>160615</v>
      </c>
      <c r="Q158" s="2">
        <v>41817</v>
      </c>
      <c r="R158">
        <v>217727</v>
      </c>
      <c r="T158" s="2">
        <v>41817</v>
      </c>
      <c r="U158">
        <v>25423</v>
      </c>
      <c r="W158" s="2">
        <v>41817</v>
      </c>
      <c r="X158">
        <v>0.15</v>
      </c>
      <c r="Z158" s="2">
        <v>41817</v>
      </c>
      <c r="AA158">
        <v>-0.1</v>
      </c>
    </row>
    <row r="159" spans="2:27" x14ac:dyDescent="0.25">
      <c r="B159" s="2">
        <v>41824</v>
      </c>
      <c r="C159">
        <v>27.274999999999999</v>
      </c>
      <c r="E159" s="2">
        <v>41824</v>
      </c>
      <c r="F159">
        <v>97.1</v>
      </c>
      <c r="H159" s="2">
        <v>41824</v>
      </c>
      <c r="I159">
        <v>97.1</v>
      </c>
      <c r="K159" s="2">
        <v>41824</v>
      </c>
      <c r="L159">
        <v>10.385999999999999</v>
      </c>
      <c r="N159" s="2">
        <v>41824</v>
      </c>
      <c r="O159">
        <v>156310</v>
      </c>
      <c r="Q159" s="2">
        <v>41824</v>
      </c>
      <c r="R159">
        <v>214246</v>
      </c>
      <c r="T159" s="2">
        <v>41824</v>
      </c>
      <c r="U159">
        <v>27275</v>
      </c>
      <c r="W159" s="2">
        <v>41824</v>
      </c>
      <c r="X159">
        <v>0.15</v>
      </c>
      <c r="Z159" s="2">
        <v>41824</v>
      </c>
      <c r="AA159">
        <v>-0.1</v>
      </c>
    </row>
    <row r="160" spans="2:27" x14ac:dyDescent="0.25">
      <c r="B160" s="2">
        <v>41831</v>
      </c>
      <c r="C160">
        <v>20.184000000000001</v>
      </c>
      <c r="E160" s="2">
        <v>41831</v>
      </c>
      <c r="F160">
        <v>94.15</v>
      </c>
      <c r="H160" s="2">
        <v>41831</v>
      </c>
      <c r="I160">
        <v>94.15</v>
      </c>
      <c r="K160" s="2">
        <v>41831</v>
      </c>
      <c r="L160">
        <v>10.385999999999999</v>
      </c>
      <c r="N160" s="2">
        <v>41831</v>
      </c>
      <c r="O160">
        <v>156310</v>
      </c>
      <c r="Q160" s="2">
        <v>41831</v>
      </c>
      <c r="R160">
        <v>206155</v>
      </c>
      <c r="T160" s="2">
        <v>41831</v>
      </c>
      <c r="U160">
        <v>20184</v>
      </c>
      <c r="W160" s="2">
        <v>41831</v>
      </c>
      <c r="X160">
        <v>0.15</v>
      </c>
      <c r="Z160" s="2">
        <v>41831</v>
      </c>
      <c r="AA160">
        <v>-0.1</v>
      </c>
    </row>
    <row r="161" spans="2:27" x14ac:dyDescent="0.25">
      <c r="B161" s="2">
        <v>41838</v>
      </c>
      <c r="C161">
        <v>22.718</v>
      </c>
      <c r="E161" s="2">
        <v>41838</v>
      </c>
      <c r="F161">
        <v>99.91</v>
      </c>
      <c r="H161" s="2">
        <v>41838</v>
      </c>
      <c r="I161">
        <v>99.91</v>
      </c>
      <c r="K161" s="2">
        <v>41838</v>
      </c>
      <c r="L161">
        <v>10.385999999999999</v>
      </c>
      <c r="N161" s="2">
        <v>41838</v>
      </c>
      <c r="O161">
        <v>156310</v>
      </c>
      <c r="Q161" s="2">
        <v>41838</v>
      </c>
      <c r="R161">
        <v>211084</v>
      </c>
      <c r="T161" s="2">
        <v>41838</v>
      </c>
      <c r="U161">
        <v>22718</v>
      </c>
      <c r="W161" s="2">
        <v>41838</v>
      </c>
      <c r="X161">
        <v>0.15</v>
      </c>
      <c r="Z161" s="2">
        <v>41838</v>
      </c>
      <c r="AA161">
        <v>-0.1</v>
      </c>
    </row>
    <row r="162" spans="2:27" x14ac:dyDescent="0.25">
      <c r="B162" s="2">
        <v>41845</v>
      </c>
      <c r="C162">
        <v>21.334</v>
      </c>
      <c r="E162" s="2">
        <v>41845</v>
      </c>
      <c r="F162">
        <v>97.89</v>
      </c>
      <c r="H162" s="2">
        <v>41845</v>
      </c>
      <c r="I162">
        <v>97.89</v>
      </c>
      <c r="K162" s="2">
        <v>41845</v>
      </c>
      <c r="L162">
        <v>10.385999999999999</v>
      </c>
      <c r="N162" s="2">
        <v>41845</v>
      </c>
      <c r="O162">
        <v>156310</v>
      </c>
      <c r="Q162" s="2">
        <v>41845</v>
      </c>
      <c r="R162">
        <v>196367</v>
      </c>
      <c r="T162" s="2">
        <v>41845</v>
      </c>
      <c r="U162">
        <v>21334</v>
      </c>
      <c r="W162" s="2">
        <v>41845</v>
      </c>
      <c r="X162">
        <v>0.15</v>
      </c>
      <c r="Z162" s="2">
        <v>41845</v>
      </c>
      <c r="AA162">
        <v>-0.1</v>
      </c>
    </row>
    <row r="163" spans="2:27" x14ac:dyDescent="0.25">
      <c r="B163" s="2">
        <v>41852</v>
      </c>
      <c r="C163">
        <v>44.118000000000002</v>
      </c>
      <c r="E163" s="2">
        <v>41852</v>
      </c>
      <c r="F163">
        <v>133.30000000000001</v>
      </c>
      <c r="H163" s="2">
        <v>41852</v>
      </c>
      <c r="I163">
        <v>133.30000000000001</v>
      </c>
      <c r="K163" s="2">
        <v>41852</v>
      </c>
      <c r="L163">
        <v>6.7859999999999996</v>
      </c>
      <c r="N163" s="2">
        <v>41852</v>
      </c>
      <c r="O163">
        <v>152294</v>
      </c>
      <c r="Q163" s="2">
        <v>41852</v>
      </c>
      <c r="R163">
        <v>219715</v>
      </c>
      <c r="T163" s="2">
        <v>41852</v>
      </c>
      <c r="U163">
        <v>44118</v>
      </c>
      <c r="W163" s="2">
        <v>41852</v>
      </c>
      <c r="X163">
        <v>0.15</v>
      </c>
      <c r="Z163" s="2">
        <v>41852</v>
      </c>
      <c r="AA163">
        <v>-0.1</v>
      </c>
    </row>
    <row r="164" spans="2:27" x14ac:dyDescent="0.25">
      <c r="B164" s="2">
        <v>41859</v>
      </c>
      <c r="C164">
        <v>21.146000000000001</v>
      </c>
      <c r="E164" s="2">
        <v>41859</v>
      </c>
      <c r="F164">
        <v>107.92</v>
      </c>
      <c r="H164" s="2">
        <v>41859</v>
      </c>
      <c r="I164">
        <v>107.92</v>
      </c>
      <c r="K164" s="2">
        <v>41859</v>
      </c>
      <c r="L164">
        <v>6.7859999999999996</v>
      </c>
      <c r="N164" s="2">
        <v>41859</v>
      </c>
      <c r="O164">
        <v>152294</v>
      </c>
      <c r="Q164" s="2">
        <v>41859</v>
      </c>
      <c r="R164">
        <v>214475</v>
      </c>
      <c r="T164" s="2">
        <v>41859</v>
      </c>
      <c r="U164">
        <v>21146</v>
      </c>
      <c r="W164" s="2">
        <v>41859</v>
      </c>
      <c r="X164">
        <v>0.15</v>
      </c>
      <c r="Z164" s="2">
        <v>41859</v>
      </c>
      <c r="AA164">
        <v>-0.1</v>
      </c>
    </row>
    <row r="165" spans="2:27" x14ac:dyDescent="0.25">
      <c r="B165" s="2">
        <v>41866</v>
      </c>
      <c r="C165">
        <v>19.849</v>
      </c>
      <c r="E165" s="2">
        <v>41866</v>
      </c>
      <c r="F165">
        <v>108.2</v>
      </c>
      <c r="H165" s="2">
        <v>41866</v>
      </c>
      <c r="I165">
        <v>108.2</v>
      </c>
      <c r="K165" s="2">
        <v>41866</v>
      </c>
      <c r="L165">
        <v>6.7859999999999996</v>
      </c>
      <c r="N165" s="2">
        <v>41866</v>
      </c>
      <c r="O165">
        <v>152294</v>
      </c>
      <c r="Q165" s="2">
        <v>41866</v>
      </c>
      <c r="R165">
        <v>221620</v>
      </c>
      <c r="T165" s="2">
        <v>41866</v>
      </c>
      <c r="U165">
        <v>19849</v>
      </c>
      <c r="W165" s="2">
        <v>41866</v>
      </c>
      <c r="X165">
        <v>0.15</v>
      </c>
      <c r="Z165" s="2">
        <v>41866</v>
      </c>
      <c r="AA165">
        <v>-0.1</v>
      </c>
    </row>
    <row r="166" spans="2:27" x14ac:dyDescent="0.25">
      <c r="B166" s="2">
        <v>41873</v>
      </c>
      <c r="C166">
        <v>25.626000000000001</v>
      </c>
      <c r="E166" s="2">
        <v>41873</v>
      </c>
      <c r="F166">
        <v>107.61</v>
      </c>
      <c r="H166" s="2">
        <v>41873</v>
      </c>
      <c r="I166">
        <v>107.61</v>
      </c>
      <c r="K166" s="2">
        <v>41873</v>
      </c>
      <c r="L166">
        <v>6.7859999999999996</v>
      </c>
      <c r="N166" s="2">
        <v>41873</v>
      </c>
      <c r="O166">
        <v>148728</v>
      </c>
      <c r="Q166" s="2">
        <v>41873</v>
      </c>
      <c r="R166">
        <v>205216</v>
      </c>
      <c r="T166" s="2">
        <v>41873</v>
      </c>
      <c r="U166">
        <v>25626</v>
      </c>
      <c r="W166" s="2">
        <v>41873</v>
      </c>
      <c r="X166">
        <v>0.15</v>
      </c>
      <c r="Z166" s="2">
        <v>41873</v>
      </c>
      <c r="AA166">
        <v>-0.1</v>
      </c>
    </row>
    <row r="167" spans="2:27" x14ac:dyDescent="0.25">
      <c r="B167" s="2">
        <v>41880</v>
      </c>
      <c r="C167">
        <v>30.864000000000001</v>
      </c>
      <c r="E167" s="2">
        <v>41880</v>
      </c>
      <c r="F167">
        <v>131.76</v>
      </c>
      <c r="H167" s="2">
        <v>41880</v>
      </c>
      <c r="I167">
        <v>131.76</v>
      </c>
      <c r="K167" s="2">
        <v>41880</v>
      </c>
      <c r="L167">
        <v>7.2439999999999998</v>
      </c>
      <c r="N167" s="2">
        <v>41880</v>
      </c>
      <c r="O167">
        <v>148728</v>
      </c>
      <c r="Q167" s="2">
        <v>41880</v>
      </c>
      <c r="R167">
        <v>222757</v>
      </c>
      <c r="T167" s="2">
        <v>41880</v>
      </c>
      <c r="U167">
        <v>30864</v>
      </c>
      <c r="W167" s="2">
        <v>41880</v>
      </c>
      <c r="X167">
        <v>0.15</v>
      </c>
      <c r="Z167" s="2">
        <v>41880</v>
      </c>
      <c r="AA167">
        <v>-0.1</v>
      </c>
    </row>
    <row r="168" spans="2:27" x14ac:dyDescent="0.25">
      <c r="B168" s="2">
        <v>41887</v>
      </c>
      <c r="C168">
        <v>26.65</v>
      </c>
      <c r="E168" s="2">
        <v>41887</v>
      </c>
      <c r="F168">
        <v>111.2</v>
      </c>
      <c r="H168" s="2">
        <v>41887</v>
      </c>
      <c r="I168">
        <v>111.2</v>
      </c>
      <c r="K168" s="2">
        <v>41887</v>
      </c>
      <c r="L168">
        <v>7.2439999999999998</v>
      </c>
      <c r="N168" s="2">
        <v>41887</v>
      </c>
      <c r="O168">
        <v>148728</v>
      </c>
      <c r="Q168" s="2">
        <v>41887</v>
      </c>
      <c r="R168">
        <v>193719</v>
      </c>
      <c r="T168" s="2">
        <v>41887</v>
      </c>
      <c r="U168">
        <v>26650</v>
      </c>
      <c r="W168" s="2">
        <v>41887</v>
      </c>
      <c r="X168">
        <v>0.15</v>
      </c>
      <c r="Z168" s="2">
        <v>41887</v>
      </c>
      <c r="AA168">
        <v>-0.2</v>
      </c>
    </row>
    <row r="169" spans="2:27" x14ac:dyDescent="0.25">
      <c r="B169" s="2">
        <v>41894</v>
      </c>
      <c r="C169">
        <v>21.088999999999999</v>
      </c>
      <c r="E169" s="2">
        <v>41894</v>
      </c>
      <c r="F169">
        <v>110.7</v>
      </c>
      <c r="H169" s="2">
        <v>41894</v>
      </c>
      <c r="I169">
        <v>110.7</v>
      </c>
      <c r="K169" s="2">
        <v>41894</v>
      </c>
      <c r="L169">
        <v>7.2439999999999998</v>
      </c>
      <c r="N169" s="2">
        <v>41894</v>
      </c>
      <c r="O169">
        <v>148728</v>
      </c>
      <c r="Q169" s="2">
        <v>41894</v>
      </c>
      <c r="R169">
        <v>179185</v>
      </c>
      <c r="T169" s="2">
        <v>41894</v>
      </c>
      <c r="U169">
        <v>21089</v>
      </c>
      <c r="W169" s="2">
        <v>41894</v>
      </c>
      <c r="X169">
        <v>0.05</v>
      </c>
      <c r="Z169" s="2">
        <v>41894</v>
      </c>
      <c r="AA169">
        <v>-0.2</v>
      </c>
    </row>
    <row r="170" spans="2:27" x14ac:dyDescent="0.25">
      <c r="B170" s="2">
        <v>41901</v>
      </c>
      <c r="C170">
        <v>21.088999999999999</v>
      </c>
      <c r="E170" s="2">
        <v>41901</v>
      </c>
      <c r="F170">
        <v>105.69</v>
      </c>
      <c r="H170" s="2">
        <v>41901</v>
      </c>
      <c r="I170">
        <v>105.69</v>
      </c>
      <c r="K170" s="2">
        <v>41901</v>
      </c>
      <c r="L170">
        <v>7.2439999999999998</v>
      </c>
      <c r="N170" s="2">
        <v>41901</v>
      </c>
      <c r="O170">
        <v>148728</v>
      </c>
      <c r="Q170" s="2">
        <v>41901</v>
      </c>
      <c r="R170">
        <v>162433</v>
      </c>
      <c r="T170" s="2">
        <v>41901</v>
      </c>
      <c r="U170">
        <v>23077</v>
      </c>
      <c r="W170" s="2">
        <v>41901</v>
      </c>
      <c r="X170">
        <v>0.05</v>
      </c>
      <c r="Z170" s="2">
        <v>41901</v>
      </c>
      <c r="AA170">
        <v>-0.2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BIData</vt:lpstr>
      <vt:lpstr>ReferenceData</vt:lpstr>
      <vt:lpstr>Help-Reference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Angelica Fuerte Aya</dc:creator>
  <cp:lastModifiedBy>Windows User</cp:lastModifiedBy>
  <dcterms:created xsi:type="dcterms:W3CDTF">2014-06-24T14:55:32Z</dcterms:created>
  <dcterms:modified xsi:type="dcterms:W3CDTF">2014-09-23T15:39:52Z</dcterms:modified>
</cp:coreProperties>
</file>