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-75" windowWidth="7590" windowHeight="8295" activeTab="5"/>
  </bookViews>
  <sheets>
    <sheet name="Hoja1" sheetId="1" r:id="rId1"/>
    <sheet name="QE's" sheetId="2" r:id="rId2"/>
    <sheet name="Board" sheetId="3" r:id="rId3"/>
    <sheet name="Hoja2" sheetId="4" r:id="rId4"/>
    <sheet name="Hoja3" sheetId="5" r:id="rId5"/>
    <sheet name="QE's (2)" sheetId="6" r:id="rId6"/>
  </sheets>
  <calcPr calcId="145621"/>
</workbook>
</file>

<file path=xl/calcChain.xml><?xml version="1.0" encoding="utf-8"?>
<calcChain xmlns="http://schemas.openxmlformats.org/spreadsheetml/2006/main">
  <c r="X43" i="6"/>
  <c r="W43"/>
  <c r="V43"/>
  <c r="U43"/>
  <c r="T43"/>
  <c r="S43"/>
  <c r="U36"/>
  <c r="T36"/>
  <c r="S36"/>
  <c r="R36"/>
  <c r="Q36"/>
  <c r="P36"/>
  <c r="Z23"/>
  <c r="Y21" s="1"/>
  <c r="X21" s="1"/>
  <c r="W21" s="1"/>
  <c r="V21" s="1"/>
  <c r="U21" s="1"/>
  <c r="T21" s="1"/>
  <c r="S21" s="1"/>
  <c r="R21" s="1"/>
  <c r="Q21" s="1"/>
  <c r="P21" s="1"/>
  <c r="O21" s="1"/>
  <c r="N21" s="1"/>
  <c r="M21" s="1"/>
  <c r="L21" s="1"/>
  <c r="K21" s="1"/>
  <c r="U20"/>
  <c r="T20" s="1"/>
  <c r="S20" s="1"/>
  <c r="R20" s="1"/>
  <c r="Q20" s="1"/>
  <c r="P20" s="1"/>
  <c r="O20" s="1"/>
  <c r="N20" s="1"/>
  <c r="M20" s="1"/>
  <c r="L20" s="1"/>
  <c r="K20" s="1"/>
  <c r="AB15"/>
  <c r="AA15"/>
  <c r="Z15"/>
  <c r="Y15"/>
  <c r="X15"/>
  <c r="W15"/>
  <c r="X12"/>
  <c r="X11"/>
  <c r="X10"/>
  <c r="X9"/>
  <c r="U9"/>
  <c r="T9"/>
  <c r="S9"/>
  <c r="R9"/>
  <c r="Q9"/>
  <c r="P9"/>
  <c r="O9"/>
  <c r="N9"/>
  <c r="M9"/>
  <c r="L9"/>
  <c r="K9"/>
  <c r="J9"/>
  <c r="J26" s="1"/>
  <c r="E9"/>
  <c r="X8"/>
  <c r="U8"/>
  <c r="T8"/>
  <c r="S8"/>
  <c r="R8"/>
  <c r="Q8"/>
  <c r="P8"/>
  <c r="O8"/>
  <c r="O11" s="1"/>
  <c r="P11" s="1"/>
  <c r="Q11" s="1"/>
  <c r="N8"/>
  <c r="N11" s="1"/>
  <c r="M8"/>
  <c r="M11" s="1"/>
  <c r="L8"/>
  <c r="L15" s="1"/>
  <c r="K8"/>
  <c r="J8"/>
  <c r="J33" s="1"/>
  <c r="E8"/>
  <c r="X7"/>
  <c r="H7"/>
  <c r="F7"/>
  <c r="F18" s="1"/>
  <c r="F6"/>
  <c r="H2"/>
  <c r="J8" i="4"/>
  <c r="K8"/>
  <c r="L8"/>
  <c r="L11" s="1"/>
  <c r="J9"/>
  <c r="J14" s="1"/>
  <c r="K9"/>
  <c r="L9"/>
  <c r="L14" s="1"/>
  <c r="L10"/>
  <c r="J15"/>
  <c r="J27"/>
  <c r="K27" s="1"/>
  <c r="L27" s="1"/>
  <c r="J33"/>
  <c r="K33" s="1"/>
  <c r="Z23"/>
  <c r="Y21" s="1"/>
  <c r="X21" s="1"/>
  <c r="W21" s="1"/>
  <c r="V21" s="1"/>
  <c r="U21" s="1"/>
  <c r="T21" s="1"/>
  <c r="S21" s="1"/>
  <c r="R21" s="1"/>
  <c r="Q21" s="1"/>
  <c r="P21" s="1"/>
  <c r="O21" s="1"/>
  <c r="N21" s="1"/>
  <c r="M21" s="1"/>
  <c r="L21" s="1"/>
  <c r="K21" s="1"/>
  <c r="U20"/>
  <c r="T20" s="1"/>
  <c r="S20" s="1"/>
  <c r="R20" s="1"/>
  <c r="Q20" s="1"/>
  <c r="P20" s="1"/>
  <c r="O20" s="1"/>
  <c r="N20" s="1"/>
  <c r="M20" s="1"/>
  <c r="L20" s="1"/>
  <c r="K20" s="1"/>
  <c r="AB15"/>
  <c r="AA15"/>
  <c r="Z15"/>
  <c r="Y15"/>
  <c r="X15"/>
  <c r="W15"/>
  <c r="X12"/>
  <c r="X11"/>
  <c r="X10"/>
  <c r="X9"/>
  <c r="U9"/>
  <c r="T9"/>
  <c r="S9"/>
  <c r="R9"/>
  <c r="Q9"/>
  <c r="P9"/>
  <c r="O9"/>
  <c r="N9"/>
  <c r="M9"/>
  <c r="E9"/>
  <c r="X8"/>
  <c r="U8"/>
  <c r="T8"/>
  <c r="S8"/>
  <c r="R8"/>
  <c r="Q8"/>
  <c r="P8"/>
  <c r="O8"/>
  <c r="O11" s="1"/>
  <c r="N8"/>
  <c r="N11" s="1"/>
  <c r="M8"/>
  <c r="E8"/>
  <c r="X7"/>
  <c r="H7"/>
  <c r="F7"/>
  <c r="F6"/>
  <c r="H2"/>
  <c r="X43" i="2"/>
  <c r="W43"/>
  <c r="V43"/>
  <c r="U43"/>
  <c r="T43"/>
  <c r="S43"/>
  <c r="U36"/>
  <c r="T36"/>
  <c r="S36"/>
  <c r="R36"/>
  <c r="Q36"/>
  <c r="P36"/>
  <c r="R29"/>
  <c r="Q29"/>
  <c r="P29"/>
  <c r="O29"/>
  <c r="N29"/>
  <c r="M29"/>
  <c r="M8"/>
  <c r="N8"/>
  <c r="O8"/>
  <c r="P8"/>
  <c r="Q8"/>
  <c r="R8"/>
  <c r="S8"/>
  <c r="T8"/>
  <c r="U8"/>
  <c r="N11"/>
  <c r="O11"/>
  <c r="L8"/>
  <c r="N9"/>
  <c r="N15" s="1"/>
  <c r="O9"/>
  <c r="P9"/>
  <c r="Q9"/>
  <c r="R9"/>
  <c r="S9"/>
  <c r="T9"/>
  <c r="U9"/>
  <c r="M9"/>
  <c r="M11"/>
  <c r="X15"/>
  <c r="Y15"/>
  <c r="Z15"/>
  <c r="AA15"/>
  <c r="AB15"/>
  <c r="W15"/>
  <c r="X8"/>
  <c r="X9"/>
  <c r="X10"/>
  <c r="X11"/>
  <c r="X12"/>
  <c r="X7"/>
  <c r="K9"/>
  <c r="L9"/>
  <c r="K8"/>
  <c r="M15"/>
  <c r="J8"/>
  <c r="J41" s="1"/>
  <c r="K41" s="1"/>
  <c r="L41" s="1"/>
  <c r="M41" s="1"/>
  <c r="N41" s="1"/>
  <c r="O41" s="1"/>
  <c r="P41" s="1"/>
  <c r="Q41" s="1"/>
  <c r="R41" s="1"/>
  <c r="S41" s="1"/>
  <c r="T41" s="1"/>
  <c r="U41" s="1"/>
  <c r="J9"/>
  <c r="J40" s="1"/>
  <c r="D4" i="1"/>
  <c r="U20" i="2"/>
  <c r="T20" s="1"/>
  <c r="S20" s="1"/>
  <c r="R20" s="1"/>
  <c r="Q20" s="1"/>
  <c r="P20" s="1"/>
  <c r="O20" s="1"/>
  <c r="N20" s="1"/>
  <c r="M20" s="1"/>
  <c r="L20" s="1"/>
  <c r="K20" s="1"/>
  <c r="Z23"/>
  <c r="Y21" s="1"/>
  <c r="X21" s="1"/>
  <c r="W21" s="1"/>
  <c r="V21" s="1"/>
  <c r="U21" s="1"/>
  <c r="T21" s="1"/>
  <c r="S21" s="1"/>
  <c r="R21" s="1"/>
  <c r="Q21" s="1"/>
  <c r="P21" s="1"/>
  <c r="O21" s="1"/>
  <c r="N21" s="1"/>
  <c r="M21" s="1"/>
  <c r="L21" s="1"/>
  <c r="K21" s="1"/>
  <c r="E8"/>
  <c r="E9"/>
  <c r="H7"/>
  <c r="H2"/>
  <c r="H6" s="1"/>
  <c r="F6"/>
  <c r="F7"/>
  <c r="D3" i="1"/>
  <c r="J34" i="2" l="1"/>
  <c r="K34" s="1"/>
  <c r="L34" s="1"/>
  <c r="M34" s="1"/>
  <c r="N34" s="1"/>
  <c r="O34" s="1"/>
  <c r="P34" s="1"/>
  <c r="Q34" s="1"/>
  <c r="R34" s="1"/>
  <c r="S34" s="1"/>
  <c r="T34" s="1"/>
  <c r="U34" s="1"/>
  <c r="V34" s="1"/>
  <c r="W34" s="1"/>
  <c r="K15" i="6"/>
  <c r="O15"/>
  <c r="L10"/>
  <c r="M10" s="1"/>
  <c r="L11"/>
  <c r="J15"/>
  <c r="J34"/>
  <c r="K34" s="1"/>
  <c r="L34" s="1"/>
  <c r="M34" s="1"/>
  <c r="N34" s="1"/>
  <c r="O34" s="1"/>
  <c r="P34" s="1"/>
  <c r="Q34" s="1"/>
  <c r="R34" s="1"/>
  <c r="S34" s="1"/>
  <c r="T34" s="1"/>
  <c r="U34" s="1"/>
  <c r="V34" s="1"/>
  <c r="W34" s="1"/>
  <c r="X34" s="1"/>
  <c r="J41"/>
  <c r="K41" s="1"/>
  <c r="L41" s="1"/>
  <c r="M41" s="1"/>
  <c r="N41" s="1"/>
  <c r="O41" s="1"/>
  <c r="P41" s="1"/>
  <c r="Q41" s="1"/>
  <c r="R41" s="1"/>
  <c r="S41" s="1"/>
  <c r="T41" s="1"/>
  <c r="U41" s="1"/>
  <c r="V41" s="1"/>
  <c r="W41" s="1"/>
  <c r="X41" s="1"/>
  <c r="J26" i="2"/>
  <c r="K15" i="4"/>
  <c r="H6" i="6"/>
  <c r="P15"/>
  <c r="J14"/>
  <c r="N15"/>
  <c r="J40"/>
  <c r="J44" s="1"/>
  <c r="M14"/>
  <c r="M4" s="1"/>
  <c r="N10"/>
  <c r="Q15"/>
  <c r="R11"/>
  <c r="K26"/>
  <c r="K33"/>
  <c r="L14"/>
  <c r="L4" s="1"/>
  <c r="M15"/>
  <c r="K14"/>
  <c r="K4" s="1"/>
  <c r="J27"/>
  <c r="K27" s="1"/>
  <c r="L27" s="1"/>
  <c r="M27" s="1"/>
  <c r="N27" s="1"/>
  <c r="O27" s="1"/>
  <c r="P27" s="1"/>
  <c r="Q27" s="1"/>
  <c r="R27" s="1"/>
  <c r="S27" s="1"/>
  <c r="T27" s="1"/>
  <c r="U27" s="1"/>
  <c r="V27" s="1"/>
  <c r="W27" s="1"/>
  <c r="X27" s="1"/>
  <c r="K40" i="2"/>
  <c r="J44"/>
  <c r="K26"/>
  <c r="L14"/>
  <c r="J33"/>
  <c r="K14" i="4"/>
  <c r="P11" i="2"/>
  <c r="Q11" s="1"/>
  <c r="R11" s="1"/>
  <c r="S11" s="1"/>
  <c r="T11" s="1"/>
  <c r="U11" s="1"/>
  <c r="U15" s="1"/>
  <c r="J27"/>
  <c r="K27" s="1"/>
  <c r="L27" s="1"/>
  <c r="M27" s="1"/>
  <c r="N27" s="1"/>
  <c r="O27" s="1"/>
  <c r="P27" s="1"/>
  <c r="Q27" s="1"/>
  <c r="R27" s="1"/>
  <c r="S27" s="1"/>
  <c r="T27" s="1"/>
  <c r="U27" s="1"/>
  <c r="V27" s="1"/>
  <c r="W27" s="1"/>
  <c r="X27" s="1"/>
  <c r="L15" i="4"/>
  <c r="L33"/>
  <c r="L4"/>
  <c r="J34"/>
  <c r="J26"/>
  <c r="K4"/>
  <c r="P11"/>
  <c r="Q11" s="1"/>
  <c r="R11" s="1"/>
  <c r="R15" s="1"/>
  <c r="H6"/>
  <c r="M15"/>
  <c r="O15"/>
  <c r="M10"/>
  <c r="N10" s="1"/>
  <c r="O10" s="1"/>
  <c r="P10" s="1"/>
  <c r="Q10" s="1"/>
  <c r="R10" s="1"/>
  <c r="R14" s="1"/>
  <c r="S14" s="1"/>
  <c r="Q15"/>
  <c r="N15"/>
  <c r="F18"/>
  <c r="M11"/>
  <c r="M27"/>
  <c r="N27" s="1"/>
  <c r="O27" s="1"/>
  <c r="P27" s="1"/>
  <c r="Q27" s="1"/>
  <c r="R27" s="1"/>
  <c r="S27" s="1"/>
  <c r="T27" s="1"/>
  <c r="U27" s="1"/>
  <c r="V27" s="1"/>
  <c r="W27" s="1"/>
  <c r="X27" s="1"/>
  <c r="V41" i="2"/>
  <c r="W41" s="1"/>
  <c r="X41" s="1"/>
  <c r="X34"/>
  <c r="K14"/>
  <c r="Q15"/>
  <c r="L11"/>
  <c r="O15"/>
  <c r="P15"/>
  <c r="L4"/>
  <c r="L10"/>
  <c r="M10" s="1"/>
  <c r="K4"/>
  <c r="F18"/>
  <c r="L15"/>
  <c r="K15"/>
  <c r="J15"/>
  <c r="J14"/>
  <c r="P15" i="4" l="1"/>
  <c r="K40" i="6"/>
  <c r="J37"/>
  <c r="J30"/>
  <c r="N14"/>
  <c r="N4" s="1"/>
  <c r="O10"/>
  <c r="L33"/>
  <c r="K37"/>
  <c r="R15"/>
  <c r="S11"/>
  <c r="K44"/>
  <c r="L40"/>
  <c r="L26"/>
  <c r="K30"/>
  <c r="K30" i="2"/>
  <c r="L26"/>
  <c r="K44"/>
  <c r="L40"/>
  <c r="K33"/>
  <c r="J37"/>
  <c r="J30"/>
  <c r="J37" i="4"/>
  <c r="K34"/>
  <c r="J30"/>
  <c r="K26"/>
  <c r="S11"/>
  <c r="T11" s="1"/>
  <c r="U11" s="1"/>
  <c r="U15" s="1"/>
  <c r="N14"/>
  <c r="N4" s="1"/>
  <c r="M14"/>
  <c r="M4" s="1"/>
  <c r="Q14"/>
  <c r="Q4" s="1"/>
  <c r="O14"/>
  <c r="O4" s="1"/>
  <c r="P14"/>
  <c r="P4" s="1"/>
  <c r="R4"/>
  <c r="T14"/>
  <c r="S4"/>
  <c r="R15" i="2"/>
  <c r="S15"/>
  <c r="T15"/>
  <c r="N10"/>
  <c r="M14"/>
  <c r="M4" s="1"/>
  <c r="T11" i="6" l="1"/>
  <c r="S15"/>
  <c r="P10"/>
  <c r="O14"/>
  <c r="O4" s="1"/>
  <c r="M33"/>
  <c r="L37"/>
  <c r="M40"/>
  <c r="L44"/>
  <c r="L30"/>
  <c r="M26"/>
  <c r="L33" i="2"/>
  <c r="K37"/>
  <c r="L30"/>
  <c r="M26"/>
  <c r="L44"/>
  <c r="M40"/>
  <c r="S15" i="4"/>
  <c r="T15"/>
  <c r="K30"/>
  <c r="L26"/>
  <c r="L30" s="1"/>
  <c r="L34"/>
  <c r="K37"/>
  <c r="U14"/>
  <c r="U4" s="1"/>
  <c r="T4"/>
  <c r="O10" i="2"/>
  <c r="N14"/>
  <c r="N4" s="1"/>
  <c r="M30" i="6" l="1"/>
  <c r="N26"/>
  <c r="N40"/>
  <c r="M44"/>
  <c r="Q10"/>
  <c r="P14"/>
  <c r="P4" s="1"/>
  <c r="M37"/>
  <c r="N33"/>
  <c r="U11"/>
  <c r="U15" s="1"/>
  <c r="T15"/>
  <c r="M44" i="2"/>
  <c r="N40"/>
  <c r="N26"/>
  <c r="M30"/>
  <c r="M33"/>
  <c r="L37"/>
  <c r="M34" i="4"/>
  <c r="N34" s="1"/>
  <c r="O34" s="1"/>
  <c r="P34" s="1"/>
  <c r="Q34" s="1"/>
  <c r="R34" s="1"/>
  <c r="S34" s="1"/>
  <c r="T34" s="1"/>
  <c r="U34" s="1"/>
  <c r="V34" s="1"/>
  <c r="L37"/>
  <c r="M26"/>
  <c r="N26" s="1"/>
  <c r="M33"/>
  <c r="M30"/>
  <c r="M31" s="1"/>
  <c r="P10" i="2"/>
  <c r="O14"/>
  <c r="O4" s="1"/>
  <c r="O26" i="6" l="1"/>
  <c r="N30"/>
  <c r="N44"/>
  <c r="O40"/>
  <c r="N37"/>
  <c r="O33"/>
  <c r="Q14"/>
  <c r="Q4" s="1"/>
  <c r="R10"/>
  <c r="R14" s="1"/>
  <c r="O26" i="2"/>
  <c r="N30"/>
  <c r="N33"/>
  <c r="M37"/>
  <c r="N44"/>
  <c r="O40"/>
  <c r="W34" i="4"/>
  <c r="M37"/>
  <c r="N33"/>
  <c r="O26"/>
  <c r="N30"/>
  <c r="N31" s="1"/>
  <c r="Q10" i="2"/>
  <c r="P14"/>
  <c r="P4" s="1"/>
  <c r="P33" i="6" l="1"/>
  <c r="O37"/>
  <c r="S14"/>
  <c r="R4"/>
  <c r="O44"/>
  <c r="P40"/>
  <c r="P26"/>
  <c r="O30"/>
  <c r="O33" i="2"/>
  <c r="N37"/>
  <c r="P26"/>
  <c r="O30"/>
  <c r="P40"/>
  <c r="O44"/>
  <c r="X34" i="4"/>
  <c r="O33"/>
  <c r="N37"/>
  <c r="O30"/>
  <c r="O31" s="1"/>
  <c r="P26"/>
  <c r="R10" i="2"/>
  <c r="R14" s="1"/>
  <c r="Q14"/>
  <c r="Q4" s="1"/>
  <c r="Q40" i="6" l="1"/>
  <c r="P44"/>
  <c r="P30"/>
  <c r="Q26"/>
  <c r="S4"/>
  <c r="T14"/>
  <c r="Q33"/>
  <c r="P37"/>
  <c r="Q26" i="2"/>
  <c r="P30"/>
  <c r="Q40"/>
  <c r="P44"/>
  <c r="P33"/>
  <c r="O37"/>
  <c r="P33" i="4"/>
  <c r="O37"/>
  <c r="Q26"/>
  <c r="P30"/>
  <c r="P31" s="1"/>
  <c r="S14" i="2"/>
  <c r="R4"/>
  <c r="T4" i="6" l="1"/>
  <c r="U14"/>
  <c r="U4" s="1"/>
  <c r="Q30"/>
  <c r="R26"/>
  <c r="R40"/>
  <c r="Q44"/>
  <c r="Q37"/>
  <c r="R33"/>
  <c r="R40" i="2"/>
  <c r="Q44"/>
  <c r="Q33"/>
  <c r="P37"/>
  <c r="R26"/>
  <c r="Q30"/>
  <c r="Q33" i="4"/>
  <c r="P37"/>
  <c r="Q30"/>
  <c r="Q31" s="1"/>
  <c r="R26"/>
  <c r="T14" i="2"/>
  <c r="S4"/>
  <c r="R37" i="6" l="1"/>
  <c r="S33"/>
  <c r="S26"/>
  <c r="R30"/>
  <c r="R44"/>
  <c r="S40"/>
  <c r="R33" i="2"/>
  <c r="Q37"/>
  <c r="S26"/>
  <c r="R30"/>
  <c r="S40"/>
  <c r="R44"/>
  <c r="Q37" i="4"/>
  <c r="R33"/>
  <c r="S26"/>
  <c r="R30"/>
  <c r="R31" s="1"/>
  <c r="U14" i="2"/>
  <c r="U4" s="1"/>
  <c r="T4"/>
  <c r="S44" i="6" l="1"/>
  <c r="T40"/>
  <c r="T33"/>
  <c r="S37"/>
  <c r="T26"/>
  <c r="S30"/>
  <c r="T26" i="2"/>
  <c r="S30"/>
  <c r="T40"/>
  <c r="S44"/>
  <c r="S33"/>
  <c r="R37"/>
  <c r="S33" i="4"/>
  <c r="R37"/>
  <c r="S30"/>
  <c r="S31" s="1"/>
  <c r="T26"/>
  <c r="U33" i="6" l="1"/>
  <c r="T37"/>
  <c r="T30"/>
  <c r="U26"/>
  <c r="U40"/>
  <c r="T44"/>
  <c r="U40" i="2"/>
  <c r="T44"/>
  <c r="T33"/>
  <c r="S37"/>
  <c r="U26"/>
  <c r="T30"/>
  <c r="T33" i="4"/>
  <c r="S37"/>
  <c r="U26"/>
  <c r="T30"/>
  <c r="T31" s="1"/>
  <c r="U30" i="6" l="1"/>
  <c r="V26"/>
  <c r="V40"/>
  <c r="U44"/>
  <c r="U37"/>
  <c r="V33"/>
  <c r="U33" i="2"/>
  <c r="T37"/>
  <c r="V26"/>
  <c r="U30"/>
  <c r="V40"/>
  <c r="U44"/>
  <c r="U33" i="4"/>
  <c r="V33" s="1"/>
  <c r="T37"/>
  <c r="U30"/>
  <c r="U31" s="1"/>
  <c r="V26"/>
  <c r="V37" i="6" l="1"/>
  <c r="W33"/>
  <c r="W26"/>
  <c r="V30"/>
  <c r="V44"/>
  <c r="W40"/>
  <c r="W26" i="2"/>
  <c r="V30"/>
  <c r="W40"/>
  <c r="V44"/>
  <c r="V33"/>
  <c r="U37"/>
  <c r="W33" i="4"/>
  <c r="V37"/>
  <c r="U37"/>
  <c r="W26"/>
  <c r="V30"/>
  <c r="V31" s="1"/>
  <c r="W44" i="6" l="1"/>
  <c r="X40"/>
  <c r="X44" s="1"/>
  <c r="X33"/>
  <c r="X37" s="1"/>
  <c r="W37"/>
  <c r="X26"/>
  <c r="X30" s="1"/>
  <c r="W30"/>
  <c r="X40" i="2"/>
  <c r="X44" s="1"/>
  <c r="W44"/>
  <c r="V37"/>
  <c r="W33"/>
  <c r="X26"/>
  <c r="X30" s="1"/>
  <c r="W30"/>
  <c r="X33" i="4"/>
  <c r="X37" s="1"/>
  <c r="W37"/>
  <c r="W30"/>
  <c r="W31" s="1"/>
  <c r="X26"/>
  <c r="X30" s="1"/>
  <c r="X31" l="1"/>
  <c r="X33" i="2"/>
  <c r="X37" s="1"/>
  <c r="W37"/>
</calcChain>
</file>

<file path=xl/sharedStrings.xml><?xml version="1.0" encoding="utf-8"?>
<sst xmlns="http://schemas.openxmlformats.org/spreadsheetml/2006/main" count="400" uniqueCount="117">
  <si>
    <t>Fecha</t>
  </si>
  <si>
    <t>Acción</t>
  </si>
  <si>
    <t>Millones de USD</t>
  </si>
  <si>
    <t>Diciembre 2008 - Agosto 2010</t>
  </si>
  <si>
    <t>Compra obligaciones directas a Fannie Mae, Freddie Mac y al Banco Federal de Créditos de vivienda.</t>
  </si>
  <si>
    <t>Enero 2009 - Agosto 2010</t>
  </si>
  <si>
    <t>Compra MBS</t>
  </si>
  <si>
    <t>Marzo 2009 - Octubre 2009</t>
  </si>
  <si>
    <t>Compra Tesoros Largo plazo</t>
  </si>
  <si>
    <t>Noviembre 2010 - Junio 2011</t>
  </si>
  <si>
    <t>Septiembre 2011</t>
  </si>
  <si>
    <t>Reinversiones vencimientos en MBS</t>
  </si>
  <si>
    <t>Septiembre 2012</t>
  </si>
  <si>
    <t>Compra MBS $40.000 millones por mes</t>
  </si>
  <si>
    <t>Enero 2013</t>
  </si>
  <si>
    <t>Compra Tesoros LP $45.000 millones mensuales</t>
  </si>
  <si>
    <t>Liquidez inyectada como % PIB 2012</t>
  </si>
  <si>
    <t>Liquidez inyectada a junio 2013</t>
  </si>
  <si>
    <t>QE1</t>
  </si>
  <si>
    <t>Treasuries</t>
  </si>
  <si>
    <t>MBS</t>
  </si>
  <si>
    <t>QE2</t>
  </si>
  <si>
    <t>QE3</t>
  </si>
  <si>
    <t>GSE Debt</t>
  </si>
  <si>
    <t>Billions</t>
  </si>
  <si>
    <t>LT Treasuries</t>
  </si>
  <si>
    <t>Por mes MBS</t>
  </si>
  <si>
    <t>Por mes LT Treasuries</t>
  </si>
  <si>
    <t>TOTAL</t>
  </si>
  <si>
    <t>Por mes</t>
  </si>
  <si>
    <t>PRONÓSTICO</t>
  </si>
  <si>
    <t>ENERO</t>
  </si>
  <si>
    <t>MARZO</t>
  </si>
  <si>
    <t>REDUCCIÓN TREAS MAR-SEP</t>
  </si>
  <si>
    <t>MIEMBROS DEL COMITÉ</t>
  </si>
  <si>
    <t>ALTERNATIVOS</t>
  </si>
  <si>
    <t>CARGO</t>
  </si>
  <si>
    <t>POSTURA</t>
  </si>
  <si>
    <t>New York</t>
  </si>
  <si>
    <t>Cleveland</t>
  </si>
  <si>
    <t>Philadelphia</t>
  </si>
  <si>
    <t>Dallas</t>
  </si>
  <si>
    <t>Minneapolis</t>
  </si>
  <si>
    <t>Chicago</t>
  </si>
  <si>
    <t>Richmond</t>
  </si>
  <si>
    <t>Atlanta</t>
  </si>
  <si>
    <t>San Francisco</t>
  </si>
  <si>
    <t>William Dudley</t>
  </si>
  <si>
    <t>Sandra Pianalto</t>
  </si>
  <si>
    <t>Charles Plosser</t>
  </si>
  <si>
    <t>Richar Fisher</t>
  </si>
  <si>
    <t>Richard Fisher</t>
  </si>
  <si>
    <t>Dovish</t>
  </si>
  <si>
    <t>Hawkish</t>
  </si>
  <si>
    <t>Christine Cumming</t>
  </si>
  <si>
    <t>Charles Evans</t>
  </si>
  <si>
    <t>Jeffrey Lacker</t>
  </si>
  <si>
    <t>Neutral</t>
  </si>
  <si>
    <t>Denis Lockhart</t>
  </si>
  <si>
    <t>John Williams</t>
  </si>
  <si>
    <t>Presidente</t>
  </si>
  <si>
    <t>St Louis</t>
  </si>
  <si>
    <t>Kansas</t>
  </si>
  <si>
    <t>Junta</t>
  </si>
  <si>
    <t>Boston</t>
  </si>
  <si>
    <t xml:space="preserve">TREASURIES </t>
  </si>
  <si>
    <t>La compra de Treasurys se da a partir de Enero de 2013</t>
  </si>
  <si>
    <t>La compra de MBS se da a partir de Octubre</t>
  </si>
  <si>
    <t>Vicepresidente New York</t>
  </si>
  <si>
    <t>REDUCCIÓN TREAS  ENE-JUN</t>
  </si>
  <si>
    <t>QE3 A OCTUBRE DE 2013</t>
  </si>
  <si>
    <t>NOTA:</t>
  </si>
  <si>
    <t>Miembro de la Junta</t>
  </si>
  <si>
    <t>Jerome Powell</t>
  </si>
  <si>
    <t>Sarah Bloom Raskin</t>
  </si>
  <si>
    <t>Jeremy Stein</t>
  </si>
  <si>
    <t>total</t>
  </si>
  <si>
    <t>ene</t>
  </si>
  <si>
    <t>mar</t>
  </si>
  <si>
    <t>Tesoros</t>
  </si>
  <si>
    <t>MBS mes</t>
  </si>
  <si>
    <t>Tesoros mes</t>
  </si>
  <si>
    <t>REDUCCIÓN DESDE JUN-SEP</t>
  </si>
  <si>
    <t>Escenario 3 DESDE JUN</t>
  </si>
  <si>
    <t>Escenario 2 DESDE MARZO</t>
  </si>
  <si>
    <t>Escenario 1 DESDE ENERO</t>
  </si>
  <si>
    <t>Ben Bernanke</t>
  </si>
  <si>
    <t>James Bullard</t>
  </si>
  <si>
    <t>Esther George</t>
  </si>
  <si>
    <t>Eric Rosengren</t>
  </si>
  <si>
    <t>Janet Yellen</t>
  </si>
  <si>
    <t>Sarah Bloom Rasking</t>
  </si>
  <si>
    <t>Daniel Tarullo</t>
  </si>
  <si>
    <t>1er Vice New York</t>
  </si>
  <si>
    <t xml:space="preserve">(Nominada) Miembro de la Junta </t>
  </si>
  <si>
    <t>Sandra Pianalto*</t>
  </si>
  <si>
    <t>ESCENARIO BASE</t>
  </si>
  <si>
    <t>ESCENARIO ALT</t>
  </si>
  <si>
    <t>ESCENARIO LAXO</t>
  </si>
  <si>
    <t>Narayana Kocherlakota</t>
  </si>
  <si>
    <t>Richard K. Smucker</t>
  </si>
  <si>
    <t>James E. Nevels</t>
  </si>
  <si>
    <t>Myroon E. Ullman</t>
  </si>
  <si>
    <t>Randall J. Hogan</t>
  </si>
  <si>
    <t>Emily K. Rafferty</t>
  </si>
  <si>
    <t>Jeffrey A. Joerres</t>
  </si>
  <si>
    <t>Linda D. Rabbit</t>
  </si>
  <si>
    <t>Thomas I. Barkin</t>
  </si>
  <si>
    <t>Patricia E. Yarrington</t>
  </si>
  <si>
    <t>Members</t>
  </si>
  <si>
    <t>St. Louis</t>
  </si>
  <si>
    <t>Kansas City</t>
  </si>
  <si>
    <t>Alternate</t>
  </si>
  <si>
    <t>New York†</t>
  </si>
  <si>
    <t>Columna1</t>
  </si>
  <si>
    <t xml:space="preserve">Reducción 10bill por reunión </t>
  </si>
  <si>
    <t>Programa sin cambios adicionales</t>
  </si>
</sst>
</file>

<file path=xl/styles.xml><?xml version="1.0" encoding="utf-8"?>
<styleSheet xmlns="http://schemas.openxmlformats.org/spreadsheetml/2006/main">
  <numFmts count="8">
    <numFmt numFmtId="6" formatCode="&quot;$&quot;\ #,##0_);[Red]\(&quot;$&quot;\ #,##0\)"/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"/>
    <numFmt numFmtId="167" formatCode="_ * #,##0.00_ ;_ * \-#,##0.00_ ;_ * &quot;-&quot;??_ ;_ @_ "/>
    <numFmt numFmtId="168" formatCode="_ [$€-2]\ * #,##0.00_ ;_ [$€-2]\ * \-#,##0.00_ ;_ [$€-2]\ * &quot;-&quot;??_ "/>
    <numFmt numFmtId="169" formatCode="[$-C0A]mmm\-yy;@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i/>
      <sz val="11"/>
      <color theme="1"/>
      <name val="Arial"/>
      <family val="2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168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6" fontId="0" fillId="0" borderId="0" xfId="0" applyNumberFormat="1"/>
    <xf numFmtId="169" fontId="0" fillId="0" borderId="0" xfId="0" applyNumberFormat="1"/>
    <xf numFmtId="17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/>
    <xf numFmtId="14" fontId="0" fillId="0" borderId="0" xfId="0" applyNumberFormat="1"/>
    <xf numFmtId="164" fontId="1" fillId="0" borderId="0" xfId="2" applyNumberFormat="1" applyFont="1"/>
    <xf numFmtId="166" fontId="0" fillId="0" borderId="0" xfId="0" applyNumberFormat="1"/>
    <xf numFmtId="165" fontId="0" fillId="0" borderId="0" xfId="0" applyNumberFormat="1"/>
    <xf numFmtId="2" fontId="0" fillId="0" borderId="0" xfId="0" applyNumberFormat="1"/>
    <xf numFmtId="0" fontId="5" fillId="4" borderId="0" xfId="0" applyFont="1" applyFill="1" applyAlignment="1">
      <alignment horizontal="left" vertical="center" readingOrder="1"/>
    </xf>
    <xf numFmtId="0" fontId="6" fillId="0" borderId="2" xfId="0" applyFont="1" applyBorder="1" applyAlignment="1">
      <alignment horizontal="left" vertical="center" readingOrder="1"/>
    </xf>
    <xf numFmtId="0" fontId="0" fillId="0" borderId="2" xfId="0" applyBorder="1" applyAlignment="1">
      <alignment wrapText="1"/>
    </xf>
    <xf numFmtId="165" fontId="1" fillId="0" borderId="2" xfId="1" applyNumberFormat="1" applyFont="1" applyBorder="1"/>
    <xf numFmtId="0" fontId="0" fillId="0" borderId="2" xfId="0" applyBorder="1"/>
    <xf numFmtId="0" fontId="7" fillId="3" borderId="0" xfId="0" applyFont="1" applyFill="1" applyAlignment="1">
      <alignment horizontal="left" vertical="center" readingOrder="1"/>
    </xf>
    <xf numFmtId="0" fontId="8" fillId="3" borderId="0" xfId="0" applyFont="1" applyFill="1"/>
    <xf numFmtId="165" fontId="8" fillId="3" borderId="0" xfId="1" applyNumberFormat="1" applyFont="1" applyFill="1"/>
    <xf numFmtId="0" fontId="0" fillId="0" borderId="3" xfId="0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" fontId="0" fillId="5" borderId="10" xfId="0" applyNumberFormat="1" applyFill="1" applyBorder="1"/>
    <xf numFmtId="17" fontId="0" fillId="5" borderId="11" xfId="0" applyNumberFormat="1" applyFill="1" applyBorder="1"/>
    <xf numFmtId="17" fontId="0" fillId="5" borderId="12" xfId="0" applyNumberFormat="1" applyFill="1" applyBorder="1"/>
    <xf numFmtId="0" fontId="0" fillId="0" borderId="0" xfId="0" applyFill="1" applyBorder="1"/>
    <xf numFmtId="166" fontId="0" fillId="0" borderId="5" xfId="0" applyNumberFormat="1" applyBorder="1"/>
    <xf numFmtId="2" fontId="0" fillId="0" borderId="7" xfId="0" applyNumberFormat="1" applyBorder="1"/>
    <xf numFmtId="1" fontId="0" fillId="5" borderId="0" xfId="0" applyNumberFormat="1" applyFill="1" applyBorder="1"/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0" fillId="0" borderId="16" xfId="0" applyBorder="1"/>
    <xf numFmtId="0" fontId="0" fillId="0" borderId="17" xfId="0" applyBorder="1" applyAlignment="1">
      <alignment horizontal="center"/>
    </xf>
    <xf numFmtId="14" fontId="3" fillId="0" borderId="16" xfId="0" applyNumberFormat="1" applyFont="1" applyBorder="1"/>
    <xf numFmtId="0" fontId="3" fillId="0" borderId="17" xfId="0" applyFont="1" applyBorder="1" applyAlignment="1">
      <alignment horizontal="center"/>
    </xf>
    <xf numFmtId="0" fontId="3" fillId="0" borderId="16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14" fontId="0" fillId="0" borderId="16" xfId="0" applyNumberFormat="1" applyBorder="1"/>
    <xf numFmtId="0" fontId="0" fillId="6" borderId="0" xfId="0" applyFill="1"/>
    <xf numFmtId="6" fontId="0" fillId="6" borderId="0" xfId="0" applyNumberFormat="1" applyFill="1"/>
    <xf numFmtId="14" fontId="0" fillId="6" borderId="0" xfId="0" applyNumberFormat="1" applyFill="1"/>
    <xf numFmtId="0" fontId="9" fillId="0" borderId="16" xfId="0" applyFont="1" applyBorder="1"/>
    <xf numFmtId="0" fontId="9" fillId="0" borderId="0" xfId="0" applyFont="1" applyBorder="1"/>
    <xf numFmtId="0" fontId="10" fillId="7" borderId="0" xfId="0" applyFont="1" applyFill="1"/>
    <xf numFmtId="17" fontId="10" fillId="7" borderId="0" xfId="0" applyNumberFormat="1" applyFont="1" applyFill="1"/>
    <xf numFmtId="0" fontId="6" fillId="8" borderId="0" xfId="0" applyFont="1" applyFill="1" applyAlignment="1">
      <alignment horizontal="center" vertical="center" wrapText="1"/>
    </xf>
    <xf numFmtId="0" fontId="11" fillId="8" borderId="0" xfId="0" applyFont="1" applyFill="1"/>
    <xf numFmtId="0" fontId="12" fillId="8" borderId="0" xfId="11" applyFill="1" applyAlignment="1" applyProtection="1"/>
    <xf numFmtId="0" fontId="0" fillId="9" borderId="17" xfId="0" applyFill="1" applyBorder="1" applyAlignment="1">
      <alignment horizontal="center"/>
    </xf>
    <xf numFmtId="1" fontId="3" fillId="5" borderId="15" xfId="0" applyNumberFormat="1" applyFont="1" applyFill="1" applyBorder="1" applyAlignment="1"/>
    <xf numFmtId="0" fontId="15" fillId="0" borderId="0" xfId="0" applyFont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4" fontId="13" fillId="0" borderId="16" xfId="0" applyNumberFormat="1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17" fontId="16" fillId="7" borderId="0" xfId="0" applyNumberFormat="1" applyFont="1" applyFill="1"/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1" fontId="3" fillId="5" borderId="13" xfId="0" applyNumberFormat="1" applyFont="1" applyFill="1" applyBorder="1" applyAlignment="1">
      <alignment horizontal="center"/>
    </xf>
    <xf numFmtId="1" fontId="3" fillId="5" borderId="14" xfId="0" applyNumberFormat="1" applyFont="1" applyFill="1" applyBorder="1" applyAlignment="1">
      <alignment horizontal="center"/>
    </xf>
    <xf numFmtId="1" fontId="3" fillId="5" borderId="15" xfId="0" applyNumberFormat="1" applyFont="1" applyFill="1" applyBorder="1" applyAlignment="1">
      <alignment horizontal="center"/>
    </xf>
    <xf numFmtId="0" fontId="6" fillId="8" borderId="0" xfId="0" applyFont="1" applyFill="1" applyAlignment="1">
      <alignment horizontal="center" vertical="center" wrapText="1"/>
    </xf>
  </cellXfs>
  <cellStyles count="12">
    <cellStyle name="Comma 2" xfId="5"/>
    <cellStyle name="Currency 2" xfId="6"/>
    <cellStyle name="Diseño" xfId="7"/>
    <cellStyle name="Euro" xfId="8"/>
    <cellStyle name="Hipervínculo" xfId="11" builtinId="8"/>
    <cellStyle name="Millares" xfId="1" builtinId="3"/>
    <cellStyle name="Neutral" xfId="3" builtinId="28" customBuiltin="1"/>
    <cellStyle name="Normal" xfId="0" builtinId="0"/>
    <cellStyle name="Normal 2" xfId="9"/>
    <cellStyle name="Percent 2" xfId="10"/>
    <cellStyle name="Porcentual" xfId="2" builtinId="5"/>
    <cellStyle name="Total" xfId="4" builtinId="25" customBuiltin="1"/>
  </cellStyles>
  <dxfs count="18">
    <dxf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plotArea>
      <c:layout>
        <c:manualLayout>
          <c:layoutTarget val="inner"/>
          <c:xMode val="edge"/>
          <c:yMode val="edge"/>
          <c:x val="4.4806211805632747E-2"/>
          <c:y val="8.4436782886213327E-2"/>
          <c:w val="0.91535833599321159"/>
          <c:h val="0.80374426801755394"/>
        </c:manualLayout>
      </c:layout>
      <c:barChart>
        <c:barDir val="col"/>
        <c:grouping val="clustered"/>
        <c:ser>
          <c:idx val="0"/>
          <c:order val="0"/>
          <c:tx>
            <c:strRef>
              <c:f>'QE''s'!$H$14</c:f>
              <c:strCache>
                <c:ptCount val="1"/>
                <c:pt idx="0">
                  <c:v>ESCENARIO BASE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dLbls>
            <c:dLbl>
              <c:idx val="0"/>
              <c:spPr>
                <a:solidFill>
                  <a:schemeClr val="accent1">
                    <a:lumMod val="40000"/>
                    <a:lumOff val="60000"/>
                  </a:schemeClr>
                </a:solidFill>
              </c:spPr>
              <c:txPr>
                <a:bodyPr/>
                <a:lstStyle/>
                <a:p>
                  <a:pPr>
                    <a:defRPr lang="es-ES" sz="1050" b="1"/>
                  </a:pPr>
                  <a:endParaRPr lang="es-CO"/>
                </a:p>
              </c:txPr>
              <c:dLblPos val="outEnd"/>
              <c:showVal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layout>
                <c:manualLayout>
                  <c:x val="-6.3420345893353391E-3"/>
                  <c:y val="-2.7104604182185072E-3"/>
                </c:manualLayout>
              </c:layout>
              <c:spPr>
                <a:solidFill>
                  <a:schemeClr val="tx2">
                    <a:lumMod val="75000"/>
                  </a:schemeClr>
                </a:solidFill>
              </c:spPr>
              <c:txPr>
                <a:bodyPr/>
                <a:lstStyle/>
                <a:p>
                  <a:pPr>
                    <a:defRPr lang="es-ES" sz="1050" b="1">
                      <a:solidFill>
                        <a:schemeClr val="bg1">
                          <a:lumMod val="95000"/>
                        </a:schemeClr>
                      </a:solidFill>
                    </a:defRPr>
                  </a:pPr>
                  <a:endParaRPr lang="es-CO"/>
                </a:p>
              </c:txPr>
              <c:showVal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txPr>
              <a:bodyPr/>
              <a:lstStyle/>
              <a:p>
                <a:pPr>
                  <a:defRPr lang="es-ES"/>
                </a:pPr>
                <a:endParaRPr lang="es-CO"/>
              </a:p>
            </c:txPr>
            <c:showVal val="1"/>
          </c:dLbls>
          <c:cat>
            <c:numRef>
              <c:f>'QE''s'!$J$25:$X$25</c:f>
              <c:numCache>
                <c:formatCode>mmm\-yy</c:formatCode>
                <c:ptCount val="15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</c:numCache>
            </c:numRef>
          </c:cat>
          <c:val>
            <c:numRef>
              <c:f>'QE''s'!$J$30:$X$30</c:f>
              <c:numCache>
                <c:formatCode>General</c:formatCode>
                <c:ptCount val="15"/>
                <c:pt idx="0">
                  <c:v>900</c:v>
                </c:pt>
                <c:pt idx="1">
                  <c:v>985</c:v>
                </c:pt>
                <c:pt idx="2">
                  <c:v>1070</c:v>
                </c:pt>
                <c:pt idx="3">
                  <c:v>1148.5714285714284</c:v>
                </c:pt>
                <c:pt idx="4">
                  <c:v>1220.7142857142858</c:v>
                </c:pt>
                <c:pt idx="5">
                  <c:v>1286.4285714285713</c:v>
                </c:pt>
                <c:pt idx="6">
                  <c:v>1345.7142857142858</c:v>
                </c:pt>
                <c:pt idx="7">
                  <c:v>1398.5714285714284</c:v>
                </c:pt>
                <c:pt idx="8">
                  <c:v>1445</c:v>
                </c:pt>
                <c:pt idx="9">
                  <c:v>1445</c:v>
                </c:pt>
                <c:pt idx="10">
                  <c:v>1445</c:v>
                </c:pt>
                <c:pt idx="11">
                  <c:v>1445</c:v>
                </c:pt>
                <c:pt idx="12">
                  <c:v>1445</c:v>
                </c:pt>
                <c:pt idx="13">
                  <c:v>1445</c:v>
                </c:pt>
                <c:pt idx="14">
                  <c:v>1445</c:v>
                </c:pt>
              </c:numCache>
            </c:numRef>
          </c:val>
        </c:ser>
        <c:ser>
          <c:idx val="1"/>
          <c:order val="1"/>
          <c:tx>
            <c:strRef>
              <c:f>'QE''s'!$H$15</c:f>
              <c:strCache>
                <c:ptCount val="1"/>
                <c:pt idx="0">
                  <c:v>ESCENARIO ALT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</c:spPr>
              <c:txPr>
                <a:bodyPr/>
                <a:lstStyle/>
                <a:p>
                  <a:pPr>
                    <a:defRPr lang="es-ES" sz="1050" b="1">
                      <a:solidFill>
                        <a:schemeClr val="bg1">
                          <a:lumMod val="95000"/>
                        </a:schemeClr>
                      </a:solidFill>
                    </a:defRPr>
                  </a:pPr>
                  <a:endParaRPr lang="es-CO"/>
                </a:p>
              </c:txPr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txPr>
              <a:bodyPr/>
              <a:lstStyle/>
              <a:p>
                <a:pPr>
                  <a:defRPr lang="es-ES" sz="1050"/>
                </a:pPr>
                <a:endParaRPr lang="es-CO"/>
              </a:p>
            </c:txPr>
            <c:showVal val="1"/>
          </c:dLbls>
          <c:cat>
            <c:numRef>
              <c:f>'QE''s'!$J$25:$X$25</c:f>
              <c:numCache>
                <c:formatCode>mmm\-yy</c:formatCode>
                <c:ptCount val="15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</c:numCache>
            </c:numRef>
          </c:cat>
          <c:val>
            <c:numRef>
              <c:f>'QE''s'!$J$37:$X$37</c:f>
              <c:numCache>
                <c:formatCode>General</c:formatCode>
                <c:ptCount val="15"/>
                <c:pt idx="0">
                  <c:v>900</c:v>
                </c:pt>
                <c:pt idx="1">
                  <c:v>985</c:v>
                </c:pt>
                <c:pt idx="2">
                  <c:v>1070</c:v>
                </c:pt>
                <c:pt idx="3">
                  <c:v>1155</c:v>
                </c:pt>
                <c:pt idx="4">
                  <c:v>1240</c:v>
                </c:pt>
                <c:pt idx="5">
                  <c:v>1325</c:v>
                </c:pt>
                <c:pt idx="6">
                  <c:v>1403.5714285714284</c:v>
                </c:pt>
                <c:pt idx="7">
                  <c:v>1475.7142857142858</c:v>
                </c:pt>
                <c:pt idx="8">
                  <c:v>1541.4285714285713</c:v>
                </c:pt>
                <c:pt idx="9">
                  <c:v>1600.7142857142858</c:v>
                </c:pt>
                <c:pt idx="10">
                  <c:v>1653.5714285714284</c:v>
                </c:pt>
                <c:pt idx="11">
                  <c:v>1700</c:v>
                </c:pt>
                <c:pt idx="12">
                  <c:v>1700</c:v>
                </c:pt>
                <c:pt idx="13">
                  <c:v>1700</c:v>
                </c:pt>
                <c:pt idx="14">
                  <c:v>1700</c:v>
                </c:pt>
              </c:numCache>
            </c:numRef>
          </c:val>
        </c:ser>
        <c:ser>
          <c:idx val="4"/>
          <c:order val="4"/>
          <c:tx>
            <c:strRef>
              <c:f>'QE''s'!$H$44</c:f>
              <c:strCache>
                <c:ptCount val="1"/>
                <c:pt idx="0">
                  <c:v>ESCENARIO LAXO</c:v>
                </c:pt>
              </c:strCache>
            </c:strRef>
          </c:tx>
          <c:dLbls>
            <c:dLbl>
              <c:idx val="14"/>
              <c:spPr>
                <a:solidFill>
                  <a:srgbClr val="00B0F0"/>
                </a:solidFill>
              </c:spPr>
              <c:txPr>
                <a:bodyPr/>
                <a:lstStyle/>
                <a:p>
                  <a:pPr>
                    <a:defRPr lang="es-ES" sz="1050" b="1">
                      <a:solidFill>
                        <a:schemeClr val="bg1">
                          <a:lumMod val="95000"/>
                        </a:schemeClr>
                      </a:solidFill>
                    </a:defRPr>
                  </a:pPr>
                  <a:endParaRPr lang="es-CO"/>
                </a:p>
              </c:txPr>
              <c:dLblPos val="outEnd"/>
              <c:showVal val="1"/>
            </c:dLbl>
            <c:delete val="1"/>
          </c:dLbls>
          <c:cat>
            <c:numRef>
              <c:f>'QE''s'!$J$25:$X$25</c:f>
              <c:numCache>
                <c:formatCode>mmm\-yy</c:formatCode>
                <c:ptCount val="15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</c:numCache>
            </c:numRef>
          </c:cat>
          <c:val>
            <c:numRef>
              <c:f>'QE''s'!$J$44:$X$44</c:f>
              <c:numCache>
                <c:formatCode>General</c:formatCode>
                <c:ptCount val="15"/>
                <c:pt idx="0">
                  <c:v>900</c:v>
                </c:pt>
                <c:pt idx="1">
                  <c:v>985</c:v>
                </c:pt>
                <c:pt idx="2">
                  <c:v>1070</c:v>
                </c:pt>
                <c:pt idx="3">
                  <c:v>1155</c:v>
                </c:pt>
                <c:pt idx="4">
                  <c:v>1240</c:v>
                </c:pt>
                <c:pt idx="5">
                  <c:v>1325</c:v>
                </c:pt>
                <c:pt idx="6">
                  <c:v>1410</c:v>
                </c:pt>
                <c:pt idx="7">
                  <c:v>1495</c:v>
                </c:pt>
                <c:pt idx="8">
                  <c:v>1580</c:v>
                </c:pt>
                <c:pt idx="9">
                  <c:v>1658.5714285714284</c:v>
                </c:pt>
                <c:pt idx="10">
                  <c:v>1730.7142857142858</c:v>
                </c:pt>
                <c:pt idx="11">
                  <c:v>1796.4285714285713</c:v>
                </c:pt>
                <c:pt idx="12">
                  <c:v>1855.7142857142858</c:v>
                </c:pt>
                <c:pt idx="13">
                  <c:v>1908.5714285714284</c:v>
                </c:pt>
                <c:pt idx="14">
                  <c:v>1955</c:v>
                </c:pt>
              </c:numCache>
            </c:numRef>
          </c:val>
        </c:ser>
        <c:dLbls/>
        <c:axId val="66191360"/>
        <c:axId val="66181376"/>
      </c:barChart>
      <c:lineChart>
        <c:grouping val="standard"/>
        <c:ser>
          <c:idx val="2"/>
          <c:order val="2"/>
          <c:tx>
            <c:strRef>
              <c:f>'QE''s'!$I$16</c:f>
              <c:strCache>
                <c:ptCount val="1"/>
                <c:pt idx="0">
                  <c:v>QE1</c:v>
                </c:pt>
              </c:strCache>
            </c:strRef>
          </c:tx>
          <c:spPr>
            <a:ln w="38100">
              <a:solidFill>
                <a:schemeClr val="accent6">
                  <a:lumMod val="75000"/>
                </a:schemeClr>
              </a:solidFill>
              <a:prstDash val="dash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7351463185038944E-2"/>
                  <c:y val="-3.371718294852874E-2"/>
                </c:manualLayout>
              </c:layout>
              <c:tx>
                <c:rich>
                  <a:bodyPr/>
                  <a:lstStyle/>
                  <a:p>
                    <a:pPr>
                      <a:defRPr lang="es-ES" sz="1100" b="1"/>
                    </a:pPr>
                    <a:r>
                      <a:rPr lang="en-US" sz="1100" b="1"/>
                      <a:t>1550 QE1</a:t>
                    </a:r>
                  </a:p>
                </c:rich>
              </c:tx>
              <c:spPr>
                <a:solidFill>
                  <a:schemeClr val="accent6">
                    <a:lumMod val="75000"/>
                  </a:schemeClr>
                </a:solidFill>
              </c:spPr>
              <c:dLblPos val="r"/>
              <c:showVal val="1"/>
            </c:dLbl>
            <c:delete val="1"/>
          </c:dLbls>
          <c:cat>
            <c:numRef>
              <c:f>'QE''s'!$J$25:$X$25</c:f>
              <c:numCache>
                <c:formatCode>mmm\-yy</c:formatCode>
                <c:ptCount val="15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</c:numCache>
            </c:numRef>
          </c:cat>
          <c:val>
            <c:numRef>
              <c:f>'QE''s'!$J$16:$X$16</c:f>
              <c:numCache>
                <c:formatCode>General</c:formatCode>
                <c:ptCount val="15"/>
                <c:pt idx="0">
                  <c:v>1550</c:v>
                </c:pt>
                <c:pt idx="1">
                  <c:v>1550</c:v>
                </c:pt>
                <c:pt idx="2">
                  <c:v>1550</c:v>
                </c:pt>
                <c:pt idx="3">
                  <c:v>1550</c:v>
                </c:pt>
                <c:pt idx="4">
                  <c:v>1550</c:v>
                </c:pt>
                <c:pt idx="5">
                  <c:v>1550</c:v>
                </c:pt>
                <c:pt idx="6">
                  <c:v>1550</c:v>
                </c:pt>
                <c:pt idx="7">
                  <c:v>1550</c:v>
                </c:pt>
                <c:pt idx="8">
                  <c:v>1550</c:v>
                </c:pt>
                <c:pt idx="9">
                  <c:v>1550</c:v>
                </c:pt>
                <c:pt idx="10">
                  <c:v>1550</c:v>
                </c:pt>
                <c:pt idx="11">
                  <c:v>1550</c:v>
                </c:pt>
                <c:pt idx="12">
                  <c:v>1550</c:v>
                </c:pt>
                <c:pt idx="13">
                  <c:v>1550</c:v>
                </c:pt>
                <c:pt idx="14">
                  <c:v>1550</c:v>
                </c:pt>
              </c:numCache>
            </c:numRef>
          </c:val>
        </c:ser>
        <c:ser>
          <c:idx val="3"/>
          <c:order val="3"/>
          <c:tx>
            <c:strRef>
              <c:f>'QE''s'!$I$17</c:f>
              <c:strCache>
                <c:ptCount val="1"/>
                <c:pt idx="0">
                  <c:v>QE2</c:v>
                </c:pt>
              </c:strCache>
            </c:strRef>
          </c:tx>
          <c:spPr>
            <a:ln w="38100">
              <a:solidFill>
                <a:srgbClr val="7030A0"/>
              </a:solidFill>
              <a:prstDash val="dashDot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4.9088565330878624E-2"/>
                  <c:y val="-2.880033573936221E-2"/>
                </c:manualLayout>
              </c:layout>
              <c:tx>
                <c:rich>
                  <a:bodyPr/>
                  <a:lstStyle/>
                  <a:p>
                    <a:pPr>
                      <a:defRPr lang="es-ES" sz="1100" b="1">
                        <a:solidFill>
                          <a:schemeClr val="bg1">
                            <a:lumMod val="95000"/>
                          </a:schemeClr>
                        </a:solidFill>
                      </a:defRPr>
                    </a:pPr>
                    <a:r>
                      <a:rPr lang="en-US" sz="1100" b="1">
                        <a:solidFill>
                          <a:schemeClr val="bg1">
                            <a:lumMod val="95000"/>
                          </a:schemeClr>
                        </a:solidFill>
                      </a:rPr>
                      <a:t>600</a:t>
                    </a:r>
                    <a:r>
                      <a:rPr lang="en-US" sz="1100" b="1" baseline="0">
                        <a:solidFill>
                          <a:schemeClr val="bg1">
                            <a:lumMod val="95000"/>
                          </a:schemeClr>
                        </a:solidFill>
                      </a:rPr>
                      <a:t> </a:t>
                    </a:r>
                    <a:r>
                      <a:rPr lang="en-US" sz="1100" b="1">
                        <a:solidFill>
                          <a:schemeClr val="bg1">
                            <a:lumMod val="95000"/>
                          </a:schemeClr>
                        </a:solidFill>
                      </a:rPr>
                      <a:t>QE2</a:t>
                    </a:r>
                  </a:p>
                </c:rich>
              </c:tx>
              <c:spPr>
                <a:solidFill>
                  <a:schemeClr val="accent4">
                    <a:lumMod val="75000"/>
                  </a:schemeClr>
                </a:solidFill>
              </c:spPr>
              <c:dLblPos val="r"/>
              <c:showVal val="1"/>
            </c:dLbl>
            <c:delete val="1"/>
          </c:dLbls>
          <c:cat>
            <c:numRef>
              <c:f>'QE''s'!$J$25:$X$25</c:f>
              <c:numCache>
                <c:formatCode>mmm\-yy</c:formatCode>
                <c:ptCount val="15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</c:numCache>
            </c:numRef>
          </c:cat>
          <c:val>
            <c:numRef>
              <c:f>'QE''s'!$J$17:$X$17</c:f>
              <c:numCache>
                <c:formatCode>General</c:formatCode>
                <c:ptCount val="15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600</c:v>
                </c:pt>
                <c:pt idx="13">
                  <c:v>600</c:v>
                </c:pt>
                <c:pt idx="14">
                  <c:v>600</c:v>
                </c:pt>
              </c:numCache>
            </c:numRef>
          </c:val>
        </c:ser>
        <c:dLbls/>
        <c:marker val="1"/>
        <c:axId val="66169856"/>
        <c:axId val="66179840"/>
      </c:lineChart>
      <c:dateAx>
        <c:axId val="66169856"/>
        <c:scaling>
          <c:orientation val="minMax"/>
        </c:scaling>
        <c:axPos val="b"/>
        <c:numFmt formatCode="mmm\-yy" sourceLinked="1"/>
        <c:tickLblPos val="nextTo"/>
        <c:txPr>
          <a:bodyPr/>
          <a:lstStyle/>
          <a:p>
            <a:pPr>
              <a:defRPr lang="es-ES"/>
            </a:pPr>
            <a:endParaRPr lang="es-CO"/>
          </a:p>
        </c:txPr>
        <c:crossAx val="66179840"/>
        <c:crosses val="autoZero"/>
        <c:auto val="1"/>
        <c:lblOffset val="100"/>
        <c:baseTimeUnit val="months"/>
      </c:dateAx>
      <c:valAx>
        <c:axId val="66179840"/>
        <c:scaling>
          <c:orientation val="minMax"/>
          <c:max val="2000"/>
          <c:min val="400"/>
        </c:scaling>
        <c:axPos val="l"/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s-CO"/>
          </a:p>
        </c:txPr>
        <c:crossAx val="66169856"/>
        <c:crosses val="autoZero"/>
        <c:crossBetween val="between"/>
      </c:valAx>
      <c:valAx>
        <c:axId val="66181376"/>
        <c:scaling>
          <c:orientation val="minMax"/>
          <c:max val="2000"/>
          <c:min val="400"/>
        </c:scaling>
        <c:axPos val="r"/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s-CO"/>
          </a:p>
        </c:txPr>
        <c:crossAx val="66191360"/>
        <c:crosses val="max"/>
        <c:crossBetween val="between"/>
      </c:valAx>
      <c:dateAx>
        <c:axId val="66191360"/>
        <c:scaling>
          <c:orientation val="minMax"/>
        </c:scaling>
        <c:delete val="1"/>
        <c:axPos val="b"/>
        <c:numFmt formatCode="mmm\-yy" sourceLinked="1"/>
        <c:tickLblPos val="none"/>
        <c:crossAx val="66181376"/>
        <c:crosses val="autoZero"/>
        <c:auto val="1"/>
        <c:lblOffset val="100"/>
        <c:baseTimeUnit val="months"/>
      </c:dateAx>
    </c:plotArea>
    <c:legend>
      <c:legendPos val="b"/>
      <c:txPr>
        <a:bodyPr/>
        <a:lstStyle/>
        <a:p>
          <a:pPr>
            <a:defRPr lang="es-ES"/>
          </a:pPr>
          <a:endParaRPr lang="es-CO"/>
        </a:p>
      </c:txPr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/>
          <a:lstStyle/>
          <a:p>
            <a:pPr>
              <a:defRPr lang="es-ES" sz="2000"/>
            </a:pPr>
            <a:r>
              <a:rPr lang="es-ES" sz="2000"/>
              <a:t>PROYECCIONES</a:t>
            </a:r>
            <a:r>
              <a:rPr lang="es-ES" sz="2000" baseline="0"/>
              <a:t> QUANTITATIVE EASING</a:t>
            </a:r>
            <a:endParaRPr lang="es-ES" sz="2000"/>
          </a:p>
        </c:rich>
      </c:tx>
      <c:layout>
        <c:manualLayout>
          <c:xMode val="edge"/>
          <c:yMode val="edge"/>
          <c:x val="0.33070835477054988"/>
          <c:y val="3.4136542586456896E-2"/>
        </c:manualLayout>
      </c:layout>
      <c:overlay val="1"/>
    </c:title>
    <c:plotArea>
      <c:layout>
        <c:manualLayout>
          <c:layoutTarget val="inner"/>
          <c:xMode val="edge"/>
          <c:yMode val="edge"/>
          <c:x val="6.3446560322418383E-2"/>
          <c:y val="7.0782165851630774E-2"/>
          <c:w val="0.89298991777306835"/>
          <c:h val="0.80374426801755394"/>
        </c:manualLayout>
      </c:layout>
      <c:barChart>
        <c:barDir val="col"/>
        <c:grouping val="clustered"/>
        <c:ser>
          <c:idx val="1"/>
          <c:order val="1"/>
          <c:tx>
            <c:strRef>
              <c:f>Hoja2!$I$32</c:f>
              <c:strCache>
                <c:ptCount val="1"/>
                <c:pt idx="0">
                  <c:v>Programa sin cambios adicionales</c:v>
                </c:pt>
              </c:strCache>
            </c:strRef>
          </c:tx>
          <c:spPr>
            <a:solidFill>
              <a:srgbClr val="1F497D">
                <a:lumMod val="75000"/>
              </a:srgbClr>
            </a:solidFill>
            <a:scene3d>
              <a:camera prst="orthographicFront"/>
              <a:lightRig rig="soft" dir="t"/>
            </a:scene3d>
            <a:sp3d>
              <a:bevelT/>
              <a:bevelB/>
            </a:sp3d>
          </c:spPr>
          <c:cat>
            <c:numRef>
              <c:f>Hoja2!$M$25:$X$25</c:f>
              <c:numCache>
                <c:formatCode>mmm\-yy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Hoja2!$M$37:$X$37</c:f>
              <c:numCache>
                <c:formatCode>General</c:formatCode>
                <c:ptCount val="12"/>
                <c:pt idx="0">
                  <c:v>1145</c:v>
                </c:pt>
                <c:pt idx="1">
                  <c:v>1210</c:v>
                </c:pt>
                <c:pt idx="2">
                  <c:v>1275</c:v>
                </c:pt>
                <c:pt idx="3">
                  <c:v>1340</c:v>
                </c:pt>
                <c:pt idx="4">
                  <c:v>1405</c:v>
                </c:pt>
                <c:pt idx="5">
                  <c:v>1470</c:v>
                </c:pt>
                <c:pt idx="6">
                  <c:v>1535</c:v>
                </c:pt>
                <c:pt idx="7">
                  <c:v>1600</c:v>
                </c:pt>
                <c:pt idx="8">
                  <c:v>1665</c:v>
                </c:pt>
                <c:pt idx="9">
                  <c:v>1730</c:v>
                </c:pt>
                <c:pt idx="10">
                  <c:v>1795</c:v>
                </c:pt>
                <c:pt idx="11">
                  <c:v>1860</c:v>
                </c:pt>
              </c:numCache>
            </c:numRef>
          </c:val>
        </c:ser>
        <c:ser>
          <c:idx val="0"/>
          <c:order val="0"/>
          <c:tx>
            <c:strRef>
              <c:f>Hoja2!$I$25</c:f>
              <c:strCache>
                <c:ptCount val="1"/>
                <c:pt idx="0">
                  <c:v>Reducción 10bill por reunión </c:v>
                </c:pt>
              </c:strCache>
            </c:strRef>
          </c:tx>
          <c:spPr>
            <a:gradFill flip="none" rotWithShape="1">
              <a:gsLst>
                <a:gs pos="0">
                  <a:srgbClr val="4BACC6">
                    <a:lumMod val="50000"/>
                  </a:srgbClr>
                </a:gs>
                <a:gs pos="50000">
                  <a:srgbClr val="4F81BD">
                    <a:tint val="44500"/>
                    <a:satMod val="160000"/>
                  </a:srgbClr>
                </a:gs>
                <a:gs pos="100000">
                  <a:srgbClr val="4F81BD">
                    <a:tint val="23500"/>
                    <a:satMod val="160000"/>
                  </a:srgbClr>
                </a:gs>
              </a:gsLst>
              <a:path path="circle">
                <a:fillToRect l="100000" t="100000"/>
              </a:path>
              <a:tileRect r="-100000" b="-100000"/>
            </a:gradFill>
            <a:scene3d>
              <a:camera prst="orthographicFront"/>
              <a:lightRig rig="threePt" dir="t"/>
            </a:scene3d>
            <a:sp3d prstMaterial="metal">
              <a:bevelT/>
              <a:bevelB/>
            </a:sp3d>
          </c:spPr>
          <c:dLbls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tx>
                <c:rich>
                  <a:bodyPr/>
                  <a:lstStyle/>
                  <a:p>
                    <a:r>
                      <a:rPr lang="en-US" sz="1100" b="1">
                        <a:solidFill>
                          <a:sysClr val="windowText" lastClr="000000"/>
                        </a:solidFill>
                      </a:rPr>
                      <a:t>1</a:t>
                    </a:r>
                    <a:r>
                      <a:rPr lang="en-US"/>
                      <a:t>525</a:t>
                    </a:r>
                  </a:p>
                </c:rich>
              </c:tx>
              <c:dLblPos val="outEnd"/>
              <c:showVal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solidFill>
                <a:schemeClr val="tx2">
                  <a:lumMod val="40000"/>
                  <a:lumOff val="60000"/>
                </a:schemeClr>
              </a:solidFill>
            </c:spPr>
            <c:txPr>
              <a:bodyPr/>
              <a:lstStyle/>
              <a:p>
                <a:pPr>
                  <a:defRPr lang="es-ES" sz="1100" b="1">
                    <a:solidFill>
                      <a:sysClr val="windowText" lastClr="000000"/>
                    </a:solidFill>
                  </a:defRPr>
                </a:pPr>
                <a:endParaRPr lang="es-CO"/>
              </a:p>
            </c:txPr>
            <c:dLblPos val="outEnd"/>
            <c:showVal val="1"/>
          </c:dLbls>
          <c:cat>
            <c:numRef>
              <c:f>Hoja2!$Z$30:$Z$41</c:f>
              <c:numCache>
                <c:formatCode>mmm\-yy</c:formatCode>
                <c:ptCount val="12"/>
              </c:numCache>
            </c:numRef>
          </c:cat>
          <c:val>
            <c:numRef>
              <c:f>Hoja2!$M$30:$X$30</c:f>
              <c:numCache>
                <c:formatCode>General</c:formatCode>
                <c:ptCount val="12"/>
                <c:pt idx="0">
                  <c:v>1145</c:v>
                </c:pt>
                <c:pt idx="1">
                  <c:v>1210</c:v>
                </c:pt>
                <c:pt idx="2">
                  <c:v>1275</c:v>
                </c:pt>
                <c:pt idx="3">
                  <c:v>1330</c:v>
                </c:pt>
                <c:pt idx="4">
                  <c:v>1375</c:v>
                </c:pt>
                <c:pt idx="5">
                  <c:v>1420</c:v>
                </c:pt>
                <c:pt idx="6">
                  <c:v>1455</c:v>
                </c:pt>
                <c:pt idx="7">
                  <c:v>1480</c:v>
                </c:pt>
                <c:pt idx="8">
                  <c:v>1505</c:v>
                </c:pt>
                <c:pt idx="9">
                  <c:v>1520</c:v>
                </c:pt>
                <c:pt idx="10">
                  <c:v>1525</c:v>
                </c:pt>
                <c:pt idx="11">
                  <c:v>1525</c:v>
                </c:pt>
              </c:numCache>
            </c:numRef>
          </c:val>
        </c:ser>
        <c:dLbls/>
        <c:axId val="66430080"/>
        <c:axId val="66431616"/>
      </c:barChart>
      <c:lineChart>
        <c:grouping val="standard"/>
        <c:ser>
          <c:idx val="3"/>
          <c:order val="3"/>
          <c:tx>
            <c:strRef>
              <c:f>Hoja2!$I$17</c:f>
              <c:strCache>
                <c:ptCount val="1"/>
                <c:pt idx="0">
                  <c:v>QE2</c:v>
                </c:pt>
              </c:strCache>
            </c:strRef>
          </c:tx>
          <c:spPr>
            <a:ln w="38100">
              <a:solidFill>
                <a:schemeClr val="accent6">
                  <a:lumMod val="75000"/>
                </a:schemeClr>
              </a:solidFill>
              <a:prstDash val="dash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4.0374994887358524E-2"/>
                  <c:y val="-3.0518069072292407E-2"/>
                </c:manualLayout>
              </c:layout>
              <c:tx>
                <c:rich>
                  <a:bodyPr/>
                  <a:lstStyle/>
                  <a:p>
                    <a:pPr>
                      <a:defRPr lang="es-ES" sz="1050" b="1"/>
                    </a:pPr>
                    <a:r>
                      <a:rPr lang="en-US" sz="1050" b="1"/>
                      <a:t>QE2  600</a:t>
                    </a:r>
                  </a:p>
                </c:rich>
              </c:tx>
              <c:spPr>
                <a:solidFill>
                  <a:srgbClr val="FFC000"/>
                </a:solidFill>
                <a:ln>
                  <a:solidFill>
                    <a:srgbClr val="FFC000"/>
                  </a:solidFill>
                </a:ln>
              </c:spPr>
              <c:dLblPos val="r"/>
              <c:showVal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txPr>
              <a:bodyPr/>
              <a:lstStyle/>
              <a:p>
                <a:pPr>
                  <a:defRPr lang="es-ES"/>
                </a:pPr>
                <a:endParaRPr lang="es-CO"/>
              </a:p>
            </c:txPr>
            <c:dLblPos val="t"/>
            <c:showVal val="1"/>
          </c:dLbls>
          <c:cat>
            <c:numRef>
              <c:f>Hoja2!$M$25:$X$25</c:f>
              <c:numCache>
                <c:formatCode>mmm\-yy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Hoja2!$M$17:$X$17</c:f>
              <c:numCache>
                <c:formatCode>General</c:formatCode>
                <c:ptCount val="12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</c:numCache>
            </c:numRef>
          </c:val>
        </c:ser>
        <c:dLbls/>
        <c:marker val="1"/>
        <c:axId val="66430080"/>
        <c:axId val="66431616"/>
      </c:lineChart>
      <c:lineChart>
        <c:grouping val="standard"/>
        <c:ser>
          <c:idx val="2"/>
          <c:order val="2"/>
          <c:tx>
            <c:strRef>
              <c:f>Hoja2!$I$16</c:f>
              <c:strCache>
                <c:ptCount val="1"/>
                <c:pt idx="0">
                  <c:v>QE1</c:v>
                </c:pt>
              </c:strCache>
            </c:strRef>
          </c:tx>
          <c:spPr>
            <a:ln w="38100">
              <a:solidFill>
                <a:srgbClr val="C00000"/>
              </a:solidFill>
              <a:prstDash val="dash"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pPr>
                      <a:defRPr lang="es-ES" sz="1050" b="1">
                        <a:solidFill>
                          <a:schemeClr val="bg1"/>
                        </a:solidFill>
                      </a:defRPr>
                    </a:pPr>
                    <a:r>
                      <a:rPr lang="en-US" sz="1050" b="1">
                        <a:solidFill>
                          <a:schemeClr val="bg1"/>
                        </a:solidFill>
                      </a:rPr>
                      <a:t>Q</a:t>
                    </a:r>
                    <a:r>
                      <a:rPr lang="en-US" sz="1050" b="1"/>
                      <a:t>E1 1550</a:t>
                    </a:r>
                  </a:p>
                </c:rich>
              </c:tx>
              <c:spPr>
                <a:solidFill>
                  <a:schemeClr val="tx2">
                    <a:lumMod val="50000"/>
                  </a:schemeClr>
                </a:solidFill>
              </c:spPr>
              <c:dLblPos val="t"/>
              <c:showVal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spPr>
              <a:solidFill>
                <a:schemeClr val="tx2">
                  <a:lumMod val="50000"/>
                </a:schemeClr>
              </a:solidFill>
            </c:spPr>
            <c:txPr>
              <a:bodyPr/>
              <a:lstStyle/>
              <a:p>
                <a:pPr>
                  <a:defRPr lang="es-ES">
                    <a:solidFill>
                      <a:schemeClr val="bg1"/>
                    </a:solidFill>
                  </a:defRPr>
                </a:pPr>
                <a:endParaRPr lang="es-CO"/>
              </a:p>
            </c:txPr>
            <c:dLblPos val="t"/>
            <c:showVal val="1"/>
          </c:dLbls>
          <c:cat>
            <c:numRef>
              <c:f>Hoja2!$M$25:$X$25</c:f>
              <c:numCache>
                <c:formatCode>mmm\-yy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Hoja2!$L$16:$X$16</c:f>
              <c:numCache>
                <c:formatCode>General</c:formatCode>
                <c:ptCount val="13"/>
                <c:pt idx="0">
                  <c:v>1550</c:v>
                </c:pt>
                <c:pt idx="1">
                  <c:v>1550</c:v>
                </c:pt>
                <c:pt idx="2">
                  <c:v>1550</c:v>
                </c:pt>
                <c:pt idx="3">
                  <c:v>1550</c:v>
                </c:pt>
                <c:pt idx="4">
                  <c:v>1550</c:v>
                </c:pt>
                <c:pt idx="5">
                  <c:v>1550</c:v>
                </c:pt>
                <c:pt idx="6">
                  <c:v>1550</c:v>
                </c:pt>
                <c:pt idx="7">
                  <c:v>1550</c:v>
                </c:pt>
                <c:pt idx="8">
                  <c:v>1550</c:v>
                </c:pt>
                <c:pt idx="9">
                  <c:v>1550</c:v>
                </c:pt>
                <c:pt idx="10">
                  <c:v>1550</c:v>
                </c:pt>
                <c:pt idx="11">
                  <c:v>1550</c:v>
                </c:pt>
                <c:pt idx="12">
                  <c:v>1550</c:v>
                </c:pt>
              </c:numCache>
            </c:numRef>
          </c:val>
        </c:ser>
        <c:dLbls/>
        <c:marker val="1"/>
        <c:axId val="66464000"/>
        <c:axId val="66462464"/>
      </c:lineChart>
      <c:dateAx>
        <c:axId val="66430080"/>
        <c:scaling>
          <c:orientation val="minMax"/>
        </c:scaling>
        <c:axPos val="b"/>
        <c:numFmt formatCode="[$-C0A]mmm\-yy;@" sourceLinked="0"/>
        <c:majorTickMark val="in"/>
        <c:tickLblPos val="nextTo"/>
        <c:txPr>
          <a:bodyPr/>
          <a:lstStyle/>
          <a:p>
            <a:pPr>
              <a:defRPr lang="es-ES"/>
            </a:pPr>
            <a:endParaRPr lang="es-CO"/>
          </a:p>
        </c:txPr>
        <c:crossAx val="66431616"/>
        <c:crosses val="autoZero"/>
        <c:auto val="1"/>
        <c:lblOffset val="100"/>
        <c:baseTimeUnit val="months"/>
      </c:dateAx>
      <c:valAx>
        <c:axId val="66431616"/>
        <c:scaling>
          <c:orientation val="minMax"/>
          <c:max val="2000"/>
          <c:min val="400"/>
        </c:scaling>
        <c:axPos val="l"/>
        <c:title>
          <c:tx>
            <c:rich>
              <a:bodyPr rot="-5400000" vert="horz"/>
              <a:lstStyle/>
              <a:p>
                <a:pPr>
                  <a:defRPr lang="es-ES" sz="1050"/>
                </a:pPr>
                <a:r>
                  <a:rPr lang="es-ES" sz="1050"/>
                  <a:t>Trillones</a:t>
                </a:r>
                <a:r>
                  <a:rPr lang="es-ES" sz="1050" baseline="0"/>
                  <a:t> de dólares</a:t>
                </a:r>
                <a:endParaRPr lang="es-ES" sz="1050"/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s-CO"/>
          </a:p>
        </c:txPr>
        <c:crossAx val="66430080"/>
        <c:crosses val="autoZero"/>
        <c:crossBetween val="between"/>
      </c:valAx>
      <c:valAx>
        <c:axId val="66462464"/>
        <c:scaling>
          <c:orientation val="minMax"/>
          <c:max val="2000"/>
          <c:min val="400"/>
        </c:scaling>
        <c:axPos val="r"/>
        <c:numFmt formatCode="General" sourceLinked="1"/>
        <c:tickLblPos val="nextTo"/>
        <c:txPr>
          <a:bodyPr/>
          <a:lstStyle/>
          <a:p>
            <a:pPr>
              <a:defRPr lang="es-ES"/>
            </a:pPr>
            <a:endParaRPr lang="es-CO"/>
          </a:p>
        </c:txPr>
        <c:crossAx val="66464000"/>
        <c:crosses val="max"/>
        <c:crossBetween val="between"/>
      </c:valAx>
      <c:dateAx>
        <c:axId val="66464000"/>
        <c:scaling>
          <c:orientation val="minMax"/>
        </c:scaling>
        <c:delete val="1"/>
        <c:axPos val="b"/>
        <c:numFmt formatCode="mmm\-yy" sourceLinked="1"/>
        <c:tickLblPos val="none"/>
        <c:crossAx val="66462464"/>
        <c:crosses val="autoZero"/>
        <c:auto val="1"/>
        <c:lblOffset val="100"/>
        <c:baseTimeUnit val="months"/>
        <c:majorUnit val="1"/>
        <c:minorUnit val="1"/>
      </c:dateAx>
    </c:plotArea>
    <c:legend>
      <c:legendPos val="b"/>
      <c:txPr>
        <a:bodyPr/>
        <a:lstStyle/>
        <a:p>
          <a:pPr>
            <a:defRPr lang="es-ES"/>
          </a:pPr>
          <a:endParaRPr lang="es-CO"/>
        </a:p>
      </c:txPr>
    </c:legend>
    <c:plotVisOnly val="1"/>
    <c:dispBlanksAs val="gap"/>
  </c:chart>
  <c:spPr>
    <a:ln>
      <a:noFill/>
    </a:ln>
  </c:spPr>
  <c:printSettings>
    <c:headerFooter/>
    <c:pageMargins b="0.750000000000003" l="0.70000000000000062" r="0.70000000000000062" t="0.75000000000000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plotArea>
      <c:layout>
        <c:manualLayout>
          <c:layoutTarget val="inner"/>
          <c:xMode val="edge"/>
          <c:yMode val="edge"/>
          <c:x val="0.10173806441325932"/>
          <c:y val="5.4851779311284057E-2"/>
          <c:w val="0.79822921383783707"/>
          <c:h val="0.72128045129626428"/>
        </c:manualLayout>
      </c:layout>
      <c:barChart>
        <c:barDir val="col"/>
        <c:grouping val="clustered"/>
        <c:ser>
          <c:idx val="0"/>
          <c:order val="0"/>
          <c:tx>
            <c:strRef>
              <c:f>'QE''s (2)'!$H$14</c:f>
              <c:strCache>
                <c:ptCount val="1"/>
                <c:pt idx="0">
                  <c:v>ESCENARIO BASE</c:v>
                </c:pt>
              </c:strCache>
            </c:strRef>
          </c:tx>
          <c:spPr>
            <a:solidFill>
              <a:schemeClr val="tx2"/>
            </a:solidFill>
          </c:spPr>
          <c:dLbls>
            <c:dLbl>
              <c:idx val="14"/>
              <c:layout/>
              <c:showVal val="1"/>
            </c:dLbl>
            <c:delete val="1"/>
            <c:spPr>
              <a:solidFill>
                <a:schemeClr val="tx2"/>
              </a:solidFill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s-CO"/>
              </a:p>
            </c:txPr>
          </c:dLbls>
          <c:cat>
            <c:numRef>
              <c:f>'QE''s (2)'!$J$25:$X$25</c:f>
              <c:numCache>
                <c:formatCode>mmm\-yy</c:formatCode>
                <c:ptCount val="15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</c:numCache>
            </c:numRef>
          </c:cat>
          <c:val>
            <c:numRef>
              <c:f>'QE''s (2)'!$J$30:$X$30</c:f>
              <c:numCache>
                <c:formatCode>General</c:formatCode>
                <c:ptCount val="15"/>
                <c:pt idx="0">
                  <c:v>900</c:v>
                </c:pt>
                <c:pt idx="1">
                  <c:v>985</c:v>
                </c:pt>
                <c:pt idx="2">
                  <c:v>1060</c:v>
                </c:pt>
                <c:pt idx="3">
                  <c:v>1125</c:v>
                </c:pt>
                <c:pt idx="4">
                  <c:v>1190</c:v>
                </c:pt>
                <c:pt idx="5">
                  <c:v>1245</c:v>
                </c:pt>
                <c:pt idx="6">
                  <c:v>1290</c:v>
                </c:pt>
                <c:pt idx="7">
                  <c:v>1335</c:v>
                </c:pt>
                <c:pt idx="8">
                  <c:v>1370</c:v>
                </c:pt>
                <c:pt idx="9">
                  <c:v>1395</c:v>
                </c:pt>
                <c:pt idx="10">
                  <c:v>1420</c:v>
                </c:pt>
                <c:pt idx="11">
                  <c:v>1435</c:v>
                </c:pt>
                <c:pt idx="12">
                  <c:v>1450</c:v>
                </c:pt>
                <c:pt idx="13">
                  <c:v>1450</c:v>
                </c:pt>
                <c:pt idx="14">
                  <c:v>1450</c:v>
                </c:pt>
              </c:numCache>
            </c:numRef>
          </c:val>
        </c:ser>
        <c:dLbls/>
        <c:axId val="176906240"/>
        <c:axId val="176896256"/>
      </c:barChart>
      <c:lineChart>
        <c:grouping val="standard"/>
        <c:ser>
          <c:idx val="2"/>
          <c:order val="1"/>
          <c:tx>
            <c:strRef>
              <c:f>'QE''s (2)'!$I$16</c:f>
              <c:strCache>
                <c:ptCount val="1"/>
                <c:pt idx="0">
                  <c:v>QE1</c:v>
                </c:pt>
              </c:strCache>
            </c:strRef>
          </c:tx>
          <c:spPr>
            <a:ln w="38100">
              <a:solidFill>
                <a:schemeClr val="accent6">
                  <a:lumMod val="75000"/>
                </a:schemeClr>
              </a:solidFill>
              <a:prstDash val="dash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7351463185038944E-2"/>
                  <c:y val="-3.371718294852874E-2"/>
                </c:manualLayout>
              </c:layout>
              <c:tx>
                <c:rich>
                  <a:bodyPr/>
                  <a:lstStyle/>
                  <a:p>
                    <a:pPr>
                      <a:defRPr b="1">
                        <a:solidFill>
                          <a:schemeClr val="bg1"/>
                        </a:solidFill>
                      </a:defRPr>
                    </a:pPr>
                    <a:r>
                      <a:rPr lang="en-US" b="1">
                        <a:solidFill>
                          <a:schemeClr val="bg1"/>
                        </a:solidFill>
                      </a:rPr>
                      <a:t>1</a:t>
                    </a:r>
                    <a:r>
                      <a:rPr lang="en-US"/>
                      <a:t>550 QE1</a:t>
                    </a:r>
                  </a:p>
                </c:rich>
              </c:tx>
              <c:spPr>
                <a:solidFill>
                  <a:schemeClr val="accent6">
                    <a:lumMod val="75000"/>
                  </a:schemeClr>
                </a:solidFill>
              </c:spPr>
              <c:dLblPos val="r"/>
              <c:showVal val="1"/>
            </c:dLbl>
            <c:delete val="1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s-CO"/>
              </a:p>
            </c:txPr>
          </c:dLbls>
          <c:cat>
            <c:numRef>
              <c:f>'QE''s (2)'!$J$25:$X$25</c:f>
              <c:numCache>
                <c:formatCode>mmm\-yy</c:formatCode>
                <c:ptCount val="15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</c:numCache>
            </c:numRef>
          </c:cat>
          <c:val>
            <c:numRef>
              <c:f>'QE''s (2)'!$J$16:$X$16</c:f>
              <c:numCache>
                <c:formatCode>General</c:formatCode>
                <c:ptCount val="15"/>
                <c:pt idx="0">
                  <c:v>1550</c:v>
                </c:pt>
                <c:pt idx="1">
                  <c:v>1550</c:v>
                </c:pt>
                <c:pt idx="2">
                  <c:v>1550</c:v>
                </c:pt>
                <c:pt idx="3">
                  <c:v>1550</c:v>
                </c:pt>
                <c:pt idx="4">
                  <c:v>1550</c:v>
                </c:pt>
                <c:pt idx="5">
                  <c:v>1550</c:v>
                </c:pt>
                <c:pt idx="6">
                  <c:v>1550</c:v>
                </c:pt>
                <c:pt idx="7">
                  <c:v>1550</c:v>
                </c:pt>
                <c:pt idx="8">
                  <c:v>1550</c:v>
                </c:pt>
                <c:pt idx="9">
                  <c:v>1550</c:v>
                </c:pt>
                <c:pt idx="10">
                  <c:v>1550</c:v>
                </c:pt>
                <c:pt idx="11">
                  <c:v>1550</c:v>
                </c:pt>
                <c:pt idx="12">
                  <c:v>1550</c:v>
                </c:pt>
                <c:pt idx="13">
                  <c:v>1550</c:v>
                </c:pt>
                <c:pt idx="14">
                  <c:v>1550</c:v>
                </c:pt>
              </c:numCache>
            </c:numRef>
          </c:val>
        </c:ser>
        <c:ser>
          <c:idx val="3"/>
          <c:order val="2"/>
          <c:tx>
            <c:strRef>
              <c:f>'QE''s (2)'!$I$17</c:f>
              <c:strCache>
                <c:ptCount val="1"/>
                <c:pt idx="0">
                  <c:v>QE2</c:v>
                </c:pt>
              </c:strCache>
            </c:strRef>
          </c:tx>
          <c:spPr>
            <a:ln w="38100">
              <a:solidFill>
                <a:srgbClr val="00B0F0"/>
              </a:solidFill>
              <a:prstDash val="dashDot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4.9088565330878624E-2"/>
                  <c:y val="-2.880033573936221E-2"/>
                </c:manualLayout>
              </c:layout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6</a:t>
                    </a:r>
                    <a:r>
                      <a:rPr lang="en-US"/>
                      <a:t>00 QE2</a:t>
                    </a:r>
                  </a:p>
                </c:rich>
              </c:tx>
              <c:dLblPos val="r"/>
              <c:showVal val="1"/>
            </c:dLbl>
            <c:delete val="1"/>
            <c:spPr>
              <a:solidFill>
                <a:srgbClr val="00B0F0"/>
              </a:solidFill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s-CO"/>
              </a:p>
            </c:txPr>
          </c:dLbls>
          <c:cat>
            <c:numRef>
              <c:f>'QE''s (2)'!$J$25:$X$25</c:f>
              <c:numCache>
                <c:formatCode>mmm\-yy</c:formatCode>
                <c:ptCount val="15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</c:numCache>
            </c:numRef>
          </c:cat>
          <c:val>
            <c:numRef>
              <c:f>'QE''s (2)'!$J$17:$X$17</c:f>
              <c:numCache>
                <c:formatCode>General</c:formatCode>
                <c:ptCount val="15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600</c:v>
                </c:pt>
                <c:pt idx="13">
                  <c:v>600</c:v>
                </c:pt>
                <c:pt idx="14">
                  <c:v>600</c:v>
                </c:pt>
              </c:numCache>
            </c:numRef>
          </c:val>
        </c:ser>
        <c:dLbls/>
        <c:marker val="1"/>
        <c:axId val="177073152"/>
        <c:axId val="176894720"/>
      </c:lineChart>
      <c:dateAx>
        <c:axId val="177073152"/>
        <c:scaling>
          <c:orientation val="minMax"/>
        </c:scaling>
        <c:axPos val="b"/>
        <c:numFmt formatCode="mmm\-yy" sourceLinked="1"/>
        <c:tickLblPos val="nextTo"/>
        <c:txPr>
          <a:bodyPr rot="-5400000" vert="horz"/>
          <a:lstStyle/>
          <a:p>
            <a:pPr>
              <a:defRPr/>
            </a:pPr>
            <a:endParaRPr lang="es-CO"/>
          </a:p>
        </c:txPr>
        <c:crossAx val="176894720"/>
        <c:crosses val="autoZero"/>
        <c:auto val="1"/>
        <c:lblOffset val="100"/>
        <c:baseTimeUnit val="months"/>
      </c:dateAx>
      <c:valAx>
        <c:axId val="176894720"/>
        <c:scaling>
          <c:orientation val="minMax"/>
          <c:max val="1600"/>
          <c:min val="40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miles de millones de USD</a:t>
                </a:r>
              </a:p>
            </c:rich>
          </c:tx>
          <c:layout/>
        </c:title>
        <c:numFmt formatCode="General" sourceLinked="1"/>
        <c:tickLblPos val="nextTo"/>
        <c:crossAx val="177073152"/>
        <c:crosses val="autoZero"/>
        <c:crossBetween val="between"/>
      </c:valAx>
      <c:valAx>
        <c:axId val="176896256"/>
        <c:scaling>
          <c:orientation val="minMax"/>
          <c:max val="1600"/>
          <c:min val="40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miles de millones de </a:t>
                </a:r>
                <a:r>
                  <a:rPr lang="es-CO" baseline="0"/>
                  <a:t>USD</a:t>
                </a:r>
                <a:endParaRPr lang="es-CO"/>
              </a:p>
            </c:rich>
          </c:tx>
          <c:layout/>
        </c:title>
        <c:numFmt formatCode="General" sourceLinked="1"/>
        <c:tickLblPos val="nextTo"/>
        <c:crossAx val="176906240"/>
        <c:crosses val="max"/>
        <c:crossBetween val="between"/>
      </c:valAx>
      <c:dateAx>
        <c:axId val="176906240"/>
        <c:scaling>
          <c:orientation val="minMax"/>
        </c:scaling>
        <c:delete val="1"/>
        <c:axPos val="b"/>
        <c:numFmt formatCode="mmm\-yy" sourceLinked="1"/>
        <c:tickLblPos val="none"/>
        <c:crossAx val="176896256"/>
        <c:crosses val="autoZero"/>
        <c:auto val="1"/>
        <c:lblOffset val="100"/>
        <c:baseTimeUnit val="months"/>
      </c:dateAx>
    </c:plotArea>
    <c:legend>
      <c:legendPos val="b"/>
      <c:layout/>
      <c:txPr>
        <a:bodyPr/>
        <a:lstStyle/>
        <a:p>
          <a:pPr>
            <a:defRPr b="1"/>
          </a:pPr>
          <a:endParaRPr lang="es-CO"/>
        </a:p>
      </c:txPr>
    </c:legend>
    <c:plotVisOnly val="1"/>
    <c:dispBlanksAs val="gap"/>
  </c:chart>
  <c:spPr>
    <a:ln>
      <a:noFill/>
    </a:ln>
  </c:spPr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s-CO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1187823</xdr:colOff>
      <xdr:row>47</xdr:row>
      <xdr:rowOff>33617</xdr:rowOff>
    </xdr:from>
    <xdr:to>
      <xdr:col>22</xdr:col>
      <xdr:colOff>268942</xdr:colOff>
      <xdr:row>76</xdr:row>
      <xdr:rowOff>89647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1187823</xdr:colOff>
      <xdr:row>47</xdr:row>
      <xdr:rowOff>33617</xdr:rowOff>
    </xdr:from>
    <xdr:to>
      <xdr:col>22</xdr:col>
      <xdr:colOff>268942</xdr:colOff>
      <xdr:row>76</xdr:row>
      <xdr:rowOff>89647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0.88158</cdr:x>
      <cdr:y>0.08032</cdr:y>
    </cdr:from>
    <cdr:to>
      <cdr:x>0.92873</cdr:x>
      <cdr:y>0.12248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9009562" y="448243"/>
          <a:ext cx="481862" cy="235276"/>
        </a:xfrm>
        <a:prstGeom xmlns:a="http://schemas.openxmlformats.org/drawingml/2006/main" prst="rect">
          <a:avLst/>
        </a:prstGeom>
        <a:solidFill xmlns:a="http://schemas.openxmlformats.org/drawingml/2006/main">
          <a:schemeClr val="tx2">
            <a:lumMod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1100" b="1" i="0">
              <a:solidFill>
                <a:schemeClr val="bg1"/>
              </a:solidFill>
            </a:rPr>
            <a:t>1860</a:t>
          </a:r>
        </a:p>
      </cdr:txBody>
    </cdr:sp>
  </cdr:relSizeAnchor>
  <cdr:relSizeAnchor xmlns:cdr="http://schemas.openxmlformats.org/drawingml/2006/chartDrawing">
    <cdr:from>
      <cdr:x>0.84759</cdr:x>
      <cdr:y>0.24699</cdr:y>
    </cdr:from>
    <cdr:to>
      <cdr:x>0.89474</cdr:x>
      <cdr:y>0.28915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8662147" y="1378323"/>
          <a:ext cx="481862" cy="23527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 b="1" i="0">
              <a:solidFill>
                <a:schemeClr val="bg1"/>
              </a:solidFill>
            </a:rPr>
            <a:t>1525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1586142</xdr:colOff>
      <xdr:row>47</xdr:row>
      <xdr:rowOff>17318</xdr:rowOff>
    </xdr:from>
    <xdr:to>
      <xdr:col>19</xdr:col>
      <xdr:colOff>190500</xdr:colOff>
      <xdr:row>69</xdr:row>
      <xdr:rowOff>106965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B3:D13" totalsRowShown="0">
  <tableColumns count="3">
    <tableColumn id="1" name="MIEMBROS DEL COMITÉ"/>
    <tableColumn id="2" name="CARGO"/>
    <tableColumn id="3" name="POSTURA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4:D19" totalsRowShown="0">
  <tableColumns count="3">
    <tableColumn id="1" name="ALTERNATIVOS"/>
    <tableColumn id="2" name="CARGO"/>
    <tableColumn id="3" name="POSTURA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F3:H13" totalsRowShown="0">
  <tableColumns count="3">
    <tableColumn id="1" name="MIEMBROS DEL COMITÉ"/>
    <tableColumn id="2" name="CARGO"/>
    <tableColumn id="3" name="POSTURA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F14:H19" totalsRowShown="0">
  <tableColumns count="3">
    <tableColumn id="1" name="ALTERNATIVOS"/>
    <tableColumn id="2" name="CARGO"/>
    <tableColumn id="3" name="POSTURA" dataDxfId="1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B3:D13" totalsRowShown="0">
  <tableColumns count="3">
    <tableColumn id="1" name="MIEMBROS DEL COMITÉ"/>
    <tableColumn id="2" name="CARGO"/>
    <tableColumn id="3" name="POSTURA" dataDxfId="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a27" displayName="Tabla27" ref="B14:D19" totalsRowShown="0">
  <tableColumns count="3">
    <tableColumn id="1" name="ALTERNATIVOS"/>
    <tableColumn id="2" name="CARGO"/>
    <tableColumn id="3" name="POSTURA" dataDxfId="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a38" displayName="Tabla38" ref="F3:H9" totalsRowShown="0">
  <tableColumns count="3">
    <tableColumn id="1" name="MIEMBROS DEL COMITÉ" dataDxfId="5"/>
    <tableColumn id="2" name="CARGO" dataDxfId="4"/>
    <tableColumn id="3" name="Columna1" dataDxfId="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a49" displayName="Tabla49" ref="F10:H14" totalsRowShown="0">
  <tableColumns count="3">
    <tableColumn id="1" name="ALTERNATIVOS" dataDxfId="2"/>
    <tableColumn id="2" name="CARGO" dataDxfId="1"/>
    <tableColumn id="3" name="POSTUR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hyperlink" Target="http://www.federalreserve.gov/monetarypolicy/fomc.htm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://www.federalreserve.gov/monetarypolicy/fomc.htm" TargetMode="External"/><Relationship Id="rId1" Type="http://schemas.openxmlformats.org/officeDocument/2006/relationships/hyperlink" Target="http://www.federalreserve.gov/monetarypolicy/fomc.htm" TargetMode="Externa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opLeftCell="A16" workbookViewId="0">
      <selection activeCell="C2" sqref="C2"/>
    </sheetView>
  </sheetViews>
  <sheetFormatPr baseColWidth="10" defaultRowHeight="15"/>
  <cols>
    <col min="1" max="1" width="36" bestFit="1" customWidth="1"/>
    <col min="2" max="2" width="29.28515625" customWidth="1"/>
    <col min="3" max="3" width="40.42578125" customWidth="1"/>
  </cols>
  <sheetData>
    <row r="1" spans="1:4" ht="15.75">
      <c r="A1" s="11" t="s">
        <v>0</v>
      </c>
      <c r="B1" s="11" t="s">
        <v>1</v>
      </c>
      <c r="C1" s="11" t="s">
        <v>2</v>
      </c>
    </row>
    <row r="2" spans="1:4" ht="60">
      <c r="A2" s="12" t="s">
        <v>3</v>
      </c>
      <c r="B2" s="13" t="s">
        <v>4</v>
      </c>
      <c r="C2" s="14">
        <v>175</v>
      </c>
    </row>
    <row r="3" spans="1:4">
      <c r="A3" s="12" t="s">
        <v>5</v>
      </c>
      <c r="B3" s="13" t="s">
        <v>6</v>
      </c>
      <c r="C3" s="14">
        <v>1250000</v>
      </c>
      <c r="D3">
        <f>+C3/20</f>
        <v>62500</v>
      </c>
    </row>
    <row r="4" spans="1:4">
      <c r="A4" s="15" t="s">
        <v>7</v>
      </c>
      <c r="B4" s="13" t="s">
        <v>8</v>
      </c>
      <c r="C4" s="14">
        <v>300000</v>
      </c>
      <c r="D4" s="9">
        <f>+C2+C3+C4</f>
        <v>1550175</v>
      </c>
    </row>
    <row r="5" spans="1:4">
      <c r="A5" s="12" t="s">
        <v>9</v>
      </c>
      <c r="B5" s="13" t="s">
        <v>8</v>
      </c>
      <c r="C5" s="14">
        <v>600000</v>
      </c>
    </row>
    <row r="6" spans="1:4" ht="30">
      <c r="A6" s="12" t="s">
        <v>10</v>
      </c>
      <c r="B6" s="13" t="s">
        <v>11</v>
      </c>
      <c r="C6" s="14"/>
    </row>
    <row r="7" spans="1:4" ht="30">
      <c r="A7" s="12" t="s">
        <v>12</v>
      </c>
      <c r="B7" s="13" t="s">
        <v>13</v>
      </c>
      <c r="C7" s="14">
        <v>360000</v>
      </c>
    </row>
    <row r="8" spans="1:4" ht="30">
      <c r="A8" s="12" t="s">
        <v>14</v>
      </c>
      <c r="B8" s="13" t="s">
        <v>15</v>
      </c>
      <c r="C8" s="14">
        <v>270000</v>
      </c>
    </row>
    <row r="9" spans="1:4" ht="30">
      <c r="A9" s="5"/>
      <c r="B9" s="19" t="s">
        <v>16</v>
      </c>
      <c r="C9" s="7">
        <v>0.17524946262315544</v>
      </c>
    </row>
    <row r="10" spans="1:4" s="5" customFormat="1">
      <c r="A10" s="3"/>
      <c r="B10" s="4"/>
      <c r="C10" s="7"/>
    </row>
    <row r="11" spans="1:4" s="5" customFormat="1">
      <c r="B11" s="4"/>
      <c r="C11" s="7"/>
    </row>
    <row r="12" spans="1:4" ht="15.75">
      <c r="A12" s="16" t="s">
        <v>17</v>
      </c>
      <c r="B12" s="17"/>
      <c r="C12" s="18">
        <v>2780175</v>
      </c>
      <c r="D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4"/>
  <sheetViews>
    <sheetView topLeftCell="L1" zoomScale="85" zoomScaleNormal="85" workbookViewId="0">
      <selection activeCell="U36" sqref="U36"/>
    </sheetView>
  </sheetViews>
  <sheetFormatPr baseColWidth="10" defaultRowHeight="15"/>
  <cols>
    <col min="2" max="2" width="4.42578125" bestFit="1" customWidth="1"/>
    <col min="4" max="4" width="19.85546875" style="5" customWidth="1"/>
    <col min="5" max="5" width="12.7109375" bestFit="1" customWidth="1"/>
    <col min="6" max="7" width="12.7109375" style="5" customWidth="1"/>
    <col min="8" max="8" width="15.85546875" bestFit="1" customWidth="1"/>
    <col min="9" max="9" width="29.85546875" customWidth="1"/>
    <col min="10" max="10" width="29.85546875" style="5" customWidth="1"/>
    <col min="23" max="28" width="11.42578125" customWidth="1"/>
  </cols>
  <sheetData>
    <row r="1" spans="1:28">
      <c r="C1" s="5" t="s">
        <v>24</v>
      </c>
      <c r="F1" s="22" t="s">
        <v>28</v>
      </c>
      <c r="H1" s="5" t="s">
        <v>29</v>
      </c>
      <c r="K1" s="5" t="s">
        <v>30</v>
      </c>
    </row>
    <row r="2" spans="1:28">
      <c r="A2" s="2">
        <v>39777</v>
      </c>
      <c r="B2" s="5" t="s">
        <v>18</v>
      </c>
      <c r="C2" s="5">
        <v>100</v>
      </c>
      <c r="D2" s="5" t="s">
        <v>23</v>
      </c>
      <c r="E2" s="5"/>
      <c r="F2"/>
      <c r="H2" s="10">
        <f>+DAYS360(A2,A4)/30</f>
        <v>3.7666666666666666</v>
      </c>
    </row>
    <row r="3" spans="1:28">
      <c r="A3" s="2"/>
      <c r="C3">
        <v>500</v>
      </c>
      <c r="D3" s="5" t="s">
        <v>20</v>
      </c>
      <c r="E3" s="5"/>
      <c r="F3"/>
      <c r="J3" s="5" t="s">
        <v>78</v>
      </c>
    </row>
    <row r="4" spans="1:28">
      <c r="A4" s="2">
        <v>39890</v>
      </c>
      <c r="B4" s="5" t="s">
        <v>18</v>
      </c>
      <c r="C4">
        <v>300</v>
      </c>
      <c r="D4" s="5" t="s">
        <v>25</v>
      </c>
      <c r="J4" s="5" t="s">
        <v>77</v>
      </c>
      <c r="K4">
        <f>+$F$5+$F$7+K14</f>
        <v>3135</v>
      </c>
      <c r="L4" s="5">
        <f t="shared" ref="L4:U4" si="0">+$F$5+$F$7+L14</f>
        <v>3275</v>
      </c>
      <c r="M4" s="5">
        <f t="shared" si="0"/>
        <v>3290</v>
      </c>
      <c r="N4" s="5">
        <f t="shared" si="0"/>
        <v>3367.5</v>
      </c>
      <c r="O4" s="5">
        <f t="shared" si="0"/>
        <v>3437.5</v>
      </c>
      <c r="P4" s="5">
        <f t="shared" si="0"/>
        <v>3500</v>
      </c>
      <c r="Q4" s="5">
        <f t="shared" si="0"/>
        <v>3555</v>
      </c>
      <c r="R4" s="5">
        <f t="shared" si="0"/>
        <v>3602.5</v>
      </c>
      <c r="S4" s="5">
        <f t="shared" si="0"/>
        <v>3602.5</v>
      </c>
      <c r="T4" s="5">
        <f t="shared" si="0"/>
        <v>3602.5</v>
      </c>
      <c r="U4" s="5">
        <f t="shared" si="0"/>
        <v>3602.5</v>
      </c>
    </row>
    <row r="5" spans="1:28">
      <c r="A5" s="2"/>
      <c r="C5">
        <v>750</v>
      </c>
      <c r="D5" s="5" t="s">
        <v>20</v>
      </c>
      <c r="E5" s="5"/>
      <c r="F5">
        <v>1550</v>
      </c>
    </row>
    <row r="6" spans="1:28" ht="15.75" thickBot="1">
      <c r="A6" s="2"/>
      <c r="C6">
        <v>100</v>
      </c>
      <c r="D6" s="5" t="s">
        <v>23</v>
      </c>
      <c r="F6" s="21">
        <f>+C2+C3+C4+C5+C6</f>
        <v>1750</v>
      </c>
      <c r="H6">
        <f>+F6/H2</f>
        <v>464.60176991150445</v>
      </c>
      <c r="J6" s="5">
        <v>12</v>
      </c>
      <c r="K6">
        <v>13</v>
      </c>
      <c r="L6">
        <v>14</v>
      </c>
      <c r="M6" s="5">
        <v>15</v>
      </c>
      <c r="N6" s="5">
        <v>16</v>
      </c>
      <c r="O6" s="5">
        <v>17</v>
      </c>
      <c r="P6" s="5">
        <v>18</v>
      </c>
      <c r="Q6" s="5">
        <v>19</v>
      </c>
      <c r="R6" s="5">
        <v>20</v>
      </c>
      <c r="S6" s="5">
        <v>21</v>
      </c>
      <c r="T6" s="5">
        <v>22</v>
      </c>
      <c r="U6" s="5">
        <v>23</v>
      </c>
    </row>
    <row r="7" spans="1:28" ht="15.75" thickBot="1">
      <c r="A7" s="2">
        <v>40248</v>
      </c>
      <c r="B7" s="5" t="s">
        <v>21</v>
      </c>
      <c r="C7">
        <v>600</v>
      </c>
      <c r="D7" s="5" t="s">
        <v>19</v>
      </c>
      <c r="F7" s="21">
        <f>+C7</f>
        <v>600</v>
      </c>
      <c r="H7">
        <f>+(DAYS360(A7,A8)/30)</f>
        <v>30.066666666666666</v>
      </c>
      <c r="J7" s="29">
        <v>41548</v>
      </c>
      <c r="K7" s="29">
        <v>41579</v>
      </c>
      <c r="L7" s="30">
        <v>41609</v>
      </c>
      <c r="M7" s="30">
        <v>41640</v>
      </c>
      <c r="N7" s="30">
        <v>41671</v>
      </c>
      <c r="O7" s="30">
        <v>41699</v>
      </c>
      <c r="P7" s="30">
        <v>41730</v>
      </c>
      <c r="Q7" s="30">
        <v>41760</v>
      </c>
      <c r="R7" s="30">
        <v>41791</v>
      </c>
      <c r="S7" s="30">
        <v>41821</v>
      </c>
      <c r="T7" s="30">
        <v>41852</v>
      </c>
      <c r="U7" s="31">
        <v>41883</v>
      </c>
      <c r="W7" s="35">
        <v>1</v>
      </c>
      <c r="X7">
        <f>1/6*W7</f>
        <v>0.16666666666666666</v>
      </c>
    </row>
    <row r="8" spans="1:28">
      <c r="A8" s="2">
        <v>41165</v>
      </c>
      <c r="B8" s="5" t="s">
        <v>22</v>
      </c>
      <c r="C8">
        <v>40</v>
      </c>
      <c r="D8" s="5" t="s">
        <v>26</v>
      </c>
      <c r="E8" s="5">
        <f>+C8*13</f>
        <v>520</v>
      </c>
      <c r="F8"/>
      <c r="I8" s="5" t="s">
        <v>65</v>
      </c>
      <c r="J8" s="27">
        <f>+$C$8*(J6-3)</f>
        <v>360</v>
      </c>
      <c r="K8" s="27">
        <f t="shared" ref="K8" si="1">+$C$8*(K6-3)</f>
        <v>400</v>
      </c>
      <c r="L8" s="27">
        <f>+$C$9*(L6-3)</f>
        <v>495</v>
      </c>
      <c r="M8" s="27">
        <f t="shared" ref="M8:U8" si="2">+$C$9*(M6-3)</f>
        <v>540</v>
      </c>
      <c r="N8" s="27">
        <f t="shared" si="2"/>
        <v>585</v>
      </c>
      <c r="O8" s="27">
        <f t="shared" si="2"/>
        <v>630</v>
      </c>
      <c r="P8" s="27">
        <f t="shared" si="2"/>
        <v>675</v>
      </c>
      <c r="Q8" s="27">
        <f t="shared" si="2"/>
        <v>720</v>
      </c>
      <c r="R8" s="27">
        <f t="shared" si="2"/>
        <v>765</v>
      </c>
      <c r="S8" s="27">
        <f t="shared" si="2"/>
        <v>810</v>
      </c>
      <c r="T8" s="27">
        <f t="shared" si="2"/>
        <v>855</v>
      </c>
      <c r="U8" s="28">
        <f t="shared" si="2"/>
        <v>900</v>
      </c>
      <c r="W8">
        <v>2</v>
      </c>
      <c r="X8" s="5">
        <f t="shared" ref="X8:X12" si="3">1/6*W8</f>
        <v>0.33333333333333331</v>
      </c>
    </row>
    <row r="9" spans="1:28" ht="15.75" thickBot="1">
      <c r="C9">
        <v>45</v>
      </c>
      <c r="D9" s="5" t="s">
        <v>27</v>
      </c>
      <c r="E9" s="5">
        <f>+C9*13</f>
        <v>585</v>
      </c>
      <c r="I9" s="5" t="s">
        <v>20</v>
      </c>
      <c r="J9" s="25">
        <f>+$C$9*J6</f>
        <v>540</v>
      </c>
      <c r="K9" s="25">
        <f t="shared" ref="K9:L9" si="4">+$C$9*K6</f>
        <v>585</v>
      </c>
      <c r="L9" s="26">
        <f t="shared" si="4"/>
        <v>630</v>
      </c>
      <c r="M9" s="26">
        <f>+$C$8*M6</f>
        <v>600</v>
      </c>
      <c r="N9" s="26">
        <f t="shared" ref="N9:U9" si="5">+$C$8*N6</f>
        <v>640</v>
      </c>
      <c r="O9" s="26">
        <f t="shared" si="5"/>
        <v>680</v>
      </c>
      <c r="P9" s="26">
        <f t="shared" si="5"/>
        <v>720</v>
      </c>
      <c r="Q9" s="26">
        <f t="shared" si="5"/>
        <v>760</v>
      </c>
      <c r="R9" s="26">
        <f t="shared" si="5"/>
        <v>800</v>
      </c>
      <c r="S9" s="26">
        <f t="shared" si="5"/>
        <v>840</v>
      </c>
      <c r="T9" s="26">
        <f t="shared" si="5"/>
        <v>880</v>
      </c>
      <c r="U9" s="26">
        <f t="shared" si="5"/>
        <v>920</v>
      </c>
      <c r="W9">
        <v>3</v>
      </c>
      <c r="X9" s="5">
        <f t="shared" si="3"/>
        <v>0.5</v>
      </c>
      <c r="AA9" s="5"/>
      <c r="AB9" s="5"/>
    </row>
    <row r="10" spans="1:28">
      <c r="A10" s="5" t="s">
        <v>70</v>
      </c>
      <c r="F10" s="21"/>
      <c r="I10" s="5" t="s">
        <v>31</v>
      </c>
      <c r="K10" s="23"/>
      <c r="L10" s="24">
        <f>+L8</f>
        <v>495</v>
      </c>
      <c r="M10" s="33">
        <f>+L10+($C$9*AB15)</f>
        <v>540</v>
      </c>
      <c r="N10" s="33">
        <f>+M10+($C$9*AA15)</f>
        <v>577.5</v>
      </c>
      <c r="O10" s="33">
        <f>+N10+($C$9*Z15)</f>
        <v>607.5</v>
      </c>
      <c r="P10" s="33">
        <f>+O10+($C$9*Y15)</f>
        <v>630</v>
      </c>
      <c r="Q10" s="33">
        <f>+P10+($C$9*X15)</f>
        <v>645</v>
      </c>
      <c r="R10" s="33">
        <f>+Q10+($C$9*W15)</f>
        <v>652.5</v>
      </c>
      <c r="S10" s="33"/>
      <c r="T10" s="33"/>
      <c r="U10" s="33"/>
      <c r="V10" s="5"/>
      <c r="W10">
        <v>4</v>
      </c>
      <c r="X10" s="5">
        <f t="shared" si="3"/>
        <v>0.66666666666666663</v>
      </c>
    </row>
    <row r="11" spans="1:28" ht="15.75" thickBot="1">
      <c r="I11" s="5" t="s">
        <v>32</v>
      </c>
      <c r="K11" s="25"/>
      <c r="L11" s="26">
        <f>+L8</f>
        <v>495</v>
      </c>
      <c r="M11" s="34">
        <f>+M8</f>
        <v>540</v>
      </c>
      <c r="N11" s="34">
        <f>+N8</f>
        <v>585</v>
      </c>
      <c r="O11" s="34">
        <f>+O8</f>
        <v>630</v>
      </c>
      <c r="P11" s="34">
        <f>+O11+($C$9*AB15)</f>
        <v>675</v>
      </c>
      <c r="Q11" s="34">
        <f>+P11+($C$9*AA15)</f>
        <v>712.5</v>
      </c>
      <c r="R11" s="34">
        <f>+Q11+($C$9*Z15)</f>
        <v>742.5</v>
      </c>
      <c r="S11" s="34">
        <f>+R11+($C$9*Y15)</f>
        <v>765</v>
      </c>
      <c r="T11" s="34">
        <f>+S11+($C$9*X15)</f>
        <v>780</v>
      </c>
      <c r="U11" s="34">
        <f>+T11+($C$9*W15)</f>
        <v>787.5</v>
      </c>
      <c r="V11" s="5"/>
      <c r="W11">
        <v>5</v>
      </c>
      <c r="X11" s="5">
        <f t="shared" si="3"/>
        <v>0.83333333333333326</v>
      </c>
    </row>
    <row r="12" spans="1:28">
      <c r="W12">
        <v>6</v>
      </c>
      <c r="X12" s="5">
        <f t="shared" si="3"/>
        <v>1</v>
      </c>
    </row>
    <row r="13" spans="1:28">
      <c r="A13" s="5" t="s">
        <v>71</v>
      </c>
      <c r="B13" s="5" t="s">
        <v>66</v>
      </c>
      <c r="I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8">
      <c r="B14" s="5" t="s">
        <v>67</v>
      </c>
      <c r="H14" s="5" t="s">
        <v>96</v>
      </c>
      <c r="I14" s="5" t="s">
        <v>69</v>
      </c>
      <c r="J14" s="5">
        <f>+J8+J9</f>
        <v>900</v>
      </c>
      <c r="K14" s="5">
        <f>+K8+K9</f>
        <v>985</v>
      </c>
      <c r="L14" s="5">
        <f>+L8+L9</f>
        <v>1125</v>
      </c>
      <c r="M14" s="8">
        <f>+M9+M10</f>
        <v>1140</v>
      </c>
      <c r="N14" s="8">
        <f t="shared" ref="N14:R14" si="6">+N9+N10</f>
        <v>1217.5</v>
      </c>
      <c r="O14" s="8">
        <f t="shared" si="6"/>
        <v>1287.5</v>
      </c>
      <c r="P14" s="8">
        <f t="shared" si="6"/>
        <v>1350</v>
      </c>
      <c r="Q14" s="8">
        <f t="shared" si="6"/>
        <v>1405</v>
      </c>
      <c r="R14" s="8">
        <f t="shared" si="6"/>
        <v>1452.5</v>
      </c>
      <c r="S14" s="8">
        <f>+R14</f>
        <v>1452.5</v>
      </c>
      <c r="T14" s="8">
        <f>+S14</f>
        <v>1452.5</v>
      </c>
      <c r="U14" s="8">
        <f>+T14</f>
        <v>1452.5</v>
      </c>
      <c r="W14">
        <v>1</v>
      </c>
      <c r="X14">
        <v>2</v>
      </c>
      <c r="Y14">
        <v>3</v>
      </c>
      <c r="Z14" s="5">
        <v>4</v>
      </c>
      <c r="AA14" s="5">
        <v>5</v>
      </c>
      <c r="AB14" s="5">
        <v>6</v>
      </c>
    </row>
    <row r="15" spans="1:28">
      <c r="H15" s="5" t="s">
        <v>97</v>
      </c>
      <c r="I15" s="5" t="s">
        <v>33</v>
      </c>
      <c r="J15" s="5">
        <f t="shared" ref="J15:O15" si="7">+J8+J9</f>
        <v>900</v>
      </c>
      <c r="K15" s="5">
        <f t="shared" si="7"/>
        <v>985</v>
      </c>
      <c r="L15" s="5">
        <f t="shared" si="7"/>
        <v>1125</v>
      </c>
      <c r="M15">
        <f t="shared" si="7"/>
        <v>1140</v>
      </c>
      <c r="N15" s="5">
        <f t="shared" si="7"/>
        <v>1225</v>
      </c>
      <c r="O15" s="5">
        <f t="shared" si="7"/>
        <v>1310</v>
      </c>
      <c r="P15" s="10">
        <f>+P9+P11</f>
        <v>1395</v>
      </c>
      <c r="Q15" s="10">
        <f t="shared" ref="Q15:U15" si="8">+Q9+Q11</f>
        <v>1472.5</v>
      </c>
      <c r="R15" s="10">
        <f t="shared" si="8"/>
        <v>1542.5</v>
      </c>
      <c r="S15" s="10">
        <f t="shared" si="8"/>
        <v>1605</v>
      </c>
      <c r="T15" s="10">
        <f t="shared" si="8"/>
        <v>1660</v>
      </c>
      <c r="U15" s="10">
        <f t="shared" si="8"/>
        <v>1707.5</v>
      </c>
      <c r="W15">
        <f>+W14/6</f>
        <v>0.16666666666666666</v>
      </c>
      <c r="X15" s="5">
        <f t="shared" ref="X15:AB15" si="9">+X14/6</f>
        <v>0.33333333333333331</v>
      </c>
      <c r="Y15" s="5">
        <f t="shared" si="9"/>
        <v>0.5</v>
      </c>
      <c r="Z15" s="5">
        <f t="shared" si="9"/>
        <v>0.66666666666666663</v>
      </c>
      <c r="AA15" s="5">
        <f t="shared" si="9"/>
        <v>0.83333333333333337</v>
      </c>
      <c r="AB15" s="5">
        <f t="shared" si="9"/>
        <v>1</v>
      </c>
    </row>
    <row r="16" spans="1:28">
      <c r="F16" s="5">
        <v>900</v>
      </c>
      <c r="I16" s="32" t="s">
        <v>18</v>
      </c>
      <c r="J16" s="32">
        <v>1550</v>
      </c>
      <c r="K16" s="32">
        <v>1550</v>
      </c>
      <c r="L16" s="32">
        <v>1550</v>
      </c>
      <c r="M16" s="32">
        <v>1550</v>
      </c>
      <c r="N16" s="32">
        <v>1550</v>
      </c>
      <c r="O16" s="32">
        <v>1550</v>
      </c>
      <c r="P16" s="32">
        <v>1550</v>
      </c>
      <c r="Q16" s="32">
        <v>1550</v>
      </c>
      <c r="R16" s="32">
        <v>1550</v>
      </c>
      <c r="S16" s="32">
        <v>1550</v>
      </c>
      <c r="T16" s="32">
        <v>1550</v>
      </c>
      <c r="U16" s="32">
        <v>1550</v>
      </c>
      <c r="V16" s="32">
        <v>1550</v>
      </c>
      <c r="W16" s="32">
        <v>1550</v>
      </c>
      <c r="X16" s="32">
        <v>1550</v>
      </c>
    </row>
    <row r="17" spans="5:33">
      <c r="I17" s="32" t="s">
        <v>21</v>
      </c>
      <c r="J17" s="32">
        <v>600</v>
      </c>
      <c r="K17">
        <v>600</v>
      </c>
      <c r="L17" s="5">
        <v>600</v>
      </c>
      <c r="M17" s="5">
        <v>600</v>
      </c>
      <c r="N17" s="5">
        <v>600</v>
      </c>
      <c r="O17" s="5">
        <v>600</v>
      </c>
      <c r="P17" s="5">
        <v>600</v>
      </c>
      <c r="Q17" s="5">
        <v>600</v>
      </c>
      <c r="R17" s="5">
        <v>600</v>
      </c>
      <c r="S17" s="5">
        <v>600</v>
      </c>
      <c r="T17" s="5">
        <v>600</v>
      </c>
      <c r="U17" s="5">
        <v>600</v>
      </c>
      <c r="V17" s="5">
        <v>600</v>
      </c>
      <c r="W17" s="5">
        <v>600</v>
      </c>
      <c r="X17" s="5">
        <v>600</v>
      </c>
      <c r="Y17">
        <v>4</v>
      </c>
      <c r="Z17" s="5">
        <v>3</v>
      </c>
      <c r="AA17" s="5">
        <v>2</v>
      </c>
      <c r="AB17" s="5">
        <v>1</v>
      </c>
    </row>
    <row r="18" spans="5:33">
      <c r="E18" s="5" t="s">
        <v>76</v>
      </c>
      <c r="F18" s="5">
        <f>+F5+F7+F16</f>
        <v>3050</v>
      </c>
    </row>
    <row r="19" spans="5:33" hidden="1">
      <c r="K19" s="3">
        <v>39753</v>
      </c>
      <c r="L19" s="3">
        <v>39783</v>
      </c>
      <c r="M19" s="3">
        <v>39814</v>
      </c>
      <c r="N19" s="3">
        <v>39845</v>
      </c>
      <c r="O19" s="3">
        <v>39873</v>
      </c>
      <c r="P19" s="3">
        <v>39904</v>
      </c>
      <c r="Q19" s="3">
        <v>39934</v>
      </c>
      <c r="R19" s="3">
        <v>39965</v>
      </c>
      <c r="S19" s="3">
        <v>39995</v>
      </c>
      <c r="T19" s="3">
        <v>40026</v>
      </c>
      <c r="U19" s="3">
        <v>40057</v>
      </c>
      <c r="V19" s="3">
        <v>40087</v>
      </c>
    </row>
    <row r="20" spans="5:33" hidden="1">
      <c r="I20" s="5" t="s">
        <v>18</v>
      </c>
      <c r="K20" s="8">
        <f t="shared" ref="K20:T20" si="10">+L20-$V$24</f>
        <v>1750</v>
      </c>
      <c r="L20" s="8">
        <f t="shared" si="10"/>
        <v>1750</v>
      </c>
      <c r="M20" s="8">
        <f t="shared" si="10"/>
        <v>1750</v>
      </c>
      <c r="N20" s="8">
        <f t="shared" si="10"/>
        <v>1750</v>
      </c>
      <c r="O20" s="8">
        <f t="shared" si="10"/>
        <v>1750</v>
      </c>
      <c r="P20" s="8">
        <f t="shared" si="10"/>
        <v>1750</v>
      </c>
      <c r="Q20" s="8">
        <f t="shared" si="10"/>
        <v>1750</v>
      </c>
      <c r="R20" s="8">
        <f t="shared" si="10"/>
        <v>1750</v>
      </c>
      <c r="S20" s="8">
        <f t="shared" si="10"/>
        <v>1750</v>
      </c>
      <c r="T20" s="8">
        <f t="shared" si="10"/>
        <v>1750</v>
      </c>
      <c r="U20" s="8">
        <f>+V20-$V$24</f>
        <v>1750</v>
      </c>
      <c r="V20">
        <v>1750</v>
      </c>
    </row>
    <row r="21" spans="5:33" hidden="1">
      <c r="I21" s="5" t="s">
        <v>21</v>
      </c>
      <c r="K21" s="5">
        <f t="shared" ref="K21:X21" si="11">+L21-$Z$23</f>
        <v>37.5</v>
      </c>
      <c r="L21" s="5">
        <f t="shared" si="11"/>
        <v>75</v>
      </c>
      <c r="M21" s="5">
        <f t="shared" si="11"/>
        <v>112.5</v>
      </c>
      <c r="N21" s="5">
        <f t="shared" si="11"/>
        <v>150</v>
      </c>
      <c r="O21" s="5">
        <f t="shared" si="11"/>
        <v>187.5</v>
      </c>
      <c r="P21" s="5">
        <f t="shared" si="11"/>
        <v>225</v>
      </c>
      <c r="Q21" s="5">
        <f t="shared" si="11"/>
        <v>262.5</v>
      </c>
      <c r="R21" s="5">
        <f t="shared" si="11"/>
        <v>300</v>
      </c>
      <c r="S21" s="5">
        <f t="shared" si="11"/>
        <v>337.5</v>
      </c>
      <c r="T21" s="5">
        <f t="shared" si="11"/>
        <v>375</v>
      </c>
      <c r="U21" s="5">
        <f t="shared" si="11"/>
        <v>412.5</v>
      </c>
      <c r="V21" s="5">
        <f t="shared" si="11"/>
        <v>450</v>
      </c>
      <c r="W21" s="5">
        <f t="shared" si="11"/>
        <v>487.5</v>
      </c>
      <c r="X21" s="5">
        <f t="shared" si="11"/>
        <v>525</v>
      </c>
      <c r="Y21">
        <f>+Z21-$Z$23</f>
        <v>562.5</v>
      </c>
      <c r="Z21">
        <v>600</v>
      </c>
    </row>
    <row r="22" spans="5:33" hidden="1">
      <c r="K22" s="3">
        <v>40238</v>
      </c>
      <c r="L22" s="3">
        <v>40269</v>
      </c>
      <c r="M22" s="3">
        <v>40299</v>
      </c>
      <c r="N22" s="3">
        <v>40330</v>
      </c>
      <c r="O22" s="3">
        <v>40360</v>
      </c>
      <c r="P22" s="3">
        <v>40391</v>
      </c>
      <c r="Q22" s="3">
        <v>40422</v>
      </c>
      <c r="R22" s="3">
        <v>40452</v>
      </c>
      <c r="S22" s="3">
        <v>40483</v>
      </c>
      <c r="T22" s="3">
        <v>40513</v>
      </c>
      <c r="U22" s="3">
        <v>40544</v>
      </c>
      <c r="V22" s="3">
        <v>40575</v>
      </c>
      <c r="W22" s="3">
        <v>40603</v>
      </c>
      <c r="X22" s="3">
        <v>40634</v>
      </c>
      <c r="Y22" s="3">
        <v>40664</v>
      </c>
      <c r="Z22" s="3">
        <v>40695</v>
      </c>
    </row>
    <row r="23" spans="5:33" hidden="1">
      <c r="Z23">
        <f>+Z21/16</f>
        <v>37.5</v>
      </c>
    </row>
    <row r="25" spans="5:33" s="54" customFormat="1">
      <c r="I25" s="54" t="s">
        <v>85</v>
      </c>
      <c r="J25" s="55">
        <v>41548</v>
      </c>
      <c r="K25" s="55">
        <v>41579</v>
      </c>
      <c r="L25" s="55">
        <v>41609</v>
      </c>
      <c r="M25" s="55">
        <v>41640</v>
      </c>
      <c r="N25" s="55">
        <v>41671</v>
      </c>
      <c r="O25" s="55">
        <v>41699</v>
      </c>
      <c r="P25" s="55">
        <v>41730</v>
      </c>
      <c r="Q25" s="55">
        <v>41760</v>
      </c>
      <c r="R25" s="55">
        <v>41791</v>
      </c>
      <c r="S25" s="55">
        <v>41821</v>
      </c>
      <c r="T25" s="55">
        <v>41852</v>
      </c>
      <c r="U25" s="55">
        <v>41883</v>
      </c>
      <c r="V25" s="55">
        <v>41913</v>
      </c>
      <c r="W25" s="55">
        <v>41944</v>
      </c>
      <c r="X25" s="55">
        <v>41974</v>
      </c>
      <c r="Y25" s="55">
        <v>42005</v>
      </c>
      <c r="Z25" s="55">
        <v>42036</v>
      </c>
      <c r="AA25" s="55">
        <v>42064</v>
      </c>
      <c r="AB25" s="55">
        <v>42095</v>
      </c>
      <c r="AC25" s="55">
        <v>42125</v>
      </c>
      <c r="AD25" s="55">
        <v>42156</v>
      </c>
      <c r="AE25" s="55">
        <v>42186</v>
      </c>
      <c r="AF25" s="55">
        <v>42217</v>
      </c>
      <c r="AG25" s="55">
        <v>42248</v>
      </c>
    </row>
    <row r="26" spans="5:33">
      <c r="I26" s="5" t="s">
        <v>20</v>
      </c>
      <c r="J26" s="5">
        <f>J9</f>
        <v>540</v>
      </c>
      <c r="K26">
        <f>J26+K28</f>
        <v>580</v>
      </c>
      <c r="L26" s="5">
        <f t="shared" ref="L26:U26" si="12">K26+L28</f>
        <v>620</v>
      </c>
      <c r="M26" s="5">
        <f t="shared" si="12"/>
        <v>660</v>
      </c>
      <c r="N26" s="5">
        <f t="shared" si="12"/>
        <v>700</v>
      </c>
      <c r="O26" s="5">
        <f t="shared" si="12"/>
        <v>740</v>
      </c>
      <c r="P26" s="5">
        <f t="shared" si="12"/>
        <v>780</v>
      </c>
      <c r="Q26" s="5">
        <f t="shared" si="12"/>
        <v>820</v>
      </c>
      <c r="R26" s="5">
        <f t="shared" si="12"/>
        <v>860</v>
      </c>
      <c r="S26" s="5">
        <f t="shared" si="12"/>
        <v>860</v>
      </c>
      <c r="T26" s="5">
        <f t="shared" si="12"/>
        <v>860</v>
      </c>
      <c r="U26" s="5">
        <f t="shared" si="12"/>
        <v>860</v>
      </c>
      <c r="V26" s="5">
        <f t="shared" ref="V26:X26" si="13">U26+V28</f>
        <v>860</v>
      </c>
      <c r="W26" s="5">
        <f t="shared" si="13"/>
        <v>860</v>
      </c>
      <c r="X26" s="5">
        <f t="shared" si="13"/>
        <v>860</v>
      </c>
    </row>
    <row r="27" spans="5:33">
      <c r="I27" s="5" t="s">
        <v>79</v>
      </c>
      <c r="J27" s="5">
        <f>J8</f>
        <v>360</v>
      </c>
      <c r="K27">
        <f>J27+K29</f>
        <v>405</v>
      </c>
      <c r="L27" s="5">
        <f t="shared" ref="L27:U27" si="14">K27+L29</f>
        <v>450</v>
      </c>
      <c r="M27" s="5">
        <f t="shared" si="14"/>
        <v>488.57142857142856</v>
      </c>
      <c r="N27" s="5">
        <f t="shared" si="14"/>
        <v>520.71428571428567</v>
      </c>
      <c r="O27" s="5">
        <f t="shared" si="14"/>
        <v>546.42857142857133</v>
      </c>
      <c r="P27" s="5">
        <f t="shared" si="14"/>
        <v>565.71428571428567</v>
      </c>
      <c r="Q27" s="5">
        <f t="shared" si="14"/>
        <v>578.57142857142856</v>
      </c>
      <c r="R27" s="5">
        <f t="shared" si="14"/>
        <v>585</v>
      </c>
      <c r="S27" s="5">
        <f t="shared" si="14"/>
        <v>585</v>
      </c>
      <c r="T27" s="5">
        <f t="shared" si="14"/>
        <v>585</v>
      </c>
      <c r="U27" s="5">
        <f t="shared" si="14"/>
        <v>585</v>
      </c>
      <c r="V27" s="5">
        <f t="shared" ref="V27:X27" si="15">U27+V29</f>
        <v>585</v>
      </c>
      <c r="W27" s="5">
        <f t="shared" si="15"/>
        <v>585</v>
      </c>
      <c r="X27" s="5">
        <f t="shared" si="15"/>
        <v>585</v>
      </c>
    </row>
    <row r="28" spans="5:33">
      <c r="I28" s="5" t="s">
        <v>80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0</v>
      </c>
      <c r="T28">
        <v>0</v>
      </c>
      <c r="U28">
        <v>0</v>
      </c>
      <c r="V28" s="5">
        <v>0</v>
      </c>
      <c r="W28" s="5">
        <v>0</v>
      </c>
      <c r="X28" s="5">
        <v>0</v>
      </c>
    </row>
    <row r="29" spans="5:33">
      <c r="I29" s="5" t="s">
        <v>81</v>
      </c>
      <c r="K29">
        <v>45</v>
      </c>
      <c r="L29">
        <v>45</v>
      </c>
      <c r="M29">
        <f>L29*6/7</f>
        <v>38.571428571428569</v>
      </c>
      <c r="N29">
        <f>L29*5/7</f>
        <v>32.142857142857146</v>
      </c>
      <c r="O29">
        <f>L29*4/7</f>
        <v>25.714285714285715</v>
      </c>
      <c r="P29">
        <f>L29*3/7</f>
        <v>19.285714285714285</v>
      </c>
      <c r="Q29">
        <f>L29*2/7</f>
        <v>12.857142857142858</v>
      </c>
      <c r="R29">
        <f>L29*(1/7)</f>
        <v>6.4285714285714279</v>
      </c>
      <c r="S29">
        <v>0</v>
      </c>
      <c r="T29">
        <v>0</v>
      </c>
      <c r="U29">
        <v>0</v>
      </c>
      <c r="V29" s="5">
        <v>0</v>
      </c>
      <c r="W29" s="5">
        <v>0</v>
      </c>
      <c r="X29" s="5">
        <v>0</v>
      </c>
    </row>
    <row r="30" spans="5:33" s="5" customFormat="1">
      <c r="I30" s="5" t="s">
        <v>28</v>
      </c>
      <c r="J30" s="5">
        <f>+J26+J27</f>
        <v>900</v>
      </c>
      <c r="K30" s="5">
        <f t="shared" ref="K30:U30" si="16">+K26+K27</f>
        <v>985</v>
      </c>
      <c r="L30" s="5">
        <f t="shared" si="16"/>
        <v>1070</v>
      </c>
      <c r="M30" s="5">
        <f t="shared" si="16"/>
        <v>1148.5714285714284</v>
      </c>
      <c r="N30" s="5">
        <f t="shared" si="16"/>
        <v>1220.7142857142858</v>
      </c>
      <c r="O30" s="5">
        <f t="shared" si="16"/>
        <v>1286.4285714285713</v>
      </c>
      <c r="P30" s="5">
        <f t="shared" si="16"/>
        <v>1345.7142857142858</v>
      </c>
      <c r="Q30" s="5">
        <f t="shared" si="16"/>
        <v>1398.5714285714284</v>
      </c>
      <c r="R30" s="5">
        <f t="shared" si="16"/>
        <v>1445</v>
      </c>
      <c r="S30" s="5">
        <f t="shared" si="16"/>
        <v>1445</v>
      </c>
      <c r="T30" s="5">
        <f t="shared" si="16"/>
        <v>1445</v>
      </c>
      <c r="U30" s="5">
        <f t="shared" si="16"/>
        <v>1445</v>
      </c>
      <c r="V30" s="5">
        <f t="shared" ref="V30:X30" si="17">+V26+V27</f>
        <v>1445</v>
      </c>
      <c r="W30" s="5">
        <f t="shared" si="17"/>
        <v>1445</v>
      </c>
      <c r="X30" s="5">
        <f t="shared" si="17"/>
        <v>1445</v>
      </c>
    </row>
    <row r="31" spans="5:33" s="5" customFormat="1"/>
    <row r="32" spans="5:33">
      <c r="I32" s="5" t="s">
        <v>84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8:30">
      <c r="I33" s="5" t="s">
        <v>20</v>
      </c>
      <c r="J33" s="5">
        <f>J8</f>
        <v>360</v>
      </c>
      <c r="K33" s="5">
        <f>J33+K35</f>
        <v>400</v>
      </c>
      <c r="L33" s="5">
        <f t="shared" ref="L33:U33" si="18">K33+L35</f>
        <v>440</v>
      </c>
      <c r="M33" s="5">
        <f t="shared" si="18"/>
        <v>480</v>
      </c>
      <c r="N33" s="5">
        <f t="shared" si="18"/>
        <v>520</v>
      </c>
      <c r="O33" s="5">
        <f t="shared" si="18"/>
        <v>560</v>
      </c>
      <c r="P33" s="5">
        <f t="shared" si="18"/>
        <v>600</v>
      </c>
      <c r="Q33" s="5">
        <f t="shared" si="18"/>
        <v>640</v>
      </c>
      <c r="R33" s="5">
        <f t="shared" si="18"/>
        <v>680</v>
      </c>
      <c r="S33" s="5">
        <f t="shared" si="18"/>
        <v>720</v>
      </c>
      <c r="T33" s="5">
        <f t="shared" si="18"/>
        <v>760</v>
      </c>
      <c r="U33" s="5">
        <f t="shared" si="18"/>
        <v>800</v>
      </c>
      <c r="V33" s="5">
        <f t="shared" ref="V33:X33" si="19">U33+V35</f>
        <v>800</v>
      </c>
      <c r="W33" s="5">
        <f t="shared" si="19"/>
        <v>800</v>
      </c>
      <c r="X33" s="5">
        <f t="shared" si="19"/>
        <v>800</v>
      </c>
    </row>
    <row r="34" spans="8:30">
      <c r="I34" s="5" t="s">
        <v>79</v>
      </c>
      <c r="J34" s="5">
        <f>J9</f>
        <v>540</v>
      </c>
      <c r="K34" s="5">
        <f>J34+K36</f>
        <v>585</v>
      </c>
      <c r="L34" s="5">
        <f t="shared" ref="L34:U34" si="20">K34+L36</f>
        <v>630</v>
      </c>
      <c r="M34" s="5">
        <f t="shared" si="20"/>
        <v>675</v>
      </c>
      <c r="N34" s="5">
        <f t="shared" si="20"/>
        <v>720</v>
      </c>
      <c r="O34" s="5">
        <f t="shared" si="20"/>
        <v>765</v>
      </c>
      <c r="P34" s="5">
        <f t="shared" si="20"/>
        <v>803.57142857142856</v>
      </c>
      <c r="Q34" s="5">
        <f t="shared" si="20"/>
        <v>835.71428571428567</v>
      </c>
      <c r="R34" s="5">
        <f t="shared" si="20"/>
        <v>861.42857142857133</v>
      </c>
      <c r="S34" s="5">
        <f t="shared" si="20"/>
        <v>880.71428571428567</v>
      </c>
      <c r="T34" s="5">
        <f t="shared" si="20"/>
        <v>893.57142857142856</v>
      </c>
      <c r="U34" s="5">
        <f t="shared" si="20"/>
        <v>900</v>
      </c>
      <c r="V34" s="5">
        <f t="shared" ref="V34:X34" si="21">U34+V36</f>
        <v>900</v>
      </c>
      <c r="W34" s="5">
        <f t="shared" si="21"/>
        <v>900</v>
      </c>
      <c r="X34" s="5">
        <f t="shared" si="21"/>
        <v>900</v>
      </c>
    </row>
    <row r="35" spans="8:30">
      <c r="I35" s="5" t="s">
        <v>20</v>
      </c>
      <c r="K35" s="5">
        <v>40</v>
      </c>
      <c r="L35" s="5">
        <v>40</v>
      </c>
      <c r="M35" s="5">
        <v>40</v>
      </c>
      <c r="N35" s="5">
        <v>40</v>
      </c>
      <c r="O35" s="5">
        <v>40</v>
      </c>
      <c r="P35" s="5">
        <v>40</v>
      </c>
      <c r="Q35" s="5">
        <v>40</v>
      </c>
      <c r="R35" s="5">
        <v>40</v>
      </c>
      <c r="S35" s="5">
        <v>40</v>
      </c>
      <c r="T35" s="5">
        <v>40</v>
      </c>
      <c r="U35" s="5">
        <v>40</v>
      </c>
      <c r="V35">
        <v>0</v>
      </c>
    </row>
    <row r="36" spans="8:30">
      <c r="I36" s="5" t="s">
        <v>79</v>
      </c>
      <c r="K36" s="5">
        <v>45</v>
      </c>
      <c r="L36" s="5">
        <v>45</v>
      </c>
      <c r="M36" s="5">
        <v>45</v>
      </c>
      <c r="N36" s="5">
        <v>45</v>
      </c>
      <c r="O36" s="5">
        <v>45</v>
      </c>
      <c r="P36" s="5">
        <f>L36*6/7</f>
        <v>38.571428571428569</v>
      </c>
      <c r="Q36" s="5">
        <f>L36*5/7</f>
        <v>32.142857142857146</v>
      </c>
      <c r="R36" s="5">
        <f>L36*(4/7)</f>
        <v>25.714285714285712</v>
      </c>
      <c r="S36" s="5">
        <f>M36*(3/7)</f>
        <v>19.285714285714285</v>
      </c>
      <c r="T36" s="5">
        <f>N36*(2/7)</f>
        <v>12.857142857142856</v>
      </c>
      <c r="U36" s="5">
        <f>O36*(1/7)</f>
        <v>6.4285714285714279</v>
      </c>
      <c r="V36">
        <v>0</v>
      </c>
    </row>
    <row r="37" spans="8:30">
      <c r="I37" s="5" t="s">
        <v>28</v>
      </c>
      <c r="J37" s="5">
        <f>+J33+J34</f>
        <v>900</v>
      </c>
      <c r="K37" s="5">
        <f t="shared" ref="K37:X37" si="22">+K33+K34</f>
        <v>985</v>
      </c>
      <c r="L37" s="5">
        <f t="shared" si="22"/>
        <v>1070</v>
      </c>
      <c r="M37" s="5">
        <f t="shared" si="22"/>
        <v>1155</v>
      </c>
      <c r="N37" s="5">
        <f t="shared" si="22"/>
        <v>1240</v>
      </c>
      <c r="O37" s="5">
        <f t="shared" si="22"/>
        <v>1325</v>
      </c>
      <c r="P37" s="5">
        <f t="shared" si="22"/>
        <v>1403.5714285714284</v>
      </c>
      <c r="Q37" s="5">
        <f t="shared" si="22"/>
        <v>1475.7142857142858</v>
      </c>
      <c r="R37" s="5">
        <f t="shared" si="22"/>
        <v>1541.4285714285713</v>
      </c>
      <c r="S37" s="5">
        <f t="shared" si="22"/>
        <v>1600.7142857142858</v>
      </c>
      <c r="T37" s="5">
        <f t="shared" si="22"/>
        <v>1653.5714285714284</v>
      </c>
      <c r="U37" s="5">
        <f t="shared" si="22"/>
        <v>1700</v>
      </c>
      <c r="V37" s="5">
        <f t="shared" si="22"/>
        <v>1700</v>
      </c>
      <c r="W37" s="5">
        <f t="shared" si="22"/>
        <v>1700</v>
      </c>
      <c r="X37" s="5">
        <f t="shared" si="22"/>
        <v>1700</v>
      </c>
    </row>
    <row r="39" spans="8:30">
      <c r="I39" s="5" t="s">
        <v>83</v>
      </c>
    </row>
    <row r="40" spans="8:30">
      <c r="I40" s="5" t="s">
        <v>20</v>
      </c>
      <c r="J40" s="5">
        <f>+J9</f>
        <v>540</v>
      </c>
      <c r="K40">
        <f>+J40+K42</f>
        <v>580</v>
      </c>
      <c r="L40">
        <f>+K40+L42</f>
        <v>620</v>
      </c>
      <c r="M40" s="5">
        <f t="shared" ref="M40:U40" si="23">+L40+M42</f>
        <v>660</v>
      </c>
      <c r="N40" s="5">
        <f t="shared" si="23"/>
        <v>700</v>
      </c>
      <c r="O40" s="5">
        <f t="shared" si="23"/>
        <v>740</v>
      </c>
      <c r="P40" s="5">
        <f t="shared" si="23"/>
        <v>780</v>
      </c>
      <c r="Q40" s="5">
        <f t="shared" si="23"/>
        <v>820</v>
      </c>
      <c r="R40" s="5">
        <f t="shared" si="23"/>
        <v>860</v>
      </c>
      <c r="S40" s="5">
        <f t="shared" si="23"/>
        <v>900</v>
      </c>
      <c r="T40" s="5">
        <f t="shared" si="23"/>
        <v>940</v>
      </c>
      <c r="U40" s="5">
        <f t="shared" si="23"/>
        <v>980</v>
      </c>
      <c r="V40" s="5">
        <f t="shared" ref="V40:X40" si="24">+U40+V42</f>
        <v>1020</v>
      </c>
      <c r="W40" s="5">
        <f t="shared" si="24"/>
        <v>1060</v>
      </c>
      <c r="X40" s="5">
        <f t="shared" si="24"/>
        <v>1100</v>
      </c>
      <c r="Y40" s="5"/>
      <c r="Z40" s="5"/>
      <c r="AA40" s="5"/>
      <c r="AB40" s="5"/>
      <c r="AC40" s="5"/>
      <c r="AD40" s="5"/>
    </row>
    <row r="41" spans="8:30">
      <c r="I41" s="5" t="s">
        <v>79</v>
      </c>
      <c r="J41" s="5">
        <f>+J8</f>
        <v>360</v>
      </c>
      <c r="K41">
        <f>+J41+K43</f>
        <v>405</v>
      </c>
      <c r="L41" s="5">
        <f t="shared" ref="L41:U41" si="25">+K41+L43</f>
        <v>450</v>
      </c>
      <c r="M41" s="5">
        <f t="shared" si="25"/>
        <v>495</v>
      </c>
      <c r="N41" s="5">
        <f t="shared" si="25"/>
        <v>540</v>
      </c>
      <c r="O41" s="5">
        <f t="shared" si="25"/>
        <v>585</v>
      </c>
      <c r="P41" s="5">
        <f t="shared" si="25"/>
        <v>630</v>
      </c>
      <c r="Q41" s="5">
        <f t="shared" si="25"/>
        <v>675</v>
      </c>
      <c r="R41" s="5">
        <f t="shared" si="25"/>
        <v>720</v>
      </c>
      <c r="S41" s="5">
        <f t="shared" si="25"/>
        <v>758.57142857142856</v>
      </c>
      <c r="T41" s="5">
        <f t="shared" si="25"/>
        <v>790.71428571428567</v>
      </c>
      <c r="U41" s="5">
        <f t="shared" si="25"/>
        <v>816.42857142857133</v>
      </c>
      <c r="V41" s="5">
        <f t="shared" ref="V41:X41" si="26">+U41+V43</f>
        <v>835.71428571428567</v>
      </c>
      <c r="W41" s="5">
        <f t="shared" si="26"/>
        <v>848.57142857142856</v>
      </c>
      <c r="X41" s="5">
        <f t="shared" si="26"/>
        <v>855</v>
      </c>
      <c r="Y41" s="5"/>
      <c r="Z41" s="5"/>
      <c r="AA41" s="5"/>
      <c r="AB41" s="5"/>
      <c r="AC41" s="5"/>
      <c r="AD41" s="5"/>
    </row>
    <row r="42" spans="8:30">
      <c r="I42" s="5" t="s">
        <v>80</v>
      </c>
      <c r="K42">
        <v>40</v>
      </c>
      <c r="L42" s="5">
        <v>40</v>
      </c>
      <c r="M42" s="5">
        <v>40</v>
      </c>
      <c r="N42" s="5">
        <v>40</v>
      </c>
      <c r="O42" s="5">
        <v>40</v>
      </c>
      <c r="P42" s="5">
        <v>40</v>
      </c>
      <c r="Q42" s="5">
        <v>40</v>
      </c>
      <c r="R42" s="5">
        <v>40</v>
      </c>
      <c r="S42" s="5">
        <v>40</v>
      </c>
      <c r="T42" s="5">
        <v>40</v>
      </c>
      <c r="U42" s="5">
        <v>40</v>
      </c>
      <c r="V42" s="5">
        <v>40</v>
      </c>
      <c r="W42" s="5">
        <v>40</v>
      </c>
      <c r="X42" s="5">
        <v>40</v>
      </c>
      <c r="Y42" s="5"/>
      <c r="Z42" s="5"/>
      <c r="AA42" s="5"/>
      <c r="AB42" s="5"/>
      <c r="AC42" s="5"/>
      <c r="AD42" s="5"/>
    </row>
    <row r="43" spans="8:30">
      <c r="I43" s="5" t="s">
        <v>81</v>
      </c>
      <c r="K43">
        <v>45</v>
      </c>
      <c r="L43">
        <v>45</v>
      </c>
      <c r="M43" s="5">
        <v>45</v>
      </c>
      <c r="N43" s="5">
        <v>45</v>
      </c>
      <c r="O43" s="5">
        <v>45</v>
      </c>
      <c r="P43" s="5">
        <v>45</v>
      </c>
      <c r="Q43" s="5">
        <v>45</v>
      </c>
      <c r="R43" s="5">
        <v>45</v>
      </c>
      <c r="S43">
        <f>+$R$43*(6/7)</f>
        <v>38.571428571428569</v>
      </c>
      <c r="T43" s="5">
        <f>+$R$43*(5/7)</f>
        <v>32.142857142857146</v>
      </c>
      <c r="U43" s="5">
        <f>+$R$43*(4/7)</f>
        <v>25.714285714285712</v>
      </c>
      <c r="V43" s="5">
        <f>+$R$43*(3/7)</f>
        <v>19.285714285714285</v>
      </c>
      <c r="W43" s="5">
        <f>+$R$43*(2/7)</f>
        <v>12.857142857142856</v>
      </c>
      <c r="X43" s="5">
        <f>+$R$43*(1/7)</f>
        <v>6.4285714285714279</v>
      </c>
      <c r="Y43" s="5"/>
      <c r="Z43" s="5"/>
      <c r="AA43" s="5"/>
      <c r="AB43" s="5"/>
      <c r="AC43" s="5"/>
      <c r="AD43" s="5"/>
    </row>
    <row r="44" spans="8:30">
      <c r="H44" s="5" t="s">
        <v>98</v>
      </c>
      <c r="I44" s="5" t="s">
        <v>82</v>
      </c>
      <c r="J44" s="5">
        <f>+J40+J41</f>
        <v>900</v>
      </c>
      <c r="K44" s="5">
        <f t="shared" ref="K44:U44" si="27">+K40+K41</f>
        <v>985</v>
      </c>
      <c r="L44" s="5">
        <f t="shared" si="27"/>
        <v>1070</v>
      </c>
      <c r="M44" s="5">
        <f t="shared" si="27"/>
        <v>1155</v>
      </c>
      <c r="N44" s="5">
        <f t="shared" si="27"/>
        <v>1240</v>
      </c>
      <c r="O44" s="5">
        <f t="shared" si="27"/>
        <v>1325</v>
      </c>
      <c r="P44" s="5">
        <f t="shared" si="27"/>
        <v>1410</v>
      </c>
      <c r="Q44" s="5">
        <f t="shared" si="27"/>
        <v>1495</v>
      </c>
      <c r="R44" s="5">
        <f t="shared" si="27"/>
        <v>1580</v>
      </c>
      <c r="S44" s="5">
        <f t="shared" si="27"/>
        <v>1658.5714285714284</v>
      </c>
      <c r="T44" s="5">
        <f t="shared" si="27"/>
        <v>1730.7142857142858</v>
      </c>
      <c r="U44" s="5">
        <f t="shared" si="27"/>
        <v>1796.4285714285713</v>
      </c>
      <c r="V44" s="5">
        <f t="shared" ref="V44:X44" si="28">+V40+V41</f>
        <v>1855.7142857142858</v>
      </c>
      <c r="W44" s="5">
        <f t="shared" si="28"/>
        <v>1908.5714285714284</v>
      </c>
      <c r="X44" s="5">
        <f t="shared" si="28"/>
        <v>1955</v>
      </c>
      <c r="Y44" s="5"/>
      <c r="Z44" s="5"/>
      <c r="AA44" s="5"/>
      <c r="AB44" s="5"/>
      <c r="AC44" s="5"/>
      <c r="AD44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selection sqref="A1:XFD1048576"/>
    </sheetView>
  </sheetViews>
  <sheetFormatPr baseColWidth="10" defaultRowHeight="15"/>
  <cols>
    <col min="1" max="1" width="11.42578125" style="49"/>
    <col min="2" max="2" width="24.140625" customWidth="1"/>
    <col min="3" max="3" width="23.7109375" bestFit="1" customWidth="1"/>
    <col min="4" max="4" width="12" style="20" customWidth="1"/>
    <col min="5" max="5" width="1" style="37" customWidth="1"/>
    <col min="6" max="6" width="22" customWidth="1"/>
    <col min="7" max="7" width="30.42578125" customWidth="1"/>
    <col min="9" max="10" width="11.42578125" style="49"/>
  </cols>
  <sheetData>
    <row r="1" spans="1:15" s="49" customFormat="1">
      <c r="D1" s="37"/>
      <c r="E1" s="37"/>
    </row>
    <row r="2" spans="1:15" s="5" customFormat="1">
      <c r="A2" s="49"/>
      <c r="B2" s="72">
        <v>2013</v>
      </c>
      <c r="C2" s="73"/>
      <c r="D2" s="74"/>
      <c r="E2" s="36"/>
      <c r="F2" s="75">
        <v>2014</v>
      </c>
      <c r="G2" s="76"/>
      <c r="H2" s="77"/>
      <c r="I2" s="49"/>
      <c r="J2" s="49"/>
    </row>
    <row r="3" spans="1:15">
      <c r="B3" s="40" t="s">
        <v>34</v>
      </c>
      <c r="C3" s="38" t="s">
        <v>36</v>
      </c>
      <c r="D3" s="41" t="s">
        <v>37</v>
      </c>
      <c r="F3" s="40" t="s">
        <v>34</v>
      </c>
      <c r="G3" s="38" t="s">
        <v>36</v>
      </c>
      <c r="H3" s="41" t="s">
        <v>37</v>
      </c>
    </row>
    <row r="4" spans="1:15">
      <c r="B4" s="40" t="s">
        <v>86</v>
      </c>
      <c r="C4" s="38" t="s">
        <v>60</v>
      </c>
      <c r="D4" s="41" t="s">
        <v>52</v>
      </c>
      <c r="F4" s="40" t="s">
        <v>47</v>
      </c>
      <c r="G4" s="38" t="s">
        <v>38</v>
      </c>
      <c r="H4" s="41" t="s">
        <v>52</v>
      </c>
      <c r="I4" s="50"/>
      <c r="O4" s="1"/>
    </row>
    <row r="5" spans="1:15">
      <c r="B5" s="40" t="s">
        <v>47</v>
      </c>
      <c r="C5" s="38" t="s">
        <v>68</v>
      </c>
      <c r="D5" s="41" t="s">
        <v>52</v>
      </c>
      <c r="F5" s="52" t="s">
        <v>95</v>
      </c>
      <c r="G5" s="53" t="s">
        <v>39</v>
      </c>
      <c r="H5" s="41" t="s">
        <v>52</v>
      </c>
    </row>
    <row r="6" spans="1:15">
      <c r="B6" s="42" t="s">
        <v>87</v>
      </c>
      <c r="C6" s="39" t="s">
        <v>61</v>
      </c>
      <c r="D6" s="43" t="s">
        <v>57</v>
      </c>
      <c r="E6" s="36"/>
      <c r="F6" s="40" t="s">
        <v>49</v>
      </c>
      <c r="G6" s="38" t="s">
        <v>40</v>
      </c>
      <c r="H6" s="41" t="s">
        <v>53</v>
      </c>
    </row>
    <row r="7" spans="1:15">
      <c r="B7" s="44" t="s">
        <v>55</v>
      </c>
      <c r="C7" s="39" t="s">
        <v>43</v>
      </c>
      <c r="D7" s="43" t="s">
        <v>52</v>
      </c>
      <c r="E7" s="36"/>
      <c r="F7" s="40" t="s">
        <v>51</v>
      </c>
      <c r="G7" s="38" t="s">
        <v>41</v>
      </c>
      <c r="H7" s="41" t="s">
        <v>53</v>
      </c>
    </row>
    <row r="8" spans="1:15">
      <c r="B8" s="44" t="s">
        <v>88</v>
      </c>
      <c r="C8" s="39" t="s">
        <v>62</v>
      </c>
      <c r="D8" s="43" t="s">
        <v>53</v>
      </c>
      <c r="E8" s="36"/>
      <c r="F8" s="48" t="s">
        <v>99</v>
      </c>
      <c r="G8" s="38" t="s">
        <v>42</v>
      </c>
      <c r="H8" s="41" t="s">
        <v>53</v>
      </c>
    </row>
    <row r="9" spans="1:15" s="5" customFormat="1">
      <c r="A9" s="49"/>
      <c r="B9" s="44" t="s">
        <v>89</v>
      </c>
      <c r="C9" s="39" t="s">
        <v>64</v>
      </c>
      <c r="D9" s="43" t="s">
        <v>52</v>
      </c>
      <c r="E9" s="36"/>
      <c r="F9" s="40" t="s">
        <v>73</v>
      </c>
      <c r="G9" s="38" t="s">
        <v>72</v>
      </c>
      <c r="H9" s="41" t="s">
        <v>52</v>
      </c>
      <c r="I9" s="49"/>
      <c r="J9" s="49"/>
    </row>
    <row r="10" spans="1:15" s="5" customFormat="1">
      <c r="A10" s="49"/>
      <c r="B10" s="42" t="s">
        <v>90</v>
      </c>
      <c r="C10" s="39" t="s">
        <v>63</v>
      </c>
      <c r="D10" s="43" t="s">
        <v>52</v>
      </c>
      <c r="E10" s="36"/>
      <c r="F10" s="40" t="s">
        <v>74</v>
      </c>
      <c r="G10" s="38" t="s">
        <v>72</v>
      </c>
      <c r="H10" s="41" t="s">
        <v>52</v>
      </c>
      <c r="I10" s="49"/>
      <c r="J10" s="49"/>
    </row>
    <row r="11" spans="1:15">
      <c r="B11" s="40" t="s">
        <v>91</v>
      </c>
      <c r="C11" s="38" t="s">
        <v>72</v>
      </c>
      <c r="D11" s="41" t="s">
        <v>52</v>
      </c>
      <c r="F11" s="40" t="s">
        <v>75</v>
      </c>
      <c r="G11" s="38" t="s">
        <v>72</v>
      </c>
      <c r="H11" s="41" t="s">
        <v>52</v>
      </c>
      <c r="I11" s="50"/>
    </row>
    <row r="12" spans="1:15">
      <c r="B12" s="40" t="s">
        <v>75</v>
      </c>
      <c r="C12" s="38" t="s">
        <v>72</v>
      </c>
      <c r="D12" s="41" t="s">
        <v>52</v>
      </c>
      <c r="F12" s="40" t="s">
        <v>92</v>
      </c>
      <c r="G12" s="38" t="s">
        <v>72</v>
      </c>
      <c r="H12" s="41" t="s">
        <v>52</v>
      </c>
    </row>
    <row r="13" spans="1:15">
      <c r="B13" s="40" t="s">
        <v>92</v>
      </c>
      <c r="C13" s="38" t="s">
        <v>72</v>
      </c>
      <c r="D13" s="41" t="s">
        <v>52</v>
      </c>
      <c r="F13" s="42" t="s">
        <v>90</v>
      </c>
      <c r="G13" s="38" t="s">
        <v>94</v>
      </c>
      <c r="H13" s="41" t="s">
        <v>52</v>
      </c>
    </row>
    <row r="14" spans="1:15" s="5" customFormat="1">
      <c r="A14" s="49"/>
      <c r="B14" s="40" t="s">
        <v>35</v>
      </c>
      <c r="C14" s="38" t="s">
        <v>36</v>
      </c>
      <c r="D14" s="41" t="s">
        <v>37</v>
      </c>
      <c r="E14" s="37"/>
      <c r="F14" s="40" t="s">
        <v>35</v>
      </c>
      <c r="G14" s="38" t="s">
        <v>36</v>
      </c>
      <c r="H14" s="41" t="s">
        <v>37</v>
      </c>
      <c r="I14" s="49"/>
      <c r="J14" s="49"/>
    </row>
    <row r="15" spans="1:15" s="5" customFormat="1">
      <c r="A15" s="49"/>
      <c r="B15" s="40" t="s">
        <v>50</v>
      </c>
      <c r="C15" s="38" t="s">
        <v>41</v>
      </c>
      <c r="D15" s="41" t="s">
        <v>53</v>
      </c>
      <c r="E15" s="37"/>
      <c r="F15" s="40" t="s">
        <v>54</v>
      </c>
      <c r="G15" s="38" t="s">
        <v>38</v>
      </c>
      <c r="H15" s="41" t="s">
        <v>53</v>
      </c>
      <c r="I15" s="49"/>
      <c r="J15" s="49"/>
    </row>
    <row r="16" spans="1:15" s="5" customFormat="1">
      <c r="A16" s="49"/>
      <c r="B16" s="40" t="s">
        <v>99</v>
      </c>
      <c r="C16" s="38" t="s">
        <v>42</v>
      </c>
      <c r="D16" s="41" t="s">
        <v>53</v>
      </c>
      <c r="E16" s="37"/>
      <c r="F16" s="40" t="s">
        <v>55</v>
      </c>
      <c r="G16" s="38" t="s">
        <v>43</v>
      </c>
      <c r="H16" s="41" t="s">
        <v>52</v>
      </c>
      <c r="I16" s="49"/>
      <c r="J16" s="49"/>
    </row>
    <row r="17" spans="1:12" s="5" customFormat="1">
      <c r="A17" s="49"/>
      <c r="B17" s="40" t="s">
        <v>48</v>
      </c>
      <c r="C17" s="38" t="s">
        <v>39</v>
      </c>
      <c r="D17" s="41" t="s">
        <v>52</v>
      </c>
      <c r="E17" s="37"/>
      <c r="F17" s="40" t="s">
        <v>56</v>
      </c>
      <c r="G17" s="38" t="s">
        <v>44</v>
      </c>
      <c r="H17" s="41" t="s">
        <v>53</v>
      </c>
      <c r="I17" s="49"/>
      <c r="J17" s="49"/>
    </row>
    <row r="18" spans="1:12" s="5" customFormat="1">
      <c r="A18" s="49"/>
      <c r="B18" s="40" t="s">
        <v>49</v>
      </c>
      <c r="C18" s="38" t="s">
        <v>40</v>
      </c>
      <c r="D18" s="41" t="s">
        <v>53</v>
      </c>
      <c r="E18" s="37"/>
      <c r="F18" s="40" t="s">
        <v>58</v>
      </c>
      <c r="G18" s="38" t="s">
        <v>45</v>
      </c>
      <c r="H18" s="41" t="s">
        <v>52</v>
      </c>
      <c r="I18" s="49"/>
      <c r="J18" s="49"/>
    </row>
    <row r="19" spans="1:12" s="5" customFormat="1">
      <c r="A19" s="49"/>
      <c r="B19" s="45" t="s">
        <v>54</v>
      </c>
      <c r="C19" s="46" t="s">
        <v>93</v>
      </c>
      <c r="D19" s="47" t="s">
        <v>53</v>
      </c>
      <c r="E19" s="37"/>
      <c r="F19" s="45" t="s">
        <v>59</v>
      </c>
      <c r="G19" s="46" t="s">
        <v>46</v>
      </c>
      <c r="H19" s="47" t="s">
        <v>52</v>
      </c>
      <c r="I19" s="49"/>
      <c r="J19" s="49"/>
    </row>
    <row r="20" spans="1:12" s="49" customFormat="1">
      <c r="B20" s="51"/>
      <c r="D20" s="37"/>
      <c r="E20" s="37"/>
    </row>
    <row r="21" spans="1:12" s="49" customFormat="1">
      <c r="D21" s="37"/>
      <c r="E21" s="37"/>
      <c r="L21" s="50"/>
    </row>
    <row r="22" spans="1:12" s="49" customFormat="1">
      <c r="D22" s="37"/>
      <c r="E22" s="37"/>
    </row>
    <row r="23" spans="1:12" s="49" customFormat="1">
      <c r="D23" s="37"/>
      <c r="E23" s="37"/>
    </row>
    <row r="24" spans="1:12" s="49" customFormat="1">
      <c r="D24" s="37"/>
      <c r="E24" s="37"/>
    </row>
    <row r="25" spans="1:12" s="49" customFormat="1">
      <c r="D25" s="37"/>
      <c r="E25" s="37"/>
    </row>
    <row r="26" spans="1:12" s="49" customFormat="1">
      <c r="B26" s="49" t="s">
        <v>52</v>
      </c>
      <c r="D26" s="37"/>
      <c r="E26" s="37"/>
    </row>
    <row r="27" spans="1:12" s="49" customFormat="1">
      <c r="B27" s="49" t="s">
        <v>53</v>
      </c>
      <c r="D27" s="37"/>
      <c r="E27" s="37"/>
    </row>
    <row r="28" spans="1:12" s="49" customFormat="1">
      <c r="B28" s="49" t="s">
        <v>57</v>
      </c>
      <c r="D28" s="37"/>
      <c r="E28" s="37"/>
    </row>
    <row r="29" spans="1:12" s="49" customFormat="1">
      <c r="D29" s="37"/>
      <c r="E29" s="37"/>
      <c r="I29" s="50"/>
    </row>
    <row r="30" spans="1:12" s="49" customFormat="1">
      <c r="D30" s="37"/>
      <c r="E30" s="37"/>
    </row>
    <row r="31" spans="1:12" s="49" customFormat="1">
      <c r="D31" s="37"/>
      <c r="E31" s="37"/>
    </row>
    <row r="32" spans="1:12" s="49" customFormat="1">
      <c r="D32" s="37"/>
      <c r="E32" s="37"/>
    </row>
    <row r="33" spans="2:12" s="49" customFormat="1">
      <c r="D33" s="37"/>
      <c r="E33" s="37"/>
    </row>
    <row r="34" spans="2:12" s="49" customFormat="1">
      <c r="D34" s="37"/>
      <c r="E34" s="37"/>
    </row>
    <row r="35" spans="2:12" s="49" customFormat="1">
      <c r="D35" s="37"/>
      <c r="E35" s="37"/>
    </row>
    <row r="36" spans="2:12" s="49" customFormat="1">
      <c r="D36" s="37"/>
      <c r="E36" s="37"/>
      <c r="G36" s="50"/>
    </row>
    <row r="39" spans="2:12">
      <c r="J39" s="50"/>
    </row>
    <row r="42" spans="2:12">
      <c r="L42" s="1"/>
    </row>
    <row r="43" spans="2:12">
      <c r="B43" s="6"/>
    </row>
  </sheetData>
  <mergeCells count="2">
    <mergeCell ref="B2:D2"/>
    <mergeCell ref="F2:H2"/>
  </mergeCells>
  <conditionalFormatting sqref="H15:H19 H4:H13 D15:E20 D4:E13">
    <cfRule type="cellIs" dxfId="17" priority="25" operator="equal">
      <formula>$B$28</formula>
    </cfRule>
    <cfRule type="cellIs" dxfId="16" priority="26" operator="equal">
      <formula>$B$27</formula>
    </cfRule>
    <cfRule type="cellIs" dxfId="15" priority="27" operator="equal">
      <formula>$B$26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G44"/>
  <sheetViews>
    <sheetView topLeftCell="H3" zoomScale="85" zoomScaleNormal="85" workbookViewId="0">
      <selection activeCell="Q31" sqref="Q31"/>
    </sheetView>
  </sheetViews>
  <sheetFormatPr baseColWidth="10" defaultRowHeight="15"/>
  <cols>
    <col min="1" max="1" width="11.42578125" style="5"/>
    <col min="2" max="2" width="4.42578125" style="5" bestFit="1" customWidth="1"/>
    <col min="3" max="3" width="11.42578125" style="5"/>
    <col min="4" max="4" width="19.85546875" style="5" customWidth="1"/>
    <col min="5" max="5" width="12.7109375" style="5" bestFit="1" customWidth="1"/>
    <col min="6" max="7" width="12.7109375" style="5" customWidth="1"/>
    <col min="8" max="8" width="15.85546875" style="5" bestFit="1" customWidth="1"/>
    <col min="9" max="10" width="29.85546875" style="5" customWidth="1"/>
    <col min="11" max="22" width="11.42578125" style="5"/>
    <col min="23" max="28" width="11.42578125" style="5" customWidth="1"/>
    <col min="29" max="16384" width="11.42578125" style="5"/>
  </cols>
  <sheetData>
    <row r="1" spans="1:28">
      <c r="C1" s="5" t="s">
        <v>24</v>
      </c>
      <c r="F1" s="22" t="s">
        <v>28</v>
      </c>
      <c r="H1" s="5" t="s">
        <v>29</v>
      </c>
      <c r="K1" s="5" t="s">
        <v>30</v>
      </c>
    </row>
    <row r="2" spans="1:28">
      <c r="A2" s="2">
        <v>39777</v>
      </c>
      <c r="B2" s="5" t="s">
        <v>18</v>
      </c>
      <c r="C2" s="5">
        <v>100</v>
      </c>
      <c r="D2" s="5" t="s">
        <v>23</v>
      </c>
      <c r="H2" s="10">
        <f>+DAYS360(A2,A4)/30</f>
        <v>3.7666666666666666</v>
      </c>
    </row>
    <row r="3" spans="1:28">
      <c r="A3" s="2"/>
      <c r="C3" s="5">
        <v>500</v>
      </c>
      <c r="D3" s="5" t="s">
        <v>20</v>
      </c>
      <c r="J3" s="5" t="s">
        <v>78</v>
      </c>
    </row>
    <row r="4" spans="1:28">
      <c r="A4" s="2">
        <v>39890</v>
      </c>
      <c r="B4" s="5" t="s">
        <v>18</v>
      </c>
      <c r="C4" s="5">
        <v>300</v>
      </c>
      <c r="D4" s="5" t="s">
        <v>25</v>
      </c>
      <c r="J4" s="5" t="s">
        <v>77</v>
      </c>
      <c r="K4" s="5">
        <f>+$F$5+$F$7+K14</f>
        <v>3135</v>
      </c>
      <c r="L4" s="5">
        <f t="shared" ref="L4:U4" si="0">+$F$5+$F$7+L14</f>
        <v>3275</v>
      </c>
      <c r="M4" s="5">
        <f t="shared" si="0"/>
        <v>3290</v>
      </c>
      <c r="N4" s="5">
        <f t="shared" si="0"/>
        <v>3367.5</v>
      </c>
      <c r="O4" s="5">
        <f t="shared" si="0"/>
        <v>3437.5</v>
      </c>
      <c r="P4" s="5">
        <f t="shared" si="0"/>
        <v>3500</v>
      </c>
      <c r="Q4" s="5">
        <f t="shared" si="0"/>
        <v>3555</v>
      </c>
      <c r="R4" s="5">
        <f t="shared" si="0"/>
        <v>3602.5</v>
      </c>
      <c r="S4" s="5">
        <f t="shared" si="0"/>
        <v>3602.5</v>
      </c>
      <c r="T4" s="5">
        <f t="shared" si="0"/>
        <v>3602.5</v>
      </c>
      <c r="U4" s="5">
        <f t="shared" si="0"/>
        <v>3602.5</v>
      </c>
    </row>
    <row r="5" spans="1:28">
      <c r="A5" s="2"/>
      <c r="C5" s="5">
        <v>750</v>
      </c>
      <c r="D5" s="5" t="s">
        <v>20</v>
      </c>
      <c r="F5" s="5">
        <v>1550</v>
      </c>
    </row>
    <row r="6" spans="1:28" ht="15.75" thickBot="1">
      <c r="A6" s="2"/>
      <c r="C6" s="5">
        <v>100</v>
      </c>
      <c r="D6" s="5" t="s">
        <v>23</v>
      </c>
      <c r="F6" s="21">
        <f>+C2+C3+C4+C5+C6</f>
        <v>1750</v>
      </c>
      <c r="H6" s="5">
        <f>+F6/H2</f>
        <v>464.60176991150445</v>
      </c>
      <c r="J6" s="5">
        <v>12</v>
      </c>
      <c r="K6" s="5">
        <v>13</v>
      </c>
      <c r="L6" s="5">
        <v>14</v>
      </c>
      <c r="M6" s="5">
        <v>15</v>
      </c>
      <c r="N6" s="5">
        <v>16</v>
      </c>
      <c r="O6" s="5">
        <v>17</v>
      </c>
      <c r="P6" s="5">
        <v>18</v>
      </c>
      <c r="Q6" s="5">
        <v>19</v>
      </c>
      <c r="R6" s="5">
        <v>20</v>
      </c>
      <c r="S6" s="5">
        <v>21</v>
      </c>
      <c r="T6" s="5">
        <v>22</v>
      </c>
      <c r="U6" s="5">
        <v>23</v>
      </c>
    </row>
    <row r="7" spans="1:28" ht="15.75" thickBot="1">
      <c r="A7" s="2">
        <v>40248</v>
      </c>
      <c r="B7" s="5" t="s">
        <v>21</v>
      </c>
      <c r="C7" s="5">
        <v>600</v>
      </c>
      <c r="D7" s="5" t="s">
        <v>19</v>
      </c>
      <c r="F7" s="21">
        <f>+C7</f>
        <v>600</v>
      </c>
      <c r="H7" s="5">
        <f>+(DAYS360(A7,A8)/30)</f>
        <v>30.066666666666666</v>
      </c>
      <c r="J7" s="29">
        <v>41548</v>
      </c>
      <c r="K7" s="29">
        <v>41579</v>
      </c>
      <c r="L7" s="30">
        <v>41609</v>
      </c>
      <c r="M7" s="30">
        <v>41640</v>
      </c>
      <c r="N7" s="30">
        <v>41671</v>
      </c>
      <c r="O7" s="30">
        <v>41699</v>
      </c>
      <c r="P7" s="30">
        <v>41730</v>
      </c>
      <c r="Q7" s="30">
        <v>41760</v>
      </c>
      <c r="R7" s="30">
        <v>41791</v>
      </c>
      <c r="S7" s="30">
        <v>41821</v>
      </c>
      <c r="T7" s="30">
        <v>41852</v>
      </c>
      <c r="U7" s="31">
        <v>41883</v>
      </c>
      <c r="W7" s="35">
        <v>1</v>
      </c>
      <c r="X7" s="5">
        <f>1/6*W7</f>
        <v>0.16666666666666666</v>
      </c>
    </row>
    <row r="8" spans="1:28">
      <c r="A8" s="2">
        <v>41165</v>
      </c>
      <c r="B8" s="5" t="s">
        <v>22</v>
      </c>
      <c r="C8" s="5">
        <v>40</v>
      </c>
      <c r="D8" s="5" t="s">
        <v>26</v>
      </c>
      <c r="E8" s="5">
        <f>+C8*13</f>
        <v>520</v>
      </c>
      <c r="I8" s="5" t="s">
        <v>65</v>
      </c>
      <c r="J8" s="27">
        <f>+$C$8*(J6-3)</f>
        <v>360</v>
      </c>
      <c r="K8" s="27">
        <f t="shared" ref="K8" si="1">+$C$8*(K6-3)</f>
        <v>400</v>
      </c>
      <c r="L8" s="27">
        <f>+$C$9*(L6-3)</f>
        <v>495</v>
      </c>
      <c r="M8" s="27">
        <f t="shared" ref="M8:U8" si="2">+$C$9*(M6-3)</f>
        <v>540</v>
      </c>
      <c r="N8" s="27">
        <f t="shared" si="2"/>
        <v>585</v>
      </c>
      <c r="O8" s="27">
        <f t="shared" si="2"/>
        <v>630</v>
      </c>
      <c r="P8" s="27">
        <f t="shared" si="2"/>
        <v>675</v>
      </c>
      <c r="Q8" s="27">
        <f t="shared" si="2"/>
        <v>720</v>
      </c>
      <c r="R8" s="27">
        <f t="shared" si="2"/>
        <v>765</v>
      </c>
      <c r="S8" s="27">
        <f t="shared" si="2"/>
        <v>810</v>
      </c>
      <c r="T8" s="27">
        <f t="shared" si="2"/>
        <v>855</v>
      </c>
      <c r="U8" s="28">
        <f t="shared" si="2"/>
        <v>900</v>
      </c>
      <c r="W8" s="5">
        <v>2</v>
      </c>
      <c r="X8" s="5">
        <f t="shared" ref="X8:X12" si="3">1/6*W8</f>
        <v>0.33333333333333331</v>
      </c>
    </row>
    <row r="9" spans="1:28" ht="15.75" thickBot="1">
      <c r="C9" s="5">
        <v>45</v>
      </c>
      <c r="D9" s="5" t="s">
        <v>27</v>
      </c>
      <c r="E9" s="5">
        <f>+C9*13</f>
        <v>585</v>
      </c>
      <c r="I9" s="5" t="s">
        <v>20</v>
      </c>
      <c r="J9" s="25">
        <f>+$C$9*J6</f>
        <v>540</v>
      </c>
      <c r="K9" s="25">
        <f t="shared" ref="K9:L9" si="4">+$C$9*K6</f>
        <v>585</v>
      </c>
      <c r="L9" s="26">
        <f t="shared" si="4"/>
        <v>630</v>
      </c>
      <c r="M9" s="26">
        <f>+$C$8*M6</f>
        <v>600</v>
      </c>
      <c r="N9" s="26">
        <f t="shared" ref="N9:U9" si="5">+$C$8*N6</f>
        <v>640</v>
      </c>
      <c r="O9" s="26">
        <f t="shared" si="5"/>
        <v>680</v>
      </c>
      <c r="P9" s="26">
        <f t="shared" si="5"/>
        <v>720</v>
      </c>
      <c r="Q9" s="26">
        <f t="shared" si="5"/>
        <v>760</v>
      </c>
      <c r="R9" s="26">
        <f t="shared" si="5"/>
        <v>800</v>
      </c>
      <c r="S9" s="26">
        <f t="shared" si="5"/>
        <v>840</v>
      </c>
      <c r="T9" s="26">
        <f t="shared" si="5"/>
        <v>880</v>
      </c>
      <c r="U9" s="26">
        <f t="shared" si="5"/>
        <v>920</v>
      </c>
      <c r="W9" s="5">
        <v>3</v>
      </c>
      <c r="X9" s="5">
        <f t="shared" si="3"/>
        <v>0.5</v>
      </c>
    </row>
    <row r="10" spans="1:28">
      <c r="A10" s="5" t="s">
        <v>70</v>
      </c>
      <c r="F10" s="21"/>
      <c r="I10" s="5" t="s">
        <v>31</v>
      </c>
      <c r="K10" s="23"/>
      <c r="L10" s="24">
        <f>+L8</f>
        <v>495</v>
      </c>
      <c r="M10" s="33">
        <f>+L10+($C$9*AB15)</f>
        <v>540</v>
      </c>
      <c r="N10" s="33">
        <f>+M10+($C$9*AA15)</f>
        <v>577.5</v>
      </c>
      <c r="O10" s="33">
        <f>+N10+($C$9*Z15)</f>
        <v>607.5</v>
      </c>
      <c r="P10" s="33">
        <f>+O10+($C$9*Y15)</f>
        <v>630</v>
      </c>
      <c r="Q10" s="33">
        <f>+P10+($C$9*X15)</f>
        <v>645</v>
      </c>
      <c r="R10" s="33">
        <f>+Q10+($C$9*W15)</f>
        <v>652.5</v>
      </c>
      <c r="S10" s="33"/>
      <c r="T10" s="33"/>
      <c r="U10" s="33"/>
      <c r="W10" s="5">
        <v>4</v>
      </c>
      <c r="X10" s="5">
        <f t="shared" si="3"/>
        <v>0.66666666666666663</v>
      </c>
    </row>
    <row r="11" spans="1:28" ht="15.75" thickBot="1">
      <c r="I11" s="5" t="s">
        <v>32</v>
      </c>
      <c r="K11" s="25"/>
      <c r="L11" s="26">
        <f>+L8</f>
        <v>495</v>
      </c>
      <c r="M11" s="34">
        <f>+M8</f>
        <v>540</v>
      </c>
      <c r="N11" s="34">
        <f>+N8</f>
        <v>585</v>
      </c>
      <c r="O11" s="34">
        <f>+O8</f>
        <v>630</v>
      </c>
      <c r="P11" s="34">
        <f>+O11+($C$9*AB15)</f>
        <v>675</v>
      </c>
      <c r="Q11" s="34">
        <f>+P11+($C$9*AA15)</f>
        <v>712.5</v>
      </c>
      <c r="R11" s="34">
        <f>+Q11+($C$9*Z15)</f>
        <v>742.5</v>
      </c>
      <c r="S11" s="34">
        <f>+R11+($C$9*Y15)</f>
        <v>765</v>
      </c>
      <c r="T11" s="34">
        <f>+S11+($C$9*X15)</f>
        <v>780</v>
      </c>
      <c r="U11" s="34">
        <f>+T11+($C$9*W15)</f>
        <v>787.5</v>
      </c>
      <c r="W11" s="5">
        <v>5</v>
      </c>
      <c r="X11" s="5">
        <f t="shared" si="3"/>
        <v>0.83333333333333326</v>
      </c>
    </row>
    <row r="12" spans="1:28">
      <c r="W12" s="5">
        <v>6</v>
      </c>
      <c r="X12" s="5">
        <f t="shared" si="3"/>
        <v>1</v>
      </c>
    </row>
    <row r="13" spans="1:28">
      <c r="A13" s="5" t="s">
        <v>71</v>
      </c>
      <c r="B13" s="5" t="s">
        <v>66</v>
      </c>
    </row>
    <row r="14" spans="1:28">
      <c r="B14" s="5" t="s">
        <v>67</v>
      </c>
      <c r="H14" s="5" t="s">
        <v>96</v>
      </c>
      <c r="I14" s="5" t="s">
        <v>69</v>
      </c>
      <c r="J14" s="5">
        <f>+J8+J9</f>
        <v>900</v>
      </c>
      <c r="K14" s="5">
        <f>+K8+K9</f>
        <v>985</v>
      </c>
      <c r="L14" s="5">
        <f>+L8+L9</f>
        <v>1125</v>
      </c>
      <c r="M14" s="8">
        <f>+M9+M10</f>
        <v>1140</v>
      </c>
      <c r="N14" s="8">
        <f t="shared" ref="N14:R14" si="6">+N9+N10</f>
        <v>1217.5</v>
      </c>
      <c r="O14" s="8">
        <f t="shared" si="6"/>
        <v>1287.5</v>
      </c>
      <c r="P14" s="8">
        <f t="shared" si="6"/>
        <v>1350</v>
      </c>
      <c r="Q14" s="8">
        <f t="shared" si="6"/>
        <v>1405</v>
      </c>
      <c r="R14" s="8">
        <f t="shared" si="6"/>
        <v>1452.5</v>
      </c>
      <c r="S14" s="8">
        <f>+R14</f>
        <v>1452.5</v>
      </c>
      <c r="T14" s="8">
        <f>+S14</f>
        <v>1452.5</v>
      </c>
      <c r="U14" s="8">
        <f>+T14</f>
        <v>1452.5</v>
      </c>
      <c r="W14" s="5">
        <v>1</v>
      </c>
      <c r="X14" s="5">
        <v>2</v>
      </c>
      <c r="Y14" s="5">
        <v>3</v>
      </c>
      <c r="Z14" s="5">
        <v>4</v>
      </c>
      <c r="AA14" s="5">
        <v>5</v>
      </c>
      <c r="AB14" s="5">
        <v>6</v>
      </c>
    </row>
    <row r="15" spans="1:28">
      <c r="H15" s="5" t="s">
        <v>97</v>
      </c>
      <c r="I15" s="5" t="s">
        <v>33</v>
      </c>
      <c r="J15" s="5">
        <f t="shared" ref="J15:O15" si="7">+J8+J9</f>
        <v>900</v>
      </c>
      <c r="K15" s="5">
        <f t="shared" si="7"/>
        <v>985</v>
      </c>
      <c r="L15" s="5">
        <f t="shared" si="7"/>
        <v>1125</v>
      </c>
      <c r="M15" s="5">
        <f t="shared" si="7"/>
        <v>1140</v>
      </c>
      <c r="N15" s="5">
        <f t="shared" si="7"/>
        <v>1225</v>
      </c>
      <c r="O15" s="5">
        <f t="shared" si="7"/>
        <v>1310</v>
      </c>
      <c r="P15" s="10">
        <f>+P9+P11</f>
        <v>1395</v>
      </c>
      <c r="Q15" s="10">
        <f t="shared" ref="Q15:U15" si="8">+Q9+Q11</f>
        <v>1472.5</v>
      </c>
      <c r="R15" s="10">
        <f t="shared" si="8"/>
        <v>1542.5</v>
      </c>
      <c r="S15" s="10">
        <f t="shared" si="8"/>
        <v>1605</v>
      </c>
      <c r="T15" s="10">
        <f t="shared" si="8"/>
        <v>1660</v>
      </c>
      <c r="U15" s="10">
        <f t="shared" si="8"/>
        <v>1707.5</v>
      </c>
      <c r="W15" s="5">
        <f>+W14/6</f>
        <v>0.16666666666666666</v>
      </c>
      <c r="X15" s="5">
        <f t="shared" ref="X15:AB15" si="9">+X14/6</f>
        <v>0.33333333333333331</v>
      </c>
      <c r="Y15" s="5">
        <f t="shared" si="9"/>
        <v>0.5</v>
      </c>
      <c r="Z15" s="5">
        <f t="shared" si="9"/>
        <v>0.66666666666666663</v>
      </c>
      <c r="AA15" s="5">
        <f t="shared" si="9"/>
        <v>0.83333333333333337</v>
      </c>
      <c r="AB15" s="5">
        <f t="shared" si="9"/>
        <v>1</v>
      </c>
    </row>
    <row r="16" spans="1:28">
      <c r="F16" s="5">
        <v>900</v>
      </c>
      <c r="I16" s="32" t="s">
        <v>18</v>
      </c>
      <c r="J16" s="32">
        <v>1550</v>
      </c>
      <c r="K16" s="32">
        <v>1550</v>
      </c>
      <c r="L16" s="32">
        <v>1550</v>
      </c>
      <c r="M16" s="32">
        <v>1550</v>
      </c>
      <c r="N16" s="32">
        <v>1550</v>
      </c>
      <c r="O16" s="32">
        <v>1550</v>
      </c>
      <c r="P16" s="32">
        <v>1550</v>
      </c>
      <c r="Q16" s="32">
        <v>1550</v>
      </c>
      <c r="R16" s="32">
        <v>1550</v>
      </c>
      <c r="S16" s="32">
        <v>1550</v>
      </c>
      <c r="T16" s="32">
        <v>1550</v>
      </c>
      <c r="U16" s="32">
        <v>1550</v>
      </c>
      <c r="V16" s="32">
        <v>1550</v>
      </c>
      <c r="W16" s="32">
        <v>1550</v>
      </c>
      <c r="X16" s="32">
        <v>1550</v>
      </c>
    </row>
    <row r="17" spans="5:33">
      <c r="I17" s="32" t="s">
        <v>21</v>
      </c>
      <c r="J17" s="32">
        <v>600</v>
      </c>
      <c r="K17" s="5">
        <v>600</v>
      </c>
      <c r="L17" s="5">
        <v>600</v>
      </c>
      <c r="M17" s="5">
        <v>600</v>
      </c>
      <c r="N17" s="5">
        <v>600</v>
      </c>
      <c r="O17" s="5">
        <v>600</v>
      </c>
      <c r="P17" s="5">
        <v>600</v>
      </c>
      <c r="Q17" s="5">
        <v>600</v>
      </c>
      <c r="R17" s="5">
        <v>600</v>
      </c>
      <c r="S17" s="5">
        <v>600</v>
      </c>
      <c r="T17" s="5">
        <v>600</v>
      </c>
      <c r="U17" s="5">
        <v>600</v>
      </c>
      <c r="V17" s="5">
        <v>600</v>
      </c>
      <c r="W17" s="5">
        <v>600</v>
      </c>
      <c r="X17" s="5">
        <v>600</v>
      </c>
      <c r="Y17" s="5">
        <v>4</v>
      </c>
      <c r="Z17" s="5">
        <v>3</v>
      </c>
      <c r="AA17" s="5">
        <v>2</v>
      </c>
      <c r="AB17" s="5">
        <v>1</v>
      </c>
    </row>
    <row r="18" spans="5:33">
      <c r="E18" s="5" t="s">
        <v>76</v>
      </c>
      <c r="F18" s="5">
        <f>+F5+F7+F16</f>
        <v>3050</v>
      </c>
    </row>
    <row r="19" spans="5:33" hidden="1">
      <c r="K19" s="3">
        <v>39753</v>
      </c>
      <c r="L19" s="3">
        <v>39783</v>
      </c>
      <c r="M19" s="3">
        <v>39814</v>
      </c>
      <c r="N19" s="3">
        <v>39845</v>
      </c>
      <c r="O19" s="3">
        <v>39873</v>
      </c>
      <c r="P19" s="3">
        <v>39904</v>
      </c>
      <c r="Q19" s="3">
        <v>39934</v>
      </c>
      <c r="R19" s="3">
        <v>39965</v>
      </c>
      <c r="S19" s="3">
        <v>39995</v>
      </c>
      <c r="T19" s="3">
        <v>40026</v>
      </c>
      <c r="U19" s="3">
        <v>40057</v>
      </c>
      <c r="V19" s="3">
        <v>40087</v>
      </c>
    </row>
    <row r="20" spans="5:33" hidden="1">
      <c r="I20" s="5" t="s">
        <v>18</v>
      </c>
      <c r="K20" s="8">
        <f t="shared" ref="K20:L20" si="10">+L20-$V$24</f>
        <v>1750</v>
      </c>
      <c r="L20" s="8">
        <f t="shared" si="10"/>
        <v>1750</v>
      </c>
      <c r="M20" s="8">
        <f t="shared" ref="M20:U20" si="11">+N20-$V$24</f>
        <v>1750</v>
      </c>
      <c r="N20" s="8">
        <f t="shared" si="11"/>
        <v>1750</v>
      </c>
      <c r="O20" s="8">
        <f t="shared" si="11"/>
        <v>1750</v>
      </c>
      <c r="P20" s="8">
        <f t="shared" si="11"/>
        <v>1750</v>
      </c>
      <c r="Q20" s="8">
        <f t="shared" si="11"/>
        <v>1750</v>
      </c>
      <c r="R20" s="8">
        <f t="shared" si="11"/>
        <v>1750</v>
      </c>
      <c r="S20" s="8">
        <f t="shared" si="11"/>
        <v>1750</v>
      </c>
      <c r="T20" s="8">
        <f t="shared" si="11"/>
        <v>1750</v>
      </c>
      <c r="U20" s="8">
        <f t="shared" si="11"/>
        <v>1750</v>
      </c>
      <c r="V20" s="5">
        <v>1750</v>
      </c>
    </row>
    <row r="21" spans="5:33" hidden="1">
      <c r="I21" s="5" t="s">
        <v>21</v>
      </c>
      <c r="K21" s="5">
        <f t="shared" ref="K21:L21" si="12">+L21-$Z$23</f>
        <v>37.5</v>
      </c>
      <c r="L21" s="5">
        <f t="shared" si="12"/>
        <v>75</v>
      </c>
      <c r="M21" s="5">
        <f t="shared" ref="M21:Y21" si="13">+N21-$Z$23</f>
        <v>112.5</v>
      </c>
      <c r="N21" s="5">
        <f t="shared" si="13"/>
        <v>150</v>
      </c>
      <c r="O21" s="5">
        <f t="shared" si="13"/>
        <v>187.5</v>
      </c>
      <c r="P21" s="5">
        <f t="shared" si="13"/>
        <v>225</v>
      </c>
      <c r="Q21" s="5">
        <f t="shared" si="13"/>
        <v>262.5</v>
      </c>
      <c r="R21" s="5">
        <f t="shared" si="13"/>
        <v>300</v>
      </c>
      <c r="S21" s="5">
        <f t="shared" si="13"/>
        <v>337.5</v>
      </c>
      <c r="T21" s="5">
        <f t="shared" si="13"/>
        <v>375</v>
      </c>
      <c r="U21" s="5">
        <f t="shared" si="13"/>
        <v>412.5</v>
      </c>
      <c r="V21" s="5">
        <f t="shared" si="13"/>
        <v>450</v>
      </c>
      <c r="W21" s="5">
        <f t="shared" si="13"/>
        <v>487.5</v>
      </c>
      <c r="X21" s="5">
        <f t="shared" si="13"/>
        <v>525</v>
      </c>
      <c r="Y21" s="5">
        <f t="shared" si="13"/>
        <v>562.5</v>
      </c>
      <c r="Z21" s="5">
        <v>600</v>
      </c>
    </row>
    <row r="22" spans="5:33" hidden="1">
      <c r="K22" s="3">
        <v>40238</v>
      </c>
      <c r="L22" s="3">
        <v>40269</v>
      </c>
      <c r="M22" s="3">
        <v>40299</v>
      </c>
      <c r="N22" s="3">
        <v>40330</v>
      </c>
      <c r="O22" s="3">
        <v>40360</v>
      </c>
      <c r="P22" s="3">
        <v>40391</v>
      </c>
      <c r="Q22" s="3">
        <v>40422</v>
      </c>
      <c r="R22" s="3">
        <v>40452</v>
      </c>
      <c r="S22" s="3">
        <v>40483</v>
      </c>
      <c r="T22" s="3">
        <v>40513</v>
      </c>
      <c r="U22" s="3">
        <v>40544</v>
      </c>
      <c r="V22" s="3">
        <v>40575</v>
      </c>
      <c r="W22" s="3">
        <v>40603</v>
      </c>
      <c r="X22" s="3">
        <v>40634</v>
      </c>
      <c r="Y22" s="3">
        <v>40664</v>
      </c>
      <c r="Z22" s="3">
        <v>40695</v>
      </c>
    </row>
    <row r="23" spans="5:33" hidden="1">
      <c r="Z23" s="5">
        <f>+Z21/16</f>
        <v>37.5</v>
      </c>
    </row>
    <row r="25" spans="5:33" s="54" customFormat="1">
      <c r="I25" s="54" t="s">
        <v>115</v>
      </c>
      <c r="J25" s="55">
        <v>41548</v>
      </c>
      <c r="K25" s="55">
        <v>41579</v>
      </c>
      <c r="L25" s="55">
        <v>41609</v>
      </c>
      <c r="M25" s="71">
        <v>41640</v>
      </c>
      <c r="N25" s="55">
        <v>41671</v>
      </c>
      <c r="O25" s="71">
        <v>41699</v>
      </c>
      <c r="P25" s="71">
        <v>41730</v>
      </c>
      <c r="Q25" s="55">
        <v>41760</v>
      </c>
      <c r="R25" s="71">
        <v>41791</v>
      </c>
      <c r="S25" s="71">
        <v>41821</v>
      </c>
      <c r="T25" s="55">
        <v>41852</v>
      </c>
      <c r="U25" s="71">
        <v>41883</v>
      </c>
      <c r="V25" s="71">
        <v>41913</v>
      </c>
      <c r="W25" s="55">
        <v>41944</v>
      </c>
      <c r="X25" s="71">
        <v>41974</v>
      </c>
      <c r="Y25" s="55">
        <v>42005</v>
      </c>
      <c r="Z25" s="55">
        <v>42036</v>
      </c>
      <c r="AA25" s="55">
        <v>42064</v>
      </c>
      <c r="AB25" s="55">
        <v>42095</v>
      </c>
      <c r="AC25" s="55">
        <v>42125</v>
      </c>
      <c r="AD25" s="55">
        <v>42156</v>
      </c>
      <c r="AE25" s="55">
        <v>42186</v>
      </c>
      <c r="AF25" s="55">
        <v>42217</v>
      </c>
      <c r="AG25" s="55">
        <v>42248</v>
      </c>
    </row>
    <row r="26" spans="5:33">
      <c r="I26" s="5" t="s">
        <v>20</v>
      </c>
      <c r="J26" s="5">
        <f>J9</f>
        <v>540</v>
      </c>
      <c r="K26" s="5">
        <f>J26+K28</f>
        <v>580</v>
      </c>
      <c r="L26" s="5">
        <f t="shared" ref="L26:X27" si="14">K26+L28</f>
        <v>620</v>
      </c>
      <c r="M26" s="5">
        <f>L26+M28</f>
        <v>655</v>
      </c>
      <c r="N26" s="5">
        <f t="shared" si="14"/>
        <v>685</v>
      </c>
      <c r="O26" s="5">
        <f t="shared" si="14"/>
        <v>715</v>
      </c>
      <c r="P26" s="5">
        <f t="shared" si="14"/>
        <v>740</v>
      </c>
      <c r="Q26" s="5">
        <f t="shared" si="14"/>
        <v>760</v>
      </c>
      <c r="R26" s="5">
        <f t="shared" si="14"/>
        <v>780</v>
      </c>
      <c r="S26" s="5">
        <f t="shared" si="14"/>
        <v>795</v>
      </c>
      <c r="T26" s="5">
        <f t="shared" si="14"/>
        <v>805</v>
      </c>
      <c r="U26" s="5">
        <f t="shared" si="14"/>
        <v>815</v>
      </c>
      <c r="V26" s="5">
        <f t="shared" si="14"/>
        <v>820</v>
      </c>
      <c r="W26" s="5">
        <f t="shared" si="14"/>
        <v>820</v>
      </c>
      <c r="X26" s="5">
        <f t="shared" si="14"/>
        <v>820</v>
      </c>
    </row>
    <row r="27" spans="5:33">
      <c r="I27" s="5" t="s">
        <v>79</v>
      </c>
      <c r="J27" s="5">
        <f>J8</f>
        <v>360</v>
      </c>
      <c r="K27" s="5">
        <f>J27+K29</f>
        <v>405</v>
      </c>
      <c r="L27" s="5">
        <f t="shared" si="14"/>
        <v>450</v>
      </c>
      <c r="M27" s="5">
        <f>L27+M29</f>
        <v>490</v>
      </c>
      <c r="N27" s="5">
        <f t="shared" si="14"/>
        <v>525</v>
      </c>
      <c r="O27" s="5">
        <f t="shared" si="14"/>
        <v>560</v>
      </c>
      <c r="P27" s="5">
        <f t="shared" si="14"/>
        <v>590</v>
      </c>
      <c r="Q27" s="5">
        <f t="shared" si="14"/>
        <v>615</v>
      </c>
      <c r="R27" s="5">
        <f t="shared" si="14"/>
        <v>640</v>
      </c>
      <c r="S27" s="5">
        <f t="shared" si="14"/>
        <v>660</v>
      </c>
      <c r="T27" s="5">
        <f t="shared" si="14"/>
        <v>675</v>
      </c>
      <c r="U27" s="5">
        <f t="shared" si="14"/>
        <v>690</v>
      </c>
      <c r="V27" s="5">
        <f t="shared" si="14"/>
        <v>700</v>
      </c>
      <c r="W27" s="5">
        <f t="shared" si="14"/>
        <v>705</v>
      </c>
      <c r="X27" s="5">
        <f t="shared" si="14"/>
        <v>705</v>
      </c>
    </row>
    <row r="28" spans="5:33">
      <c r="I28" s="5" t="s">
        <v>80</v>
      </c>
      <c r="K28" s="5">
        <v>40</v>
      </c>
      <c r="L28" s="5">
        <v>40</v>
      </c>
      <c r="M28" s="5">
        <v>35</v>
      </c>
      <c r="N28" s="5">
        <v>30</v>
      </c>
      <c r="O28" s="5">
        <v>30</v>
      </c>
      <c r="P28" s="5">
        <v>25</v>
      </c>
      <c r="Q28" s="5">
        <v>20</v>
      </c>
      <c r="R28" s="5">
        <v>20</v>
      </c>
      <c r="S28" s="5">
        <v>15</v>
      </c>
      <c r="T28" s="5">
        <v>10</v>
      </c>
      <c r="U28" s="5">
        <v>10</v>
      </c>
      <c r="V28" s="5">
        <v>5</v>
      </c>
      <c r="W28" s="5">
        <v>0</v>
      </c>
      <c r="X28" s="5">
        <v>0</v>
      </c>
    </row>
    <row r="29" spans="5:33">
      <c r="I29" s="5" t="s">
        <v>81</v>
      </c>
      <c r="K29" s="5">
        <v>45</v>
      </c>
      <c r="L29" s="5">
        <v>45</v>
      </c>
      <c r="M29" s="5">
        <v>40</v>
      </c>
      <c r="N29" s="5">
        <v>35</v>
      </c>
      <c r="O29" s="5">
        <v>35</v>
      </c>
      <c r="P29" s="5">
        <v>30</v>
      </c>
      <c r="Q29" s="5">
        <v>25</v>
      </c>
      <c r="R29" s="5">
        <v>25</v>
      </c>
      <c r="S29" s="5">
        <v>20</v>
      </c>
      <c r="T29" s="5">
        <v>15</v>
      </c>
      <c r="U29" s="5">
        <v>15</v>
      </c>
      <c r="V29" s="5">
        <v>10</v>
      </c>
      <c r="W29" s="5">
        <v>5</v>
      </c>
      <c r="X29" s="5">
        <v>0</v>
      </c>
    </row>
    <row r="30" spans="5:33">
      <c r="I30" s="5" t="s">
        <v>28</v>
      </c>
      <c r="J30" s="5">
        <f>+J26+J27</f>
        <v>900</v>
      </c>
      <c r="K30" s="5">
        <f t="shared" ref="K30:X30" si="15">+K26+K27</f>
        <v>985</v>
      </c>
      <c r="L30" s="5">
        <f t="shared" si="15"/>
        <v>1070</v>
      </c>
      <c r="M30" s="5">
        <f t="shared" si="15"/>
        <v>1145</v>
      </c>
      <c r="N30" s="5">
        <f t="shared" si="15"/>
        <v>1210</v>
      </c>
      <c r="O30" s="5">
        <f t="shared" si="15"/>
        <v>1275</v>
      </c>
      <c r="P30" s="5">
        <f t="shared" si="15"/>
        <v>1330</v>
      </c>
      <c r="Q30" s="5">
        <f t="shared" si="15"/>
        <v>1375</v>
      </c>
      <c r="R30" s="5">
        <f t="shared" si="15"/>
        <v>1420</v>
      </c>
      <c r="S30" s="5">
        <f t="shared" si="15"/>
        <v>1455</v>
      </c>
      <c r="T30" s="5">
        <f t="shared" si="15"/>
        <v>1480</v>
      </c>
      <c r="U30" s="5">
        <f t="shared" si="15"/>
        <v>1505</v>
      </c>
      <c r="V30" s="5">
        <f t="shared" si="15"/>
        <v>1520</v>
      </c>
      <c r="W30" s="5">
        <f t="shared" si="15"/>
        <v>1525</v>
      </c>
      <c r="X30" s="5">
        <f t="shared" si="15"/>
        <v>1525</v>
      </c>
      <c r="Z30" s="3"/>
    </row>
    <row r="31" spans="5:33">
      <c r="M31" s="5">
        <f>+M30-L30</f>
        <v>75</v>
      </c>
      <c r="N31" s="5">
        <f t="shared" ref="N31:X31" si="16">+N30-M30</f>
        <v>65</v>
      </c>
      <c r="O31" s="5">
        <f t="shared" si="16"/>
        <v>65</v>
      </c>
      <c r="P31" s="5">
        <f t="shared" si="16"/>
        <v>55</v>
      </c>
      <c r="Q31" s="5">
        <f t="shared" si="16"/>
        <v>45</v>
      </c>
      <c r="R31" s="5">
        <f t="shared" si="16"/>
        <v>45</v>
      </c>
      <c r="S31" s="5">
        <f t="shared" si="16"/>
        <v>35</v>
      </c>
      <c r="T31" s="5">
        <f t="shared" si="16"/>
        <v>25</v>
      </c>
      <c r="U31" s="5">
        <f t="shared" si="16"/>
        <v>25</v>
      </c>
      <c r="V31" s="5">
        <f t="shared" si="16"/>
        <v>15</v>
      </c>
      <c r="W31" s="5">
        <f t="shared" si="16"/>
        <v>5</v>
      </c>
      <c r="X31" s="5">
        <f t="shared" si="16"/>
        <v>0</v>
      </c>
      <c r="Z31" s="3"/>
    </row>
    <row r="32" spans="5:33">
      <c r="I32" s="54" t="s">
        <v>116</v>
      </c>
      <c r="Z32" s="3"/>
    </row>
    <row r="33" spans="8:26">
      <c r="I33" s="5" t="s">
        <v>20</v>
      </c>
      <c r="J33" s="5">
        <f>J8</f>
        <v>360</v>
      </c>
      <c r="K33" s="5">
        <f>J33+K35</f>
        <v>400</v>
      </c>
      <c r="L33" s="5">
        <f t="shared" ref="L33:X34" si="17">K33+L35</f>
        <v>440</v>
      </c>
      <c r="M33" s="5">
        <f>L33+M35</f>
        <v>475</v>
      </c>
      <c r="N33" s="5">
        <f t="shared" si="17"/>
        <v>505</v>
      </c>
      <c r="O33" s="5">
        <f t="shared" si="17"/>
        <v>535</v>
      </c>
      <c r="P33" s="5">
        <f t="shared" si="17"/>
        <v>565</v>
      </c>
      <c r="Q33" s="5">
        <f t="shared" si="17"/>
        <v>595</v>
      </c>
      <c r="R33" s="5">
        <f t="shared" si="17"/>
        <v>625</v>
      </c>
      <c r="S33" s="5">
        <f t="shared" si="17"/>
        <v>655</v>
      </c>
      <c r="T33" s="5">
        <f t="shared" si="17"/>
        <v>685</v>
      </c>
      <c r="U33" s="5">
        <f t="shared" si="17"/>
        <v>715</v>
      </c>
      <c r="V33" s="5">
        <f t="shared" si="17"/>
        <v>745</v>
      </c>
      <c r="W33" s="5">
        <f t="shared" si="17"/>
        <v>775</v>
      </c>
      <c r="X33" s="5">
        <f t="shared" si="17"/>
        <v>805</v>
      </c>
      <c r="Z33" s="3"/>
    </row>
    <row r="34" spans="8:26">
      <c r="I34" s="5" t="s">
        <v>79</v>
      </c>
      <c r="J34" s="5">
        <f>J9</f>
        <v>540</v>
      </c>
      <c r="K34" s="5">
        <f>J34+K36</f>
        <v>585</v>
      </c>
      <c r="L34" s="5">
        <f t="shared" si="17"/>
        <v>630</v>
      </c>
      <c r="M34" s="5">
        <f>L34+M36</f>
        <v>670</v>
      </c>
      <c r="N34" s="5">
        <f t="shared" si="17"/>
        <v>705</v>
      </c>
      <c r="O34" s="5">
        <f t="shared" si="17"/>
        <v>740</v>
      </c>
      <c r="P34" s="5">
        <f t="shared" si="17"/>
        <v>775</v>
      </c>
      <c r="Q34" s="5">
        <f t="shared" si="17"/>
        <v>810</v>
      </c>
      <c r="R34" s="5">
        <f t="shared" si="17"/>
        <v>845</v>
      </c>
      <c r="S34" s="5">
        <f t="shared" si="17"/>
        <v>880</v>
      </c>
      <c r="T34" s="5">
        <f t="shared" si="17"/>
        <v>915</v>
      </c>
      <c r="U34" s="5">
        <f t="shared" si="17"/>
        <v>950</v>
      </c>
      <c r="V34" s="5">
        <f t="shared" si="17"/>
        <v>985</v>
      </c>
      <c r="W34" s="5">
        <f t="shared" si="17"/>
        <v>1020</v>
      </c>
      <c r="X34" s="5">
        <f t="shared" si="17"/>
        <v>1055</v>
      </c>
      <c r="Z34" s="3"/>
    </row>
    <row r="35" spans="8:26">
      <c r="I35" s="5" t="s">
        <v>20</v>
      </c>
      <c r="K35" s="5">
        <v>40</v>
      </c>
      <c r="L35" s="5">
        <v>40</v>
      </c>
      <c r="M35" s="5">
        <v>35</v>
      </c>
      <c r="N35" s="5">
        <v>30</v>
      </c>
      <c r="O35" s="5">
        <v>30</v>
      </c>
      <c r="P35" s="5">
        <v>30</v>
      </c>
      <c r="Q35" s="5">
        <v>30</v>
      </c>
      <c r="R35" s="5">
        <v>30</v>
      </c>
      <c r="S35" s="5">
        <v>30</v>
      </c>
      <c r="T35" s="5">
        <v>30</v>
      </c>
      <c r="U35" s="5">
        <v>30</v>
      </c>
      <c r="V35" s="5">
        <v>30</v>
      </c>
      <c r="W35" s="5">
        <v>30</v>
      </c>
      <c r="X35" s="5">
        <v>30</v>
      </c>
      <c r="Z35" s="3"/>
    </row>
    <row r="36" spans="8:26">
      <c r="I36" s="5" t="s">
        <v>79</v>
      </c>
      <c r="K36" s="5">
        <v>45</v>
      </c>
      <c r="L36" s="5">
        <v>45</v>
      </c>
      <c r="M36" s="5">
        <v>40</v>
      </c>
      <c r="N36" s="5">
        <v>35</v>
      </c>
      <c r="O36" s="5">
        <v>35</v>
      </c>
      <c r="P36" s="5">
        <v>35</v>
      </c>
      <c r="Q36" s="5">
        <v>35</v>
      </c>
      <c r="R36" s="5">
        <v>35</v>
      </c>
      <c r="S36" s="5">
        <v>35</v>
      </c>
      <c r="T36" s="5">
        <v>35</v>
      </c>
      <c r="U36" s="5">
        <v>35</v>
      </c>
      <c r="V36" s="5">
        <v>35</v>
      </c>
      <c r="W36" s="5">
        <v>35</v>
      </c>
      <c r="X36" s="5">
        <v>35</v>
      </c>
      <c r="Z36" s="3"/>
    </row>
    <row r="37" spans="8:26">
      <c r="I37" s="5" t="s">
        <v>28</v>
      </c>
      <c r="J37" s="5">
        <f>+J33+J34</f>
        <v>900</v>
      </c>
      <c r="K37" s="5">
        <f t="shared" ref="K37:X37" si="18">+K33+K34</f>
        <v>985</v>
      </c>
      <c r="L37" s="5">
        <f t="shared" si="18"/>
        <v>1070</v>
      </c>
      <c r="M37" s="5">
        <f t="shared" si="18"/>
        <v>1145</v>
      </c>
      <c r="N37" s="5">
        <f t="shared" si="18"/>
        <v>1210</v>
      </c>
      <c r="O37" s="5">
        <f t="shared" si="18"/>
        <v>1275</v>
      </c>
      <c r="P37" s="5">
        <f t="shared" si="18"/>
        <v>1340</v>
      </c>
      <c r="Q37" s="5">
        <f t="shared" si="18"/>
        <v>1405</v>
      </c>
      <c r="R37" s="5">
        <f t="shared" si="18"/>
        <v>1470</v>
      </c>
      <c r="S37" s="5">
        <f t="shared" si="18"/>
        <v>1535</v>
      </c>
      <c r="T37" s="5">
        <f t="shared" si="18"/>
        <v>1600</v>
      </c>
      <c r="U37" s="5">
        <f t="shared" si="18"/>
        <v>1665</v>
      </c>
      <c r="V37" s="5">
        <f t="shared" si="18"/>
        <v>1730</v>
      </c>
      <c r="W37" s="5">
        <f t="shared" si="18"/>
        <v>1795</v>
      </c>
      <c r="X37" s="5">
        <f t="shared" si="18"/>
        <v>1860</v>
      </c>
      <c r="Z37" s="3"/>
    </row>
    <row r="38" spans="8:26">
      <c r="Z38" s="3"/>
    </row>
    <row r="39" spans="8:26">
      <c r="I39" s="5" t="s">
        <v>83</v>
      </c>
      <c r="Z39" s="3"/>
    </row>
    <row r="40" spans="8:26">
      <c r="I40" s="5" t="s">
        <v>20</v>
      </c>
      <c r="Z40" s="3"/>
    </row>
    <row r="41" spans="8:26">
      <c r="I41" s="5" t="s">
        <v>79</v>
      </c>
      <c r="Z41" s="3"/>
    </row>
    <row r="42" spans="8:26">
      <c r="I42" s="5" t="s">
        <v>80</v>
      </c>
    </row>
    <row r="43" spans="8:26">
      <c r="I43" s="5" t="s">
        <v>81</v>
      </c>
    </row>
    <row r="44" spans="8:26">
      <c r="H44" s="5" t="s">
        <v>98</v>
      </c>
      <c r="I44" s="5" t="s">
        <v>82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selection activeCell="F23" sqref="F23:F27"/>
    </sheetView>
  </sheetViews>
  <sheetFormatPr baseColWidth="10" defaultRowHeight="15"/>
  <cols>
    <col min="1" max="1" width="11.42578125" style="49"/>
    <col min="2" max="2" width="24.140625" style="5" customWidth="1"/>
    <col min="3" max="3" width="23.7109375" style="5" bestFit="1" customWidth="1"/>
    <col min="4" max="4" width="12" style="20" customWidth="1"/>
    <col min="5" max="5" width="1" style="37" customWidth="1"/>
    <col min="6" max="6" width="22" style="5" customWidth="1"/>
    <col min="7" max="7" width="14.5703125" style="5" customWidth="1"/>
    <col min="8" max="8" width="13" style="5" customWidth="1"/>
    <col min="9" max="10" width="11.42578125" style="49"/>
    <col min="11" max="16384" width="11.42578125" style="5"/>
  </cols>
  <sheetData>
    <row r="1" spans="2:15" s="49" customFormat="1">
      <c r="D1" s="37"/>
      <c r="E1" s="37"/>
    </row>
    <row r="2" spans="2:15">
      <c r="B2" s="72">
        <v>2013</v>
      </c>
      <c r="C2" s="73"/>
      <c r="D2" s="74"/>
      <c r="E2" s="36"/>
      <c r="F2" s="75">
        <v>2014</v>
      </c>
      <c r="G2" s="76"/>
      <c r="H2" s="60"/>
    </row>
    <row r="3" spans="2:15">
      <c r="B3" s="40" t="s">
        <v>34</v>
      </c>
      <c r="C3" s="38" t="s">
        <v>36</v>
      </c>
      <c r="D3" s="41" t="s">
        <v>37</v>
      </c>
      <c r="F3" s="69" t="s">
        <v>34</v>
      </c>
      <c r="G3" s="70" t="s">
        <v>36</v>
      </c>
      <c r="H3" s="41" t="s">
        <v>114</v>
      </c>
    </row>
    <row r="4" spans="2:15">
      <c r="B4" s="40" t="s">
        <v>86</v>
      </c>
      <c r="C4" s="38" t="s">
        <v>60</v>
      </c>
      <c r="D4" s="41" t="s">
        <v>52</v>
      </c>
      <c r="F4" s="61" t="s">
        <v>90</v>
      </c>
      <c r="G4" s="61" t="s">
        <v>60</v>
      </c>
      <c r="H4" s="59" t="s">
        <v>52</v>
      </c>
      <c r="I4" s="50"/>
      <c r="O4" s="1"/>
    </row>
    <row r="5" spans="2:15">
      <c r="B5" s="40" t="s">
        <v>47</v>
      </c>
      <c r="C5" s="38" t="s">
        <v>68</v>
      </c>
      <c r="D5" s="41" t="s">
        <v>52</v>
      </c>
      <c r="F5" s="62" t="s">
        <v>104</v>
      </c>
      <c r="G5" s="63" t="s">
        <v>38</v>
      </c>
      <c r="H5" s="41"/>
    </row>
    <row r="6" spans="2:15">
      <c r="B6" s="42" t="s">
        <v>87</v>
      </c>
      <c r="C6" s="39" t="s">
        <v>61</v>
      </c>
      <c r="D6" s="43" t="s">
        <v>57</v>
      </c>
      <c r="E6" s="36"/>
      <c r="F6" s="64" t="s">
        <v>100</v>
      </c>
      <c r="G6" s="65" t="s">
        <v>39</v>
      </c>
      <c r="H6" s="41"/>
    </row>
    <row r="7" spans="2:15">
      <c r="B7" s="44" t="s">
        <v>55</v>
      </c>
      <c r="C7" s="39" t="s">
        <v>43</v>
      </c>
      <c r="D7" s="43" t="s">
        <v>52</v>
      </c>
      <c r="E7" s="36"/>
      <c r="F7" s="62" t="s">
        <v>101</v>
      </c>
      <c r="G7" s="63" t="s">
        <v>40</v>
      </c>
      <c r="H7" s="41"/>
    </row>
    <row r="8" spans="2:15">
      <c r="B8" s="44" t="s">
        <v>88</v>
      </c>
      <c r="C8" s="39" t="s">
        <v>62</v>
      </c>
      <c r="D8" s="43" t="s">
        <v>53</v>
      </c>
      <c r="E8" s="36"/>
      <c r="F8" s="62" t="s">
        <v>102</v>
      </c>
      <c r="G8" s="63" t="s">
        <v>41</v>
      </c>
      <c r="H8" s="41"/>
    </row>
    <row r="9" spans="2:15">
      <c r="B9" s="44" t="s">
        <v>89</v>
      </c>
      <c r="C9" s="39" t="s">
        <v>64</v>
      </c>
      <c r="D9" s="43" t="s">
        <v>52</v>
      </c>
      <c r="E9" s="36"/>
      <c r="F9" s="66" t="s">
        <v>103</v>
      </c>
      <c r="G9" s="63" t="s">
        <v>42</v>
      </c>
      <c r="H9" s="41"/>
    </row>
    <row r="10" spans="2:15">
      <c r="B10" s="42" t="s">
        <v>90</v>
      </c>
      <c r="C10" s="39" t="s">
        <v>63</v>
      </c>
      <c r="D10" s="43" t="s">
        <v>52</v>
      </c>
      <c r="E10" s="36"/>
      <c r="F10" s="69" t="s">
        <v>35</v>
      </c>
      <c r="G10" s="70" t="s">
        <v>36</v>
      </c>
      <c r="H10" s="41" t="s">
        <v>37</v>
      </c>
    </row>
    <row r="11" spans="2:15">
      <c r="B11" s="40" t="s">
        <v>91</v>
      </c>
      <c r="C11" s="38" t="s">
        <v>72</v>
      </c>
      <c r="D11" s="41" t="s">
        <v>52</v>
      </c>
      <c r="F11" s="62" t="s">
        <v>105</v>
      </c>
      <c r="G11" s="63" t="s">
        <v>43</v>
      </c>
      <c r="H11" s="41"/>
      <c r="I11" s="50"/>
    </row>
    <row r="12" spans="2:15">
      <c r="B12" s="40" t="s">
        <v>75</v>
      </c>
      <c r="C12" s="38" t="s">
        <v>72</v>
      </c>
      <c r="D12" s="41" t="s">
        <v>52</v>
      </c>
      <c r="F12" s="62" t="s">
        <v>106</v>
      </c>
      <c r="G12" s="63" t="s">
        <v>44</v>
      </c>
      <c r="H12" s="41"/>
    </row>
    <row r="13" spans="2:15">
      <c r="B13" s="40" t="s">
        <v>92</v>
      </c>
      <c r="C13" s="38" t="s">
        <v>72</v>
      </c>
      <c r="D13" s="41" t="s">
        <v>52</v>
      </c>
      <c r="F13" s="62" t="s">
        <v>107</v>
      </c>
      <c r="G13" s="63" t="s">
        <v>45</v>
      </c>
      <c r="H13" s="41"/>
    </row>
    <row r="14" spans="2:15">
      <c r="B14" s="40" t="s">
        <v>35</v>
      </c>
      <c r="C14" s="38" t="s">
        <v>36</v>
      </c>
      <c r="D14" s="41" t="s">
        <v>37</v>
      </c>
      <c r="F14" s="67" t="s">
        <v>108</v>
      </c>
      <c r="G14" s="68" t="s">
        <v>46</v>
      </c>
      <c r="H14" s="47"/>
    </row>
    <row r="15" spans="2:15">
      <c r="B15" s="40" t="s">
        <v>50</v>
      </c>
      <c r="C15" s="38" t="s">
        <v>41</v>
      </c>
      <c r="D15" s="41" t="s">
        <v>53</v>
      </c>
      <c r="F15" s="49"/>
      <c r="G15" s="49"/>
      <c r="H15" s="49"/>
    </row>
    <row r="16" spans="2:15">
      <c r="B16" s="40" t="s">
        <v>99</v>
      </c>
      <c r="C16" s="38" t="s">
        <v>42</v>
      </c>
      <c r="D16" s="41" t="s">
        <v>53</v>
      </c>
      <c r="F16" s="49"/>
      <c r="G16" s="49"/>
      <c r="H16" s="49"/>
    </row>
    <row r="17" spans="2:12">
      <c r="B17" s="40" t="s">
        <v>48</v>
      </c>
      <c r="C17" s="38" t="s">
        <v>39</v>
      </c>
      <c r="D17" s="41" t="s">
        <v>52</v>
      </c>
      <c r="F17" s="49"/>
      <c r="G17" s="49"/>
      <c r="H17" s="49"/>
    </row>
    <row r="18" spans="2:12">
      <c r="B18" s="40" t="s">
        <v>49</v>
      </c>
      <c r="C18" s="38" t="s">
        <v>40</v>
      </c>
      <c r="D18" s="41" t="s">
        <v>53</v>
      </c>
      <c r="F18" s="49"/>
      <c r="G18" s="49"/>
      <c r="H18" s="49"/>
    </row>
    <row r="19" spans="2:12">
      <c r="B19" s="45" t="s">
        <v>54</v>
      </c>
      <c r="C19" s="46" t="s">
        <v>93</v>
      </c>
      <c r="D19" s="47" t="s">
        <v>53</v>
      </c>
      <c r="F19" s="49"/>
      <c r="G19" s="49"/>
      <c r="H19" s="49"/>
    </row>
    <row r="20" spans="2:12" s="49" customFormat="1">
      <c r="B20" s="51"/>
      <c r="D20" s="37"/>
      <c r="E20" s="37"/>
    </row>
    <row r="21" spans="2:12" s="49" customFormat="1">
      <c r="D21" s="37"/>
      <c r="E21" s="37"/>
      <c r="L21" s="50"/>
    </row>
    <row r="22" spans="2:12" s="49" customFormat="1">
      <c r="D22" s="37"/>
      <c r="E22" s="37"/>
      <c r="F22" s="56"/>
      <c r="G22" s="56">
        <v>2014</v>
      </c>
      <c r="H22" s="56">
        <v>2015</v>
      </c>
    </row>
    <row r="23" spans="2:12" s="49" customFormat="1">
      <c r="D23" s="37"/>
      <c r="E23" s="37"/>
      <c r="F23" s="78" t="s">
        <v>109</v>
      </c>
      <c r="G23" s="57" t="s">
        <v>38</v>
      </c>
      <c r="H23" s="57" t="s">
        <v>38</v>
      </c>
    </row>
    <row r="24" spans="2:12" s="49" customFormat="1">
      <c r="D24" s="37"/>
      <c r="E24" s="37"/>
      <c r="F24" s="78"/>
      <c r="G24" s="57" t="s">
        <v>39</v>
      </c>
      <c r="H24" s="57" t="s">
        <v>43</v>
      </c>
    </row>
    <row r="25" spans="2:12" s="49" customFormat="1">
      <c r="D25" s="37"/>
      <c r="E25" s="37"/>
      <c r="F25" s="78"/>
      <c r="G25" s="57" t="s">
        <v>40</v>
      </c>
      <c r="H25" s="57" t="s">
        <v>44</v>
      </c>
    </row>
    <row r="26" spans="2:12" s="49" customFormat="1">
      <c r="B26" s="49" t="s">
        <v>52</v>
      </c>
      <c r="D26" s="37"/>
      <c r="E26" s="37"/>
      <c r="F26" s="78"/>
      <c r="G26" s="57" t="s">
        <v>41</v>
      </c>
      <c r="H26" s="57" t="s">
        <v>45</v>
      </c>
    </row>
    <row r="27" spans="2:12" s="49" customFormat="1">
      <c r="B27" s="49" t="s">
        <v>53</v>
      </c>
      <c r="D27" s="37"/>
      <c r="E27" s="37"/>
      <c r="F27" s="78"/>
      <c r="G27" s="57" t="s">
        <v>42</v>
      </c>
      <c r="H27" s="57" t="s">
        <v>46</v>
      </c>
      <c r="I27" s="56">
        <v>2016</v>
      </c>
    </row>
    <row r="28" spans="2:12" s="49" customFormat="1">
      <c r="B28" s="49" t="s">
        <v>57</v>
      </c>
      <c r="D28" s="37"/>
      <c r="E28" s="37"/>
      <c r="F28" s="56" t="s">
        <v>112</v>
      </c>
      <c r="G28" s="58" t="s">
        <v>113</v>
      </c>
      <c r="H28" s="58" t="s">
        <v>113</v>
      </c>
      <c r="I28" s="57" t="s">
        <v>38</v>
      </c>
    </row>
    <row r="29" spans="2:12" s="49" customFormat="1">
      <c r="D29" s="37"/>
      <c r="E29" s="37"/>
      <c r="F29" s="56" t="s">
        <v>109</v>
      </c>
      <c r="G29" s="57" t="s">
        <v>43</v>
      </c>
      <c r="H29" s="57" t="s">
        <v>39</v>
      </c>
      <c r="I29" s="57" t="s">
        <v>39</v>
      </c>
    </row>
    <row r="30" spans="2:12" s="49" customFormat="1">
      <c r="D30" s="37"/>
      <c r="E30" s="37"/>
      <c r="F30" s="56"/>
      <c r="G30" s="57" t="s">
        <v>44</v>
      </c>
      <c r="H30" s="57" t="s">
        <v>64</v>
      </c>
      <c r="I30" s="57" t="s">
        <v>64</v>
      </c>
    </row>
    <row r="31" spans="2:12" s="49" customFormat="1">
      <c r="D31" s="37"/>
      <c r="E31" s="37"/>
      <c r="F31" s="56"/>
      <c r="G31" s="57" t="s">
        <v>45</v>
      </c>
      <c r="H31" s="57" t="s">
        <v>110</v>
      </c>
      <c r="I31" s="57" t="s">
        <v>110</v>
      </c>
    </row>
    <row r="32" spans="2:12" s="49" customFormat="1">
      <c r="D32" s="37"/>
      <c r="E32" s="37"/>
      <c r="F32" s="56"/>
      <c r="G32" s="57" t="s">
        <v>46</v>
      </c>
      <c r="H32" s="57" t="s">
        <v>111</v>
      </c>
      <c r="I32" s="57" t="s">
        <v>111</v>
      </c>
    </row>
    <row r="33" spans="2:12" s="49" customFormat="1">
      <c r="D33" s="37"/>
      <c r="E33" s="37"/>
      <c r="F33" s="5"/>
      <c r="G33" s="5"/>
      <c r="H33" s="5"/>
      <c r="I33" s="58" t="s">
        <v>113</v>
      </c>
    </row>
    <row r="34" spans="2:12" s="49" customFormat="1">
      <c r="D34" s="37"/>
      <c r="E34" s="37"/>
      <c r="F34" s="5"/>
      <c r="G34" s="5"/>
      <c r="H34" s="5"/>
      <c r="I34" s="57" t="s">
        <v>43</v>
      </c>
    </row>
    <row r="35" spans="2:12" s="49" customFormat="1">
      <c r="D35" s="37"/>
      <c r="E35" s="37"/>
      <c r="F35" s="5"/>
      <c r="G35" s="5"/>
      <c r="H35" s="5"/>
      <c r="I35" s="57" t="s">
        <v>40</v>
      </c>
    </row>
    <row r="36" spans="2:12" s="49" customFormat="1">
      <c r="D36" s="37"/>
      <c r="E36" s="37"/>
      <c r="F36" s="5"/>
      <c r="G36" s="5"/>
      <c r="H36" s="5"/>
      <c r="I36" s="57" t="s">
        <v>41</v>
      </c>
    </row>
    <row r="37" spans="2:12">
      <c r="I37" s="57" t="s">
        <v>42</v>
      </c>
    </row>
    <row r="39" spans="2:12">
      <c r="J39" s="50"/>
    </row>
    <row r="42" spans="2:12">
      <c r="L42" s="1"/>
    </row>
    <row r="43" spans="2:12">
      <c r="B43" s="6"/>
    </row>
  </sheetData>
  <mergeCells count="3">
    <mergeCell ref="B2:D2"/>
    <mergeCell ref="F23:F27"/>
    <mergeCell ref="F2:G2"/>
  </mergeCells>
  <conditionalFormatting sqref="D15:E20 D4:E13">
    <cfRule type="cellIs" dxfId="10" priority="1" operator="equal">
      <formula>$B$28</formula>
    </cfRule>
    <cfRule type="cellIs" dxfId="9" priority="2" operator="equal">
      <formula>$B$27</formula>
    </cfRule>
    <cfRule type="cellIs" dxfId="8" priority="3" operator="equal">
      <formula>$B$26</formula>
    </cfRule>
  </conditionalFormatting>
  <hyperlinks>
    <hyperlink ref="G28" r:id="rId1" location="fn3" display="http://www.federalreserve.gov/monetarypolicy/fomc.htm - fn3"/>
    <hyperlink ref="H28" r:id="rId2" location="fn3" display="http://www.federalreserve.gov/monetarypolicy/fomc.htm - fn3"/>
    <hyperlink ref="I33" r:id="rId3" location="fn3" display="http://www.federalreserve.gov/monetarypolicy/fomc.htm - fn3"/>
  </hyperlinks>
  <pageMargins left="0.7" right="0.7" top="0.75" bottom="0.75" header="0.3" footer="0.3"/>
  <pageSetup orientation="portrait" horizontalDpi="4294967295" verticalDpi="4294967295" r:id="rId4"/>
  <tableParts count="4"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tabSelected="1" topLeftCell="I36" zoomScale="80" zoomScaleNormal="80" workbookViewId="0">
      <selection activeCell="T59" sqref="T59"/>
    </sheetView>
  </sheetViews>
  <sheetFormatPr baseColWidth="10" defaultRowHeight="15"/>
  <cols>
    <col min="1" max="1" width="11.42578125" style="5"/>
    <col min="2" max="2" width="4.42578125" style="5" bestFit="1" customWidth="1"/>
    <col min="3" max="3" width="11.42578125" style="5"/>
    <col min="4" max="4" width="19.85546875" style="5" customWidth="1"/>
    <col min="5" max="5" width="12.7109375" style="5" bestFit="1" customWidth="1"/>
    <col min="6" max="7" width="12.7109375" style="5" customWidth="1"/>
    <col min="8" max="8" width="15.85546875" style="5" bestFit="1" customWidth="1"/>
    <col min="9" max="10" width="29.85546875" style="5" customWidth="1"/>
    <col min="11" max="22" width="11.42578125" style="5"/>
    <col min="23" max="28" width="11.42578125" style="5" customWidth="1"/>
    <col min="29" max="16384" width="11.42578125" style="5"/>
  </cols>
  <sheetData>
    <row r="1" spans="1:28">
      <c r="C1" s="5" t="s">
        <v>24</v>
      </c>
      <c r="F1" s="22" t="s">
        <v>28</v>
      </c>
      <c r="H1" s="5" t="s">
        <v>29</v>
      </c>
      <c r="K1" s="5" t="s">
        <v>30</v>
      </c>
    </row>
    <row r="2" spans="1:28">
      <c r="A2" s="2">
        <v>39777</v>
      </c>
      <c r="B2" s="5" t="s">
        <v>18</v>
      </c>
      <c r="C2" s="5">
        <v>100</v>
      </c>
      <c r="D2" s="5" t="s">
        <v>23</v>
      </c>
      <c r="H2" s="10">
        <f>+DAYS360(A2,A4)/30</f>
        <v>3.7666666666666666</v>
      </c>
    </row>
    <row r="3" spans="1:28">
      <c r="A3" s="2"/>
      <c r="C3" s="5">
        <v>500</v>
      </c>
      <c r="D3" s="5" t="s">
        <v>20</v>
      </c>
      <c r="J3" s="5" t="s">
        <v>78</v>
      </c>
    </row>
    <row r="4" spans="1:28">
      <c r="A4" s="2">
        <v>39890</v>
      </c>
      <c r="B4" s="5" t="s">
        <v>18</v>
      </c>
      <c r="C4" s="5">
        <v>300</v>
      </c>
      <c r="D4" s="5" t="s">
        <v>25</v>
      </c>
      <c r="J4" s="5" t="s">
        <v>77</v>
      </c>
      <c r="K4" s="5">
        <f>+$F$5+$F$7+K14</f>
        <v>3135</v>
      </c>
      <c r="L4" s="5">
        <f t="shared" ref="L4:U4" si="0">+$F$5+$F$7+L14</f>
        <v>3275</v>
      </c>
      <c r="M4" s="5">
        <f t="shared" si="0"/>
        <v>3290</v>
      </c>
      <c r="N4" s="5">
        <f t="shared" si="0"/>
        <v>3367.5</v>
      </c>
      <c r="O4" s="5">
        <f t="shared" si="0"/>
        <v>3437.5</v>
      </c>
      <c r="P4" s="5">
        <f t="shared" si="0"/>
        <v>3500</v>
      </c>
      <c r="Q4" s="5">
        <f t="shared" si="0"/>
        <v>3555</v>
      </c>
      <c r="R4" s="5">
        <f t="shared" si="0"/>
        <v>3602.5</v>
      </c>
      <c r="S4" s="5">
        <f t="shared" si="0"/>
        <v>3602.5</v>
      </c>
      <c r="T4" s="5">
        <f t="shared" si="0"/>
        <v>3602.5</v>
      </c>
      <c r="U4" s="5">
        <f t="shared" si="0"/>
        <v>3602.5</v>
      </c>
    </row>
    <row r="5" spans="1:28">
      <c r="A5" s="2"/>
      <c r="C5" s="5">
        <v>750</v>
      </c>
      <c r="D5" s="5" t="s">
        <v>20</v>
      </c>
      <c r="F5" s="5">
        <v>1550</v>
      </c>
    </row>
    <row r="6" spans="1:28" ht="15.75" thickBot="1">
      <c r="A6" s="2"/>
      <c r="C6" s="5">
        <v>100</v>
      </c>
      <c r="D6" s="5" t="s">
        <v>23</v>
      </c>
      <c r="F6" s="21">
        <f>+C2+C3+C4+C5+C6</f>
        <v>1750</v>
      </c>
      <c r="H6" s="5">
        <f>+F6/H2</f>
        <v>464.60176991150445</v>
      </c>
      <c r="J6" s="5">
        <v>12</v>
      </c>
      <c r="K6" s="5">
        <v>13</v>
      </c>
      <c r="L6" s="5">
        <v>14</v>
      </c>
      <c r="M6" s="5">
        <v>15</v>
      </c>
      <c r="N6" s="5">
        <v>16</v>
      </c>
      <c r="O6" s="5">
        <v>17</v>
      </c>
      <c r="P6" s="5">
        <v>18</v>
      </c>
      <c r="Q6" s="5">
        <v>19</v>
      </c>
      <c r="R6" s="5">
        <v>20</v>
      </c>
      <c r="S6" s="5">
        <v>21</v>
      </c>
      <c r="T6" s="5">
        <v>22</v>
      </c>
      <c r="U6" s="5">
        <v>23</v>
      </c>
    </row>
    <row r="7" spans="1:28" ht="15.75" thickBot="1">
      <c r="A7" s="2">
        <v>40248</v>
      </c>
      <c r="B7" s="5" t="s">
        <v>21</v>
      </c>
      <c r="C7" s="5">
        <v>600</v>
      </c>
      <c r="D7" s="5" t="s">
        <v>19</v>
      </c>
      <c r="F7" s="21">
        <f>+C7</f>
        <v>600</v>
      </c>
      <c r="H7" s="5">
        <f>+(DAYS360(A7,A8)/30)</f>
        <v>30.066666666666666</v>
      </c>
      <c r="J7" s="29">
        <v>41548</v>
      </c>
      <c r="K7" s="29">
        <v>41579</v>
      </c>
      <c r="L7" s="30">
        <v>41609</v>
      </c>
      <c r="M7" s="30">
        <v>41640</v>
      </c>
      <c r="N7" s="30">
        <v>41671</v>
      </c>
      <c r="O7" s="30">
        <v>41699</v>
      </c>
      <c r="P7" s="30">
        <v>41730</v>
      </c>
      <c r="Q7" s="30">
        <v>41760</v>
      </c>
      <c r="R7" s="30">
        <v>41791</v>
      </c>
      <c r="S7" s="30">
        <v>41821</v>
      </c>
      <c r="T7" s="30">
        <v>41852</v>
      </c>
      <c r="U7" s="31">
        <v>41883</v>
      </c>
      <c r="W7" s="35">
        <v>1</v>
      </c>
      <c r="X7" s="5">
        <f>1/6*W7</f>
        <v>0.16666666666666666</v>
      </c>
    </row>
    <row r="8" spans="1:28">
      <c r="A8" s="2">
        <v>41165</v>
      </c>
      <c r="B8" s="5" t="s">
        <v>22</v>
      </c>
      <c r="C8" s="5">
        <v>40</v>
      </c>
      <c r="D8" s="5" t="s">
        <v>26</v>
      </c>
      <c r="E8" s="5">
        <f>+C8*13</f>
        <v>520</v>
      </c>
      <c r="I8" s="5" t="s">
        <v>65</v>
      </c>
      <c r="J8" s="27">
        <f>+$C$8*(J6-3)</f>
        <v>360</v>
      </c>
      <c r="K8" s="27">
        <f t="shared" ref="K8" si="1">+$C$8*(K6-3)</f>
        <v>400</v>
      </c>
      <c r="L8" s="27">
        <f>+$C$9*(L6-3)</f>
        <v>495</v>
      </c>
      <c r="M8" s="27">
        <f t="shared" ref="M8:U8" si="2">+$C$9*(M6-3)</f>
        <v>540</v>
      </c>
      <c r="N8" s="27">
        <f t="shared" si="2"/>
        <v>585</v>
      </c>
      <c r="O8" s="27">
        <f t="shared" si="2"/>
        <v>630</v>
      </c>
      <c r="P8" s="27">
        <f t="shared" si="2"/>
        <v>675</v>
      </c>
      <c r="Q8" s="27">
        <f t="shared" si="2"/>
        <v>720</v>
      </c>
      <c r="R8" s="27">
        <f t="shared" si="2"/>
        <v>765</v>
      </c>
      <c r="S8" s="27">
        <f t="shared" si="2"/>
        <v>810</v>
      </c>
      <c r="T8" s="27">
        <f t="shared" si="2"/>
        <v>855</v>
      </c>
      <c r="U8" s="28">
        <f t="shared" si="2"/>
        <v>900</v>
      </c>
      <c r="W8" s="5">
        <v>2</v>
      </c>
      <c r="X8" s="5">
        <f t="shared" ref="X8:X12" si="3">1/6*W8</f>
        <v>0.33333333333333331</v>
      </c>
    </row>
    <row r="9" spans="1:28" ht="15.75" thickBot="1">
      <c r="C9" s="5">
        <v>45</v>
      </c>
      <c r="D9" s="5" t="s">
        <v>27</v>
      </c>
      <c r="E9" s="5">
        <f>+C9*13</f>
        <v>585</v>
      </c>
      <c r="I9" s="5" t="s">
        <v>20</v>
      </c>
      <c r="J9" s="25">
        <f>+$C$9*J6</f>
        <v>540</v>
      </c>
      <c r="K9" s="25">
        <f t="shared" ref="K9:L9" si="4">+$C$9*K6</f>
        <v>585</v>
      </c>
      <c r="L9" s="26">
        <f t="shared" si="4"/>
        <v>630</v>
      </c>
      <c r="M9" s="26">
        <f>+$C$8*M6</f>
        <v>600</v>
      </c>
      <c r="N9" s="26">
        <f t="shared" ref="N9:U9" si="5">+$C$8*N6</f>
        <v>640</v>
      </c>
      <c r="O9" s="26">
        <f t="shared" si="5"/>
        <v>680</v>
      </c>
      <c r="P9" s="26">
        <f t="shared" si="5"/>
        <v>720</v>
      </c>
      <c r="Q9" s="26">
        <f t="shared" si="5"/>
        <v>760</v>
      </c>
      <c r="R9" s="26">
        <f t="shared" si="5"/>
        <v>800</v>
      </c>
      <c r="S9" s="26">
        <f t="shared" si="5"/>
        <v>840</v>
      </c>
      <c r="T9" s="26">
        <f t="shared" si="5"/>
        <v>880</v>
      </c>
      <c r="U9" s="26">
        <f t="shared" si="5"/>
        <v>920</v>
      </c>
      <c r="W9" s="5">
        <v>3</v>
      </c>
      <c r="X9" s="5">
        <f t="shared" si="3"/>
        <v>0.5</v>
      </c>
    </row>
    <row r="10" spans="1:28">
      <c r="A10" s="5" t="s">
        <v>70</v>
      </c>
      <c r="F10" s="21"/>
      <c r="I10" s="5" t="s">
        <v>31</v>
      </c>
      <c r="K10" s="23"/>
      <c r="L10" s="24">
        <f>+L8</f>
        <v>495</v>
      </c>
      <c r="M10" s="33">
        <f>+L10+($C$9*AB15)</f>
        <v>540</v>
      </c>
      <c r="N10" s="33">
        <f>+M10+($C$9*AA15)</f>
        <v>577.5</v>
      </c>
      <c r="O10" s="33">
        <f>+N10+($C$9*Z15)</f>
        <v>607.5</v>
      </c>
      <c r="P10" s="33">
        <f>+O10+($C$9*Y15)</f>
        <v>630</v>
      </c>
      <c r="Q10" s="33">
        <f>+P10+($C$9*X15)</f>
        <v>645</v>
      </c>
      <c r="R10" s="33">
        <f>+Q10+($C$9*W15)</f>
        <v>652.5</v>
      </c>
      <c r="S10" s="33"/>
      <c r="T10" s="33"/>
      <c r="U10" s="33"/>
      <c r="W10" s="5">
        <v>4</v>
      </c>
      <c r="X10" s="5">
        <f t="shared" si="3"/>
        <v>0.66666666666666663</v>
      </c>
    </row>
    <row r="11" spans="1:28" ht="15.75" thickBot="1">
      <c r="I11" s="5" t="s">
        <v>32</v>
      </c>
      <c r="K11" s="25"/>
      <c r="L11" s="26">
        <f>+L8</f>
        <v>495</v>
      </c>
      <c r="M11" s="34">
        <f>+M8</f>
        <v>540</v>
      </c>
      <c r="N11" s="34">
        <f>+N8</f>
        <v>585</v>
      </c>
      <c r="O11" s="34">
        <f>+O8</f>
        <v>630</v>
      </c>
      <c r="P11" s="34">
        <f>+O11+($C$9*AB15)</f>
        <v>675</v>
      </c>
      <c r="Q11" s="34">
        <f>+P11+($C$9*AA15)</f>
        <v>712.5</v>
      </c>
      <c r="R11" s="34">
        <f>+Q11+($C$9*Z15)</f>
        <v>742.5</v>
      </c>
      <c r="S11" s="34">
        <f>+R11+($C$9*Y15)</f>
        <v>765</v>
      </c>
      <c r="T11" s="34">
        <f>+S11+($C$9*X15)</f>
        <v>780</v>
      </c>
      <c r="U11" s="34">
        <f>+T11+($C$9*W15)</f>
        <v>787.5</v>
      </c>
      <c r="W11" s="5">
        <v>5</v>
      </c>
      <c r="X11" s="5">
        <f t="shared" si="3"/>
        <v>0.83333333333333326</v>
      </c>
    </row>
    <row r="12" spans="1:28">
      <c r="W12" s="5">
        <v>6</v>
      </c>
      <c r="X12" s="5">
        <f t="shared" si="3"/>
        <v>1</v>
      </c>
    </row>
    <row r="13" spans="1:28">
      <c r="A13" s="5" t="s">
        <v>71</v>
      </c>
      <c r="B13" s="5" t="s">
        <v>66</v>
      </c>
    </row>
    <row r="14" spans="1:28">
      <c r="B14" s="5" t="s">
        <v>67</v>
      </c>
      <c r="H14" s="5" t="s">
        <v>96</v>
      </c>
      <c r="I14" s="5" t="s">
        <v>69</v>
      </c>
      <c r="J14" s="5">
        <f>+J8+J9</f>
        <v>900</v>
      </c>
      <c r="K14" s="5">
        <f>+K8+K9</f>
        <v>985</v>
      </c>
      <c r="L14" s="5">
        <f>+L8+L9</f>
        <v>1125</v>
      </c>
      <c r="M14" s="8">
        <f>+M9+M10</f>
        <v>1140</v>
      </c>
      <c r="N14" s="8">
        <f t="shared" ref="N14:R14" si="6">+N9+N10</f>
        <v>1217.5</v>
      </c>
      <c r="O14" s="8">
        <f t="shared" si="6"/>
        <v>1287.5</v>
      </c>
      <c r="P14" s="8">
        <f t="shared" si="6"/>
        <v>1350</v>
      </c>
      <c r="Q14" s="8">
        <f t="shared" si="6"/>
        <v>1405</v>
      </c>
      <c r="R14" s="8">
        <f t="shared" si="6"/>
        <v>1452.5</v>
      </c>
      <c r="S14" s="8">
        <f>+R14</f>
        <v>1452.5</v>
      </c>
      <c r="T14" s="8">
        <f>+S14</f>
        <v>1452.5</v>
      </c>
      <c r="U14" s="8">
        <f>+T14</f>
        <v>1452.5</v>
      </c>
      <c r="W14" s="5">
        <v>1</v>
      </c>
      <c r="X14" s="5">
        <v>2</v>
      </c>
      <c r="Y14" s="5">
        <v>3</v>
      </c>
      <c r="Z14" s="5">
        <v>4</v>
      </c>
      <c r="AA14" s="5">
        <v>5</v>
      </c>
      <c r="AB14" s="5">
        <v>6</v>
      </c>
    </row>
    <row r="15" spans="1:28">
      <c r="H15" s="5" t="s">
        <v>97</v>
      </c>
      <c r="I15" s="5" t="s">
        <v>33</v>
      </c>
      <c r="J15" s="5">
        <f t="shared" ref="J15:O15" si="7">+J8+J9</f>
        <v>900</v>
      </c>
      <c r="K15" s="5">
        <f t="shared" si="7"/>
        <v>985</v>
      </c>
      <c r="L15" s="5">
        <f t="shared" si="7"/>
        <v>1125</v>
      </c>
      <c r="M15" s="5">
        <f t="shared" si="7"/>
        <v>1140</v>
      </c>
      <c r="N15" s="5">
        <f t="shared" si="7"/>
        <v>1225</v>
      </c>
      <c r="O15" s="5">
        <f t="shared" si="7"/>
        <v>1310</v>
      </c>
      <c r="P15" s="10">
        <f>+P9+P11</f>
        <v>1395</v>
      </c>
      <c r="Q15" s="10">
        <f t="shared" ref="Q15:U15" si="8">+Q9+Q11</f>
        <v>1472.5</v>
      </c>
      <c r="R15" s="10">
        <f t="shared" si="8"/>
        <v>1542.5</v>
      </c>
      <c r="S15" s="10">
        <f t="shared" si="8"/>
        <v>1605</v>
      </c>
      <c r="T15" s="10">
        <f t="shared" si="8"/>
        <v>1660</v>
      </c>
      <c r="U15" s="10">
        <f t="shared" si="8"/>
        <v>1707.5</v>
      </c>
      <c r="W15" s="5">
        <f>+W14/6</f>
        <v>0.16666666666666666</v>
      </c>
      <c r="X15" s="5">
        <f t="shared" ref="X15:AB15" si="9">+X14/6</f>
        <v>0.33333333333333331</v>
      </c>
      <c r="Y15" s="5">
        <f t="shared" si="9"/>
        <v>0.5</v>
      </c>
      <c r="Z15" s="5">
        <f t="shared" si="9"/>
        <v>0.66666666666666663</v>
      </c>
      <c r="AA15" s="5">
        <f t="shared" si="9"/>
        <v>0.83333333333333337</v>
      </c>
      <c r="AB15" s="5">
        <f t="shared" si="9"/>
        <v>1</v>
      </c>
    </row>
    <row r="16" spans="1:28">
      <c r="F16" s="5">
        <v>900</v>
      </c>
      <c r="I16" s="32" t="s">
        <v>18</v>
      </c>
      <c r="J16" s="32">
        <v>1550</v>
      </c>
      <c r="K16" s="32">
        <v>1550</v>
      </c>
      <c r="L16" s="32">
        <v>1550</v>
      </c>
      <c r="M16" s="32">
        <v>1550</v>
      </c>
      <c r="N16" s="32">
        <v>1550</v>
      </c>
      <c r="O16" s="32">
        <v>1550</v>
      </c>
      <c r="P16" s="32">
        <v>1550</v>
      </c>
      <c r="Q16" s="32">
        <v>1550</v>
      </c>
      <c r="R16" s="32">
        <v>1550</v>
      </c>
      <c r="S16" s="32">
        <v>1550</v>
      </c>
      <c r="T16" s="32">
        <v>1550</v>
      </c>
      <c r="U16" s="32">
        <v>1550</v>
      </c>
      <c r="V16" s="32">
        <v>1550</v>
      </c>
      <c r="W16" s="32">
        <v>1550</v>
      </c>
      <c r="X16" s="32">
        <v>1550</v>
      </c>
    </row>
    <row r="17" spans="5:33">
      <c r="I17" s="32" t="s">
        <v>21</v>
      </c>
      <c r="J17" s="32">
        <v>600</v>
      </c>
      <c r="K17" s="5">
        <v>600</v>
      </c>
      <c r="L17" s="5">
        <v>600</v>
      </c>
      <c r="M17" s="5">
        <v>600</v>
      </c>
      <c r="N17" s="5">
        <v>600</v>
      </c>
      <c r="O17" s="5">
        <v>600</v>
      </c>
      <c r="P17" s="5">
        <v>600</v>
      </c>
      <c r="Q17" s="5">
        <v>600</v>
      </c>
      <c r="R17" s="5">
        <v>600</v>
      </c>
      <c r="S17" s="5">
        <v>600</v>
      </c>
      <c r="T17" s="5">
        <v>600</v>
      </c>
      <c r="U17" s="5">
        <v>600</v>
      </c>
      <c r="V17" s="5">
        <v>600</v>
      </c>
      <c r="W17" s="5">
        <v>600</v>
      </c>
      <c r="X17" s="5">
        <v>600</v>
      </c>
      <c r="Y17" s="5">
        <v>4</v>
      </c>
      <c r="Z17" s="5">
        <v>3</v>
      </c>
      <c r="AA17" s="5">
        <v>2</v>
      </c>
      <c r="AB17" s="5">
        <v>1</v>
      </c>
    </row>
    <row r="18" spans="5:33">
      <c r="E18" s="5" t="s">
        <v>76</v>
      </c>
      <c r="F18" s="5">
        <f>+F5+F7+F16</f>
        <v>3050</v>
      </c>
    </row>
    <row r="19" spans="5:33" hidden="1">
      <c r="K19" s="3">
        <v>39753</v>
      </c>
      <c r="L19" s="3">
        <v>39783</v>
      </c>
      <c r="M19" s="3">
        <v>39814</v>
      </c>
      <c r="N19" s="3">
        <v>39845</v>
      </c>
      <c r="O19" s="3">
        <v>39873</v>
      </c>
      <c r="P19" s="3">
        <v>39904</v>
      </c>
      <c r="Q19" s="3">
        <v>39934</v>
      </c>
      <c r="R19" s="3">
        <v>39965</v>
      </c>
      <c r="S19" s="3">
        <v>39995</v>
      </c>
      <c r="T19" s="3">
        <v>40026</v>
      </c>
      <c r="U19" s="3">
        <v>40057</v>
      </c>
      <c r="V19" s="3">
        <v>40087</v>
      </c>
    </row>
    <row r="20" spans="5:33" hidden="1">
      <c r="I20" s="5" t="s">
        <v>18</v>
      </c>
      <c r="K20" s="8">
        <f t="shared" ref="K20:T20" si="10">+L20-$V$24</f>
        <v>1750</v>
      </c>
      <c r="L20" s="8">
        <f t="shared" si="10"/>
        <v>1750</v>
      </c>
      <c r="M20" s="8">
        <f t="shared" si="10"/>
        <v>1750</v>
      </c>
      <c r="N20" s="8">
        <f t="shared" si="10"/>
        <v>1750</v>
      </c>
      <c r="O20" s="8">
        <f t="shared" si="10"/>
        <v>1750</v>
      </c>
      <c r="P20" s="8">
        <f t="shared" si="10"/>
        <v>1750</v>
      </c>
      <c r="Q20" s="8">
        <f t="shared" si="10"/>
        <v>1750</v>
      </c>
      <c r="R20" s="8">
        <f t="shared" si="10"/>
        <v>1750</v>
      </c>
      <c r="S20" s="8">
        <f t="shared" si="10"/>
        <v>1750</v>
      </c>
      <c r="T20" s="8">
        <f t="shared" si="10"/>
        <v>1750</v>
      </c>
      <c r="U20" s="8">
        <f>+V20-$V$24</f>
        <v>1750</v>
      </c>
      <c r="V20" s="5">
        <v>1750</v>
      </c>
    </row>
    <row r="21" spans="5:33" hidden="1">
      <c r="I21" s="5" t="s">
        <v>21</v>
      </c>
      <c r="K21" s="5">
        <f t="shared" ref="K21:X21" si="11">+L21-$Z$23</f>
        <v>37.5</v>
      </c>
      <c r="L21" s="5">
        <f t="shared" si="11"/>
        <v>75</v>
      </c>
      <c r="M21" s="5">
        <f t="shared" si="11"/>
        <v>112.5</v>
      </c>
      <c r="N21" s="5">
        <f t="shared" si="11"/>
        <v>150</v>
      </c>
      <c r="O21" s="5">
        <f t="shared" si="11"/>
        <v>187.5</v>
      </c>
      <c r="P21" s="5">
        <f t="shared" si="11"/>
        <v>225</v>
      </c>
      <c r="Q21" s="5">
        <f t="shared" si="11"/>
        <v>262.5</v>
      </c>
      <c r="R21" s="5">
        <f t="shared" si="11"/>
        <v>300</v>
      </c>
      <c r="S21" s="5">
        <f t="shared" si="11"/>
        <v>337.5</v>
      </c>
      <c r="T21" s="5">
        <f t="shared" si="11"/>
        <v>375</v>
      </c>
      <c r="U21" s="5">
        <f t="shared" si="11"/>
        <v>412.5</v>
      </c>
      <c r="V21" s="5">
        <f t="shared" si="11"/>
        <v>450</v>
      </c>
      <c r="W21" s="5">
        <f t="shared" si="11"/>
        <v>487.5</v>
      </c>
      <c r="X21" s="5">
        <f t="shared" si="11"/>
        <v>525</v>
      </c>
      <c r="Y21" s="5">
        <f>+Z21-$Z$23</f>
        <v>562.5</v>
      </c>
      <c r="Z21" s="5">
        <v>600</v>
      </c>
    </row>
    <row r="22" spans="5:33" hidden="1">
      <c r="K22" s="3">
        <v>40238</v>
      </c>
      <c r="L22" s="3">
        <v>40269</v>
      </c>
      <c r="M22" s="3">
        <v>40299</v>
      </c>
      <c r="N22" s="3">
        <v>40330</v>
      </c>
      <c r="O22" s="3">
        <v>40360</v>
      </c>
      <c r="P22" s="3">
        <v>40391</v>
      </c>
      <c r="Q22" s="3">
        <v>40422</v>
      </c>
      <c r="R22" s="3">
        <v>40452</v>
      </c>
      <c r="S22" s="3">
        <v>40483</v>
      </c>
      <c r="T22" s="3">
        <v>40513</v>
      </c>
      <c r="U22" s="3">
        <v>40544</v>
      </c>
      <c r="V22" s="3">
        <v>40575</v>
      </c>
      <c r="W22" s="3">
        <v>40603</v>
      </c>
      <c r="X22" s="3">
        <v>40634</v>
      </c>
      <c r="Y22" s="3">
        <v>40664</v>
      </c>
      <c r="Z22" s="3">
        <v>40695</v>
      </c>
    </row>
    <row r="23" spans="5:33" hidden="1">
      <c r="Z23" s="5">
        <f>+Z21/16</f>
        <v>37.5</v>
      </c>
    </row>
    <row r="25" spans="5:33" s="54" customFormat="1">
      <c r="I25" s="54" t="s">
        <v>85</v>
      </c>
      <c r="J25" s="55">
        <v>41548</v>
      </c>
      <c r="K25" s="55">
        <v>41579</v>
      </c>
      <c r="L25" s="55">
        <v>41609</v>
      </c>
      <c r="M25" s="55">
        <v>41640</v>
      </c>
      <c r="N25" s="55">
        <v>41671</v>
      </c>
      <c r="O25" s="55">
        <v>41699</v>
      </c>
      <c r="P25" s="55">
        <v>41730</v>
      </c>
      <c r="Q25" s="55">
        <v>41760</v>
      </c>
      <c r="R25" s="55">
        <v>41791</v>
      </c>
      <c r="S25" s="55">
        <v>41821</v>
      </c>
      <c r="T25" s="55">
        <v>41852</v>
      </c>
      <c r="U25" s="55">
        <v>41883</v>
      </c>
      <c r="V25" s="55">
        <v>41913</v>
      </c>
      <c r="W25" s="55">
        <v>41944</v>
      </c>
      <c r="X25" s="55">
        <v>41974</v>
      </c>
      <c r="Y25" s="55">
        <v>42005</v>
      </c>
      <c r="Z25" s="55">
        <v>42036</v>
      </c>
      <c r="AA25" s="55">
        <v>42064</v>
      </c>
      <c r="AB25" s="55">
        <v>42095</v>
      </c>
      <c r="AC25" s="55">
        <v>42125</v>
      </c>
      <c r="AD25" s="55">
        <v>42156</v>
      </c>
      <c r="AE25" s="55">
        <v>42186</v>
      </c>
      <c r="AF25" s="55">
        <v>42217</v>
      </c>
      <c r="AG25" s="55">
        <v>42248</v>
      </c>
    </row>
    <row r="26" spans="5:33">
      <c r="I26" s="5" t="s">
        <v>20</v>
      </c>
      <c r="J26" s="5">
        <f>J9</f>
        <v>540</v>
      </c>
      <c r="K26" s="5">
        <f>J26+K28</f>
        <v>580</v>
      </c>
      <c r="L26" s="5">
        <f t="shared" ref="L26:X27" si="12">K26+L28</f>
        <v>615</v>
      </c>
      <c r="M26" s="5">
        <f t="shared" si="12"/>
        <v>645</v>
      </c>
      <c r="N26" s="5">
        <f t="shared" si="12"/>
        <v>675</v>
      </c>
      <c r="O26" s="5">
        <f t="shared" si="12"/>
        <v>700</v>
      </c>
      <c r="P26" s="5">
        <f t="shared" si="12"/>
        <v>720</v>
      </c>
      <c r="Q26" s="5">
        <f t="shared" si="12"/>
        <v>740</v>
      </c>
      <c r="R26" s="5">
        <f t="shared" si="12"/>
        <v>755</v>
      </c>
      <c r="S26" s="5">
        <f t="shared" si="12"/>
        <v>765</v>
      </c>
      <c r="T26" s="5">
        <f t="shared" si="12"/>
        <v>775</v>
      </c>
      <c r="U26" s="5">
        <f t="shared" si="12"/>
        <v>780</v>
      </c>
      <c r="V26" s="5">
        <f t="shared" si="12"/>
        <v>785</v>
      </c>
      <c r="W26" s="5">
        <f t="shared" si="12"/>
        <v>785</v>
      </c>
      <c r="X26" s="5">
        <f t="shared" si="12"/>
        <v>785</v>
      </c>
    </row>
    <row r="27" spans="5:33">
      <c r="I27" s="5" t="s">
        <v>79</v>
      </c>
      <c r="J27" s="5">
        <f>J8</f>
        <v>360</v>
      </c>
      <c r="K27" s="5">
        <f>J27+K29</f>
        <v>405</v>
      </c>
      <c r="L27" s="5">
        <f t="shared" si="12"/>
        <v>445</v>
      </c>
      <c r="M27" s="5">
        <f t="shared" si="12"/>
        <v>480</v>
      </c>
      <c r="N27" s="5">
        <f t="shared" si="12"/>
        <v>515</v>
      </c>
      <c r="O27" s="5">
        <f t="shared" si="12"/>
        <v>545</v>
      </c>
      <c r="P27" s="5">
        <f t="shared" si="12"/>
        <v>570</v>
      </c>
      <c r="Q27" s="5">
        <f t="shared" si="12"/>
        <v>595</v>
      </c>
      <c r="R27" s="5">
        <f t="shared" si="12"/>
        <v>615</v>
      </c>
      <c r="S27" s="5">
        <f t="shared" si="12"/>
        <v>630</v>
      </c>
      <c r="T27" s="5">
        <f t="shared" si="12"/>
        <v>645</v>
      </c>
      <c r="U27" s="5">
        <f t="shared" si="12"/>
        <v>655</v>
      </c>
      <c r="V27" s="5">
        <f t="shared" si="12"/>
        <v>665</v>
      </c>
      <c r="W27" s="5">
        <f t="shared" si="12"/>
        <v>665</v>
      </c>
      <c r="X27" s="5">
        <f t="shared" si="12"/>
        <v>665</v>
      </c>
    </row>
    <row r="28" spans="5:33">
      <c r="I28" s="5" t="s">
        <v>80</v>
      </c>
      <c r="K28" s="5">
        <v>40</v>
      </c>
      <c r="L28" s="5">
        <v>35</v>
      </c>
      <c r="M28" s="5">
        <v>30</v>
      </c>
      <c r="N28" s="5">
        <v>30</v>
      </c>
      <c r="O28" s="5">
        <v>25</v>
      </c>
      <c r="P28" s="5">
        <v>20</v>
      </c>
      <c r="Q28" s="5">
        <v>20</v>
      </c>
      <c r="R28" s="5">
        <v>15</v>
      </c>
      <c r="S28" s="5">
        <v>10</v>
      </c>
      <c r="T28" s="5">
        <v>10</v>
      </c>
      <c r="U28" s="5">
        <v>5</v>
      </c>
      <c r="V28" s="5">
        <v>5</v>
      </c>
      <c r="W28" s="5">
        <v>0</v>
      </c>
      <c r="X28" s="5">
        <v>0</v>
      </c>
    </row>
    <row r="29" spans="5:33">
      <c r="I29" s="5" t="s">
        <v>81</v>
      </c>
      <c r="K29" s="5">
        <v>45</v>
      </c>
      <c r="L29" s="5">
        <v>40</v>
      </c>
      <c r="M29" s="5">
        <v>35</v>
      </c>
      <c r="N29" s="5">
        <v>35</v>
      </c>
      <c r="O29" s="5">
        <v>30</v>
      </c>
      <c r="P29" s="5">
        <v>25</v>
      </c>
      <c r="Q29" s="5">
        <v>25</v>
      </c>
      <c r="R29" s="5">
        <v>20</v>
      </c>
      <c r="S29" s="5">
        <v>15</v>
      </c>
      <c r="T29" s="5">
        <v>15</v>
      </c>
      <c r="U29" s="5">
        <v>10</v>
      </c>
      <c r="V29" s="5">
        <v>10</v>
      </c>
      <c r="W29" s="5">
        <v>0</v>
      </c>
      <c r="X29" s="5">
        <v>0</v>
      </c>
    </row>
    <row r="30" spans="5:33">
      <c r="I30" s="5" t="s">
        <v>28</v>
      </c>
      <c r="J30" s="5">
        <f>+J26+J27</f>
        <v>900</v>
      </c>
      <c r="K30" s="5">
        <f t="shared" ref="K30:X30" si="13">+K26+K27</f>
        <v>985</v>
      </c>
      <c r="L30" s="5">
        <f t="shared" si="13"/>
        <v>1060</v>
      </c>
      <c r="M30" s="5">
        <f t="shared" si="13"/>
        <v>1125</v>
      </c>
      <c r="N30" s="5">
        <f t="shared" si="13"/>
        <v>1190</v>
      </c>
      <c r="O30" s="5">
        <f t="shared" si="13"/>
        <v>1245</v>
      </c>
      <c r="P30" s="5">
        <f t="shared" si="13"/>
        <v>1290</v>
      </c>
      <c r="Q30" s="5">
        <f t="shared" si="13"/>
        <v>1335</v>
      </c>
      <c r="R30" s="5">
        <f t="shared" si="13"/>
        <v>1370</v>
      </c>
      <c r="S30" s="5">
        <f t="shared" si="13"/>
        <v>1395</v>
      </c>
      <c r="T30" s="5">
        <f t="shared" si="13"/>
        <v>1420</v>
      </c>
      <c r="U30" s="5">
        <f t="shared" si="13"/>
        <v>1435</v>
      </c>
      <c r="V30" s="5">
        <f t="shared" si="13"/>
        <v>1450</v>
      </c>
      <c r="W30" s="5">
        <f t="shared" si="13"/>
        <v>1450</v>
      </c>
      <c r="X30" s="5">
        <f t="shared" si="13"/>
        <v>1450</v>
      </c>
    </row>
    <row r="32" spans="5:33">
      <c r="I32" s="5" t="s">
        <v>84</v>
      </c>
    </row>
    <row r="33" spans="8:24">
      <c r="I33" s="5" t="s">
        <v>20</v>
      </c>
      <c r="J33" s="5">
        <f>J8</f>
        <v>360</v>
      </c>
      <c r="K33" s="5">
        <f>J33+K35</f>
        <v>400</v>
      </c>
      <c r="L33" s="5">
        <f t="shared" ref="L33:X34" si="14">K33+L35</f>
        <v>440</v>
      </c>
      <c r="M33" s="5">
        <f t="shared" si="14"/>
        <v>480</v>
      </c>
      <c r="N33" s="5">
        <f t="shared" si="14"/>
        <v>520</v>
      </c>
      <c r="O33" s="5">
        <f t="shared" si="14"/>
        <v>560</v>
      </c>
      <c r="P33" s="5">
        <f t="shared" si="14"/>
        <v>600</v>
      </c>
      <c r="Q33" s="5">
        <f t="shared" si="14"/>
        <v>640</v>
      </c>
      <c r="R33" s="5">
        <f t="shared" si="14"/>
        <v>680</v>
      </c>
      <c r="S33" s="5">
        <f t="shared" si="14"/>
        <v>720</v>
      </c>
      <c r="T33" s="5">
        <f t="shared" si="14"/>
        <v>760</v>
      </c>
      <c r="U33" s="5">
        <f t="shared" si="14"/>
        <v>800</v>
      </c>
      <c r="V33" s="5">
        <f t="shared" si="14"/>
        <v>800</v>
      </c>
      <c r="W33" s="5">
        <f t="shared" si="14"/>
        <v>800</v>
      </c>
      <c r="X33" s="5">
        <f t="shared" si="14"/>
        <v>800</v>
      </c>
    </row>
    <row r="34" spans="8:24">
      <c r="I34" s="5" t="s">
        <v>79</v>
      </c>
      <c r="J34" s="5">
        <f>J9</f>
        <v>540</v>
      </c>
      <c r="K34" s="5">
        <f>J34+K36</f>
        <v>585</v>
      </c>
      <c r="L34" s="5">
        <f t="shared" si="14"/>
        <v>630</v>
      </c>
      <c r="M34" s="5">
        <f t="shared" si="14"/>
        <v>675</v>
      </c>
      <c r="N34" s="5">
        <f t="shared" si="14"/>
        <v>720</v>
      </c>
      <c r="O34" s="5">
        <f t="shared" si="14"/>
        <v>765</v>
      </c>
      <c r="P34" s="5">
        <f t="shared" si="14"/>
        <v>803.57142857142856</v>
      </c>
      <c r="Q34" s="5">
        <f t="shared" si="14"/>
        <v>835.71428571428567</v>
      </c>
      <c r="R34" s="5">
        <f t="shared" si="14"/>
        <v>861.42857142857133</v>
      </c>
      <c r="S34" s="5">
        <f t="shared" si="14"/>
        <v>880.71428571428567</v>
      </c>
      <c r="T34" s="5">
        <f t="shared" si="14"/>
        <v>893.57142857142856</v>
      </c>
      <c r="U34" s="5">
        <f t="shared" si="14"/>
        <v>900</v>
      </c>
      <c r="V34" s="5">
        <f t="shared" si="14"/>
        <v>900</v>
      </c>
      <c r="W34" s="5">
        <f t="shared" si="14"/>
        <v>900</v>
      </c>
      <c r="X34" s="5">
        <f t="shared" si="14"/>
        <v>900</v>
      </c>
    </row>
    <row r="35" spans="8:24">
      <c r="I35" s="5" t="s">
        <v>20</v>
      </c>
      <c r="K35" s="5">
        <v>40</v>
      </c>
      <c r="L35" s="5">
        <v>40</v>
      </c>
      <c r="M35" s="5">
        <v>40</v>
      </c>
      <c r="N35" s="5">
        <v>40</v>
      </c>
      <c r="O35" s="5">
        <v>40</v>
      </c>
      <c r="P35" s="5">
        <v>40</v>
      </c>
      <c r="Q35" s="5">
        <v>40</v>
      </c>
      <c r="R35" s="5">
        <v>40</v>
      </c>
      <c r="S35" s="5">
        <v>40</v>
      </c>
      <c r="T35" s="5">
        <v>40</v>
      </c>
      <c r="U35" s="5">
        <v>40</v>
      </c>
      <c r="V35" s="5">
        <v>0</v>
      </c>
    </row>
    <row r="36" spans="8:24">
      <c r="I36" s="5" t="s">
        <v>79</v>
      </c>
      <c r="K36" s="5">
        <v>45</v>
      </c>
      <c r="L36" s="5">
        <v>45</v>
      </c>
      <c r="M36" s="5">
        <v>45</v>
      </c>
      <c r="N36" s="5">
        <v>45</v>
      </c>
      <c r="O36" s="5">
        <v>45</v>
      </c>
      <c r="P36" s="5">
        <f>L36*6/7</f>
        <v>38.571428571428569</v>
      </c>
      <c r="Q36" s="5">
        <f>L36*5/7</f>
        <v>32.142857142857146</v>
      </c>
      <c r="R36" s="5">
        <f>L36*(4/7)</f>
        <v>25.714285714285712</v>
      </c>
      <c r="S36" s="5">
        <f>M36*(3/7)</f>
        <v>19.285714285714285</v>
      </c>
      <c r="T36" s="5">
        <f>N36*(2/7)</f>
        <v>12.857142857142856</v>
      </c>
      <c r="U36" s="5">
        <f>O36*(1/7)</f>
        <v>6.4285714285714279</v>
      </c>
      <c r="V36" s="5">
        <v>0</v>
      </c>
    </row>
    <row r="37" spans="8:24">
      <c r="I37" s="5" t="s">
        <v>28</v>
      </c>
      <c r="J37" s="5">
        <f>+J33+J34</f>
        <v>900</v>
      </c>
      <c r="K37" s="5">
        <f t="shared" ref="K37:X37" si="15">+K33+K34</f>
        <v>985</v>
      </c>
      <c r="L37" s="5">
        <f t="shared" si="15"/>
        <v>1070</v>
      </c>
      <c r="M37" s="5">
        <f t="shared" si="15"/>
        <v>1155</v>
      </c>
      <c r="N37" s="5">
        <f t="shared" si="15"/>
        <v>1240</v>
      </c>
      <c r="O37" s="5">
        <f t="shared" si="15"/>
        <v>1325</v>
      </c>
      <c r="P37" s="5">
        <f t="shared" si="15"/>
        <v>1403.5714285714284</v>
      </c>
      <c r="Q37" s="5">
        <f t="shared" si="15"/>
        <v>1475.7142857142858</v>
      </c>
      <c r="R37" s="5">
        <f t="shared" si="15"/>
        <v>1541.4285714285713</v>
      </c>
      <c r="S37" s="5">
        <f t="shared" si="15"/>
        <v>1600.7142857142858</v>
      </c>
      <c r="T37" s="5">
        <f t="shared" si="15"/>
        <v>1653.5714285714284</v>
      </c>
      <c r="U37" s="5">
        <f t="shared" si="15"/>
        <v>1700</v>
      </c>
      <c r="V37" s="5">
        <f t="shared" si="15"/>
        <v>1700</v>
      </c>
      <c r="W37" s="5">
        <f t="shared" si="15"/>
        <v>1700</v>
      </c>
      <c r="X37" s="5">
        <f t="shared" si="15"/>
        <v>1700</v>
      </c>
    </row>
    <row r="39" spans="8:24">
      <c r="I39" s="5" t="s">
        <v>83</v>
      </c>
    </row>
    <row r="40" spans="8:24">
      <c r="I40" s="5" t="s">
        <v>20</v>
      </c>
      <c r="J40" s="5">
        <f>+J9</f>
        <v>540</v>
      </c>
      <c r="K40" s="5">
        <f>+J40+K42</f>
        <v>580</v>
      </c>
      <c r="L40" s="5">
        <f>+K40+L42</f>
        <v>620</v>
      </c>
      <c r="M40" s="5">
        <f t="shared" ref="M40:X41" si="16">+L40+M42</f>
        <v>660</v>
      </c>
      <c r="N40" s="5">
        <f t="shared" si="16"/>
        <v>700</v>
      </c>
      <c r="O40" s="5">
        <f t="shared" si="16"/>
        <v>740</v>
      </c>
      <c r="P40" s="5">
        <f t="shared" si="16"/>
        <v>780</v>
      </c>
      <c r="Q40" s="5">
        <f t="shared" si="16"/>
        <v>820</v>
      </c>
      <c r="R40" s="5">
        <f t="shared" si="16"/>
        <v>860</v>
      </c>
      <c r="S40" s="5">
        <f t="shared" si="16"/>
        <v>900</v>
      </c>
      <c r="T40" s="5">
        <f t="shared" si="16"/>
        <v>940</v>
      </c>
      <c r="U40" s="5">
        <f t="shared" si="16"/>
        <v>980</v>
      </c>
      <c r="V40" s="5">
        <f t="shared" si="16"/>
        <v>1020</v>
      </c>
      <c r="W40" s="5">
        <f t="shared" si="16"/>
        <v>1060</v>
      </c>
      <c r="X40" s="5">
        <f t="shared" si="16"/>
        <v>1100</v>
      </c>
    </row>
    <row r="41" spans="8:24">
      <c r="I41" s="5" t="s">
        <v>79</v>
      </c>
      <c r="J41" s="5">
        <f>+J8</f>
        <v>360</v>
      </c>
      <c r="K41" s="5">
        <f>+J41+K43</f>
        <v>405</v>
      </c>
      <c r="L41" s="5">
        <f t="shared" ref="L41:U41" si="17">+K41+L43</f>
        <v>450</v>
      </c>
      <c r="M41" s="5">
        <f t="shared" si="17"/>
        <v>495</v>
      </c>
      <c r="N41" s="5">
        <f t="shared" si="17"/>
        <v>540</v>
      </c>
      <c r="O41" s="5">
        <f t="shared" si="17"/>
        <v>585</v>
      </c>
      <c r="P41" s="5">
        <f t="shared" si="17"/>
        <v>630</v>
      </c>
      <c r="Q41" s="5">
        <f t="shared" si="17"/>
        <v>675</v>
      </c>
      <c r="R41" s="5">
        <f t="shared" si="17"/>
        <v>720</v>
      </c>
      <c r="S41" s="5">
        <f t="shared" si="17"/>
        <v>758.57142857142856</v>
      </c>
      <c r="T41" s="5">
        <f t="shared" si="17"/>
        <v>790.71428571428567</v>
      </c>
      <c r="U41" s="5">
        <f t="shared" si="17"/>
        <v>816.42857142857133</v>
      </c>
      <c r="V41" s="5">
        <f t="shared" si="16"/>
        <v>835.71428571428567</v>
      </c>
      <c r="W41" s="5">
        <f t="shared" si="16"/>
        <v>848.57142857142856</v>
      </c>
      <c r="X41" s="5">
        <f t="shared" si="16"/>
        <v>855</v>
      </c>
    </row>
    <row r="42" spans="8:24">
      <c r="I42" s="5" t="s">
        <v>80</v>
      </c>
      <c r="K42" s="5">
        <v>40</v>
      </c>
      <c r="L42" s="5">
        <v>40</v>
      </c>
      <c r="M42" s="5">
        <v>40</v>
      </c>
      <c r="N42" s="5">
        <v>40</v>
      </c>
      <c r="O42" s="5">
        <v>40</v>
      </c>
      <c r="P42" s="5">
        <v>40</v>
      </c>
      <c r="Q42" s="5">
        <v>40</v>
      </c>
      <c r="R42" s="5">
        <v>40</v>
      </c>
      <c r="S42" s="5">
        <v>40</v>
      </c>
      <c r="T42" s="5">
        <v>40</v>
      </c>
      <c r="U42" s="5">
        <v>40</v>
      </c>
      <c r="V42" s="5">
        <v>40</v>
      </c>
      <c r="W42" s="5">
        <v>40</v>
      </c>
      <c r="X42" s="5">
        <v>40</v>
      </c>
    </row>
    <row r="43" spans="8:24">
      <c r="I43" s="5" t="s">
        <v>81</v>
      </c>
      <c r="K43" s="5">
        <v>45</v>
      </c>
      <c r="L43" s="5">
        <v>45</v>
      </c>
      <c r="M43" s="5">
        <v>45</v>
      </c>
      <c r="N43" s="5">
        <v>45</v>
      </c>
      <c r="O43" s="5">
        <v>45</v>
      </c>
      <c r="P43" s="5">
        <v>45</v>
      </c>
      <c r="Q43" s="5">
        <v>45</v>
      </c>
      <c r="R43" s="5">
        <v>45</v>
      </c>
      <c r="S43" s="5">
        <f>+$R$43*(6/7)</f>
        <v>38.571428571428569</v>
      </c>
      <c r="T43" s="5">
        <f>+$R$43*(5/7)</f>
        <v>32.142857142857146</v>
      </c>
      <c r="U43" s="5">
        <f>+$R$43*(4/7)</f>
        <v>25.714285714285712</v>
      </c>
      <c r="V43" s="5">
        <f>+$R$43*(3/7)</f>
        <v>19.285714285714285</v>
      </c>
      <c r="W43" s="5">
        <f>+$R$43*(2/7)</f>
        <v>12.857142857142856</v>
      </c>
      <c r="X43" s="5">
        <f>+$R$43*(1/7)</f>
        <v>6.4285714285714279</v>
      </c>
    </row>
    <row r="44" spans="8:24">
      <c r="H44" s="5" t="s">
        <v>98</v>
      </c>
      <c r="I44" s="5" t="s">
        <v>82</v>
      </c>
      <c r="J44" s="5">
        <f>+J40+J41</f>
        <v>900</v>
      </c>
      <c r="K44" s="5">
        <f t="shared" ref="K44:X44" si="18">+K40+K41</f>
        <v>985</v>
      </c>
      <c r="L44" s="5">
        <f t="shared" si="18"/>
        <v>1070</v>
      </c>
      <c r="M44" s="5">
        <f t="shared" si="18"/>
        <v>1155</v>
      </c>
      <c r="N44" s="5">
        <f t="shared" si="18"/>
        <v>1240</v>
      </c>
      <c r="O44" s="5">
        <f t="shared" si="18"/>
        <v>1325</v>
      </c>
      <c r="P44" s="5">
        <f t="shared" si="18"/>
        <v>1410</v>
      </c>
      <c r="Q44" s="5">
        <f t="shared" si="18"/>
        <v>1495</v>
      </c>
      <c r="R44" s="5">
        <f t="shared" si="18"/>
        <v>1580</v>
      </c>
      <c r="S44" s="5">
        <f t="shared" si="18"/>
        <v>1658.5714285714284</v>
      </c>
      <c r="T44" s="5">
        <f t="shared" si="18"/>
        <v>1730.7142857142858</v>
      </c>
      <c r="U44" s="5">
        <f t="shared" si="18"/>
        <v>1796.4285714285713</v>
      </c>
      <c r="V44" s="5">
        <f t="shared" si="18"/>
        <v>1855.7142857142858</v>
      </c>
      <c r="W44" s="5">
        <f t="shared" si="18"/>
        <v>1908.5714285714284</v>
      </c>
      <c r="X44" s="5">
        <f t="shared" si="18"/>
        <v>1955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QE's</vt:lpstr>
      <vt:lpstr>Board</vt:lpstr>
      <vt:lpstr>Hoja2</vt:lpstr>
      <vt:lpstr>Hoja3</vt:lpstr>
      <vt:lpstr>QE's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Jpirajan</cp:lastModifiedBy>
  <dcterms:created xsi:type="dcterms:W3CDTF">2013-10-17T13:19:35Z</dcterms:created>
  <dcterms:modified xsi:type="dcterms:W3CDTF">2014-07-31T17:45:29Z</dcterms:modified>
</cp:coreProperties>
</file>