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rrysong/Desktop/"/>
    </mc:Choice>
  </mc:AlternateContent>
  <xr:revisionPtr revIDLastSave="0" documentId="13_ncr:1_{C64F2773-1CEF-9B4E-A22B-DA0FB6CE3D57}" xr6:coauthVersionLast="47" xr6:coauthVersionMax="47" xr10:uidLastSave="{00000000-0000-0000-0000-000000000000}"/>
  <bookViews>
    <workbookView xWindow="4040" yWindow="500" windowWidth="38400" windowHeight="21100" xr2:uid="{067303EA-3A22-A045-A9D7-F99B41EA5BB9}"/>
  </bookViews>
  <sheets>
    <sheet name="Decision_Sheet" sheetId="2" r:id="rId1"/>
    <sheet name="Information_Collection" sheetId="1" r:id="rId2"/>
  </sheets>
  <definedNames>
    <definedName name="solver_adj" localSheetId="0" hidden="1">Decision_Sheet!$F$18:$F$61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Decision_Sheet!$I$1</definedName>
    <definedName name="solver_lhs2" localSheetId="0" hidden="1">Decision_Sheet!$J$1</definedName>
    <definedName name="solver_lhs3" localSheetId="0" hidden="1">Decision_Sheet!$K$1</definedName>
    <definedName name="solver_lhs4" localSheetId="0" hidden="1">Decision_Sheet!$L$1</definedName>
    <definedName name="solver_lhs5" localSheetId="0" hidden="1">Decision_Sheet!$N$3</definedName>
    <definedName name="solver_lhs6" localSheetId="0" hidden="1">Decision_Sheet!$O$3</definedName>
    <definedName name="solver_lhs7" localSheetId="0" hidden="1">Decision_Sheet!$P$3</definedName>
    <definedName name="solver_lhs8" localSheetId="0" hidden="1">Decision_Sheet!$Q$3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opt" localSheetId="0" hidden="1">Decision_Sheet!$E$5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Decision_Sheet!$I$3</definedName>
    <definedName name="solver_rhs2" localSheetId="0" hidden="1">Decision_Sheet!$J$3</definedName>
    <definedName name="solver_rhs3" localSheetId="0" hidden="1">Decision_Sheet!$K$3</definedName>
    <definedName name="solver_rhs4" localSheetId="0" hidden="1">Decision_Sheet!$L$3</definedName>
    <definedName name="solver_rhs5" localSheetId="0" hidden="1">Decision_Sheet!$N$1</definedName>
    <definedName name="solver_rhs6" localSheetId="0" hidden="1">Decision_Sheet!$O$1</definedName>
    <definedName name="solver_rhs7" localSheetId="0" hidden="1">Decision_Sheet!$P$1</definedName>
    <definedName name="solver_rhs8" localSheetId="0" hidden="1">Decision_Sheet!$Q$1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3" i="2" l="1"/>
  <c r="Q55" i="2"/>
  <c r="Q54" i="2"/>
  <c r="Q52" i="2"/>
  <c r="Q51" i="2"/>
  <c r="P41" i="2"/>
  <c r="Q41" i="2"/>
  <c r="P42" i="2"/>
  <c r="Q42" i="2"/>
  <c r="P43" i="2"/>
  <c r="Q43" i="2"/>
  <c r="P44" i="2"/>
  <c r="Q44" i="2"/>
  <c r="Q40" i="2"/>
  <c r="P40" i="2"/>
  <c r="O30" i="2"/>
  <c r="P30" i="2"/>
  <c r="Q30" i="2"/>
  <c r="O31" i="2"/>
  <c r="P31" i="2"/>
  <c r="O32" i="2"/>
  <c r="P32" i="2"/>
  <c r="Q32" i="2"/>
  <c r="O33" i="2"/>
  <c r="P33" i="2"/>
  <c r="Q33" i="2"/>
  <c r="P29" i="2"/>
  <c r="O29" i="2"/>
  <c r="N19" i="2"/>
  <c r="O19" i="2"/>
  <c r="P19" i="2"/>
  <c r="Q19" i="2"/>
  <c r="N20" i="2"/>
  <c r="O20" i="2"/>
  <c r="N21" i="2"/>
  <c r="O21" i="2"/>
  <c r="P21" i="2"/>
  <c r="N22" i="2"/>
  <c r="O22" i="2"/>
  <c r="P22" i="2"/>
  <c r="N18" i="2"/>
  <c r="O18" i="2"/>
  <c r="O8" i="2"/>
  <c r="P8" i="2"/>
  <c r="Q8" i="2"/>
  <c r="O9" i="2"/>
  <c r="O10" i="2"/>
  <c r="P10" i="2"/>
  <c r="O11" i="2"/>
  <c r="P11" i="2"/>
  <c r="O7" i="2"/>
  <c r="N8" i="2"/>
  <c r="N9" i="2"/>
  <c r="N10" i="2"/>
  <c r="N11" i="2"/>
  <c r="N7" i="2"/>
  <c r="M51" i="2"/>
  <c r="M52" i="2"/>
  <c r="M53" i="2"/>
  <c r="M54" i="2"/>
  <c r="M55" i="2"/>
  <c r="M40" i="2"/>
  <c r="M41" i="2"/>
  <c r="M42" i="2"/>
  <c r="M43" i="2"/>
  <c r="M44" i="2"/>
  <c r="M29" i="2"/>
  <c r="M30" i="2"/>
  <c r="M31" i="2"/>
  <c r="M32" i="2"/>
  <c r="M33" i="2"/>
  <c r="M18" i="2"/>
  <c r="M19" i="2"/>
  <c r="M20" i="2"/>
  <c r="M21" i="2"/>
  <c r="M22" i="2"/>
  <c r="M7" i="2"/>
  <c r="M8" i="2"/>
  <c r="M9" i="2"/>
  <c r="M10" i="2"/>
  <c r="M11" i="2"/>
  <c r="M56" i="1"/>
  <c r="M55" i="1"/>
  <c r="V24" i="1"/>
  <c r="M54" i="1"/>
  <c r="V22" i="1"/>
  <c r="M53" i="1"/>
  <c r="V21" i="1"/>
  <c r="M52" i="1"/>
  <c r="V20" i="1"/>
  <c r="O24" i="1"/>
  <c r="P24" i="1"/>
  <c r="Q24" i="1"/>
  <c r="N24" i="1"/>
  <c r="M24" i="1"/>
  <c r="O23" i="1"/>
  <c r="P23" i="1"/>
  <c r="Q23" i="1"/>
  <c r="N23" i="1"/>
  <c r="M23" i="1"/>
  <c r="G54" i="2"/>
  <c r="E54" i="2" s="1"/>
  <c r="O22" i="1"/>
  <c r="P22" i="1"/>
  <c r="Q22" i="1"/>
  <c r="N22" i="1"/>
  <c r="M22" i="1"/>
  <c r="O21" i="1"/>
  <c r="P21" i="1"/>
  <c r="Q21" i="1"/>
  <c r="N21" i="1"/>
  <c r="M21" i="1"/>
  <c r="G8" i="2"/>
  <c r="E8" i="2" s="1"/>
  <c r="O20" i="1"/>
  <c r="P20" i="1"/>
  <c r="Q20" i="1"/>
  <c r="N20" i="1"/>
  <c r="M20" i="1"/>
  <c r="W24" i="1"/>
  <c r="X24" i="1"/>
  <c r="Y24" i="1"/>
  <c r="Z24" i="1"/>
  <c r="V23" i="1"/>
  <c r="W23" i="1"/>
  <c r="X23" i="1"/>
  <c r="Y23" i="1"/>
  <c r="Z23" i="1"/>
  <c r="W22" i="1"/>
  <c r="X22" i="1"/>
  <c r="Y22" i="1"/>
  <c r="Z22" i="1"/>
  <c r="W21" i="1"/>
  <c r="X21" i="1"/>
  <c r="Y21" i="1"/>
  <c r="Z21" i="1"/>
  <c r="W20" i="1"/>
  <c r="X20" i="1"/>
  <c r="Y20" i="1"/>
  <c r="Z20" i="1"/>
  <c r="J1" i="2"/>
  <c r="K1" i="2" s="1"/>
  <c r="L1" i="2" s="1"/>
  <c r="G16" i="2"/>
  <c r="E16" i="2" s="1"/>
  <c r="M30" i="1"/>
  <c r="Q30" i="1" s="1"/>
  <c r="G61" i="2" s="1"/>
  <c r="E61" i="2" s="1"/>
  <c r="M29" i="1"/>
  <c r="M28" i="1"/>
  <c r="G15" i="2" s="1"/>
  <c r="E15" i="2" s="1"/>
  <c r="M27" i="1"/>
  <c r="G14" i="2" s="1"/>
  <c r="E14" i="2" s="1"/>
  <c r="M26" i="1"/>
  <c r="G13" i="2" s="1"/>
  <c r="E13" i="2" s="1"/>
  <c r="M25" i="1"/>
  <c r="O27" i="1" s="1"/>
  <c r="G36" i="2" s="1"/>
  <c r="E36" i="2" s="1"/>
  <c r="G33" i="2"/>
  <c r="E33" i="2" s="1"/>
  <c r="G9" i="2"/>
  <c r="E9" i="2" s="1"/>
  <c r="G19" i="2"/>
  <c r="E19" i="2" s="1"/>
  <c r="G29" i="2"/>
  <c r="E29" i="2" s="1"/>
  <c r="G55" i="2"/>
  <c r="E55" i="2" s="1"/>
  <c r="G22" i="2"/>
  <c r="E22" i="2" s="1"/>
  <c r="G30" i="2"/>
  <c r="E30" i="2" s="1"/>
  <c r="G41" i="2"/>
  <c r="E41" i="2" s="1"/>
  <c r="G52" i="2"/>
  <c r="E52" i="2" s="1"/>
  <c r="Q26" i="1"/>
  <c r="G57" i="2" s="1"/>
  <c r="E57" i="2" s="1"/>
  <c r="N27" i="1"/>
  <c r="G25" i="2" s="1"/>
  <c r="E25" i="2" s="1"/>
  <c r="L61" i="2"/>
  <c r="L60" i="2"/>
  <c r="L59" i="2"/>
  <c r="L58" i="2"/>
  <c r="L57" i="2"/>
  <c r="L56" i="2"/>
  <c r="L55" i="2"/>
  <c r="L54" i="2"/>
  <c r="L53" i="2"/>
  <c r="L52" i="2"/>
  <c r="L51" i="2"/>
  <c r="J39" i="2"/>
  <c r="L40" i="2"/>
  <c r="L41" i="2"/>
  <c r="L42" i="2"/>
  <c r="L43" i="2"/>
  <c r="L44" i="2"/>
  <c r="L45" i="2"/>
  <c r="L46" i="2"/>
  <c r="L47" i="2"/>
  <c r="L48" i="2"/>
  <c r="L49" i="2"/>
  <c r="L50" i="2"/>
  <c r="K50" i="2"/>
  <c r="K49" i="2"/>
  <c r="K48" i="2"/>
  <c r="K47" i="2"/>
  <c r="K46" i="2"/>
  <c r="K45" i="2"/>
  <c r="K44" i="2"/>
  <c r="K43" i="2"/>
  <c r="K42" i="2"/>
  <c r="K41" i="2"/>
  <c r="K40" i="2"/>
  <c r="L37" i="2"/>
  <c r="K38" i="2"/>
  <c r="L32" i="2"/>
  <c r="L33" i="2"/>
  <c r="K31" i="2"/>
  <c r="K29" i="2"/>
  <c r="L39" i="2"/>
  <c r="K39" i="2"/>
  <c r="J38" i="2"/>
  <c r="K37" i="2"/>
  <c r="J37" i="2"/>
  <c r="L36" i="2"/>
  <c r="K36" i="2"/>
  <c r="J36" i="2"/>
  <c r="L35" i="2"/>
  <c r="K35" i="2"/>
  <c r="J35" i="2"/>
  <c r="L34" i="2"/>
  <c r="K34" i="2"/>
  <c r="J34" i="2"/>
  <c r="K33" i="2"/>
  <c r="J33" i="2"/>
  <c r="K32" i="2"/>
  <c r="J32" i="2"/>
  <c r="J31" i="2"/>
  <c r="L30" i="2"/>
  <c r="K30" i="2"/>
  <c r="J30" i="2"/>
  <c r="J29" i="2"/>
  <c r="L28" i="2"/>
  <c r="K28" i="2"/>
  <c r="J28" i="2"/>
  <c r="I28" i="2"/>
  <c r="J27" i="2"/>
  <c r="I27" i="2"/>
  <c r="K26" i="2"/>
  <c r="J26" i="2"/>
  <c r="I26" i="2"/>
  <c r="L25" i="2"/>
  <c r="K25" i="2"/>
  <c r="J25" i="2"/>
  <c r="I25" i="2"/>
  <c r="L24" i="2"/>
  <c r="K24" i="2"/>
  <c r="J24" i="2"/>
  <c r="I24" i="2"/>
  <c r="L23" i="2"/>
  <c r="K23" i="2"/>
  <c r="J23" i="2"/>
  <c r="I23" i="2"/>
  <c r="K22" i="2"/>
  <c r="J22" i="2"/>
  <c r="I22" i="2"/>
  <c r="K21" i="2"/>
  <c r="J21" i="2"/>
  <c r="I21" i="2"/>
  <c r="J20" i="2"/>
  <c r="I20" i="2"/>
  <c r="L19" i="2"/>
  <c r="K19" i="2"/>
  <c r="J19" i="2"/>
  <c r="I19" i="2"/>
  <c r="J18" i="2"/>
  <c r="I18" i="2"/>
  <c r="L17" i="2"/>
  <c r="K17" i="2"/>
  <c r="K15" i="2"/>
  <c r="K14" i="2"/>
  <c r="L8" i="2"/>
  <c r="K10" i="2"/>
  <c r="K11" i="2"/>
  <c r="K8" i="2"/>
  <c r="J8" i="2"/>
  <c r="J9" i="2"/>
  <c r="J10" i="2"/>
  <c r="J11" i="2"/>
  <c r="J12" i="2"/>
  <c r="J13" i="2"/>
  <c r="J14" i="2"/>
  <c r="J15" i="2"/>
  <c r="J16" i="2"/>
  <c r="J17" i="2"/>
  <c r="I17" i="2"/>
  <c r="I8" i="2"/>
  <c r="I9" i="2"/>
  <c r="I10" i="2"/>
  <c r="I11" i="2"/>
  <c r="I12" i="2"/>
  <c r="I13" i="2"/>
  <c r="I14" i="2"/>
  <c r="I15" i="2"/>
  <c r="I16" i="2"/>
  <c r="K13" i="2"/>
  <c r="L13" i="2"/>
  <c r="L14" i="2"/>
  <c r="L12" i="2"/>
  <c r="K12" i="2"/>
  <c r="J7" i="2"/>
  <c r="I7" i="2"/>
  <c r="Q38" i="1"/>
  <c r="Q39" i="1"/>
  <c r="P37" i="1"/>
  <c r="P39" i="1"/>
  <c r="O39" i="1"/>
  <c r="O43" i="1"/>
  <c r="O44" i="1"/>
  <c r="N38" i="1"/>
  <c r="M43" i="1"/>
  <c r="Q43" i="1" s="1"/>
  <c r="M44" i="1"/>
  <c r="Q44" i="1" s="1"/>
  <c r="M45" i="1"/>
  <c r="O45" i="1" s="1"/>
  <c r="M42" i="1"/>
  <c r="N42" i="1" s="1"/>
  <c r="M41" i="1"/>
  <c r="P41" i="1" s="1"/>
  <c r="M39" i="1"/>
  <c r="N39" i="1" s="1"/>
  <c r="M38" i="1"/>
  <c r="O38" i="1" s="1"/>
  <c r="M37" i="1"/>
  <c r="O37" i="1" s="1"/>
  <c r="M36" i="1"/>
  <c r="Q36" i="1" s="1"/>
  <c r="M40" i="1"/>
  <c r="P40" i="1" s="1"/>
  <c r="M35" i="1"/>
  <c r="Q35" i="1" s="1"/>
  <c r="P3" i="2" l="1"/>
  <c r="Q3" i="2"/>
  <c r="O3" i="2"/>
  <c r="N3" i="2"/>
  <c r="P30" i="1"/>
  <c r="G50" i="2" s="1"/>
  <c r="E50" i="2" s="1"/>
  <c r="G32" i="2"/>
  <c r="E32" i="2" s="1"/>
  <c r="Q41" i="1"/>
  <c r="G42" i="2"/>
  <c r="E42" i="2" s="1"/>
  <c r="O30" i="1"/>
  <c r="G39" i="2" s="1"/>
  <c r="E39" i="2" s="1"/>
  <c r="G17" i="2"/>
  <c r="E17" i="2" s="1"/>
  <c r="N41" i="1"/>
  <c r="O36" i="1"/>
  <c r="G31" i="2"/>
  <c r="E31" i="2" s="1"/>
  <c r="G11" i="2"/>
  <c r="E11" i="2" s="1"/>
  <c r="G10" i="2"/>
  <c r="E10" i="2" s="1"/>
  <c r="O41" i="1"/>
  <c r="G53" i="2"/>
  <c r="E53" i="2" s="1"/>
  <c r="N40" i="1"/>
  <c r="G20" i="2"/>
  <c r="E20" i="2" s="1"/>
  <c r="P38" i="1"/>
  <c r="G21" i="2"/>
  <c r="E21" i="2" s="1"/>
  <c r="O42" i="1"/>
  <c r="P44" i="1"/>
  <c r="P43" i="1"/>
  <c r="P25" i="1"/>
  <c r="G45" i="2" s="1"/>
  <c r="E45" i="2" s="1"/>
  <c r="O35" i="1"/>
  <c r="N26" i="1"/>
  <c r="G24" i="2" s="1"/>
  <c r="E24" i="2" s="1"/>
  <c r="P26" i="1"/>
  <c r="G46" i="2" s="1"/>
  <c r="E46" i="2" s="1"/>
  <c r="P36" i="1"/>
  <c r="O29" i="1"/>
  <c r="G38" i="2" s="1"/>
  <c r="E38" i="2" s="1"/>
  <c r="Q25" i="1"/>
  <c r="G56" i="2" s="1"/>
  <c r="E56" i="2" s="1"/>
  <c r="N45" i="1"/>
  <c r="N37" i="1"/>
  <c r="O40" i="1"/>
  <c r="P35" i="1"/>
  <c r="Q28" i="1"/>
  <c r="G59" i="2" s="1"/>
  <c r="E59" i="2" s="1"/>
  <c r="G7" i="2"/>
  <c r="E7" i="2" s="1"/>
  <c r="N36" i="1"/>
  <c r="P42" i="1"/>
  <c r="Q45" i="1"/>
  <c r="Q37" i="1"/>
  <c r="N25" i="1"/>
  <c r="G23" i="2" s="1"/>
  <c r="E23" i="2" s="1"/>
  <c r="P28" i="1"/>
  <c r="G48" i="2" s="1"/>
  <c r="E48" i="2" s="1"/>
  <c r="O25" i="1"/>
  <c r="G34" i="2" s="1"/>
  <c r="E34" i="2" s="1"/>
  <c r="N44" i="1"/>
  <c r="N43" i="1"/>
  <c r="N35" i="1"/>
  <c r="N29" i="1"/>
  <c r="G27" i="2" s="1"/>
  <c r="E27" i="2" s="1"/>
  <c r="O28" i="1"/>
  <c r="G37" i="2" s="1"/>
  <c r="E37" i="2" s="1"/>
  <c r="G18" i="2"/>
  <c r="E18" i="2" s="1"/>
  <c r="N30" i="1"/>
  <c r="G28" i="2" s="1"/>
  <c r="E28" i="2" s="1"/>
  <c r="Q42" i="1"/>
  <c r="P45" i="1"/>
  <c r="Q40" i="1"/>
  <c r="P29" i="1"/>
  <c r="G49" i="2" s="1"/>
  <c r="E49" i="2" s="1"/>
  <c r="O26" i="1"/>
  <c r="G35" i="2" s="1"/>
  <c r="E35" i="2" s="1"/>
  <c r="N28" i="1"/>
  <c r="G26" i="2" s="1"/>
  <c r="E26" i="2" s="1"/>
  <c r="Q27" i="1"/>
  <c r="G58" i="2" s="1"/>
  <c r="E58" i="2" s="1"/>
  <c r="G51" i="2"/>
  <c r="E51" i="2" s="1"/>
  <c r="G12" i="2"/>
  <c r="E12" i="2" s="1"/>
  <c r="L3" i="2"/>
  <c r="K3" i="2"/>
  <c r="I3" i="2"/>
  <c r="J3" i="2"/>
  <c r="P27" i="1"/>
  <c r="G47" i="2" s="1"/>
  <c r="E47" i="2" s="1"/>
  <c r="Q29" i="1"/>
  <c r="G60" i="2" s="1"/>
  <c r="E60" i="2" s="1"/>
  <c r="G44" i="2"/>
  <c r="E44" i="2" s="1"/>
  <c r="G43" i="2"/>
  <c r="E43" i="2" s="1"/>
  <c r="G40" i="2"/>
  <c r="E40" i="2" s="1"/>
  <c r="E5" i="2" l="1"/>
  <c r="M13" i="1" l="1"/>
  <c r="M5" i="1"/>
  <c r="M6" i="1"/>
  <c r="M7" i="1"/>
  <c r="M8" i="1"/>
  <c r="M9" i="1"/>
  <c r="M10" i="1"/>
  <c r="M11" i="1"/>
  <c r="M12" i="1"/>
  <c r="M14" i="1"/>
  <c r="M4" i="1"/>
  <c r="L13" i="1"/>
  <c r="D17" i="1"/>
  <c r="E17" i="1"/>
  <c r="F17" i="1"/>
  <c r="C17" i="1"/>
  <c r="L14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<sst xmlns="http://schemas.openxmlformats.org/spreadsheetml/2006/main" count="446" uniqueCount="107">
  <si>
    <t>Estimated Installed Capacity (MW)</t>
  </si>
  <si>
    <t>Electricity Generation Technology</t>
  </si>
  <si>
    <t>Biomass Power Plant</t>
  </si>
  <si>
    <t>Coal Power Plant</t>
  </si>
  <si>
    <t>Oil Fired Gas Turbine (SCGT)</t>
  </si>
  <si>
    <t>Gas Power Plant (CCGT)</t>
  </si>
  <si>
    <t>Gas Power Plant (SCGT)</t>
  </si>
  <si>
    <t>Solar PV (Utility)</t>
  </si>
  <si>
    <t>Large Hydropower Plant (Dam) (&gt;100MW)</t>
  </si>
  <si>
    <t>Medium Hydropower Plant (10-100MW)</t>
  </si>
  <si>
    <t>Small Hydropower Plant (&lt;10MW)</t>
  </si>
  <si>
    <t>Onshore Wind</t>
  </si>
  <si>
    <t>Nuclear Power Plant</t>
  </si>
  <si>
    <t>Off-grid Solar PV</t>
  </si>
  <si>
    <t>Off-grid Hydropower</t>
  </si>
  <si>
    <t>Technology</t>
  </si>
  <si>
    <t>Capital Cost ($/kW in 2020)</t>
  </si>
  <si>
    <t>Fixed Cost ($/kW/yr in 2020)</t>
  </si>
  <si>
    <t>Operational Life (years)</t>
  </si>
  <si>
    <t>Efficiency</t>
  </si>
  <si>
    <t>Average Capacity Factor</t>
  </si>
  <si>
    <t>Geothermal Power Plant</t>
  </si>
  <si>
    <t>Light Fuel Oil Power Plant</t>
  </si>
  <si>
    <t>CSP with Storage</t>
  </si>
  <si>
    <t>Medium Hydropower Plant (10- 100MW)</t>
  </si>
  <si>
    <t>Offshore Wind</t>
  </si>
  <si>
    <t>Light Fuel Oil Standalone Generator (1kW)</t>
  </si>
  <si>
    <t>Solar PV (Distributed with Storage)</t>
  </si>
  <si>
    <t>Capital Cost ($/kW)</t>
  </si>
  <si>
    <t>Renewable Energy Technology</t>
  </si>
  <si>
    <t>Fuel Price ($/GJ)</t>
  </si>
  <si>
    <t>Commodity</t>
  </si>
  <si>
    <t>Crude Oil Imports</t>
  </si>
  <si>
    <t>Crude Oil Extraction</t>
  </si>
  <si>
    <t>Biomass Imports</t>
  </si>
  <si>
    <t>Biomass Extraction</t>
  </si>
  <si>
    <t>Coal Imports</t>
  </si>
  <si>
    <t>Coal Extraction</t>
  </si>
  <si>
    <t>Light Fuel Oil Imports</t>
  </si>
  <si>
    <t>Heavy Fuel Oil Imports</t>
  </si>
  <si>
    <t>Natural Gas Imports</t>
  </si>
  <si>
    <t>Natural Gas Extraction</t>
  </si>
  <si>
    <t>Fuel</t>
  </si>
  <si>
    <t>CO2 Emission Factor (kg CO2/GJ)</t>
  </si>
  <si>
    <t>Crude oil</t>
  </si>
  <si>
    <t>Biomass</t>
  </si>
  <si>
    <t>Coal</t>
  </si>
  <si>
    <t>Light Fuel Oil</t>
  </si>
  <si>
    <t>Heavy Fuel Oil</t>
  </si>
  <si>
    <t>Natural Gas</t>
  </si>
  <si>
    <t>Unit</t>
  </si>
  <si>
    <t>Estimated Renewable Energy</t>
  </si>
  <si>
    <t>Potential</t>
  </si>
  <si>
    <t>Solar Resource</t>
  </si>
  <si>
    <t>TWh/yr</t>
  </si>
  <si>
    <t>Medium &amp; Large Hydropower</t>
  </si>
  <si>
    <t>MW</t>
  </si>
  <si>
    <t>Small Hydropower (&lt;10MW)</t>
  </si>
  <si>
    <t>Geothermal</t>
  </si>
  <si>
    <t>Abbreviate</t>
  </si>
  <si>
    <t>Name</t>
  </si>
  <si>
    <t>BIO_PLT</t>
  </si>
  <si>
    <t>COA_PLT</t>
  </si>
  <si>
    <t>SCGT_PLT</t>
  </si>
  <si>
    <t>CCGT_PLT</t>
  </si>
  <si>
    <t>HYD_PLT_L</t>
  </si>
  <si>
    <t>HYD_PLT_M</t>
  </si>
  <si>
    <t>HYD_PLT_S</t>
  </si>
  <si>
    <t>WID_PLT_OSH</t>
  </si>
  <si>
    <t>NUC_PLT</t>
  </si>
  <si>
    <t>Code</t>
  </si>
  <si>
    <t>TECH01</t>
  </si>
  <si>
    <t>TECH02</t>
  </si>
  <si>
    <t>TECH03</t>
  </si>
  <si>
    <t>TECH04</t>
  </si>
  <si>
    <t>TECH05</t>
  </si>
  <si>
    <t>TECH06</t>
  </si>
  <si>
    <t>TECH07</t>
  </si>
  <si>
    <t>TECH08</t>
  </si>
  <si>
    <t>TECH09</t>
  </si>
  <si>
    <t>TECH10</t>
  </si>
  <si>
    <t>TECH11</t>
  </si>
  <si>
    <t>WID_PLT_OFS</t>
  </si>
  <si>
    <t>Existing Capacity</t>
  </si>
  <si>
    <t>(MW)</t>
  </si>
  <si>
    <t>Vintage</t>
  </si>
  <si>
    <t>Capacity</t>
  </si>
  <si>
    <t>Total Cost</t>
  </si>
  <si>
    <t>Cost per Capacity</t>
  </si>
  <si>
    <t>Demand</t>
  </si>
  <si>
    <t>Reserve</t>
  </si>
  <si>
    <t>Capcity</t>
  </si>
  <si>
    <t>Used Amount</t>
  </si>
  <si>
    <t>Constrain</t>
  </si>
  <si>
    <t>&gt;</t>
  </si>
  <si>
    <t>&lt;</t>
  </si>
  <si>
    <t>Emission</t>
  </si>
  <si>
    <t>Demand Coefficeint</t>
  </si>
  <si>
    <t>Production Coefficeint</t>
  </si>
  <si>
    <t>Objective Function</t>
  </si>
  <si>
    <t>Costs</t>
  </si>
  <si>
    <t>Emissions</t>
  </si>
  <si>
    <t xml:space="preserve">to </t>
  </si>
  <si>
    <t>Fuel Price ($/kw)</t>
  </si>
  <si>
    <t>Emission Factor</t>
  </si>
  <si>
    <t>EF (kg CO2/GJ)</t>
  </si>
  <si>
    <t>EF (kg CO2/kw)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</si>
</sst>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"/>
  </numFmts>
  <fonts count="7" x14ac:knownFonts="1">
    <font>
      <sz val="12"/>
      <color theme="1"/>
      <name val="Aptos Narrow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 shrinkToFit="1"/>
    </xf>
    <xf numFmtId="2" fontId="1" fillId="0" borderId="0" xfId="0" applyNumberFormat="1" applyFont="1" applyAlignment="1">
      <alignment horizontal="center" vertical="center" shrinkToFit="1"/>
    </xf>
    <xf numFmtId="164" fontId="1" fillId="0" borderId="0" xfId="0" applyNumberFormat="1" applyFont="1" applyAlignment="1">
      <alignment horizontal="center" vertical="center" shrinkToFit="1"/>
    </xf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shrinkToFit="1"/>
    </xf>
    <xf numFmtId="164" fontId="1" fillId="2" borderId="0" xfId="0" applyNumberFormat="1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shrinkToFi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 shrinkToFit="1"/>
    </xf>
    <xf numFmtId="164" fontId="1" fillId="4" borderId="0" xfId="0" applyNumberFormat="1" applyFont="1" applyFill="1" applyAlignment="1">
      <alignment horizontal="center" vertical="center" shrinkToFit="1"/>
    </xf>
    <xf numFmtId="2" fontId="1" fillId="4" borderId="0" xfId="0" applyNumberFormat="1" applyFont="1" applyFill="1" applyAlignment="1">
      <alignment horizontal="center" vertical="center" shrinkToFit="1"/>
    </xf>
    <xf numFmtId="0" fontId="1" fillId="3" borderId="0" xfId="0" applyFont="1" applyFill="1"/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165" fontId="1" fillId="0" borderId="0" xfId="0" applyNumberFormat="1" applyFont="1"/>
    <xf numFmtId="0" fontId="1" fillId="9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wrapText="1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0" fillId="3" borderId="0" xfId="0" applyNumberFormat="1" applyFill="1" applyAlignment="1">
      <alignment horizontal="center"/>
    </xf>
    <xf numFmtId="164" fontId="1" fillId="0" borderId="0" xfId="0" applyNumberFormat="1" applyFont="1"/>
    <xf numFmtId="0" fontId="5" fillId="10" borderId="0" xfId="0" applyFont="1" applyFill="1"/>
    <xf numFmtId="0" fontId="6" fillId="10" borderId="0" xfId="0" applyFont="1" applyFill="1"/>
    <xf numFmtId="0" fontId="1" fillId="6" borderId="0" xfId="0" applyFont="1" applyFill="1"/>
    <xf numFmtId="0" fontId="1" fillId="2" borderId="0" xfId="0" applyFont="1" applyFill="1"/>
    <xf numFmtId="0" fontId="4" fillId="11" borderId="0" xfId="0" applyFont="1" applyFill="1" applyAlignment="1">
      <alignment horizontal="center"/>
    </xf>
    <xf numFmtId="0" fontId="2" fillId="11" borderId="0" xfId="0" applyFont="1" applyFill="1"/>
    <xf numFmtId="0" fontId="1" fillId="11" borderId="0" xfId="0" applyFont="1" applyFill="1"/>
    <xf numFmtId="0" fontId="2" fillId="6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166" fontId="0" fillId="0" borderId="0" xfId="0" applyNumberFormat="1" applyFill="1"/>
    <xf numFmtId="0" fontId="4" fillId="0" borderId="0" xfId="0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4" fillId="6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941798</xdr:colOff>
      <xdr:row>12</xdr:row>
      <xdr:rowOff>85617</xdr:rowOff>
    </xdr:from>
    <xdr:to>
      <xdr:col>9</xdr:col>
      <xdr:colOff>114158</xdr:colOff>
      <xdr:row>18</xdr:row>
      <xdr:rowOff>14269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CE672D75-6807-5100-2202-565C966F937E}"/>
            </a:ext>
          </a:extLst>
        </xdr:cNvPr>
        <xdr:cNvSpPr/>
      </xdr:nvSpPr>
      <xdr:spPr>
        <a:xfrm>
          <a:off x="8362023" y="1940673"/>
          <a:ext cx="1426966" cy="841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1" i="1" u="sng">
              <a:latin typeface="Times New Roman" panose="02020603050405020304" pitchFamily="18" charset="0"/>
              <a:cs typeface="Times New Roman" panose="02020603050405020304" pitchFamily="18" charset="0"/>
            </a:rPr>
            <a:t>Pre-Process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329D4-1E37-9347-870A-0A61C666A29F}">
  <dimension ref="A1:W61"/>
  <sheetViews>
    <sheetView tabSelected="1" topLeftCell="B1" zoomScaleNormal="100" workbookViewId="0">
      <selection activeCell="D3" sqref="D3"/>
    </sheetView>
  </sheetViews>
  <sheetFormatPr baseColWidth="10" defaultRowHeight="16" x14ac:dyDescent="0.2"/>
  <cols>
    <col min="1" max="1" width="8" customWidth="1"/>
    <col min="2" max="2" width="12.1640625" customWidth="1"/>
    <col min="3" max="3" width="10.83203125" style="17"/>
    <col min="4" max="4" width="35.5" customWidth="1"/>
    <col min="5" max="5" width="16.5" customWidth="1"/>
    <col min="6" max="6" width="11" style="17" bestFit="1" customWidth="1"/>
    <col min="7" max="7" width="16.83203125" customWidth="1"/>
    <col min="8" max="8" width="11.6640625" customWidth="1"/>
    <col min="9" max="13" width="11" bestFit="1" customWidth="1"/>
    <col min="14" max="17" width="13.33203125" style="47" customWidth="1"/>
    <col min="18" max="19" width="10.83203125" style="47"/>
  </cols>
  <sheetData>
    <row r="1" spans="1:23" x14ac:dyDescent="0.2">
      <c r="G1" s="15" t="s">
        <v>93</v>
      </c>
      <c r="H1" s="15"/>
      <c r="I1">
        <v>85000</v>
      </c>
      <c r="J1">
        <f>I1*1.1</f>
        <v>93500.000000000015</v>
      </c>
      <c r="K1">
        <f t="shared" ref="K1:L1" si="0">J1*1.1</f>
        <v>102850.00000000003</v>
      </c>
      <c r="L1">
        <f t="shared" si="0"/>
        <v>113135.00000000004</v>
      </c>
      <c r="N1" s="47">
        <v>30000000</v>
      </c>
      <c r="O1" s="47">
        <v>30000000</v>
      </c>
      <c r="P1" s="47">
        <v>30000000</v>
      </c>
      <c r="Q1" s="47">
        <v>30000000</v>
      </c>
    </row>
    <row r="2" spans="1:23" x14ac:dyDescent="0.2">
      <c r="G2" s="15"/>
      <c r="H2" s="15"/>
      <c r="I2" s="17" t="s">
        <v>94</v>
      </c>
      <c r="J2" s="17" t="s">
        <v>94</v>
      </c>
      <c r="K2" s="17" t="s">
        <v>94</v>
      </c>
      <c r="L2" s="17" t="s">
        <v>94</v>
      </c>
      <c r="M2" s="17"/>
      <c r="N2" s="17" t="s">
        <v>95</v>
      </c>
      <c r="O2" s="17" t="s">
        <v>95</v>
      </c>
      <c r="P2" s="17" t="s">
        <v>95</v>
      </c>
      <c r="Q2" s="17" t="s">
        <v>95</v>
      </c>
      <c r="R2" s="48"/>
      <c r="S2" s="48"/>
      <c r="T2" s="17" t="s">
        <v>95</v>
      </c>
      <c r="U2" s="17" t="s">
        <v>95</v>
      </c>
      <c r="V2" s="17" t="s">
        <v>95</v>
      </c>
      <c r="W2" s="17" t="s">
        <v>95</v>
      </c>
    </row>
    <row r="3" spans="1:23" x14ac:dyDescent="0.2">
      <c r="G3" s="15" t="s">
        <v>92</v>
      </c>
      <c r="H3" s="15"/>
      <c r="I3" s="35">
        <f>SUM(I7:I28)</f>
        <v>85000.000015829093</v>
      </c>
      <c r="J3" s="35">
        <f>SUM(J7:J39)</f>
        <v>93500.000000000029</v>
      </c>
      <c r="K3" s="35">
        <f>SUM(K7:K50)</f>
        <v>102850.00059989023</v>
      </c>
      <c r="L3" s="35">
        <f>SUM(L7:L61)</f>
        <v>113135.00903218442</v>
      </c>
      <c r="M3" s="35"/>
      <c r="N3" s="49">
        <f>SUM(N7:N61)</f>
        <v>16715523.030257218</v>
      </c>
      <c r="O3" s="49">
        <f t="shared" ref="O3:Q3" si="1">SUM(O7:O61)</f>
        <v>22999799.666133311</v>
      </c>
      <c r="P3" s="49">
        <f t="shared" si="1"/>
        <v>26716372.132078186</v>
      </c>
      <c r="Q3" s="49">
        <f t="shared" si="1"/>
        <v>39399309.000850335</v>
      </c>
      <c r="R3" s="49"/>
      <c r="S3" s="49"/>
    </row>
    <row r="4" spans="1:23" x14ac:dyDescent="0.2">
      <c r="G4" s="15"/>
      <c r="H4" s="15"/>
      <c r="I4" s="35"/>
      <c r="J4" s="35"/>
      <c r="K4" s="35"/>
      <c r="L4" s="35"/>
      <c r="M4" s="35"/>
      <c r="N4" s="49"/>
      <c r="O4" s="49"/>
      <c r="P4" s="49"/>
      <c r="Q4" s="49"/>
      <c r="R4" s="49"/>
      <c r="S4" s="49"/>
      <c r="T4" s="28" t="s">
        <v>90</v>
      </c>
      <c r="U4" s="29"/>
      <c r="V4" s="29"/>
      <c r="W4" s="29"/>
    </row>
    <row r="5" spans="1:23" x14ac:dyDescent="0.2">
      <c r="D5" s="39" t="s">
        <v>99</v>
      </c>
      <c r="E5" s="40">
        <f>SUM(E7:E17)+SUM(E18:E28)/1.05^(2)+SUM(E29:E39)/1.05^(12)+SUM(E40:E50)/1.05^(22)+SUM(E51:E61)/1.05^(32)</f>
        <v>456137412.8674894</v>
      </c>
      <c r="H5" s="33" t="s">
        <v>98</v>
      </c>
      <c r="I5" s="24" t="s">
        <v>89</v>
      </c>
      <c r="J5" s="25"/>
      <c r="K5" s="25"/>
      <c r="L5" s="25"/>
      <c r="M5" s="52" t="s">
        <v>104</v>
      </c>
      <c r="N5" s="26" t="s">
        <v>96</v>
      </c>
      <c r="O5" s="27"/>
      <c r="P5" s="27"/>
      <c r="Q5" s="27"/>
      <c r="R5" s="48"/>
      <c r="S5" s="48"/>
      <c r="T5" s="28">
        <v>2020</v>
      </c>
      <c r="U5" s="28">
        <v>2030</v>
      </c>
      <c r="V5" s="28">
        <v>2040</v>
      </c>
      <c r="W5" s="28">
        <v>2050</v>
      </c>
    </row>
    <row r="6" spans="1:23" x14ac:dyDescent="0.2">
      <c r="A6" s="16" t="s">
        <v>70</v>
      </c>
      <c r="B6" s="16" t="s">
        <v>59</v>
      </c>
      <c r="C6" s="16" t="s">
        <v>85</v>
      </c>
      <c r="D6" s="16" t="s">
        <v>60</v>
      </c>
      <c r="E6" s="43" t="s">
        <v>87</v>
      </c>
      <c r="F6" s="43" t="s">
        <v>86</v>
      </c>
      <c r="G6" s="43" t="s">
        <v>88</v>
      </c>
      <c r="H6" s="33"/>
      <c r="I6" s="24">
        <v>2020</v>
      </c>
      <c r="J6" s="24">
        <v>2030</v>
      </c>
      <c r="K6" s="24">
        <v>2040</v>
      </c>
      <c r="L6" s="24">
        <v>2050</v>
      </c>
      <c r="M6" s="52"/>
      <c r="N6" s="26">
        <v>2020</v>
      </c>
      <c r="O6" s="26">
        <v>2030</v>
      </c>
      <c r="P6" s="26">
        <v>2040</v>
      </c>
      <c r="Q6" s="26">
        <v>2050</v>
      </c>
      <c r="R6" s="50"/>
      <c r="S6" s="50"/>
    </row>
    <row r="7" spans="1:23" x14ac:dyDescent="0.2">
      <c r="A7" t="s">
        <v>71</v>
      </c>
      <c r="B7" t="s">
        <v>61</v>
      </c>
      <c r="C7" s="17">
        <v>2018</v>
      </c>
      <c r="D7" t="s">
        <v>2</v>
      </c>
      <c r="E7" s="36">
        <f>F7*G7</f>
        <v>3429074.8266025591</v>
      </c>
      <c r="F7" s="36">
        <v>12271.47</v>
      </c>
      <c r="G7" s="36">
        <f>Information_Collection!M20</f>
        <v>279.43472351743998</v>
      </c>
      <c r="H7" s="34">
        <v>0.23099999999999998</v>
      </c>
      <c r="I7" s="36">
        <f>H7*F7</f>
        <v>2834.7095699999995</v>
      </c>
      <c r="J7" s="36">
        <f>H7*F7</f>
        <v>2834.7095699999995</v>
      </c>
      <c r="K7" s="36"/>
      <c r="L7" s="36"/>
      <c r="M7" s="36">
        <f>Information_Collection!M52</f>
        <v>330.52250880000003</v>
      </c>
      <c r="N7" s="36">
        <f>M7*F7</f>
        <v>4055997.0510639362</v>
      </c>
      <c r="O7" s="36">
        <f>M7*F7</f>
        <v>4055997.0510639362</v>
      </c>
      <c r="P7" s="36"/>
      <c r="Q7" s="36"/>
      <c r="R7" s="51"/>
      <c r="S7" s="51"/>
    </row>
    <row r="8" spans="1:23" x14ac:dyDescent="0.2">
      <c r="A8" t="s">
        <v>72</v>
      </c>
      <c r="B8" t="s">
        <v>62</v>
      </c>
      <c r="C8" s="17">
        <v>2018</v>
      </c>
      <c r="D8" t="s">
        <v>3</v>
      </c>
      <c r="E8" s="36">
        <f t="shared" ref="E8:E61" si="2">F8*G8</f>
        <v>6686709.3586083837</v>
      </c>
      <c r="F8" s="36">
        <v>4145.5</v>
      </c>
      <c r="G8" s="36">
        <f>Information_Collection!M21</f>
        <v>1613.0043079504001</v>
      </c>
      <c r="H8" s="34">
        <v>0.36549999999999999</v>
      </c>
      <c r="I8" s="36">
        <f t="shared" ref="I8:I17" si="3">H8*F8</f>
        <v>1515.1802499999999</v>
      </c>
      <c r="J8" s="36">
        <f t="shared" ref="J8:J17" si="4">H8*F8</f>
        <v>1515.1802499999999</v>
      </c>
      <c r="K8" s="36">
        <f>H8*F8</f>
        <v>1515.1802499999999</v>
      </c>
      <c r="L8" s="36">
        <f>H8*F8</f>
        <v>1515.1802499999999</v>
      </c>
      <c r="M8" s="36">
        <f>Information_Collection!M53</f>
        <v>402.68658988799996</v>
      </c>
      <c r="N8" s="36">
        <f t="shared" ref="N8:N11" si="5">M8*F8</f>
        <v>1669337.2583807039</v>
      </c>
      <c r="O8" s="36">
        <f t="shared" ref="O8:O11" si="6">M8*F8</f>
        <v>1669337.2583807039</v>
      </c>
      <c r="P8" s="36">
        <f t="shared" ref="P8:P11" si="7">M8*F8</f>
        <v>1669337.2583807039</v>
      </c>
      <c r="Q8" s="36">
        <f t="shared" ref="Q8:Q11" si="8">M8*F8</f>
        <v>1669337.2583807039</v>
      </c>
      <c r="R8" s="51"/>
      <c r="S8" s="51"/>
    </row>
    <row r="9" spans="1:23" x14ac:dyDescent="0.2">
      <c r="A9" t="s">
        <v>73</v>
      </c>
      <c r="B9" t="s">
        <v>63</v>
      </c>
      <c r="C9" s="17">
        <v>2018</v>
      </c>
      <c r="D9" t="s">
        <v>4</v>
      </c>
      <c r="E9" s="36">
        <f t="shared" si="2"/>
        <v>7417317.7082693037</v>
      </c>
      <c r="F9" s="36">
        <v>13403.16</v>
      </c>
      <c r="G9" s="36">
        <f>Information_Collection!M22</f>
        <v>553.40066881760004</v>
      </c>
      <c r="H9" s="34">
        <v>0.29749999999999999</v>
      </c>
      <c r="I9" s="36">
        <f t="shared" si="3"/>
        <v>3987.4400999999998</v>
      </c>
      <c r="J9" s="36">
        <f t="shared" si="4"/>
        <v>3987.4400999999998</v>
      </c>
      <c r="K9" s="36"/>
      <c r="L9" s="36"/>
      <c r="M9" s="36">
        <f>Information_Collection!M54</f>
        <v>312.16014719999998</v>
      </c>
      <c r="N9" s="36">
        <f t="shared" si="5"/>
        <v>4183932.3985451516</v>
      </c>
      <c r="O9" s="36">
        <f t="shared" si="6"/>
        <v>4183932.3985451516</v>
      </c>
      <c r="P9" s="36"/>
      <c r="Q9" s="36"/>
      <c r="R9" s="51"/>
      <c r="S9" s="51"/>
    </row>
    <row r="10" spans="1:23" x14ac:dyDescent="0.2">
      <c r="A10" t="s">
        <v>74</v>
      </c>
      <c r="B10" t="s">
        <v>64</v>
      </c>
      <c r="C10" s="17">
        <v>2018</v>
      </c>
      <c r="D10" t="s">
        <v>5</v>
      </c>
      <c r="E10" s="36">
        <f t="shared" si="2"/>
        <v>11866748.336114556</v>
      </c>
      <c r="F10" s="36">
        <v>19287.36</v>
      </c>
      <c r="G10" s="36">
        <f>Information_Collection!M23</f>
        <v>615.26037446880002</v>
      </c>
      <c r="H10" s="34">
        <v>0.48449999999999993</v>
      </c>
      <c r="I10" s="36">
        <f t="shared" si="3"/>
        <v>9344.725919999999</v>
      </c>
      <c r="J10" s="36">
        <f t="shared" si="4"/>
        <v>9344.725919999999</v>
      </c>
      <c r="K10" s="36">
        <f t="shared" ref="K9:K11" si="9">H10*F10</f>
        <v>9344.725919999999</v>
      </c>
      <c r="L10" s="36"/>
      <c r="M10" s="36">
        <f>Information_Collection!M55</f>
        <v>238.802512608</v>
      </c>
      <c r="N10" s="36">
        <f t="shared" si="5"/>
        <v>4605870.029575035</v>
      </c>
      <c r="O10" s="36">
        <f t="shared" si="6"/>
        <v>4605870.029575035</v>
      </c>
      <c r="P10" s="36">
        <f t="shared" si="7"/>
        <v>4605870.029575035</v>
      </c>
      <c r="Q10" s="36"/>
      <c r="R10" s="51"/>
      <c r="S10" s="51"/>
    </row>
    <row r="11" spans="1:23" x14ac:dyDescent="0.2">
      <c r="A11" t="s">
        <v>75</v>
      </c>
      <c r="B11" t="s">
        <v>63</v>
      </c>
      <c r="C11" s="17">
        <v>2018</v>
      </c>
      <c r="D11" t="s">
        <v>6</v>
      </c>
      <c r="E11" s="36">
        <f t="shared" si="2"/>
        <v>226407.39052851341</v>
      </c>
      <c r="F11" s="36">
        <v>718.16</v>
      </c>
      <c r="G11" s="36">
        <f>Information_Collection!M24</f>
        <v>315.26037446880002</v>
      </c>
      <c r="H11" s="34">
        <v>0.32300000000000001</v>
      </c>
      <c r="I11" s="36">
        <f t="shared" si="3"/>
        <v>231.96567999999999</v>
      </c>
      <c r="J11" s="36">
        <f t="shared" si="4"/>
        <v>231.96567999999999</v>
      </c>
      <c r="K11" s="36">
        <f t="shared" si="9"/>
        <v>231.96567999999999</v>
      </c>
      <c r="L11" s="36"/>
      <c r="M11" s="36">
        <f>Information_Collection!M56</f>
        <v>238.802512608</v>
      </c>
      <c r="N11" s="36">
        <f t="shared" si="5"/>
        <v>171498.41245456127</v>
      </c>
      <c r="O11" s="36">
        <f t="shared" si="6"/>
        <v>171498.41245456127</v>
      </c>
      <c r="P11" s="36">
        <f t="shared" si="7"/>
        <v>171498.41245456127</v>
      </c>
      <c r="Q11" s="36"/>
      <c r="R11" s="51"/>
      <c r="S11" s="51"/>
    </row>
    <row r="12" spans="1:23" x14ac:dyDescent="0.2">
      <c r="A12" t="s">
        <v>76</v>
      </c>
      <c r="B12" t="s">
        <v>65</v>
      </c>
      <c r="C12" s="17">
        <v>2018</v>
      </c>
      <c r="D12" t="s">
        <v>8</v>
      </c>
      <c r="E12" s="36">
        <f t="shared" si="2"/>
        <v>313133991.60000002</v>
      </c>
      <c r="F12" s="36">
        <v>88787</v>
      </c>
      <c r="G12" s="36">
        <f>Information_Collection!M25</f>
        <v>3526.8</v>
      </c>
      <c r="H12" s="34">
        <v>0.62</v>
      </c>
      <c r="I12" s="36">
        <f t="shared" si="3"/>
        <v>55047.94</v>
      </c>
      <c r="J12" s="36">
        <f t="shared" si="4"/>
        <v>55047.94</v>
      </c>
      <c r="K12" s="36">
        <f>H12*F12</f>
        <v>55047.94</v>
      </c>
      <c r="L12" s="36">
        <f>H12*F12</f>
        <v>55047.94</v>
      </c>
      <c r="M12" s="36"/>
      <c r="N12" s="51"/>
      <c r="O12" s="51"/>
      <c r="P12" s="51"/>
      <c r="Q12" s="51"/>
      <c r="R12" s="51"/>
      <c r="S12" s="51"/>
    </row>
    <row r="13" spans="1:23" x14ac:dyDescent="0.2">
      <c r="A13" t="s">
        <v>77</v>
      </c>
      <c r="B13" t="s">
        <v>66</v>
      </c>
      <c r="C13" s="17">
        <v>2018</v>
      </c>
      <c r="D13" t="s">
        <v>9</v>
      </c>
      <c r="E13" s="36">
        <f t="shared" si="2"/>
        <v>20751000</v>
      </c>
      <c r="F13" s="36">
        <v>6917</v>
      </c>
      <c r="G13" s="36">
        <f>Information_Collection!M26</f>
        <v>3000</v>
      </c>
      <c r="H13" s="34">
        <v>0.62</v>
      </c>
      <c r="I13" s="36">
        <f t="shared" si="3"/>
        <v>4288.54</v>
      </c>
      <c r="J13" s="36">
        <f t="shared" si="4"/>
        <v>4288.54</v>
      </c>
      <c r="K13" s="36">
        <f t="shared" ref="K13:K14" si="10">H13*F13</f>
        <v>4288.54</v>
      </c>
      <c r="L13" s="36">
        <f t="shared" ref="L13:L17" si="11">H13*F13</f>
        <v>4288.54</v>
      </c>
      <c r="M13" s="36"/>
      <c r="N13" s="51"/>
      <c r="O13" s="51"/>
      <c r="P13" s="51"/>
      <c r="Q13" s="51"/>
      <c r="R13" s="51"/>
      <c r="S13" s="51"/>
    </row>
    <row r="14" spans="1:23" x14ac:dyDescent="0.2">
      <c r="A14" t="s">
        <v>78</v>
      </c>
      <c r="B14" t="s">
        <v>67</v>
      </c>
      <c r="C14" s="17">
        <v>2018</v>
      </c>
      <c r="D14" t="s">
        <v>10</v>
      </c>
      <c r="E14" s="36">
        <f t="shared" si="2"/>
        <v>4459125.6000000006</v>
      </c>
      <c r="F14" s="36">
        <v>1062</v>
      </c>
      <c r="G14" s="36">
        <f>Information_Collection!M27</f>
        <v>4198.8</v>
      </c>
      <c r="H14" s="34">
        <v>0.62</v>
      </c>
      <c r="I14" s="36">
        <f t="shared" si="3"/>
        <v>658.43999999999994</v>
      </c>
      <c r="J14" s="36">
        <f t="shared" si="4"/>
        <v>658.43999999999994</v>
      </c>
      <c r="K14" s="36">
        <f>H14*F14</f>
        <v>658.43999999999994</v>
      </c>
      <c r="L14" s="36">
        <f t="shared" si="11"/>
        <v>658.43999999999994</v>
      </c>
      <c r="M14" s="36"/>
      <c r="N14" s="51"/>
      <c r="O14" s="51"/>
      <c r="P14" s="51"/>
      <c r="Q14" s="51"/>
      <c r="R14" s="51"/>
      <c r="S14" s="51"/>
    </row>
    <row r="15" spans="1:23" x14ac:dyDescent="0.2">
      <c r="A15" t="s">
        <v>79</v>
      </c>
      <c r="B15" t="s">
        <v>68</v>
      </c>
      <c r="C15" s="17">
        <v>2018</v>
      </c>
      <c r="D15" t="s">
        <v>11</v>
      </c>
      <c r="E15" s="36">
        <f t="shared" si="2"/>
        <v>21603731.379000001</v>
      </c>
      <c r="F15" s="36">
        <v>11378.17</v>
      </c>
      <c r="G15" s="36">
        <f>Information_Collection!M28</f>
        <v>1898.7</v>
      </c>
      <c r="H15" s="34">
        <v>0.33</v>
      </c>
      <c r="I15" s="36">
        <f t="shared" si="3"/>
        <v>3754.7961</v>
      </c>
      <c r="J15" s="36">
        <f t="shared" si="4"/>
        <v>3754.7961</v>
      </c>
      <c r="K15" s="36">
        <f>H15*F15</f>
        <v>3754.7961</v>
      </c>
      <c r="L15" s="36"/>
      <c r="M15" s="36"/>
      <c r="N15" s="51"/>
      <c r="O15" s="51"/>
      <c r="P15" s="51"/>
      <c r="Q15" s="51"/>
      <c r="R15" s="51"/>
      <c r="S15" s="51"/>
    </row>
    <row r="16" spans="1:23" x14ac:dyDescent="0.2">
      <c r="A16" t="s">
        <v>80</v>
      </c>
      <c r="B16" t="s">
        <v>82</v>
      </c>
      <c r="C16" s="17">
        <v>2018</v>
      </c>
      <c r="D16" t="s">
        <v>25</v>
      </c>
      <c r="E16" s="36">
        <f t="shared" si="2"/>
        <v>0</v>
      </c>
      <c r="F16" s="36">
        <v>0</v>
      </c>
      <c r="G16" s="36">
        <f>Information_Collection!M29</f>
        <v>3142.6</v>
      </c>
      <c r="H16" s="34">
        <v>0.24</v>
      </c>
      <c r="I16" s="36">
        <f t="shared" si="3"/>
        <v>0</v>
      </c>
      <c r="J16" s="36">
        <f t="shared" si="4"/>
        <v>0</v>
      </c>
      <c r="K16" s="36"/>
      <c r="L16" s="36"/>
      <c r="M16" s="36"/>
      <c r="N16" s="51"/>
      <c r="O16" s="51"/>
      <c r="P16" s="51"/>
      <c r="Q16" s="51"/>
      <c r="R16" s="51"/>
      <c r="S16" s="51"/>
    </row>
    <row r="17" spans="1:19" x14ac:dyDescent="0.2">
      <c r="A17" t="s">
        <v>81</v>
      </c>
      <c r="B17" t="s">
        <v>69</v>
      </c>
      <c r="C17" s="17">
        <v>2018</v>
      </c>
      <c r="D17" t="s">
        <v>12</v>
      </c>
      <c r="E17" s="36">
        <f t="shared" si="2"/>
        <v>15087383.999999998</v>
      </c>
      <c r="F17" s="36">
        <v>1990</v>
      </c>
      <c r="G17" s="36">
        <f>Information_Collection!M30</f>
        <v>7581.5999999999995</v>
      </c>
      <c r="H17" s="34">
        <v>0.29749999999999999</v>
      </c>
      <c r="I17" s="36">
        <f>H17*F17</f>
        <v>592.02499999999998</v>
      </c>
      <c r="J17" s="36">
        <f t="shared" si="4"/>
        <v>592.02499999999998</v>
      </c>
      <c r="K17" s="36">
        <f t="shared" ref="K16:K17" si="12">H17*F17</f>
        <v>592.02499999999998</v>
      </c>
      <c r="L17" s="36">
        <f t="shared" si="11"/>
        <v>592.02499999999998</v>
      </c>
      <c r="M17" s="36"/>
      <c r="N17" s="51"/>
      <c r="O17" s="51"/>
      <c r="P17" s="51"/>
      <c r="Q17" s="51"/>
      <c r="R17" s="51"/>
      <c r="S17" s="51"/>
    </row>
    <row r="18" spans="1:19" x14ac:dyDescent="0.2">
      <c r="A18" t="s">
        <v>71</v>
      </c>
      <c r="B18" t="s">
        <v>61</v>
      </c>
      <c r="C18" s="17">
        <v>2020</v>
      </c>
      <c r="D18" t="s">
        <v>2</v>
      </c>
      <c r="E18" s="36">
        <f t="shared" si="2"/>
        <v>3.1783332646523439E-11</v>
      </c>
      <c r="F18" s="37">
        <v>1.4549911839592533E-14</v>
      </c>
      <c r="G18" s="36">
        <f>Information_Collection!N20</f>
        <v>2184.43472351744</v>
      </c>
      <c r="H18" s="34">
        <v>0.23099999999999998</v>
      </c>
      <c r="I18" s="36">
        <f>H18*F18</f>
        <v>3.3610296349458748E-15</v>
      </c>
      <c r="J18" s="36">
        <f>H18*F18</f>
        <v>3.3610296349458748E-15</v>
      </c>
      <c r="K18" s="36"/>
      <c r="L18" s="36"/>
      <c r="M18" s="36">
        <f>Information_Collection!M52</f>
        <v>330.52250880000003</v>
      </c>
      <c r="N18" s="36">
        <f>M18*F18</f>
        <v>4.809073364040948E-12</v>
      </c>
      <c r="O18" s="36">
        <f t="shared" ref="O18" si="13">M18*F18</f>
        <v>4.809073364040948E-12</v>
      </c>
      <c r="P18" s="36"/>
      <c r="Q18" s="36"/>
      <c r="R18" s="51"/>
      <c r="S18" s="51"/>
    </row>
    <row r="19" spans="1:19" x14ac:dyDescent="0.2">
      <c r="A19" t="s">
        <v>72</v>
      </c>
      <c r="B19" t="s">
        <v>62</v>
      </c>
      <c r="C19" s="17">
        <v>2020</v>
      </c>
      <c r="D19" t="s">
        <v>3</v>
      </c>
      <c r="E19" s="36">
        <f t="shared" si="2"/>
        <v>1.6653976238134689E-10</v>
      </c>
      <c r="F19" s="37">
        <v>4.0476991890014848E-14</v>
      </c>
      <c r="G19" s="36">
        <f>Information_Collection!N21</f>
        <v>4114.4303122592</v>
      </c>
      <c r="H19" s="34">
        <v>0.36549999999999999</v>
      </c>
      <c r="I19" s="36">
        <f t="shared" ref="I19:I27" si="14">H19*F19</f>
        <v>1.4794340535800427E-14</v>
      </c>
      <c r="J19" s="36">
        <f t="shared" ref="J19:J28" si="15">H19*F19</f>
        <v>1.4794340535800427E-14</v>
      </c>
      <c r="K19" s="36">
        <f>H19*F19</f>
        <v>1.4794340535800427E-14</v>
      </c>
      <c r="L19" s="36">
        <f>H19*F19</f>
        <v>1.4794340535800427E-14</v>
      </c>
      <c r="M19" s="36">
        <f>Information_Collection!M53</f>
        <v>402.68658988799996</v>
      </c>
      <c r="N19" s="36">
        <f t="shared" ref="N19:N22" si="16">M19*F19</f>
        <v>1.629954183311431E-11</v>
      </c>
      <c r="O19" s="36">
        <f t="shared" ref="O19:O22" si="17">M19*F19</f>
        <v>1.629954183311431E-11</v>
      </c>
      <c r="P19" s="36">
        <f t="shared" ref="P19:P22" si="18">M19*F19</f>
        <v>1.629954183311431E-11</v>
      </c>
      <c r="Q19" s="36">
        <f t="shared" ref="Q19:Q22" si="19">M19*F19</f>
        <v>1.629954183311431E-11</v>
      </c>
      <c r="R19" s="51"/>
      <c r="S19" s="51"/>
    </row>
    <row r="20" spans="1:19" x14ac:dyDescent="0.2">
      <c r="A20" t="s">
        <v>73</v>
      </c>
      <c r="B20" t="s">
        <v>63</v>
      </c>
      <c r="C20" s="17">
        <v>2020</v>
      </c>
      <c r="D20" t="s">
        <v>4</v>
      </c>
      <c r="E20" s="36">
        <f t="shared" si="2"/>
        <v>9.3015904524666768E-12</v>
      </c>
      <c r="F20" s="37">
        <v>4.7710994226582426E-15</v>
      </c>
      <c r="G20" s="36">
        <f>Information_Collection!N22</f>
        <v>1949.5696124655999</v>
      </c>
      <c r="H20" s="34">
        <v>0.29749999999999999</v>
      </c>
      <c r="I20" s="36">
        <f t="shared" si="14"/>
        <v>1.4194020782408271E-15</v>
      </c>
      <c r="J20" s="36">
        <f t="shared" si="15"/>
        <v>1.4194020782408271E-15</v>
      </c>
      <c r="K20" s="36"/>
      <c r="L20" s="36"/>
      <c r="M20" s="36">
        <f>Information_Collection!M54</f>
        <v>312.16014719999998</v>
      </c>
      <c r="N20" s="36">
        <f t="shared" si="16"/>
        <v>1.4893470980828319E-12</v>
      </c>
      <c r="O20" s="36">
        <f t="shared" si="17"/>
        <v>1.4893470980828319E-12</v>
      </c>
      <c r="P20" s="36"/>
      <c r="Q20" s="36"/>
      <c r="R20" s="51"/>
      <c r="S20" s="51"/>
    </row>
    <row r="21" spans="1:19" x14ac:dyDescent="0.2">
      <c r="A21" t="s">
        <v>74</v>
      </c>
      <c r="B21" t="s">
        <v>64</v>
      </c>
      <c r="C21" s="17">
        <v>2020</v>
      </c>
      <c r="D21" t="s">
        <v>5</v>
      </c>
      <c r="E21" s="36">
        <f t="shared" si="2"/>
        <v>0</v>
      </c>
      <c r="F21" s="37">
        <v>0</v>
      </c>
      <c r="G21" s="36">
        <f>Information_Collection!N23</f>
        <v>1878.8785943568</v>
      </c>
      <c r="H21" s="34">
        <v>0.48449999999999993</v>
      </c>
      <c r="I21" s="36">
        <f t="shared" si="14"/>
        <v>0</v>
      </c>
      <c r="J21" s="36">
        <f t="shared" si="15"/>
        <v>0</v>
      </c>
      <c r="K21" s="36">
        <f t="shared" ref="K21:K23" si="20">H21*F21</f>
        <v>0</v>
      </c>
      <c r="L21" s="36"/>
      <c r="M21" s="36">
        <f>Information_Collection!M55</f>
        <v>238.802512608</v>
      </c>
      <c r="N21" s="36">
        <f t="shared" si="16"/>
        <v>0</v>
      </c>
      <c r="O21" s="36">
        <f t="shared" si="17"/>
        <v>0</v>
      </c>
      <c r="P21" s="36">
        <f t="shared" si="18"/>
        <v>0</v>
      </c>
      <c r="Q21" s="36"/>
      <c r="R21" s="51"/>
      <c r="S21" s="51"/>
    </row>
    <row r="22" spans="1:19" x14ac:dyDescent="0.2">
      <c r="A22" t="s">
        <v>75</v>
      </c>
      <c r="B22" t="s">
        <v>63</v>
      </c>
      <c r="C22" s="17">
        <v>2020</v>
      </c>
      <c r="D22" t="s">
        <v>6</v>
      </c>
      <c r="E22" s="36">
        <f t="shared" si="2"/>
        <v>7662442.6165068038</v>
      </c>
      <c r="F22" s="37">
        <v>8496.0910087587672</v>
      </c>
      <c r="G22" s="36">
        <f>Information_Collection!N24</f>
        <v>901.87859435680002</v>
      </c>
      <c r="H22" s="34">
        <v>0.32300000000000001</v>
      </c>
      <c r="I22" s="36">
        <f t="shared" si="14"/>
        <v>2744.2373958290818</v>
      </c>
      <c r="J22" s="36">
        <f t="shared" si="15"/>
        <v>2744.2373958290818</v>
      </c>
      <c r="K22" s="36">
        <f t="shared" si="20"/>
        <v>2744.2373958290818</v>
      </c>
      <c r="L22" s="36"/>
      <c r="M22" s="36">
        <f>Information_Collection!M56</f>
        <v>238.802512608</v>
      </c>
      <c r="N22" s="36">
        <f t="shared" si="16"/>
        <v>2028887.880237831</v>
      </c>
      <c r="O22" s="36">
        <f t="shared" si="17"/>
        <v>2028887.880237831</v>
      </c>
      <c r="P22" s="36">
        <f t="shared" si="18"/>
        <v>2028887.880237831</v>
      </c>
      <c r="Q22" s="36"/>
      <c r="R22" s="51"/>
      <c r="S22" s="51"/>
    </row>
    <row r="23" spans="1:19" x14ac:dyDescent="0.2">
      <c r="A23" t="s">
        <v>76</v>
      </c>
      <c r="B23" t="s">
        <v>65</v>
      </c>
      <c r="C23" s="17">
        <v>2020</v>
      </c>
      <c r="D23" t="s">
        <v>8</v>
      </c>
      <c r="E23" s="36">
        <f t="shared" si="2"/>
        <v>6.7762632533015987E-10</v>
      </c>
      <c r="F23" s="37">
        <v>1.0480162166014412E-13</v>
      </c>
      <c r="G23" s="36">
        <f>Information_Collection!N25</f>
        <v>6465.8</v>
      </c>
      <c r="H23" s="34">
        <v>0.62</v>
      </c>
      <c r="I23" s="36">
        <f t="shared" si="14"/>
        <v>6.4977005429289352E-14</v>
      </c>
      <c r="J23" s="36">
        <f t="shared" si="15"/>
        <v>6.4977005429289352E-14</v>
      </c>
      <c r="K23" s="36">
        <f>H23*F23</f>
        <v>6.4977005429289352E-14</v>
      </c>
      <c r="L23" s="36">
        <f>H23*F23</f>
        <v>6.4977005429289352E-14</v>
      </c>
      <c r="M23" s="36"/>
      <c r="N23" s="51"/>
      <c r="O23" s="51"/>
      <c r="P23" s="51"/>
      <c r="Q23" s="51"/>
      <c r="R23" s="51"/>
      <c r="S23" s="51"/>
    </row>
    <row r="24" spans="1:19" x14ac:dyDescent="0.2">
      <c r="A24" t="s">
        <v>77</v>
      </c>
      <c r="B24" t="s">
        <v>66</v>
      </c>
      <c r="C24" s="17">
        <v>2020</v>
      </c>
      <c r="D24" t="s">
        <v>9</v>
      </c>
      <c r="E24" s="36">
        <f t="shared" si="2"/>
        <v>4.9737885743554018E-11</v>
      </c>
      <c r="F24" s="37">
        <v>8.2527851834396385E-15</v>
      </c>
      <c r="G24" s="36">
        <f>Information_Collection!N26</f>
        <v>6026.8</v>
      </c>
      <c r="H24" s="34">
        <v>0.62</v>
      </c>
      <c r="I24" s="36">
        <f t="shared" si="14"/>
        <v>5.1167268137325754E-15</v>
      </c>
      <c r="J24" s="36">
        <f t="shared" si="15"/>
        <v>5.1167268137325754E-15</v>
      </c>
      <c r="K24" s="36">
        <f t="shared" ref="K24:K25" si="21">H24*F24</f>
        <v>5.1167268137325754E-15</v>
      </c>
      <c r="L24" s="36">
        <f t="shared" ref="L24:L28" si="22">H24*F24</f>
        <v>5.1167268137325754E-15</v>
      </c>
      <c r="M24" s="36"/>
      <c r="N24" s="51"/>
      <c r="O24" s="51"/>
      <c r="P24" s="51"/>
      <c r="Q24" s="51"/>
      <c r="R24" s="51"/>
      <c r="S24" s="51"/>
    </row>
    <row r="25" spans="1:19" x14ac:dyDescent="0.2">
      <c r="A25" t="s">
        <v>78</v>
      </c>
      <c r="B25" t="s">
        <v>67</v>
      </c>
      <c r="C25" s="17">
        <v>2020</v>
      </c>
      <c r="D25" t="s">
        <v>10</v>
      </c>
      <c r="E25" s="36">
        <f t="shared" si="2"/>
        <v>-2.1967345728345366E-9</v>
      </c>
      <c r="F25" s="37">
        <v>-3.1266682411035564E-13</v>
      </c>
      <c r="G25" s="36">
        <f>Information_Collection!N27</f>
        <v>7025.8</v>
      </c>
      <c r="H25" s="34">
        <v>0.62</v>
      </c>
      <c r="I25" s="36">
        <f t="shared" si="14"/>
        <v>-1.9385343094842051E-13</v>
      </c>
      <c r="J25" s="36">
        <f t="shared" si="15"/>
        <v>-1.9385343094842051E-13</v>
      </c>
      <c r="K25" s="36">
        <f>H25*F25</f>
        <v>-1.9385343094842051E-13</v>
      </c>
      <c r="L25" s="36">
        <f t="shared" si="22"/>
        <v>-1.9385343094842051E-13</v>
      </c>
      <c r="M25" s="36"/>
      <c r="N25" s="51"/>
      <c r="O25" s="51"/>
      <c r="P25" s="51"/>
      <c r="Q25" s="51"/>
      <c r="R25" s="51"/>
      <c r="S25" s="51"/>
    </row>
    <row r="26" spans="1:19" x14ac:dyDescent="0.2">
      <c r="A26" t="s">
        <v>79</v>
      </c>
      <c r="B26" t="s">
        <v>68</v>
      </c>
      <c r="C26" s="17">
        <v>2020</v>
      </c>
      <c r="D26" t="s">
        <v>11</v>
      </c>
      <c r="E26" s="36">
        <f t="shared" si="2"/>
        <v>5.8478584006217837E-11</v>
      </c>
      <c r="F26" s="37">
        <v>1.1445898618006947E-14</v>
      </c>
      <c r="G26" s="36">
        <f>Information_Collection!N28</f>
        <v>5109.13</v>
      </c>
      <c r="H26" s="34">
        <v>0.33</v>
      </c>
      <c r="I26" s="36">
        <f t="shared" si="14"/>
        <v>3.777146543942293E-15</v>
      </c>
      <c r="J26" s="36">
        <f t="shared" si="15"/>
        <v>3.777146543942293E-15</v>
      </c>
      <c r="K26" s="36">
        <f>H26*F26</f>
        <v>3.777146543942293E-15</v>
      </c>
      <c r="L26" s="36"/>
      <c r="M26" s="36"/>
      <c r="N26" s="51"/>
      <c r="O26" s="51"/>
      <c r="P26" s="51"/>
      <c r="Q26" s="51"/>
      <c r="R26" s="51"/>
      <c r="S26" s="51"/>
    </row>
    <row r="27" spans="1:19" x14ac:dyDescent="0.2">
      <c r="A27" t="s">
        <v>80</v>
      </c>
      <c r="B27" t="s">
        <v>82</v>
      </c>
      <c r="C27" s="17">
        <v>2020</v>
      </c>
      <c r="D27" t="s">
        <v>25</v>
      </c>
      <c r="E27" s="36">
        <f t="shared" si="2"/>
        <v>2.3257369690917253E-10</v>
      </c>
      <c r="F27" s="37">
        <v>3.1197050151532402E-14</v>
      </c>
      <c r="G27" s="36">
        <f>Information_Collection!N29</f>
        <v>7454.99</v>
      </c>
      <c r="H27" s="34">
        <v>0.24</v>
      </c>
      <c r="I27" s="36">
        <f t="shared" si="14"/>
        <v>7.4872920363677766E-15</v>
      </c>
      <c r="J27" s="36">
        <f t="shared" si="15"/>
        <v>7.4872920363677766E-15</v>
      </c>
      <c r="K27" s="36"/>
      <c r="L27" s="36"/>
      <c r="M27" s="36"/>
      <c r="N27" s="51"/>
      <c r="O27" s="51"/>
      <c r="P27" s="51"/>
      <c r="Q27" s="51"/>
      <c r="R27" s="51"/>
      <c r="S27" s="51"/>
    </row>
    <row r="28" spans="1:19" x14ac:dyDescent="0.2">
      <c r="A28" t="s">
        <v>81</v>
      </c>
      <c r="B28" t="s">
        <v>69</v>
      </c>
      <c r="C28" s="17">
        <v>2020</v>
      </c>
      <c r="D28" t="s">
        <v>12</v>
      </c>
      <c r="E28" s="36">
        <f t="shared" si="2"/>
        <v>-6.3628078099311336E-11</v>
      </c>
      <c r="F28" s="37">
        <v>-4.5776913076139847E-15</v>
      </c>
      <c r="G28" s="36">
        <f>Information_Collection!N30</f>
        <v>13899.599999999999</v>
      </c>
      <c r="H28" s="34">
        <v>0.29749999999999999</v>
      </c>
      <c r="I28" s="36">
        <f>H28*F28</f>
        <v>-1.3618631640151604E-15</v>
      </c>
      <c r="J28" s="36">
        <f t="shared" si="15"/>
        <v>-1.3618631640151604E-15</v>
      </c>
      <c r="K28" s="36">
        <f t="shared" ref="K28:K29" si="23">H28*F28</f>
        <v>-1.3618631640151604E-15</v>
      </c>
      <c r="L28" s="36">
        <f t="shared" ref="L28" si="24">H28*F28</f>
        <v>-1.3618631640151604E-15</v>
      </c>
      <c r="M28" s="36"/>
      <c r="N28" s="51"/>
      <c r="O28" s="51"/>
      <c r="P28" s="51"/>
      <c r="Q28" s="51"/>
      <c r="R28" s="51"/>
      <c r="S28" s="51"/>
    </row>
    <row r="29" spans="1:19" x14ac:dyDescent="0.2">
      <c r="A29" t="s">
        <v>71</v>
      </c>
      <c r="B29" t="s">
        <v>61</v>
      </c>
      <c r="C29" s="17">
        <v>2030</v>
      </c>
      <c r="D29" t="s">
        <v>2</v>
      </c>
      <c r="E29" s="36">
        <f t="shared" si="2"/>
        <v>-9.3411428807887724E-11</v>
      </c>
      <c r="F29" s="37">
        <v>-4.2762288935543902E-14</v>
      </c>
      <c r="G29" s="36">
        <f>Information_Collection!O20</f>
        <v>2184.43472351744</v>
      </c>
      <c r="H29" s="34">
        <v>0.23099999999999998</v>
      </c>
      <c r="I29" s="36"/>
      <c r="J29" s="36">
        <f>H29*F29</f>
        <v>-9.8780887441106404E-15</v>
      </c>
      <c r="K29" s="36">
        <f t="shared" si="23"/>
        <v>-9.8780887441106404E-15</v>
      </c>
      <c r="L29" s="36"/>
      <c r="M29" s="36">
        <f>Information_Collection!M52</f>
        <v>330.52250880000003</v>
      </c>
      <c r="N29" s="36"/>
      <c r="O29" s="36">
        <f t="shared" ref="O29" si="25">M29*F29</f>
        <v>-1.4133899021006453E-11</v>
      </c>
      <c r="P29" s="36">
        <f t="shared" ref="P29" si="26">M29*F29</f>
        <v>-1.4133899021006453E-11</v>
      </c>
      <c r="Q29" s="36"/>
      <c r="R29" s="51"/>
      <c r="S29" s="51"/>
    </row>
    <row r="30" spans="1:19" x14ac:dyDescent="0.2">
      <c r="A30" t="s">
        <v>72</v>
      </c>
      <c r="B30" t="s">
        <v>62</v>
      </c>
      <c r="C30" s="17">
        <v>2030</v>
      </c>
      <c r="D30" t="s">
        <v>3</v>
      </c>
      <c r="E30" s="36">
        <f t="shared" si="2"/>
        <v>-1.7113269336038755E-10</v>
      </c>
      <c r="F30" s="37">
        <v>-4.1589632666016297E-14</v>
      </c>
      <c r="G30" s="36">
        <f>Information_Collection!O21</f>
        <v>4114.7921342480004</v>
      </c>
      <c r="H30" s="34">
        <v>0.36549999999999999</v>
      </c>
      <c r="I30" s="36"/>
      <c r="J30" s="36">
        <f t="shared" ref="J30:J39" si="27">H30*F30</f>
        <v>-1.5201010739428955E-14</v>
      </c>
      <c r="K30" s="36">
        <f>H30*F30</f>
        <v>-1.5201010739428955E-14</v>
      </c>
      <c r="L30" s="36">
        <f>H30*F30</f>
        <v>-1.5201010739428955E-14</v>
      </c>
      <c r="M30" s="36">
        <f>Information_Collection!M53</f>
        <v>402.68658988799996</v>
      </c>
      <c r="N30" s="36"/>
      <c r="O30" s="36">
        <f t="shared" ref="O30:O33" si="28">M30*F30</f>
        <v>-1.6747587352972672E-11</v>
      </c>
      <c r="P30" s="36">
        <f t="shared" ref="P30:P33" si="29">M30*F30</f>
        <v>-1.6747587352972672E-11</v>
      </c>
      <c r="Q30" s="36">
        <f t="shared" ref="Q30:Q33" si="30">M30*F30</f>
        <v>-1.6747587352972672E-11</v>
      </c>
      <c r="R30" s="51"/>
      <c r="S30" s="51"/>
    </row>
    <row r="31" spans="1:19" x14ac:dyDescent="0.2">
      <c r="A31" t="s">
        <v>73</v>
      </c>
      <c r="B31" t="s">
        <v>63</v>
      </c>
      <c r="C31" s="17">
        <v>2030</v>
      </c>
      <c r="D31" t="s">
        <v>4</v>
      </c>
      <c r="E31" s="36">
        <f t="shared" si="2"/>
        <v>-1.1290299660261748E-11</v>
      </c>
      <c r="F31" s="37">
        <v>-5.7844184899857182E-15</v>
      </c>
      <c r="G31" s="36">
        <f>Information_Collection!O22</f>
        <v>1951.8469626304</v>
      </c>
      <c r="H31" s="34">
        <v>0.29749999999999999</v>
      </c>
      <c r="I31" s="36"/>
      <c r="J31" s="36">
        <f t="shared" si="27"/>
        <v>-1.7208645007707511E-15</v>
      </c>
      <c r="K31" s="36">
        <f>H31*F31</f>
        <v>-1.7208645007707511E-15</v>
      </c>
      <c r="L31" s="36"/>
      <c r="M31" s="36">
        <f>Information_Collection!M54</f>
        <v>312.16014719999998</v>
      </c>
      <c r="N31" s="36"/>
      <c r="O31" s="36">
        <f t="shared" si="28"/>
        <v>-1.8056649273003435E-12</v>
      </c>
      <c r="P31" s="36">
        <f t="shared" si="29"/>
        <v>-1.8056649273003435E-12</v>
      </c>
      <c r="Q31" s="36"/>
      <c r="R31" s="51"/>
      <c r="S31" s="51"/>
    </row>
    <row r="32" spans="1:19" x14ac:dyDescent="0.2">
      <c r="A32" t="s">
        <v>74</v>
      </c>
      <c r="B32" t="s">
        <v>64</v>
      </c>
      <c r="C32" s="17">
        <v>2030</v>
      </c>
      <c r="D32" t="s">
        <v>5</v>
      </c>
      <c r="E32" s="36">
        <f t="shared" si="2"/>
        <v>-1.523754842007809E-10</v>
      </c>
      <c r="F32" s="37">
        <v>-8.0942374137848756E-14</v>
      </c>
      <c r="G32" s="36">
        <f>Information_Collection!O23</f>
        <v>1882.5180978911999</v>
      </c>
      <c r="H32" s="34">
        <v>0.48449999999999993</v>
      </c>
      <c r="I32" s="36"/>
      <c r="J32" s="36">
        <f t="shared" si="27"/>
        <v>-3.9216580269787715E-14</v>
      </c>
      <c r="K32" s="36">
        <f t="shared" ref="K32:K34" si="31">H32*F32</f>
        <v>-3.9216580269787715E-14</v>
      </c>
      <c r="L32" s="36">
        <f t="shared" ref="L31:L33" si="32">H32*F32</f>
        <v>-3.9216580269787715E-14</v>
      </c>
      <c r="M32" s="36">
        <f>Information_Collection!M55</f>
        <v>238.802512608</v>
      </c>
      <c r="N32" s="36"/>
      <c r="O32" s="36">
        <f t="shared" si="28"/>
        <v>-1.9329242320575082E-11</v>
      </c>
      <c r="P32" s="36">
        <f t="shared" si="29"/>
        <v>-1.9329242320575082E-11</v>
      </c>
      <c r="Q32" s="36">
        <f t="shared" si="30"/>
        <v>-1.9329242320575082E-11</v>
      </c>
      <c r="R32" s="51"/>
      <c r="S32" s="51"/>
    </row>
    <row r="33" spans="1:19" x14ac:dyDescent="0.2">
      <c r="A33" t="s">
        <v>75</v>
      </c>
      <c r="B33" t="s">
        <v>63</v>
      </c>
      <c r="C33" s="17">
        <v>2030</v>
      </c>
      <c r="D33" t="s">
        <v>6</v>
      </c>
      <c r="E33" s="36">
        <f t="shared" si="2"/>
        <v>23829423.584339596</v>
      </c>
      <c r="F33" s="37">
        <v>26315.789424677798</v>
      </c>
      <c r="G33" s="36">
        <f>Information_Collection!O24</f>
        <v>905.5180978912</v>
      </c>
      <c r="H33" s="34">
        <v>0.32300000000000001</v>
      </c>
      <c r="I33" s="36"/>
      <c r="J33" s="36">
        <f t="shared" si="27"/>
        <v>8499.9999841709287</v>
      </c>
      <c r="K33" s="36">
        <f t="shared" si="31"/>
        <v>8499.9999841709287</v>
      </c>
      <c r="L33" s="36">
        <f t="shared" si="32"/>
        <v>8499.9999841709287</v>
      </c>
      <c r="M33" s="36">
        <f>Information_Collection!M56</f>
        <v>238.802512608</v>
      </c>
      <c r="N33" s="36"/>
      <c r="O33" s="36">
        <f t="shared" si="28"/>
        <v>6284276.6358760931</v>
      </c>
      <c r="P33" s="36">
        <f t="shared" si="29"/>
        <v>6284276.6358760931</v>
      </c>
      <c r="Q33" s="36">
        <f t="shared" si="30"/>
        <v>6284276.6358760931</v>
      </c>
      <c r="R33" s="51"/>
      <c r="S33" s="51"/>
    </row>
    <row r="34" spans="1:19" x14ac:dyDescent="0.2">
      <c r="A34" t="s">
        <v>76</v>
      </c>
      <c r="B34" t="s">
        <v>65</v>
      </c>
      <c r="C34" s="17">
        <v>2030</v>
      </c>
      <c r="D34" t="s">
        <v>8</v>
      </c>
      <c r="E34" s="36">
        <f t="shared" si="2"/>
        <v>2.3347129302471302E-10</v>
      </c>
      <c r="F34" s="37">
        <v>3.6108647502971485E-14</v>
      </c>
      <c r="G34" s="36">
        <f>Information_Collection!O25</f>
        <v>6465.8</v>
      </c>
      <c r="H34" s="34">
        <v>0.62</v>
      </c>
      <c r="I34" s="36"/>
      <c r="J34" s="36">
        <f t="shared" si="27"/>
        <v>2.2387361451842321E-14</v>
      </c>
      <c r="K34" s="36">
        <f>H34*F34</f>
        <v>2.2387361451842321E-14</v>
      </c>
      <c r="L34" s="36">
        <f>H34*F34</f>
        <v>2.2387361451842321E-14</v>
      </c>
      <c r="M34" s="36"/>
      <c r="N34" s="51"/>
      <c r="O34" s="51"/>
      <c r="P34" s="51"/>
      <c r="Q34" s="51"/>
      <c r="R34" s="51"/>
      <c r="S34" s="51"/>
    </row>
    <row r="35" spans="1:19" x14ac:dyDescent="0.2">
      <c r="A35" t="s">
        <v>77</v>
      </c>
      <c r="B35" t="s">
        <v>66</v>
      </c>
      <c r="C35" s="17">
        <v>2030</v>
      </c>
      <c r="D35" t="s">
        <v>9</v>
      </c>
      <c r="E35" s="36">
        <f t="shared" si="2"/>
        <v>-6.7745781474446345E-11</v>
      </c>
      <c r="F35" s="37">
        <v>-1.1240754873970655E-14</v>
      </c>
      <c r="G35" s="36">
        <f>Information_Collection!O26</f>
        <v>6026.8</v>
      </c>
      <c r="H35" s="34">
        <v>0.62</v>
      </c>
      <c r="I35" s="36"/>
      <c r="J35" s="36">
        <f t="shared" si="27"/>
        <v>-6.9692680218618057E-15</v>
      </c>
      <c r="K35" s="36">
        <f t="shared" ref="K35:K36" si="33">H35*F35</f>
        <v>-6.9692680218618057E-15</v>
      </c>
      <c r="L35" s="36">
        <f t="shared" ref="L35:L39" si="34">H35*F35</f>
        <v>-6.9692680218618057E-15</v>
      </c>
      <c r="M35" s="36"/>
      <c r="N35" s="51"/>
      <c r="O35" s="51"/>
      <c r="P35" s="51"/>
      <c r="Q35" s="51"/>
      <c r="R35" s="51"/>
      <c r="S35" s="51"/>
    </row>
    <row r="36" spans="1:19" x14ac:dyDescent="0.2">
      <c r="A36" t="s">
        <v>78</v>
      </c>
      <c r="B36" t="s">
        <v>67</v>
      </c>
      <c r="C36" s="17">
        <v>2030</v>
      </c>
      <c r="D36" t="s">
        <v>10</v>
      </c>
      <c r="E36" s="36">
        <f t="shared" si="2"/>
        <v>-5.2865020247686536E-10</v>
      </c>
      <c r="F36" s="37">
        <v>-7.5244129135025949E-14</v>
      </c>
      <c r="G36" s="36">
        <f>Information_Collection!O27</f>
        <v>7025.8</v>
      </c>
      <c r="H36" s="34">
        <v>0.62</v>
      </c>
      <c r="I36" s="36"/>
      <c r="J36" s="36">
        <f t="shared" si="27"/>
        <v>-4.665136006371609E-14</v>
      </c>
      <c r="K36" s="36">
        <f>H36*F36</f>
        <v>-4.665136006371609E-14</v>
      </c>
      <c r="L36" s="36">
        <f t="shared" si="34"/>
        <v>-4.665136006371609E-14</v>
      </c>
      <c r="M36" s="36"/>
      <c r="N36" s="51"/>
      <c r="O36" s="51"/>
      <c r="P36" s="51"/>
      <c r="Q36" s="51"/>
      <c r="R36" s="51"/>
      <c r="S36" s="51"/>
    </row>
    <row r="37" spans="1:19" x14ac:dyDescent="0.2">
      <c r="A37" t="s">
        <v>79</v>
      </c>
      <c r="B37" t="s">
        <v>68</v>
      </c>
      <c r="C37" s="17">
        <v>2030</v>
      </c>
      <c r="D37" t="s">
        <v>11</v>
      </c>
      <c r="E37" s="36">
        <f t="shared" si="2"/>
        <v>2.805873934515254E-11</v>
      </c>
      <c r="F37" s="37">
        <v>5.5326857891042078E-15</v>
      </c>
      <c r="G37" s="36">
        <f>Information_Collection!O28</f>
        <v>5071.4500000000007</v>
      </c>
      <c r="H37" s="34">
        <v>0.33</v>
      </c>
      <c r="I37" s="36"/>
      <c r="J37" s="36">
        <f t="shared" si="27"/>
        <v>1.8257863104043885E-15</v>
      </c>
      <c r="K37" s="36">
        <f>H37*F37</f>
        <v>1.8257863104043885E-15</v>
      </c>
      <c r="L37" s="36">
        <f t="shared" si="34"/>
        <v>1.8257863104043885E-15</v>
      </c>
      <c r="M37" s="36"/>
      <c r="N37" s="51"/>
      <c r="O37" s="51"/>
      <c r="P37" s="51"/>
      <c r="Q37" s="51"/>
      <c r="R37" s="51"/>
      <c r="S37" s="51"/>
    </row>
    <row r="38" spans="1:19" x14ac:dyDescent="0.2">
      <c r="A38" t="s">
        <v>80</v>
      </c>
      <c r="B38" t="s">
        <v>82</v>
      </c>
      <c r="C38" s="17">
        <v>2030</v>
      </c>
      <c r="D38" t="s">
        <v>25</v>
      </c>
      <c r="E38" s="36">
        <f t="shared" si="2"/>
        <v>-1.6586533381631689E-10</v>
      </c>
      <c r="F38" s="37">
        <v>-2.2786297588367477E-14</v>
      </c>
      <c r="G38" s="36">
        <f>Information_Collection!O29</f>
        <v>7279.17</v>
      </c>
      <c r="H38" s="34">
        <v>0.24</v>
      </c>
      <c r="I38" s="36"/>
      <c r="J38" s="36">
        <f t="shared" si="27"/>
        <v>-5.4687114212081943E-15</v>
      </c>
      <c r="K38" s="36">
        <f>H38*F38</f>
        <v>-5.4687114212081943E-15</v>
      </c>
      <c r="L38" s="36"/>
      <c r="M38" s="36"/>
      <c r="N38" s="51"/>
      <c r="O38" s="51"/>
      <c r="P38" s="51"/>
      <c r="Q38" s="51"/>
      <c r="R38" s="51"/>
      <c r="S38" s="51"/>
    </row>
    <row r="39" spans="1:19" x14ac:dyDescent="0.2">
      <c r="A39" t="s">
        <v>81</v>
      </c>
      <c r="B39" t="s">
        <v>69</v>
      </c>
      <c r="C39" s="17">
        <v>2030</v>
      </c>
      <c r="D39" t="s">
        <v>12</v>
      </c>
      <c r="E39" s="36">
        <f t="shared" si="2"/>
        <v>0</v>
      </c>
      <c r="F39" s="37">
        <v>0</v>
      </c>
      <c r="G39" s="36">
        <f>Information_Collection!O30</f>
        <v>13899.599999999999</v>
      </c>
      <c r="H39" s="34">
        <v>0.29749999999999999</v>
      </c>
      <c r="I39" s="36"/>
      <c r="J39" s="36">
        <f t="shared" si="27"/>
        <v>0</v>
      </c>
      <c r="K39" s="36">
        <f t="shared" ref="K39:K40" si="35">H39*F39</f>
        <v>0</v>
      </c>
      <c r="L39" s="36">
        <f t="shared" ref="L39:L50" si="36">H39*F39</f>
        <v>0</v>
      </c>
      <c r="M39" s="36"/>
      <c r="N39" s="51"/>
      <c r="O39" s="51"/>
      <c r="P39" s="51"/>
      <c r="Q39" s="51"/>
      <c r="R39" s="51"/>
      <c r="S39" s="51"/>
    </row>
    <row r="40" spans="1:19" x14ac:dyDescent="0.2">
      <c r="A40" t="s">
        <v>71</v>
      </c>
      <c r="B40" t="s">
        <v>61</v>
      </c>
      <c r="C40" s="17">
        <v>2040</v>
      </c>
      <c r="D40" t="s">
        <v>2</v>
      </c>
      <c r="E40" s="36">
        <f t="shared" si="2"/>
        <v>-1.6756692732435376E-11</v>
      </c>
      <c r="F40" s="37">
        <v>-7.6709514603637432E-15</v>
      </c>
      <c r="G40" s="36">
        <f>Information_Collection!P20</f>
        <v>2184.43472351744</v>
      </c>
      <c r="H40" s="34">
        <v>0.23099999999999998</v>
      </c>
      <c r="I40" s="36"/>
      <c r="J40" s="36"/>
      <c r="K40" s="36">
        <f t="shared" si="35"/>
        <v>-1.7719897873440245E-15</v>
      </c>
      <c r="L40" s="36">
        <f t="shared" si="36"/>
        <v>-1.7719897873440245E-15</v>
      </c>
      <c r="M40" s="36">
        <f>Information_Collection!M52</f>
        <v>330.52250880000003</v>
      </c>
      <c r="N40" s="51"/>
      <c r="O40" s="36"/>
      <c r="P40" s="36">
        <f t="shared" ref="P40" si="37">M40*F40</f>
        <v>-2.5354221215624483E-12</v>
      </c>
      <c r="Q40" s="36">
        <f t="shared" ref="Q40" si="38">M40*F40</f>
        <v>-2.5354221215624483E-12</v>
      </c>
      <c r="R40" s="51"/>
      <c r="S40" s="51"/>
    </row>
    <row r="41" spans="1:19" x14ac:dyDescent="0.2">
      <c r="A41" t="s">
        <v>72</v>
      </c>
      <c r="B41" t="s">
        <v>62</v>
      </c>
      <c r="C41" s="17">
        <v>2040</v>
      </c>
      <c r="D41" t="s">
        <v>3</v>
      </c>
      <c r="E41" s="36">
        <f t="shared" si="2"/>
        <v>7.9436743480748319E-10</v>
      </c>
      <c r="F41" s="37">
        <v>1.9303468187467556E-13</v>
      </c>
      <c r="G41" s="36">
        <f>Information_Collection!P21</f>
        <v>4115.1539562367998</v>
      </c>
      <c r="H41" s="34">
        <v>0.36549999999999999</v>
      </c>
      <c r="I41" s="36"/>
      <c r="J41" s="36"/>
      <c r="K41" s="36">
        <f>H41*F41</f>
        <v>7.0554176225193919E-14</v>
      </c>
      <c r="L41" s="36">
        <f t="shared" si="36"/>
        <v>7.0554176225193919E-14</v>
      </c>
      <c r="M41" s="36">
        <f>Information_Collection!M53</f>
        <v>402.68658988799996</v>
      </c>
      <c r="N41" s="51"/>
      <c r="O41" s="51"/>
      <c r="P41" s="36">
        <f t="shared" ref="P41:P44" si="39">M41*F41</f>
        <v>7.7732477774228013E-11</v>
      </c>
      <c r="Q41" s="36">
        <f t="shared" ref="Q41:Q44" si="40">M41*F41</f>
        <v>7.7732477774228013E-11</v>
      </c>
      <c r="R41" s="51"/>
      <c r="S41" s="51"/>
    </row>
    <row r="42" spans="1:19" x14ac:dyDescent="0.2">
      <c r="A42" t="s">
        <v>73</v>
      </c>
      <c r="B42" t="s">
        <v>63</v>
      </c>
      <c r="C42" s="17">
        <v>2040</v>
      </c>
      <c r="D42" t="s">
        <v>4</v>
      </c>
      <c r="E42" s="36">
        <f t="shared" si="2"/>
        <v>-1.0823537465813471E-10</v>
      </c>
      <c r="F42" s="37">
        <v>-5.527919574715396E-14</v>
      </c>
      <c r="G42" s="36">
        <f>Information_Collection!P22</f>
        <v>1957.9766527935999</v>
      </c>
      <c r="H42" s="34">
        <v>0.29749999999999999</v>
      </c>
      <c r="I42" s="36"/>
      <c r="J42" s="36"/>
      <c r="K42" s="36">
        <f>H42*F42</f>
        <v>-1.6445560734778302E-14</v>
      </c>
      <c r="L42" s="36">
        <f t="shared" si="36"/>
        <v>-1.6445560734778302E-14</v>
      </c>
      <c r="M42" s="36">
        <f>Information_Collection!M54</f>
        <v>312.16014719999998</v>
      </c>
      <c r="N42" s="51"/>
      <c r="O42" s="51"/>
      <c r="P42" s="36">
        <f t="shared" si="39"/>
        <v>-1.7255961881529195E-11</v>
      </c>
      <c r="Q42" s="36">
        <f t="shared" si="40"/>
        <v>-1.7255961881529195E-11</v>
      </c>
      <c r="R42" s="51"/>
      <c r="S42" s="51"/>
    </row>
    <row r="43" spans="1:19" x14ac:dyDescent="0.2">
      <c r="A43" t="s">
        <v>74</v>
      </c>
      <c r="B43" t="s">
        <v>64</v>
      </c>
      <c r="C43" s="17">
        <v>2040</v>
      </c>
      <c r="D43" t="s">
        <v>5</v>
      </c>
      <c r="E43" s="36">
        <f t="shared" si="2"/>
        <v>-2.0666682061271392E-10</v>
      </c>
      <c r="F43" s="37">
        <v>-1.0957151859312606E-13</v>
      </c>
      <c r="G43" s="36">
        <f>Information_Collection!P23</f>
        <v>1886.1363177792</v>
      </c>
      <c r="H43" s="34">
        <v>0.48449999999999993</v>
      </c>
      <c r="I43" s="36"/>
      <c r="J43" s="36"/>
      <c r="K43" s="36">
        <f t="shared" ref="K43:K45" si="41">H43*F43</f>
        <v>-5.3087400758369568E-14</v>
      </c>
      <c r="L43" s="36">
        <f t="shared" si="36"/>
        <v>-5.3087400758369568E-14</v>
      </c>
      <c r="M43" s="36">
        <f>Information_Collection!M55</f>
        <v>238.802512608</v>
      </c>
      <c r="N43" s="51"/>
      <c r="O43" s="51"/>
      <c r="P43" s="36">
        <f t="shared" si="39"/>
        <v>-2.6165953950312691E-11</v>
      </c>
      <c r="Q43" s="36">
        <f t="shared" si="40"/>
        <v>-2.6165953950312691E-11</v>
      </c>
      <c r="R43" s="51"/>
      <c r="S43" s="51"/>
    </row>
    <row r="44" spans="1:19" x14ac:dyDescent="0.2">
      <c r="A44" t="s">
        <v>75</v>
      </c>
      <c r="B44" t="s">
        <v>63</v>
      </c>
      <c r="C44" s="17">
        <v>2040</v>
      </c>
      <c r="D44" t="s">
        <v>6</v>
      </c>
      <c r="E44" s="36">
        <f t="shared" si="2"/>
        <v>45519161.445634335</v>
      </c>
      <c r="F44" s="37">
        <v>50068.576686966626</v>
      </c>
      <c r="G44" s="36">
        <f>Information_Collection!P24</f>
        <v>909.1363177792</v>
      </c>
      <c r="H44" s="34">
        <v>0.32300000000000001</v>
      </c>
      <c r="I44" s="36"/>
      <c r="J44" s="36"/>
      <c r="K44" s="36">
        <f t="shared" si="41"/>
        <v>16172.15026989022</v>
      </c>
      <c r="L44" s="36">
        <f t="shared" si="36"/>
        <v>16172.15026989022</v>
      </c>
      <c r="M44" s="36">
        <f>Information_Collection!M56</f>
        <v>238.802512608</v>
      </c>
      <c r="N44" s="51"/>
      <c r="O44" s="51"/>
      <c r="P44" s="36">
        <f t="shared" si="39"/>
        <v>11956501.915553963</v>
      </c>
      <c r="Q44" s="36">
        <f t="shared" si="40"/>
        <v>11956501.915553963</v>
      </c>
      <c r="R44" s="51"/>
      <c r="S44" s="51"/>
    </row>
    <row r="45" spans="1:19" x14ac:dyDescent="0.2">
      <c r="A45" t="s">
        <v>76</v>
      </c>
      <c r="B45" t="s">
        <v>65</v>
      </c>
      <c r="C45" s="17">
        <v>2040</v>
      </c>
      <c r="D45" t="s">
        <v>8</v>
      </c>
      <c r="E45" s="36">
        <f t="shared" si="2"/>
        <v>7.138873496178808E-11</v>
      </c>
      <c r="F45" s="37">
        <v>1.1040974815457961E-14</v>
      </c>
      <c r="G45" s="36">
        <f>Information_Collection!P25</f>
        <v>6465.8</v>
      </c>
      <c r="H45" s="34">
        <v>0.62</v>
      </c>
      <c r="I45" s="36"/>
      <c r="J45" s="36"/>
      <c r="K45" s="36">
        <f>H45*F45</f>
        <v>6.8454043855839357E-15</v>
      </c>
      <c r="L45" s="36">
        <f t="shared" si="36"/>
        <v>6.8454043855839357E-15</v>
      </c>
      <c r="M45" s="36"/>
      <c r="N45" s="51"/>
      <c r="O45" s="51"/>
      <c r="P45" s="51"/>
      <c r="Q45" s="51"/>
      <c r="R45" s="51"/>
      <c r="S45" s="51"/>
    </row>
    <row r="46" spans="1:19" x14ac:dyDescent="0.2">
      <c r="A46" t="s">
        <v>77</v>
      </c>
      <c r="B46" t="s">
        <v>66</v>
      </c>
      <c r="C46" s="17">
        <v>2040</v>
      </c>
      <c r="D46" t="s">
        <v>9</v>
      </c>
      <c r="E46" s="36">
        <f t="shared" si="2"/>
        <v>7.5843389829699686E-12</v>
      </c>
      <c r="F46" s="37">
        <v>1.2584354853271998E-15</v>
      </c>
      <c r="G46" s="36">
        <f>Information_Collection!P26</f>
        <v>6026.8</v>
      </c>
      <c r="H46" s="34">
        <v>0.62</v>
      </c>
      <c r="I46" s="36"/>
      <c r="J46" s="36"/>
      <c r="K46" s="36">
        <f t="shared" ref="K46:K47" si="42">H46*F46</f>
        <v>7.8023000090286389E-16</v>
      </c>
      <c r="L46" s="36">
        <f t="shared" si="36"/>
        <v>7.8023000090286389E-16</v>
      </c>
      <c r="M46" s="36"/>
      <c r="N46" s="51"/>
      <c r="O46" s="51"/>
      <c r="P46" s="51"/>
      <c r="Q46" s="51"/>
      <c r="R46" s="51"/>
      <c r="S46" s="51"/>
    </row>
    <row r="47" spans="1:19" x14ac:dyDescent="0.2">
      <c r="A47" t="s">
        <v>78</v>
      </c>
      <c r="B47" t="s">
        <v>67</v>
      </c>
      <c r="C47" s="17">
        <v>2040</v>
      </c>
      <c r="D47" t="s">
        <v>10</v>
      </c>
      <c r="E47" s="36">
        <f t="shared" si="2"/>
        <v>-1.5750417400994167E-11</v>
      </c>
      <c r="F47" s="37">
        <v>-2.2417970054647393E-15</v>
      </c>
      <c r="G47" s="36">
        <f>Information_Collection!P27</f>
        <v>7025.8</v>
      </c>
      <c r="H47" s="34">
        <v>0.62</v>
      </c>
      <c r="I47" s="36"/>
      <c r="J47" s="36"/>
      <c r="K47" s="36">
        <f>H47*F47</f>
        <v>-1.3899141433881382E-15</v>
      </c>
      <c r="L47" s="36">
        <f t="shared" si="36"/>
        <v>-1.3899141433881382E-15</v>
      </c>
      <c r="M47" s="36"/>
      <c r="N47" s="51"/>
      <c r="O47" s="51"/>
      <c r="P47" s="51"/>
      <c r="Q47" s="51"/>
      <c r="R47" s="51"/>
      <c r="S47" s="51"/>
    </row>
    <row r="48" spans="1:19" x14ac:dyDescent="0.2">
      <c r="A48" t="s">
        <v>79</v>
      </c>
      <c r="B48" t="s">
        <v>68</v>
      </c>
      <c r="C48" s="17">
        <v>2040</v>
      </c>
      <c r="D48" t="s">
        <v>11</v>
      </c>
      <c r="E48" s="36">
        <f t="shared" si="2"/>
        <v>5.5102390983562409E-11</v>
      </c>
      <c r="F48" s="37">
        <v>1.094652348405421E-14</v>
      </c>
      <c r="G48" s="36">
        <f>Information_Collection!P28</f>
        <v>5033.7800000000007</v>
      </c>
      <c r="H48" s="34">
        <v>0.33</v>
      </c>
      <c r="I48" s="36"/>
      <c r="J48" s="36"/>
      <c r="K48" s="36">
        <f>H48*F48</f>
        <v>3.612352749737889E-15</v>
      </c>
      <c r="L48" s="36">
        <f t="shared" si="36"/>
        <v>3.612352749737889E-15</v>
      </c>
      <c r="M48" s="36"/>
      <c r="N48" s="51"/>
      <c r="O48" s="51"/>
      <c r="P48" s="51"/>
      <c r="Q48" s="51"/>
      <c r="R48" s="51"/>
      <c r="S48" s="51"/>
    </row>
    <row r="49" spans="1:19" x14ac:dyDescent="0.2">
      <c r="A49" t="s">
        <v>80</v>
      </c>
      <c r="B49" t="s">
        <v>82</v>
      </c>
      <c r="C49" s="17">
        <v>2040</v>
      </c>
      <c r="D49" t="s">
        <v>25</v>
      </c>
      <c r="E49" s="36">
        <f t="shared" si="2"/>
        <v>1.0946419229385108E-10</v>
      </c>
      <c r="F49" s="37">
        <v>1.5410199158405469E-14</v>
      </c>
      <c r="G49" s="36">
        <f>Information_Collection!P29</f>
        <v>7103.3600000000006</v>
      </c>
      <c r="H49" s="34">
        <v>0.24</v>
      </c>
      <c r="I49" s="36"/>
      <c r="J49" s="36"/>
      <c r="K49" s="36">
        <f>H49*F49</f>
        <v>3.6984477980173121E-15</v>
      </c>
      <c r="L49" s="36">
        <f t="shared" si="36"/>
        <v>3.6984477980173121E-15</v>
      </c>
      <c r="M49" s="36"/>
      <c r="N49" s="51"/>
      <c r="O49" s="51"/>
      <c r="P49" s="51"/>
      <c r="Q49" s="51"/>
      <c r="R49" s="51"/>
      <c r="S49" s="51"/>
    </row>
    <row r="50" spans="1:19" x14ac:dyDescent="0.2">
      <c r="A50" t="s">
        <v>81</v>
      </c>
      <c r="B50" t="s">
        <v>69</v>
      </c>
      <c r="C50" s="17">
        <v>2040</v>
      </c>
      <c r="D50" t="s">
        <v>12</v>
      </c>
      <c r="E50" s="36">
        <f t="shared" si="2"/>
        <v>-1.7131337382616508E-11</v>
      </c>
      <c r="F50" s="37">
        <v>-1.2325057830884709E-15</v>
      </c>
      <c r="G50" s="36">
        <f>Information_Collection!P30</f>
        <v>13899.599999999999</v>
      </c>
      <c r="H50" s="34">
        <v>0.29749999999999999</v>
      </c>
      <c r="I50" s="36"/>
      <c r="J50" s="36"/>
      <c r="K50" s="36">
        <f t="shared" ref="K50:K52" si="43">H50*F50</f>
        <v>-3.6667047046882005E-16</v>
      </c>
      <c r="L50" s="36">
        <f t="shared" si="36"/>
        <v>-3.6667047046882005E-16</v>
      </c>
      <c r="M50" s="36"/>
      <c r="N50" s="51"/>
      <c r="O50" s="51"/>
      <c r="P50" s="51"/>
      <c r="Q50" s="51"/>
      <c r="R50" s="51"/>
      <c r="S50" s="51"/>
    </row>
    <row r="51" spans="1:19" x14ac:dyDescent="0.2">
      <c r="A51" t="s">
        <v>71</v>
      </c>
      <c r="B51" t="s">
        <v>61</v>
      </c>
      <c r="C51" s="17">
        <v>2050</v>
      </c>
      <c r="D51" t="s">
        <v>2</v>
      </c>
      <c r="E51" s="36">
        <f t="shared" si="2"/>
        <v>3.9128699684479152E-11</v>
      </c>
      <c r="F51" s="37">
        <v>1.7912505813619822E-14</v>
      </c>
      <c r="G51" s="36">
        <f>Information_Collection!Q20</f>
        <v>2184.43472351744</v>
      </c>
      <c r="H51" s="34">
        <v>0.23099999999999998</v>
      </c>
      <c r="I51" s="36"/>
      <c r="J51" s="36"/>
      <c r="K51" s="36"/>
      <c r="L51" s="36">
        <f t="shared" ref="L51:L61" si="44">H51*F51</f>
        <v>4.1377888429461785E-15</v>
      </c>
      <c r="M51" s="36">
        <f>Information_Collection!M52</f>
        <v>330.52250880000003</v>
      </c>
      <c r="N51" s="51"/>
      <c r="O51" s="51"/>
      <c r="P51" s="51"/>
      <c r="Q51" s="36">
        <f t="shared" ref="Q51:Q55" si="45">M51*F51</f>
        <v>5.9204863604122089E-12</v>
      </c>
      <c r="R51" s="51"/>
      <c r="S51" s="51"/>
    </row>
    <row r="52" spans="1:19" x14ac:dyDescent="0.2">
      <c r="A52" t="s">
        <v>72</v>
      </c>
      <c r="B52" t="s">
        <v>62</v>
      </c>
      <c r="C52" s="17">
        <v>2050</v>
      </c>
      <c r="D52" t="s">
        <v>3</v>
      </c>
      <c r="E52" s="36">
        <f t="shared" si="2"/>
        <v>6.4618438128989232E-10</v>
      </c>
      <c r="F52" s="37">
        <v>1.5699877050827471E-13</v>
      </c>
      <c r="G52" s="36">
        <f>Information_Collection!Q21</f>
        <v>4115.8563165679998</v>
      </c>
      <c r="H52" s="34">
        <v>0.36549999999999999</v>
      </c>
      <c r="I52" s="36"/>
      <c r="J52" s="36"/>
      <c r="K52" s="36"/>
      <c r="L52" s="36">
        <f t="shared" si="44"/>
        <v>5.738305062077441E-14</v>
      </c>
      <c r="M52" s="36">
        <f>Information_Collection!M53</f>
        <v>402.68658988799996</v>
      </c>
      <c r="N52" s="51"/>
      <c r="O52" s="51"/>
      <c r="P52" s="51"/>
      <c r="Q52" s="36">
        <f t="shared" si="45"/>
        <v>6.3221299512585844E-11</v>
      </c>
      <c r="R52" s="51"/>
      <c r="S52" s="51"/>
    </row>
    <row r="53" spans="1:19" x14ac:dyDescent="0.2">
      <c r="A53" t="s">
        <v>73</v>
      </c>
      <c r="B53" t="s">
        <v>63</v>
      </c>
      <c r="C53" s="17">
        <v>2050</v>
      </c>
      <c r="D53" t="s">
        <v>4</v>
      </c>
      <c r="E53" s="36">
        <f t="shared" si="2"/>
        <v>-1.8003611372198943E-10</v>
      </c>
      <c r="F53" s="37">
        <v>-9.1451047063665517E-14</v>
      </c>
      <c r="G53" s="36">
        <f>Information_Collection!Q22</f>
        <v>1968.6610432863999</v>
      </c>
      <c r="H53" s="34">
        <v>0.29749999999999999</v>
      </c>
      <c r="I53" s="36"/>
      <c r="J53" s="36"/>
      <c r="K53" s="36"/>
      <c r="L53" s="36">
        <f t="shared" si="44"/>
        <v>-2.720668650144049E-14</v>
      </c>
      <c r="M53" s="36">
        <f>Information_Collection!M54</f>
        <v>312.16014719999998</v>
      </c>
      <c r="N53" s="51"/>
      <c r="O53" s="51"/>
      <c r="P53" s="51"/>
      <c r="Q53" s="36">
        <f>M53*F53</f>
        <v>-2.8547372312987953E-11</v>
      </c>
      <c r="R53" s="51"/>
      <c r="S53" s="51"/>
    </row>
    <row r="54" spans="1:19" x14ac:dyDescent="0.2">
      <c r="A54" t="s">
        <v>74</v>
      </c>
      <c r="B54" t="s">
        <v>64</v>
      </c>
      <c r="C54" s="17">
        <v>2050</v>
      </c>
      <c r="D54" t="s">
        <v>5</v>
      </c>
      <c r="E54" s="36">
        <f t="shared" si="2"/>
        <v>-3.6990115664702694E-10</v>
      </c>
      <c r="F54" s="37">
        <v>-1.9536186899549993E-13</v>
      </c>
      <c r="G54" s="36">
        <f>Information_Collection!Q23</f>
        <v>1893.415324848</v>
      </c>
      <c r="H54" s="34">
        <v>0.48449999999999993</v>
      </c>
      <c r="I54" s="36"/>
      <c r="J54" s="36"/>
      <c r="K54" s="36"/>
      <c r="L54" s="36">
        <f t="shared" si="44"/>
        <v>-9.4652825528319708E-14</v>
      </c>
      <c r="M54" s="36">
        <f>Information_Collection!M55</f>
        <v>238.802512608</v>
      </c>
      <c r="N54" s="51"/>
      <c r="O54" s="51"/>
      <c r="P54" s="51"/>
      <c r="Q54" s="36">
        <f t="shared" si="45"/>
        <v>-4.6652905183920318E-11</v>
      </c>
      <c r="R54" s="51"/>
      <c r="S54" s="51"/>
    </row>
    <row r="55" spans="1:19" x14ac:dyDescent="0.2">
      <c r="A55" t="s">
        <v>75</v>
      </c>
      <c r="B55" t="s">
        <v>63</v>
      </c>
      <c r="C55" s="17">
        <v>2050</v>
      </c>
      <c r="D55" t="s">
        <v>6</v>
      </c>
      <c r="E55" s="36">
        <f t="shared" si="2"/>
        <v>74790650.710237309</v>
      </c>
      <c r="F55" s="37">
        <v>81612.178105644794</v>
      </c>
      <c r="G55" s="36">
        <f>Information_Collection!Q24</f>
        <v>916.41532484799995</v>
      </c>
      <c r="H55" s="34">
        <v>0.32300000000000001</v>
      </c>
      <c r="I55" s="36"/>
      <c r="J55" s="36"/>
      <c r="K55" s="36"/>
      <c r="L55" s="36">
        <f t="shared" si="44"/>
        <v>26360.73352812327</v>
      </c>
      <c r="M55" s="36">
        <f>Information_Collection!M56</f>
        <v>238.802512608</v>
      </c>
      <c r="N55" s="51"/>
      <c r="O55" s="51"/>
      <c r="P55" s="51"/>
      <c r="Q55" s="36">
        <f t="shared" si="45"/>
        <v>19489193.191039581</v>
      </c>
      <c r="R55" s="51"/>
      <c r="S55" s="51"/>
    </row>
    <row r="56" spans="1:19" x14ac:dyDescent="0.2">
      <c r="A56" t="s">
        <v>76</v>
      </c>
      <c r="B56" t="s">
        <v>65</v>
      </c>
      <c r="C56" s="17">
        <v>2050</v>
      </c>
      <c r="D56" t="s">
        <v>8</v>
      </c>
      <c r="E56" s="36">
        <f t="shared" si="2"/>
        <v>-1.4633778489673039E-10</v>
      </c>
      <c r="F56" s="37">
        <v>-2.263258759886331E-14</v>
      </c>
      <c r="G56" s="36">
        <f>Information_Collection!Q25</f>
        <v>6465.8</v>
      </c>
      <c r="H56" s="34">
        <v>0.62</v>
      </c>
      <c r="I56" s="36"/>
      <c r="J56" s="36"/>
      <c r="K56" s="36"/>
      <c r="L56" s="36">
        <f t="shared" si="44"/>
        <v>-1.4032204311295252E-14</v>
      </c>
      <c r="M56" s="36"/>
      <c r="N56" s="51"/>
      <c r="O56" s="51"/>
      <c r="P56" s="51"/>
      <c r="Q56" s="51"/>
      <c r="R56" s="51"/>
      <c r="S56" s="51"/>
    </row>
    <row r="57" spans="1:19" x14ac:dyDescent="0.2">
      <c r="A57" t="s">
        <v>77</v>
      </c>
      <c r="B57" t="s">
        <v>66</v>
      </c>
      <c r="C57" s="17">
        <v>2050</v>
      </c>
      <c r="D57" t="s">
        <v>9</v>
      </c>
      <c r="E57" s="36">
        <f t="shared" si="2"/>
        <v>-2.0048244412191068E-10</v>
      </c>
      <c r="F57" s="37">
        <v>-3.3265156322079823E-14</v>
      </c>
      <c r="G57" s="36">
        <f>Information_Collection!Q26</f>
        <v>6026.8</v>
      </c>
      <c r="H57" s="34">
        <v>0.62</v>
      </c>
      <c r="I57" s="36"/>
      <c r="J57" s="36"/>
      <c r="K57" s="36"/>
      <c r="L57" s="36">
        <f t="shared" si="44"/>
        <v>-2.062439691968949E-14</v>
      </c>
      <c r="M57" s="36"/>
      <c r="N57" s="51"/>
      <c r="O57" s="51"/>
      <c r="P57" s="51"/>
      <c r="Q57" s="51"/>
      <c r="R57" s="51"/>
      <c r="S57" s="51"/>
    </row>
    <row r="58" spans="1:19" x14ac:dyDescent="0.2">
      <c r="A58" t="s">
        <v>78</v>
      </c>
      <c r="B58" t="s">
        <v>67</v>
      </c>
      <c r="C58" s="17">
        <v>2050</v>
      </c>
      <c r="D58" t="s">
        <v>10</v>
      </c>
      <c r="E58" s="36">
        <f t="shared" si="2"/>
        <v>2.7491935969162356E-10</v>
      </c>
      <c r="F58" s="37">
        <v>3.9129972343594121E-14</v>
      </c>
      <c r="G58" s="36">
        <f>Information_Collection!Q27</f>
        <v>7025.8</v>
      </c>
      <c r="H58" s="34">
        <v>0.62</v>
      </c>
      <c r="I58" s="36"/>
      <c r="J58" s="36"/>
      <c r="K58" s="36"/>
      <c r="L58" s="36">
        <f t="shared" si="44"/>
        <v>2.4260582853028355E-14</v>
      </c>
      <c r="M58" s="36"/>
      <c r="N58" s="51"/>
      <c r="O58" s="51"/>
      <c r="P58" s="51"/>
      <c r="Q58" s="51"/>
      <c r="R58" s="51"/>
      <c r="S58" s="51"/>
    </row>
    <row r="59" spans="1:19" x14ac:dyDescent="0.2">
      <c r="A59" t="s">
        <v>79</v>
      </c>
      <c r="B59" t="s">
        <v>68</v>
      </c>
      <c r="C59" s="17">
        <v>2050</v>
      </c>
      <c r="D59" t="s">
        <v>11</v>
      </c>
      <c r="E59" s="36">
        <f t="shared" si="2"/>
        <v>-4.7155303855564932E-11</v>
      </c>
      <c r="F59" s="37">
        <v>-9.5101279750979498E-15</v>
      </c>
      <c r="G59" s="36">
        <f>Information_Collection!Q28</f>
        <v>4958.43</v>
      </c>
      <c r="H59" s="34">
        <v>0.33</v>
      </c>
      <c r="I59" s="36"/>
      <c r="J59" s="36"/>
      <c r="K59" s="36"/>
      <c r="L59" s="36">
        <f t="shared" si="44"/>
        <v>-3.1383422317823236E-15</v>
      </c>
      <c r="M59" s="36"/>
      <c r="N59" s="51"/>
      <c r="O59" s="51"/>
      <c r="P59" s="51"/>
      <c r="Q59" s="51"/>
      <c r="R59" s="51"/>
      <c r="S59" s="51"/>
    </row>
    <row r="60" spans="1:19" x14ac:dyDescent="0.2">
      <c r="A60" t="s">
        <v>80</v>
      </c>
      <c r="B60" t="s">
        <v>82</v>
      </c>
      <c r="C60" s="17">
        <v>2050</v>
      </c>
      <c r="D60" t="s">
        <v>25</v>
      </c>
      <c r="E60" s="36">
        <f t="shared" si="2"/>
        <v>0</v>
      </c>
      <c r="F60" s="37">
        <v>0</v>
      </c>
      <c r="G60" s="36">
        <f>Information_Collection!Q29</f>
        <v>6751.73</v>
      </c>
      <c r="H60" s="34">
        <v>0.24</v>
      </c>
      <c r="I60" s="36"/>
      <c r="J60" s="36"/>
      <c r="K60" s="36"/>
      <c r="L60" s="36">
        <f t="shared" si="44"/>
        <v>0</v>
      </c>
      <c r="M60" s="36"/>
      <c r="N60" s="51"/>
      <c r="O60" s="51"/>
      <c r="P60" s="51"/>
      <c r="Q60" s="51"/>
      <c r="R60" s="51"/>
      <c r="S60" s="51"/>
    </row>
    <row r="61" spans="1:19" x14ac:dyDescent="0.2">
      <c r="A61" t="s">
        <v>81</v>
      </c>
      <c r="B61" t="s">
        <v>69</v>
      </c>
      <c r="C61" s="17">
        <v>2050</v>
      </c>
      <c r="D61" t="s">
        <v>12</v>
      </c>
      <c r="E61" s="36">
        <f t="shared" si="2"/>
        <v>-4.0634835379339811E-10</v>
      </c>
      <c r="F61" s="37">
        <v>-2.923453579911639E-14</v>
      </c>
      <c r="G61" s="36">
        <f>Information_Collection!Q30</f>
        <v>13899.599999999999</v>
      </c>
      <c r="H61" s="34">
        <v>0.29749999999999999</v>
      </c>
      <c r="I61" s="36"/>
      <c r="J61" s="36"/>
      <c r="K61" s="36"/>
      <c r="L61" s="36">
        <f t="shared" si="44"/>
        <v>-8.6972744002371255E-15</v>
      </c>
      <c r="M61" s="36"/>
      <c r="N61" s="51"/>
      <c r="O61" s="51"/>
      <c r="P61" s="51"/>
      <c r="Q61" s="51"/>
      <c r="R61" s="51"/>
      <c r="S61" s="51"/>
    </row>
  </sheetData>
  <mergeCells count="2">
    <mergeCell ref="H5:H6"/>
    <mergeCell ref="M5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5CA3-1555-1B4F-B645-4A1B36CEBD82}">
  <dimension ref="A1:Z77"/>
  <sheetViews>
    <sheetView topLeftCell="G36" zoomScale="177" workbookViewId="0">
      <selection activeCell="M52" sqref="M52:M56"/>
    </sheetView>
  </sheetViews>
  <sheetFormatPr baseColWidth="10" defaultRowHeight="11" x14ac:dyDescent="0.15"/>
  <cols>
    <col min="1" max="1" width="7" style="5" customWidth="1"/>
    <col min="2" max="2" width="30.5" style="1" customWidth="1"/>
    <col min="3" max="6" width="15" style="1" customWidth="1"/>
    <col min="7" max="7" width="15" style="5" customWidth="1"/>
    <col min="8" max="8" width="10.83203125" style="5"/>
    <col min="9" max="9" width="3.6640625" style="18" customWidth="1"/>
    <col min="10" max="11" width="10.83203125" style="5"/>
    <col min="12" max="12" width="24.33203125" style="5" customWidth="1"/>
    <col min="13" max="16384" width="10.83203125" style="5"/>
  </cols>
  <sheetData>
    <row r="1" spans="2:17" x14ac:dyDescent="0.15">
      <c r="B1" s="1" t="s">
        <v>0</v>
      </c>
      <c r="J1" s="6" t="s">
        <v>91</v>
      </c>
    </row>
    <row r="2" spans="2:17" ht="12" x14ac:dyDescent="0.15">
      <c r="B2" s="10" t="s">
        <v>1</v>
      </c>
      <c r="M2" s="14" t="s">
        <v>84</v>
      </c>
      <c r="N2" s="14" t="s">
        <v>84</v>
      </c>
      <c r="O2" s="14" t="s">
        <v>84</v>
      </c>
      <c r="P2" s="14" t="s">
        <v>84</v>
      </c>
      <c r="Q2" s="14" t="s">
        <v>84</v>
      </c>
    </row>
    <row r="3" spans="2:17" x14ac:dyDescent="0.15">
      <c r="B3" s="5"/>
      <c r="C3" s="11">
        <v>2015</v>
      </c>
      <c r="D3" s="11">
        <v>2016</v>
      </c>
      <c r="E3" s="11">
        <v>2017</v>
      </c>
      <c r="F3" s="11">
        <v>2018</v>
      </c>
      <c r="J3" s="5" t="s">
        <v>70</v>
      </c>
      <c r="K3" s="6" t="s">
        <v>59</v>
      </c>
      <c r="L3" s="6" t="s">
        <v>60</v>
      </c>
      <c r="M3" s="6" t="s">
        <v>83</v>
      </c>
      <c r="N3" s="14">
        <v>2020</v>
      </c>
      <c r="O3" s="14">
        <v>2030</v>
      </c>
      <c r="P3" s="14">
        <v>2040</v>
      </c>
      <c r="Q3" s="14">
        <v>2050</v>
      </c>
    </row>
    <row r="4" spans="2:17" ht="12" x14ac:dyDescent="0.15">
      <c r="B4" s="31" t="s">
        <v>2</v>
      </c>
      <c r="C4" s="3">
        <v>12484.47</v>
      </c>
      <c r="D4" s="3">
        <v>12402.47</v>
      </c>
      <c r="E4" s="3">
        <v>12319.47</v>
      </c>
      <c r="F4" s="3">
        <v>12271.47</v>
      </c>
      <c r="J4" s="5" t="s">
        <v>71</v>
      </c>
      <c r="K4" s="5" t="s">
        <v>61</v>
      </c>
      <c r="L4" s="5" t="str">
        <f>B4</f>
        <v>Biomass Power Plant</v>
      </c>
      <c r="M4" s="13">
        <f>F4</f>
        <v>12271.47</v>
      </c>
      <c r="N4" s="23"/>
      <c r="O4" s="23"/>
      <c r="P4" s="23"/>
      <c r="Q4" s="23"/>
    </row>
    <row r="5" spans="2:17" ht="12" x14ac:dyDescent="0.15">
      <c r="B5" s="31" t="s">
        <v>3</v>
      </c>
      <c r="C5" s="4">
        <v>4145.5</v>
      </c>
      <c r="D5" s="4">
        <v>4145.5</v>
      </c>
      <c r="E5" s="4">
        <v>4145.5</v>
      </c>
      <c r="F5" s="4">
        <v>4145.5</v>
      </c>
      <c r="J5" s="5" t="s">
        <v>72</v>
      </c>
      <c r="K5" s="5" t="s">
        <v>62</v>
      </c>
      <c r="L5" s="5" t="str">
        <f>B5</f>
        <v>Coal Power Plant</v>
      </c>
      <c r="M5" s="13">
        <f>F5</f>
        <v>4145.5</v>
      </c>
      <c r="N5" s="23"/>
      <c r="O5" s="23"/>
      <c r="P5" s="23"/>
      <c r="Q5" s="23"/>
    </row>
    <row r="6" spans="2:17" ht="12" x14ac:dyDescent="0.15">
      <c r="B6" s="31" t="s">
        <v>4</v>
      </c>
      <c r="C6" s="3">
        <v>13455.16</v>
      </c>
      <c r="D6" s="3">
        <v>13454.16</v>
      </c>
      <c r="E6" s="3">
        <v>13448.16</v>
      </c>
      <c r="F6" s="3">
        <v>13403.16</v>
      </c>
      <c r="J6" s="5" t="s">
        <v>73</v>
      </c>
      <c r="K6" s="5" t="s">
        <v>63</v>
      </c>
      <c r="L6" s="5" t="str">
        <f>B6</f>
        <v>Oil Fired Gas Turbine (SCGT)</v>
      </c>
      <c r="M6" s="13">
        <f>F6</f>
        <v>13403.16</v>
      </c>
      <c r="N6" s="23"/>
      <c r="O6" s="23"/>
      <c r="P6" s="23"/>
      <c r="Q6" s="23"/>
    </row>
    <row r="7" spans="2:17" ht="12" x14ac:dyDescent="0.15">
      <c r="B7" s="31" t="s">
        <v>5</v>
      </c>
      <c r="C7" s="3">
        <v>19287.36</v>
      </c>
      <c r="D7" s="3">
        <v>19287.36</v>
      </c>
      <c r="E7" s="3">
        <v>19287.36</v>
      </c>
      <c r="F7" s="3">
        <v>19287.36</v>
      </c>
      <c r="J7" s="5" t="s">
        <v>74</v>
      </c>
      <c r="K7" s="5" t="s">
        <v>64</v>
      </c>
      <c r="L7" s="5" t="str">
        <f>B7</f>
        <v>Gas Power Plant (CCGT)</v>
      </c>
      <c r="M7" s="13">
        <f>F7</f>
        <v>19287.36</v>
      </c>
      <c r="N7" s="23"/>
      <c r="O7" s="23"/>
      <c r="P7" s="23"/>
      <c r="Q7" s="23"/>
    </row>
    <row r="8" spans="2:17" ht="12" x14ac:dyDescent="0.15">
      <c r="B8" s="31" t="s">
        <v>6</v>
      </c>
      <c r="C8" s="3">
        <v>758.16</v>
      </c>
      <c r="D8" s="3">
        <v>718.16</v>
      </c>
      <c r="E8" s="3">
        <v>718.16</v>
      </c>
      <c r="F8" s="3">
        <v>718.16</v>
      </c>
      <c r="J8" s="5" t="s">
        <v>75</v>
      </c>
      <c r="K8" s="5" t="s">
        <v>63</v>
      </c>
      <c r="L8" s="5" t="str">
        <f>B8</f>
        <v>Gas Power Plant (SCGT)</v>
      </c>
      <c r="M8" s="13">
        <f>F8</f>
        <v>718.16</v>
      </c>
      <c r="N8" s="23"/>
      <c r="O8" s="23"/>
      <c r="P8" s="23"/>
      <c r="Q8" s="23"/>
    </row>
    <row r="9" spans="2:17" ht="12" x14ac:dyDescent="0.15">
      <c r="B9" s="7" t="s">
        <v>7</v>
      </c>
      <c r="C9" s="9">
        <v>6</v>
      </c>
      <c r="D9" s="9">
        <v>6</v>
      </c>
      <c r="E9" s="9">
        <v>6</v>
      </c>
      <c r="F9" s="9">
        <v>6</v>
      </c>
      <c r="J9" s="5" t="s">
        <v>76</v>
      </c>
      <c r="K9" s="5" t="s">
        <v>65</v>
      </c>
      <c r="L9" s="5" t="str">
        <f>B10</f>
        <v>Large Hydropower Plant (Dam) (&gt;100MW)</v>
      </c>
      <c r="M9" s="13">
        <f>F10</f>
        <v>88787</v>
      </c>
      <c r="N9" s="23"/>
      <c r="O9" s="23"/>
      <c r="P9" s="23"/>
      <c r="Q9" s="23"/>
    </row>
    <row r="10" spans="2:17" ht="12" x14ac:dyDescent="0.15">
      <c r="B10" s="31" t="s">
        <v>8</v>
      </c>
      <c r="C10" s="4">
        <v>88787</v>
      </c>
      <c r="D10" s="4">
        <v>88787</v>
      </c>
      <c r="E10" s="4">
        <v>88787</v>
      </c>
      <c r="F10" s="4">
        <v>88787</v>
      </c>
      <c r="J10" s="5" t="s">
        <v>77</v>
      </c>
      <c r="K10" s="5" t="s">
        <v>66</v>
      </c>
      <c r="L10" s="5" t="str">
        <f>B11</f>
        <v>Medium Hydropower Plant (10-100MW)</v>
      </c>
      <c r="M10" s="13">
        <f>F11</f>
        <v>6917</v>
      </c>
      <c r="N10" s="23"/>
      <c r="O10" s="23"/>
      <c r="P10" s="23"/>
      <c r="Q10" s="23"/>
    </row>
    <row r="11" spans="2:17" ht="12" x14ac:dyDescent="0.15">
      <c r="B11" s="31" t="s">
        <v>9</v>
      </c>
      <c r="C11" s="4">
        <v>6917</v>
      </c>
      <c r="D11" s="4">
        <v>6917</v>
      </c>
      <c r="E11" s="4">
        <v>6917</v>
      </c>
      <c r="F11" s="4">
        <v>6917</v>
      </c>
      <c r="J11" s="5" t="s">
        <v>78</v>
      </c>
      <c r="K11" s="5" t="s">
        <v>67</v>
      </c>
      <c r="L11" s="5" t="str">
        <f>B12</f>
        <v>Small Hydropower Plant (&lt;10MW)</v>
      </c>
      <c r="M11" s="13">
        <f>F12</f>
        <v>1062</v>
      </c>
      <c r="N11" s="23"/>
      <c r="O11" s="23"/>
      <c r="P11" s="23"/>
      <c r="Q11" s="23"/>
    </row>
    <row r="12" spans="2:17" ht="12" x14ac:dyDescent="0.15">
      <c r="B12" s="31" t="s">
        <v>10</v>
      </c>
      <c r="C12" s="4">
        <v>1068</v>
      </c>
      <c r="D12" s="4">
        <v>1064</v>
      </c>
      <c r="E12" s="4">
        <v>1063</v>
      </c>
      <c r="F12" s="4">
        <v>1062</v>
      </c>
      <c r="J12" s="5" t="s">
        <v>79</v>
      </c>
      <c r="K12" s="5" t="s">
        <v>68</v>
      </c>
      <c r="L12" s="5" t="str">
        <f>B13</f>
        <v>Onshore Wind</v>
      </c>
      <c r="M12" s="13">
        <f>F13</f>
        <v>11378.17</v>
      </c>
      <c r="N12" s="23"/>
      <c r="O12" s="23"/>
      <c r="P12" s="23"/>
      <c r="Q12" s="23"/>
    </row>
    <row r="13" spans="2:17" ht="12" x14ac:dyDescent="0.15">
      <c r="B13" s="31" t="s">
        <v>11</v>
      </c>
      <c r="C13" s="3">
        <v>11383.17</v>
      </c>
      <c r="D13" s="3">
        <v>11383.17</v>
      </c>
      <c r="E13" s="3">
        <v>11383.17</v>
      </c>
      <c r="F13" s="3">
        <v>11378.17</v>
      </c>
      <c r="J13" s="5" t="s">
        <v>80</v>
      </c>
      <c r="K13" s="5" t="s">
        <v>82</v>
      </c>
      <c r="L13" s="5" t="str">
        <f>B33</f>
        <v>Offshore Wind</v>
      </c>
      <c r="M13" s="5">
        <f>0</f>
        <v>0</v>
      </c>
      <c r="N13" s="23"/>
      <c r="O13" s="23"/>
      <c r="P13" s="23"/>
      <c r="Q13" s="23"/>
    </row>
    <row r="14" spans="2:17" ht="12" x14ac:dyDescent="0.15">
      <c r="B14" s="31" t="s">
        <v>12</v>
      </c>
      <c r="C14" s="4">
        <v>1990</v>
      </c>
      <c r="D14" s="4">
        <v>1990</v>
      </c>
      <c r="E14" s="4">
        <v>1990</v>
      </c>
      <c r="F14" s="4">
        <v>1990</v>
      </c>
      <c r="J14" s="5" t="s">
        <v>81</v>
      </c>
      <c r="K14" s="5" t="s">
        <v>69</v>
      </c>
      <c r="L14" s="5" t="str">
        <f>B14</f>
        <v>Nuclear Power Plant</v>
      </c>
      <c r="M14" s="13">
        <f>F14</f>
        <v>1990</v>
      </c>
      <c r="N14" s="23"/>
      <c r="O14" s="23"/>
      <c r="P14" s="23"/>
      <c r="Q14" s="23"/>
    </row>
    <row r="15" spans="2:17" ht="12" x14ac:dyDescent="0.15">
      <c r="B15" s="7" t="s">
        <v>13</v>
      </c>
      <c r="C15" s="8">
        <v>3.93</v>
      </c>
      <c r="D15" s="8">
        <v>4.09</v>
      </c>
      <c r="E15" s="8">
        <v>7.21</v>
      </c>
      <c r="F15" s="8">
        <v>7.23</v>
      </c>
    </row>
    <row r="16" spans="2:17" ht="12" x14ac:dyDescent="0.15">
      <c r="B16" s="7" t="s">
        <v>14</v>
      </c>
      <c r="C16" s="8">
        <v>0.02</v>
      </c>
      <c r="D16" s="8">
        <v>0.02</v>
      </c>
      <c r="E16" s="8">
        <v>0.02</v>
      </c>
      <c r="F16" s="8">
        <v>0.02</v>
      </c>
    </row>
    <row r="17" spans="1:26" x14ac:dyDescent="0.15">
      <c r="C17" s="12">
        <f>SUM(C4:C16)</f>
        <v>160285.77000000002</v>
      </c>
      <c r="D17" s="12">
        <f>SUM(D4:D16)</f>
        <v>160158.93000000002</v>
      </c>
      <c r="E17" s="12">
        <f t="shared" ref="E17:F17" si="0">SUM(E4:E16)</f>
        <v>160072.05000000002</v>
      </c>
      <c r="F17" s="12">
        <f t="shared" si="0"/>
        <v>159973.07000000004</v>
      </c>
    </row>
    <row r="18" spans="1:26" x14ac:dyDescent="0.15">
      <c r="J18" s="6" t="s">
        <v>88</v>
      </c>
      <c r="S18" s="1" t="s">
        <v>30</v>
      </c>
      <c r="T18" s="5" t="s">
        <v>102</v>
      </c>
      <c r="U18" s="1" t="s">
        <v>103</v>
      </c>
    </row>
    <row r="19" spans="1:26" x14ac:dyDescent="0.15">
      <c r="A19" s="44" t="s">
        <v>100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J19" s="5" t="s">
        <v>70</v>
      </c>
      <c r="K19" s="5" t="s">
        <v>59</v>
      </c>
      <c r="L19" s="5" t="s">
        <v>60</v>
      </c>
      <c r="M19" s="14">
        <v>2018</v>
      </c>
      <c r="N19" s="14">
        <v>2020</v>
      </c>
      <c r="O19" s="14">
        <v>2030</v>
      </c>
      <c r="P19" s="14">
        <v>2040</v>
      </c>
      <c r="Q19" s="14">
        <v>2050</v>
      </c>
      <c r="S19" s="5" t="s">
        <v>70</v>
      </c>
      <c r="T19" s="5" t="s">
        <v>59</v>
      </c>
      <c r="U19" s="5" t="s">
        <v>60</v>
      </c>
      <c r="V19" s="14">
        <v>2018</v>
      </c>
      <c r="W19" s="14">
        <v>2020</v>
      </c>
      <c r="X19" s="14">
        <v>2030</v>
      </c>
      <c r="Y19" s="14">
        <v>2040</v>
      </c>
      <c r="Z19" s="14">
        <v>2050</v>
      </c>
    </row>
    <row r="20" spans="1:26" x14ac:dyDescent="0.15">
      <c r="A20" s="45"/>
      <c r="B20" s="32" t="s">
        <v>2</v>
      </c>
      <c r="C20" s="4">
        <v>1905</v>
      </c>
      <c r="D20" s="4">
        <v>13</v>
      </c>
      <c r="E20" s="2">
        <v>25</v>
      </c>
      <c r="F20" s="3">
        <v>0.35</v>
      </c>
      <c r="G20" s="3">
        <v>0.66</v>
      </c>
      <c r="J20" s="5" t="s">
        <v>71</v>
      </c>
      <c r="K20" s="5" t="s">
        <v>61</v>
      </c>
      <c r="L20" s="42" t="s">
        <v>2</v>
      </c>
      <c r="M20" s="38">
        <f>D20*20+V20</f>
        <v>279.43472351743998</v>
      </c>
      <c r="N20" s="38">
        <f>$D$20*20+$C$40+W20</f>
        <v>2184.43472351744</v>
      </c>
      <c r="O20" s="38">
        <f t="shared" ref="O20:Q20" si="1">$D$20*20+$C$40+X20</f>
        <v>2184.43472351744</v>
      </c>
      <c r="P20" s="38">
        <f t="shared" si="1"/>
        <v>2184.43472351744</v>
      </c>
      <c r="Q20" s="38">
        <f t="shared" si="1"/>
        <v>2184.43472351744</v>
      </c>
      <c r="S20" s="5" t="s">
        <v>71</v>
      </c>
      <c r="T20" s="5" t="s">
        <v>61</v>
      </c>
      <c r="U20" s="42" t="s">
        <v>2</v>
      </c>
      <c r="V20" s="5">
        <f>0.000057168*365*24*10*$G$20*AVERAGE(C54:C55)</f>
        <v>19.434723517440002</v>
      </c>
      <c r="W20" s="5">
        <f t="shared" ref="W20:Z20" si="2">0.000057168*365*24*10*$G$20*AVERAGE(D54:D55)</f>
        <v>19.434723517440002</v>
      </c>
      <c r="X20" s="5">
        <f t="shared" si="2"/>
        <v>19.434723517440002</v>
      </c>
      <c r="Y20" s="5">
        <f t="shared" si="2"/>
        <v>19.434723517440002</v>
      </c>
      <c r="Z20" s="5">
        <f t="shared" si="2"/>
        <v>19.434723517440002</v>
      </c>
    </row>
    <row r="21" spans="1:26" x14ac:dyDescent="0.15">
      <c r="A21" s="45"/>
      <c r="B21" s="32" t="s">
        <v>3</v>
      </c>
      <c r="C21" s="4">
        <v>2500</v>
      </c>
      <c r="D21" s="4">
        <v>40</v>
      </c>
      <c r="E21" s="2">
        <v>40</v>
      </c>
      <c r="F21" s="3">
        <v>0.43</v>
      </c>
      <c r="G21" s="3">
        <v>0.85</v>
      </c>
      <c r="J21" s="5" t="s">
        <v>72</v>
      </c>
      <c r="K21" s="5" t="s">
        <v>62</v>
      </c>
      <c r="L21" s="42" t="s">
        <v>3</v>
      </c>
      <c r="M21" s="38">
        <f>$D$21*40+V21</f>
        <v>1613.0043079504001</v>
      </c>
      <c r="N21" s="38">
        <f>$D$21*40+$C$21+W21</f>
        <v>4114.4303122592</v>
      </c>
      <c r="O21" s="38">
        <f t="shared" ref="O21:Q21" si="3">$D$21*40+$C$21+X21</f>
        <v>4114.7921342480004</v>
      </c>
      <c r="P21" s="38">
        <f t="shared" si="3"/>
        <v>4115.1539562367998</v>
      </c>
      <c r="Q21" s="38">
        <f t="shared" si="3"/>
        <v>4115.8563165679998</v>
      </c>
      <c r="S21" s="5" t="s">
        <v>72</v>
      </c>
      <c r="T21" s="5" t="s">
        <v>62</v>
      </c>
      <c r="U21" s="42" t="s">
        <v>3</v>
      </c>
      <c r="V21" s="5">
        <f>0.000057168*365*24*10*$G$21*AVERAGE(C56:C57)</f>
        <v>13.004307950400001</v>
      </c>
      <c r="W21" s="5">
        <f t="shared" ref="W21:Z21" si="4">0.000057168*365*24*10*$G$21*AVERAGE(D56:D57)</f>
        <v>14.430312259199999</v>
      </c>
      <c r="X21" s="5">
        <f t="shared" si="4"/>
        <v>14.792134248</v>
      </c>
      <c r="Y21" s="5">
        <f t="shared" si="4"/>
        <v>15.153956236800001</v>
      </c>
      <c r="Z21" s="5">
        <f t="shared" si="4"/>
        <v>15.856316567999999</v>
      </c>
    </row>
    <row r="22" spans="1:26" x14ac:dyDescent="0.15">
      <c r="A22" s="45"/>
      <c r="B22" s="1" t="s">
        <v>21</v>
      </c>
      <c r="C22" s="3">
        <v>3796.47</v>
      </c>
      <c r="D22" s="4">
        <v>100</v>
      </c>
      <c r="E22" s="2">
        <v>20</v>
      </c>
      <c r="F22" s="3">
        <v>0.11</v>
      </c>
      <c r="G22" s="3">
        <v>0.85</v>
      </c>
      <c r="J22" s="5" t="s">
        <v>73</v>
      </c>
      <c r="K22" s="5" t="s">
        <v>63</v>
      </c>
      <c r="L22" s="42" t="s">
        <v>4</v>
      </c>
      <c r="M22" s="38">
        <f>$D$24*20+V22</f>
        <v>553.40066881760004</v>
      </c>
      <c r="N22" s="38">
        <f>$C$24+$D$24*20+W22</f>
        <v>1949.5696124655999</v>
      </c>
      <c r="O22" s="38">
        <f t="shared" ref="O22:Q22" si="5">$C$24+$D$24*20+X22</f>
        <v>1951.8469626304</v>
      </c>
      <c r="P22" s="38">
        <f t="shared" si="5"/>
        <v>1957.9766527935999</v>
      </c>
      <c r="Q22" s="38">
        <f t="shared" si="5"/>
        <v>1968.6610432863999</v>
      </c>
      <c r="S22" s="5" t="s">
        <v>73</v>
      </c>
      <c r="T22" s="5" t="s">
        <v>63</v>
      </c>
      <c r="U22" s="42" t="s">
        <v>4</v>
      </c>
      <c r="V22" s="5">
        <f>0.000057168*365*24*10*$G$24*AVERAGE(C52:C53)</f>
        <v>53.4006688176</v>
      </c>
      <c r="W22" s="5">
        <f>0.000057168*365*24*10*$G$24*AVERAGE(D52:D53)</f>
        <v>49.569612465600002</v>
      </c>
      <c r="X22" s="5">
        <f>0.000057168*365*24*10*$G$24*AVERAGE(E52:E53)</f>
        <v>51.8469626304</v>
      </c>
      <c r="Y22" s="5">
        <f>0.000057168*365*24*10*$G$24*AVERAGE(F52:F53)</f>
        <v>57.976652793600003</v>
      </c>
      <c r="Z22" s="5">
        <f>0.000057168*365*24*10*$G$24*AVERAGE(G52:G53)</f>
        <v>68.661043286400002</v>
      </c>
    </row>
    <row r="23" spans="1:26" x14ac:dyDescent="0.15">
      <c r="A23" s="45"/>
      <c r="B23" s="1" t="s">
        <v>22</v>
      </c>
      <c r="C23" s="4">
        <v>1200</v>
      </c>
      <c r="D23" s="4">
        <v>15</v>
      </c>
      <c r="E23" s="2">
        <v>25</v>
      </c>
      <c r="F23" s="3">
        <v>0.35</v>
      </c>
      <c r="G23" s="3">
        <v>0.85</v>
      </c>
      <c r="J23" s="5" t="s">
        <v>74</v>
      </c>
      <c r="K23" s="5" t="s">
        <v>64</v>
      </c>
      <c r="L23" s="42" t="s">
        <v>5</v>
      </c>
      <c r="M23" s="38">
        <f>$D$25*30+V23</f>
        <v>615.26037446880002</v>
      </c>
      <c r="N23" s="38">
        <f>$D$25*30+W23+$C$25</f>
        <v>1878.8785943568</v>
      </c>
      <c r="O23" s="38">
        <f t="shared" ref="O23:Q23" si="6">$D$25*30+X23+$C$25</f>
        <v>1882.5180978911999</v>
      </c>
      <c r="P23" s="38">
        <f t="shared" si="6"/>
        <v>1886.1363177792</v>
      </c>
      <c r="Q23" s="38">
        <f t="shared" si="6"/>
        <v>1893.415324848</v>
      </c>
      <c r="S23" s="5" t="s">
        <v>74</v>
      </c>
      <c r="T23" s="5" t="s">
        <v>64</v>
      </c>
      <c r="U23" s="42" t="s">
        <v>5</v>
      </c>
      <c r="V23" s="5">
        <f>0.000057168*365*24*10*$G$25*AVERAGE(C60:C61)</f>
        <v>15.2603744688</v>
      </c>
      <c r="W23" s="5">
        <f t="shared" ref="W23:Z23" si="7">0.000057168*365*24*10*$G$25*AVERAGE(D60:D61)</f>
        <v>18.878594356800001</v>
      </c>
      <c r="X23" s="5">
        <f t="shared" si="7"/>
        <v>22.5180978912</v>
      </c>
      <c r="Y23" s="5">
        <f t="shared" si="7"/>
        <v>26.136317779199999</v>
      </c>
      <c r="Z23" s="5">
        <f t="shared" si="7"/>
        <v>33.415324848000004</v>
      </c>
    </row>
    <row r="24" spans="1:26" x14ac:dyDescent="0.15">
      <c r="A24" s="45"/>
      <c r="B24" s="32" t="s">
        <v>4</v>
      </c>
      <c r="C24" s="4">
        <v>1400</v>
      </c>
      <c r="D24" s="4">
        <v>25</v>
      </c>
      <c r="E24" s="2">
        <v>25</v>
      </c>
      <c r="F24" s="3">
        <v>0.35</v>
      </c>
      <c r="G24" s="3">
        <v>0.85</v>
      </c>
      <c r="J24" s="5" t="s">
        <v>75</v>
      </c>
      <c r="K24" s="5" t="s">
        <v>63</v>
      </c>
      <c r="L24" s="42" t="s">
        <v>6</v>
      </c>
      <c r="M24" s="38">
        <f>$D$26*30+V24</f>
        <v>315.26037446880002</v>
      </c>
      <c r="N24" s="38">
        <f>$D$26*30+W24+$C$26</f>
        <v>901.87859435680002</v>
      </c>
      <c r="O24" s="38">
        <f t="shared" ref="O24:Q24" si="8">$D$26*30+X24+$C$26</f>
        <v>905.5180978912</v>
      </c>
      <c r="P24" s="38">
        <f t="shared" si="8"/>
        <v>909.1363177792</v>
      </c>
      <c r="Q24" s="38">
        <f t="shared" si="8"/>
        <v>916.41532484799995</v>
      </c>
      <c r="S24" s="5" t="s">
        <v>75</v>
      </c>
      <c r="T24" s="5" t="s">
        <v>63</v>
      </c>
      <c r="U24" s="42" t="s">
        <v>6</v>
      </c>
      <c r="V24" s="5">
        <f>0.000057168*365*24*10*$G$26*AVERAGE(C60:C61)</f>
        <v>15.2603744688</v>
      </c>
      <c r="W24" s="5">
        <f t="shared" ref="W24:Z24" si="9">0.000057168*365*24*10*$G$26*AVERAGE(D60:D61)</f>
        <v>18.878594356800001</v>
      </c>
      <c r="X24" s="5">
        <f t="shared" si="9"/>
        <v>22.5180978912</v>
      </c>
      <c r="Y24" s="5">
        <f t="shared" si="9"/>
        <v>26.136317779199999</v>
      </c>
      <c r="Z24" s="5">
        <f t="shared" si="9"/>
        <v>33.415324848000004</v>
      </c>
    </row>
    <row r="25" spans="1:26" x14ac:dyDescent="0.15">
      <c r="A25" s="45"/>
      <c r="B25" s="32" t="s">
        <v>5</v>
      </c>
      <c r="C25" s="4">
        <v>1260</v>
      </c>
      <c r="D25" s="4">
        <v>20</v>
      </c>
      <c r="E25" s="2">
        <v>30</v>
      </c>
      <c r="F25" s="3">
        <v>0.56999999999999995</v>
      </c>
      <c r="G25" s="3">
        <v>0.85</v>
      </c>
      <c r="J25" s="5" t="s">
        <v>76</v>
      </c>
      <c r="K25" s="5" t="s">
        <v>65</v>
      </c>
      <c r="L25" s="41" t="s">
        <v>8</v>
      </c>
      <c r="M25" s="5">
        <f>D29*40</f>
        <v>3526.8</v>
      </c>
      <c r="N25" s="38">
        <f>$M$25+D43</f>
        <v>6465.8</v>
      </c>
      <c r="O25" s="38">
        <f t="shared" ref="O25:Q29" si="10">$M$25+E43</f>
        <v>6465.8</v>
      </c>
      <c r="P25" s="38">
        <f t="shared" si="10"/>
        <v>6465.8</v>
      </c>
      <c r="Q25" s="38">
        <f t="shared" si="10"/>
        <v>6465.8</v>
      </c>
      <c r="S25" s="5" t="s">
        <v>76</v>
      </c>
      <c r="T25" s="5" t="s">
        <v>65</v>
      </c>
      <c r="U25" s="41" t="s">
        <v>8</v>
      </c>
      <c r="W25" s="38"/>
      <c r="X25" s="38"/>
      <c r="Y25" s="38"/>
      <c r="Z25" s="38"/>
    </row>
    <row r="26" spans="1:26" x14ac:dyDescent="0.15">
      <c r="A26" s="45"/>
      <c r="B26" s="32" t="s">
        <v>6</v>
      </c>
      <c r="C26" s="4">
        <v>583</v>
      </c>
      <c r="D26" s="4">
        <v>10</v>
      </c>
      <c r="E26" s="2">
        <v>30</v>
      </c>
      <c r="F26" s="3">
        <v>0.38</v>
      </c>
      <c r="G26" s="3">
        <v>0.85</v>
      </c>
      <c r="J26" s="5" t="s">
        <v>77</v>
      </c>
      <c r="K26" s="5" t="s">
        <v>66</v>
      </c>
      <c r="L26" s="41" t="s">
        <v>9</v>
      </c>
      <c r="M26" s="5">
        <f>D30*40</f>
        <v>3000</v>
      </c>
      <c r="N26" s="38">
        <f t="shared" ref="N26:N30" si="11">$M$25+D44</f>
        <v>6026.8</v>
      </c>
      <c r="O26" s="38">
        <f t="shared" si="10"/>
        <v>6026.8</v>
      </c>
      <c r="P26" s="38">
        <f t="shared" si="10"/>
        <v>6026.8</v>
      </c>
      <c r="Q26" s="38">
        <f t="shared" si="10"/>
        <v>6026.8</v>
      </c>
      <c r="S26" s="5" t="s">
        <v>77</v>
      </c>
      <c r="T26" s="5" t="s">
        <v>66</v>
      </c>
      <c r="U26" s="41" t="s">
        <v>9</v>
      </c>
      <c r="W26" s="38"/>
      <c r="X26" s="38"/>
      <c r="Y26" s="38"/>
      <c r="Z26" s="38"/>
    </row>
    <row r="27" spans="1:26" x14ac:dyDescent="0.15">
      <c r="A27" s="45"/>
      <c r="B27" s="1" t="s">
        <v>7</v>
      </c>
      <c r="C27" s="3">
        <v>1791.02</v>
      </c>
      <c r="D27" s="3">
        <v>23.28</v>
      </c>
      <c r="E27" s="2">
        <v>25</v>
      </c>
      <c r="F27" s="4">
        <v>1</v>
      </c>
      <c r="G27" s="3">
        <v>0.28999999999999998</v>
      </c>
      <c r="J27" s="5" t="s">
        <v>78</v>
      </c>
      <c r="K27" s="5" t="s">
        <v>67</v>
      </c>
      <c r="L27" s="41" t="s">
        <v>10</v>
      </c>
      <c r="M27" s="5">
        <f>D31*40</f>
        <v>4198.8</v>
      </c>
      <c r="N27" s="38">
        <f t="shared" si="11"/>
        <v>7025.8</v>
      </c>
      <c r="O27" s="38">
        <f t="shared" si="10"/>
        <v>7025.8</v>
      </c>
      <c r="P27" s="38">
        <f t="shared" si="10"/>
        <v>7025.8</v>
      </c>
      <c r="Q27" s="38">
        <f t="shared" si="10"/>
        <v>7025.8</v>
      </c>
      <c r="S27" s="5" t="s">
        <v>78</v>
      </c>
      <c r="T27" s="5" t="s">
        <v>67</v>
      </c>
      <c r="U27" s="41" t="s">
        <v>10</v>
      </c>
      <c r="W27" s="38"/>
      <c r="X27" s="38"/>
      <c r="Y27" s="38"/>
      <c r="Z27" s="38"/>
    </row>
    <row r="28" spans="1:26" x14ac:dyDescent="0.15">
      <c r="A28" s="45"/>
      <c r="B28" s="1" t="s">
        <v>23</v>
      </c>
      <c r="C28" s="4">
        <v>5797</v>
      </c>
      <c r="D28" s="3">
        <v>57.97</v>
      </c>
      <c r="E28" s="2">
        <v>40</v>
      </c>
      <c r="F28" s="3">
        <v>0.35</v>
      </c>
      <c r="G28" s="4">
        <v>0.4</v>
      </c>
      <c r="J28" s="5" t="s">
        <v>79</v>
      </c>
      <c r="K28" s="5" t="s">
        <v>68</v>
      </c>
      <c r="L28" s="41" t="s">
        <v>11</v>
      </c>
      <c r="M28" s="5">
        <f>D32*30</f>
        <v>1898.7</v>
      </c>
      <c r="N28" s="38">
        <f t="shared" si="11"/>
        <v>5109.13</v>
      </c>
      <c r="O28" s="38">
        <f t="shared" si="10"/>
        <v>5071.4500000000007</v>
      </c>
      <c r="P28" s="38">
        <f t="shared" si="10"/>
        <v>5033.7800000000007</v>
      </c>
      <c r="Q28" s="38">
        <f t="shared" si="10"/>
        <v>4958.43</v>
      </c>
      <c r="S28" s="5" t="s">
        <v>79</v>
      </c>
      <c r="T28" s="5" t="s">
        <v>68</v>
      </c>
      <c r="U28" s="41" t="s">
        <v>11</v>
      </c>
      <c r="W28" s="38"/>
      <c r="X28" s="38"/>
      <c r="Y28" s="38"/>
      <c r="Z28" s="38"/>
    </row>
    <row r="29" spans="1:26" x14ac:dyDescent="0.15">
      <c r="A29" s="45"/>
      <c r="B29" s="32" t="s">
        <v>8</v>
      </c>
      <c r="C29" s="4">
        <v>2939</v>
      </c>
      <c r="D29" s="3">
        <v>88.17</v>
      </c>
      <c r="E29" s="2">
        <v>60</v>
      </c>
      <c r="F29" s="4">
        <v>1</v>
      </c>
      <c r="G29" s="3">
        <v>0.62</v>
      </c>
      <c r="J29" s="5" t="s">
        <v>80</v>
      </c>
      <c r="K29" s="5" t="s">
        <v>82</v>
      </c>
      <c r="L29" s="41" t="s">
        <v>25</v>
      </c>
      <c r="M29" s="5">
        <f>D33*20</f>
        <v>3142.6</v>
      </c>
      <c r="N29" s="38">
        <f t="shared" si="11"/>
        <v>7454.99</v>
      </c>
      <c r="O29" s="38">
        <f t="shared" si="10"/>
        <v>7279.17</v>
      </c>
      <c r="P29" s="38">
        <f t="shared" si="10"/>
        <v>7103.3600000000006</v>
      </c>
      <c r="Q29" s="38">
        <f t="shared" si="10"/>
        <v>6751.73</v>
      </c>
      <c r="S29" s="5" t="s">
        <v>80</v>
      </c>
      <c r="T29" s="5" t="s">
        <v>82</v>
      </c>
      <c r="U29" s="41" t="s">
        <v>25</v>
      </c>
      <c r="W29" s="38"/>
      <c r="X29" s="38"/>
      <c r="Y29" s="38"/>
      <c r="Z29" s="38"/>
    </row>
    <row r="30" spans="1:26" x14ac:dyDescent="0.15">
      <c r="A30" s="45"/>
      <c r="B30" s="32" t="s">
        <v>24</v>
      </c>
      <c r="C30" s="4">
        <v>2500</v>
      </c>
      <c r="D30" s="4">
        <v>75</v>
      </c>
      <c r="E30" s="2">
        <v>60</v>
      </c>
      <c r="F30" s="4">
        <v>1</v>
      </c>
      <c r="G30" s="3">
        <v>0.62</v>
      </c>
      <c r="J30" s="5" t="s">
        <v>81</v>
      </c>
      <c r="K30" s="5" t="s">
        <v>69</v>
      </c>
      <c r="L30" s="41" t="s">
        <v>12</v>
      </c>
      <c r="M30" s="5">
        <f>D34*40</f>
        <v>7581.5999999999995</v>
      </c>
      <c r="N30" s="38">
        <f>$M$30+$C$34</f>
        <v>13899.599999999999</v>
      </c>
      <c r="O30" s="38">
        <f t="shared" ref="O30:Q30" si="12">$M$30+$C$34</f>
        <v>13899.599999999999</v>
      </c>
      <c r="P30" s="38">
        <f t="shared" si="12"/>
        <v>13899.599999999999</v>
      </c>
      <c r="Q30" s="38">
        <f t="shared" si="12"/>
        <v>13899.599999999999</v>
      </c>
      <c r="S30" s="5" t="s">
        <v>81</v>
      </c>
      <c r="T30" s="5" t="s">
        <v>69</v>
      </c>
      <c r="U30" s="41" t="s">
        <v>12</v>
      </c>
      <c r="W30" s="38"/>
      <c r="X30" s="38"/>
      <c r="Y30" s="38"/>
      <c r="Z30" s="38"/>
    </row>
    <row r="31" spans="1:26" x14ac:dyDescent="0.15">
      <c r="A31" s="45"/>
      <c r="B31" s="32" t="s">
        <v>10</v>
      </c>
      <c r="C31" s="4">
        <v>3499</v>
      </c>
      <c r="D31" s="3">
        <v>104.97</v>
      </c>
      <c r="E31" s="2">
        <v>60</v>
      </c>
      <c r="F31" s="4">
        <v>1</v>
      </c>
      <c r="G31" s="3">
        <v>0.62</v>
      </c>
    </row>
    <row r="32" spans="1:26" x14ac:dyDescent="0.15">
      <c r="A32" s="45"/>
      <c r="B32" s="32" t="s">
        <v>11</v>
      </c>
      <c r="C32" s="3">
        <v>1582.33</v>
      </c>
      <c r="D32" s="3">
        <v>63.29</v>
      </c>
      <c r="E32" s="2">
        <v>30</v>
      </c>
      <c r="F32" s="4">
        <v>1</v>
      </c>
      <c r="G32" s="3">
        <v>0.33</v>
      </c>
    </row>
    <row r="33" spans="1:17" x14ac:dyDescent="0.15">
      <c r="A33" s="45"/>
      <c r="B33" s="32" t="s">
        <v>25</v>
      </c>
      <c r="C33" s="3">
        <v>3928.19</v>
      </c>
      <c r="D33" s="3">
        <v>157.13</v>
      </c>
      <c r="E33" s="2">
        <v>25</v>
      </c>
      <c r="F33" s="4">
        <v>1</v>
      </c>
      <c r="G33" s="3">
        <v>0.24</v>
      </c>
      <c r="J33" s="6" t="s">
        <v>97</v>
      </c>
    </row>
    <row r="34" spans="1:17" x14ac:dyDescent="0.15">
      <c r="A34" s="45"/>
      <c r="B34" s="32" t="s">
        <v>12</v>
      </c>
      <c r="C34" s="4">
        <v>6318</v>
      </c>
      <c r="D34" s="3">
        <v>189.54</v>
      </c>
      <c r="E34" s="2">
        <v>40</v>
      </c>
      <c r="F34" s="3">
        <v>0.35</v>
      </c>
      <c r="G34" s="3">
        <v>0.85</v>
      </c>
      <c r="J34" s="5" t="s">
        <v>70</v>
      </c>
      <c r="K34" s="5" t="s">
        <v>59</v>
      </c>
      <c r="L34" s="5" t="s">
        <v>60</v>
      </c>
      <c r="M34" s="14">
        <v>2018</v>
      </c>
      <c r="N34" s="14">
        <v>2020</v>
      </c>
      <c r="O34" s="14">
        <v>2030</v>
      </c>
      <c r="P34" s="14">
        <v>2040</v>
      </c>
      <c r="Q34" s="14">
        <v>2050</v>
      </c>
    </row>
    <row r="35" spans="1:17" x14ac:dyDescent="0.15">
      <c r="A35" s="45"/>
      <c r="B35" s="1" t="s">
        <v>26</v>
      </c>
      <c r="C35" s="4">
        <v>750</v>
      </c>
      <c r="D35" s="4">
        <v>23</v>
      </c>
      <c r="E35" s="2">
        <v>20</v>
      </c>
      <c r="F35" s="3">
        <v>0.42</v>
      </c>
      <c r="G35" s="4">
        <v>0.4</v>
      </c>
      <c r="J35" s="5" t="s">
        <v>71</v>
      </c>
      <c r="K35" s="5" t="s">
        <v>61</v>
      </c>
      <c r="L35" s="5" t="s">
        <v>2</v>
      </c>
      <c r="M35" s="30">
        <f>F20*G20</f>
        <v>0.23099999999999998</v>
      </c>
      <c r="N35" s="30">
        <f t="shared" ref="N35:N45" si="13">M35</f>
        <v>0.23099999999999998</v>
      </c>
      <c r="O35" s="30">
        <f t="shared" ref="O35:O45" si="14">M35</f>
        <v>0.23099999999999998</v>
      </c>
      <c r="P35" s="30">
        <f t="shared" ref="P35:P45" si="15">M35</f>
        <v>0.23099999999999998</v>
      </c>
      <c r="Q35" s="30">
        <f t="shared" ref="Q35:Q45" si="16">M35</f>
        <v>0.23099999999999998</v>
      </c>
    </row>
    <row r="36" spans="1:17" x14ac:dyDescent="0.15">
      <c r="A36" s="45"/>
      <c r="B36" s="1" t="s">
        <v>27</v>
      </c>
      <c r="C36" s="4">
        <v>4320</v>
      </c>
      <c r="D36" s="4">
        <v>86.4</v>
      </c>
      <c r="E36" s="2">
        <v>24</v>
      </c>
      <c r="F36" s="4">
        <v>1</v>
      </c>
      <c r="G36" s="3">
        <v>0.28999999999999998</v>
      </c>
      <c r="J36" s="5" t="s">
        <v>72</v>
      </c>
      <c r="K36" s="5" t="s">
        <v>62</v>
      </c>
      <c r="L36" s="5" t="s">
        <v>3</v>
      </c>
      <c r="M36" s="30">
        <f>F21*G21</f>
        <v>0.36549999999999999</v>
      </c>
      <c r="N36" s="30">
        <f t="shared" si="13"/>
        <v>0.36549999999999999</v>
      </c>
      <c r="O36" s="30">
        <f t="shared" si="14"/>
        <v>0.36549999999999999</v>
      </c>
      <c r="P36" s="30">
        <f t="shared" si="15"/>
        <v>0.36549999999999999</v>
      </c>
      <c r="Q36" s="30">
        <f t="shared" si="16"/>
        <v>0.36549999999999999</v>
      </c>
    </row>
    <row r="37" spans="1:17" x14ac:dyDescent="0.15">
      <c r="A37" s="45"/>
      <c r="J37" s="5" t="s">
        <v>73</v>
      </c>
      <c r="K37" s="5" t="s">
        <v>63</v>
      </c>
      <c r="L37" s="5" t="s">
        <v>4</v>
      </c>
      <c r="M37" s="30">
        <f>F24*G24</f>
        <v>0.29749999999999999</v>
      </c>
      <c r="N37" s="30">
        <f t="shared" si="13"/>
        <v>0.29749999999999999</v>
      </c>
      <c r="O37" s="30">
        <f t="shared" si="14"/>
        <v>0.29749999999999999</v>
      </c>
      <c r="P37" s="30">
        <f t="shared" si="15"/>
        <v>0.29749999999999999</v>
      </c>
      <c r="Q37" s="30">
        <f t="shared" si="16"/>
        <v>0.29749999999999999</v>
      </c>
    </row>
    <row r="38" spans="1:17" x14ac:dyDescent="0.15">
      <c r="A38" s="45"/>
      <c r="B38" s="1" t="s">
        <v>28</v>
      </c>
      <c r="G38" s="1"/>
      <c r="H38" s="1"/>
      <c r="I38" s="19"/>
      <c r="J38" s="5" t="s">
        <v>74</v>
      </c>
      <c r="K38" s="5" t="s">
        <v>64</v>
      </c>
      <c r="L38" s="5" t="s">
        <v>5</v>
      </c>
      <c r="M38" s="30">
        <f>F25*G25</f>
        <v>0.48449999999999993</v>
      </c>
      <c r="N38" s="30">
        <f t="shared" si="13"/>
        <v>0.48449999999999993</v>
      </c>
      <c r="O38" s="30">
        <f t="shared" si="14"/>
        <v>0.48449999999999993</v>
      </c>
      <c r="P38" s="30">
        <f t="shared" si="15"/>
        <v>0.48449999999999993</v>
      </c>
      <c r="Q38" s="30">
        <f t="shared" si="16"/>
        <v>0.48449999999999993</v>
      </c>
    </row>
    <row r="39" spans="1:17" x14ac:dyDescent="0.15">
      <c r="A39" s="45"/>
      <c r="B39" s="1" t="s">
        <v>29</v>
      </c>
      <c r="C39" s="2">
        <v>2015</v>
      </c>
      <c r="D39" s="2">
        <v>2020</v>
      </c>
      <c r="E39" s="2">
        <v>2025</v>
      </c>
      <c r="F39" s="2">
        <v>2030</v>
      </c>
      <c r="G39" s="2">
        <v>2040</v>
      </c>
      <c r="H39" s="2">
        <v>2050</v>
      </c>
      <c r="I39" s="20"/>
      <c r="J39" s="5" t="s">
        <v>75</v>
      </c>
      <c r="K39" s="5" t="s">
        <v>63</v>
      </c>
      <c r="L39" s="5" t="s">
        <v>6</v>
      </c>
      <c r="M39" s="30">
        <f>F26*G26</f>
        <v>0.32300000000000001</v>
      </c>
      <c r="N39" s="30">
        <f t="shared" si="13"/>
        <v>0.32300000000000001</v>
      </c>
      <c r="O39" s="30">
        <f t="shared" si="14"/>
        <v>0.32300000000000001</v>
      </c>
      <c r="P39" s="30">
        <f t="shared" si="15"/>
        <v>0.32300000000000001</v>
      </c>
      <c r="Q39" s="30">
        <f t="shared" si="16"/>
        <v>0.32300000000000001</v>
      </c>
    </row>
    <row r="40" spans="1:17" x14ac:dyDescent="0.15">
      <c r="A40" s="45"/>
      <c r="B40" s="32" t="s">
        <v>2</v>
      </c>
      <c r="C40" s="4">
        <v>1905</v>
      </c>
      <c r="D40" s="4">
        <v>1905</v>
      </c>
      <c r="E40" s="4">
        <v>1905</v>
      </c>
      <c r="F40" s="4">
        <v>1905</v>
      </c>
      <c r="G40" s="4">
        <v>1905</v>
      </c>
      <c r="H40" s="4">
        <v>1905</v>
      </c>
      <c r="I40" s="21"/>
      <c r="J40" s="5" t="s">
        <v>76</v>
      </c>
      <c r="K40" s="5" t="s">
        <v>65</v>
      </c>
      <c r="L40" s="5" t="s">
        <v>8</v>
      </c>
      <c r="M40" s="30">
        <f>F29*G29</f>
        <v>0.62</v>
      </c>
      <c r="N40" s="30">
        <f t="shared" si="13"/>
        <v>0.62</v>
      </c>
      <c r="O40" s="30">
        <f t="shared" si="14"/>
        <v>0.62</v>
      </c>
      <c r="P40" s="30">
        <f t="shared" si="15"/>
        <v>0.62</v>
      </c>
      <c r="Q40" s="30">
        <f t="shared" si="16"/>
        <v>0.62</v>
      </c>
    </row>
    <row r="41" spans="1:17" x14ac:dyDescent="0.15">
      <c r="A41" s="45"/>
      <c r="B41" s="1" t="s">
        <v>7</v>
      </c>
      <c r="C41" s="3">
        <v>1898.79</v>
      </c>
      <c r="D41" s="3">
        <v>1791.02</v>
      </c>
      <c r="E41" s="3">
        <v>1683.26</v>
      </c>
      <c r="F41" s="3">
        <v>1575.49</v>
      </c>
      <c r="G41" s="3">
        <v>1359.96</v>
      </c>
      <c r="H41" s="3">
        <v>1144.43</v>
      </c>
      <c r="I41" s="22"/>
      <c r="J41" s="5" t="s">
        <v>77</v>
      </c>
      <c r="K41" s="5" t="s">
        <v>66</v>
      </c>
      <c r="L41" s="5" t="s">
        <v>9</v>
      </c>
      <c r="M41" s="30">
        <f>F30*G30</f>
        <v>0.62</v>
      </c>
      <c r="N41" s="30">
        <f t="shared" si="13"/>
        <v>0.62</v>
      </c>
      <c r="O41" s="30">
        <f t="shared" si="14"/>
        <v>0.62</v>
      </c>
      <c r="P41" s="30">
        <f t="shared" si="15"/>
        <v>0.62</v>
      </c>
      <c r="Q41" s="30">
        <f t="shared" si="16"/>
        <v>0.62</v>
      </c>
    </row>
    <row r="42" spans="1:17" x14ac:dyDescent="0.15">
      <c r="A42" s="45"/>
      <c r="B42" s="1" t="s">
        <v>23</v>
      </c>
      <c r="C42" s="3">
        <v>8652.93</v>
      </c>
      <c r="D42" s="4">
        <v>5797</v>
      </c>
      <c r="E42" s="4">
        <v>4670</v>
      </c>
      <c r="F42" s="4">
        <v>3763</v>
      </c>
      <c r="G42" s="4">
        <v>3660</v>
      </c>
      <c r="H42" s="4">
        <v>3660</v>
      </c>
      <c r="I42" s="21"/>
      <c r="J42" s="5" t="s">
        <v>78</v>
      </c>
      <c r="K42" s="5" t="s">
        <v>67</v>
      </c>
      <c r="L42" s="5" t="s">
        <v>10</v>
      </c>
      <c r="M42" s="30">
        <f>F31*G31</f>
        <v>0.62</v>
      </c>
      <c r="N42" s="30">
        <f t="shared" si="13"/>
        <v>0.62</v>
      </c>
      <c r="O42" s="30">
        <f t="shared" si="14"/>
        <v>0.62</v>
      </c>
      <c r="P42" s="30">
        <f t="shared" si="15"/>
        <v>0.62</v>
      </c>
      <c r="Q42" s="30">
        <f t="shared" si="16"/>
        <v>0.62</v>
      </c>
    </row>
    <row r="43" spans="1:17" x14ac:dyDescent="0.15">
      <c r="A43" s="45"/>
      <c r="B43" s="32" t="s">
        <v>8</v>
      </c>
      <c r="C43" s="4">
        <v>2939</v>
      </c>
      <c r="D43" s="4">
        <v>2939</v>
      </c>
      <c r="E43" s="4">
        <v>2939</v>
      </c>
      <c r="F43" s="4">
        <v>2939</v>
      </c>
      <c r="G43" s="4">
        <v>2939</v>
      </c>
      <c r="H43" s="4">
        <v>2939</v>
      </c>
      <c r="I43" s="21"/>
      <c r="J43" s="5" t="s">
        <v>79</v>
      </c>
      <c r="K43" s="5" t="s">
        <v>68</v>
      </c>
      <c r="L43" s="5" t="s">
        <v>11</v>
      </c>
      <c r="M43" s="30">
        <f t="shared" ref="M43:Q45" si="17">F32*G32</f>
        <v>0.33</v>
      </c>
      <c r="N43" s="30">
        <f t="shared" si="13"/>
        <v>0.33</v>
      </c>
      <c r="O43" s="30">
        <f t="shared" si="14"/>
        <v>0.33</v>
      </c>
      <c r="P43" s="30">
        <f t="shared" si="15"/>
        <v>0.33</v>
      </c>
      <c r="Q43" s="30">
        <f t="shared" si="16"/>
        <v>0.33</v>
      </c>
    </row>
    <row r="44" spans="1:17" x14ac:dyDescent="0.15">
      <c r="A44" s="45"/>
      <c r="B44" s="32" t="s">
        <v>9</v>
      </c>
      <c r="C44" s="4">
        <v>2500</v>
      </c>
      <c r="D44" s="4">
        <v>2500</v>
      </c>
      <c r="E44" s="4">
        <v>2500</v>
      </c>
      <c r="F44" s="4">
        <v>2500</v>
      </c>
      <c r="G44" s="4">
        <v>2500</v>
      </c>
      <c r="H44" s="4">
        <v>2500</v>
      </c>
      <c r="I44" s="21"/>
      <c r="J44" s="5" t="s">
        <v>80</v>
      </c>
      <c r="K44" s="5" t="s">
        <v>82</v>
      </c>
      <c r="L44" s="5" t="s">
        <v>25</v>
      </c>
      <c r="M44" s="30">
        <f t="shared" si="17"/>
        <v>0.24</v>
      </c>
      <c r="N44" s="30">
        <f t="shared" si="13"/>
        <v>0.24</v>
      </c>
      <c r="O44" s="30">
        <f t="shared" si="14"/>
        <v>0.24</v>
      </c>
      <c r="P44" s="30">
        <f t="shared" si="15"/>
        <v>0.24</v>
      </c>
      <c r="Q44" s="30">
        <f t="shared" si="16"/>
        <v>0.24</v>
      </c>
    </row>
    <row r="45" spans="1:17" x14ac:dyDescent="0.15">
      <c r="A45" s="45"/>
      <c r="B45" s="32" t="s">
        <v>10</v>
      </c>
      <c r="C45" s="4">
        <v>3499</v>
      </c>
      <c r="D45" s="4">
        <v>3499</v>
      </c>
      <c r="E45" s="4">
        <v>3499</v>
      </c>
      <c r="F45" s="4">
        <v>3499</v>
      </c>
      <c r="G45" s="4">
        <v>3499</v>
      </c>
      <c r="H45" s="4">
        <v>3499</v>
      </c>
      <c r="I45" s="21"/>
      <c r="J45" s="5" t="s">
        <v>81</v>
      </c>
      <c r="K45" s="5" t="s">
        <v>69</v>
      </c>
      <c r="L45" s="5" t="s">
        <v>12</v>
      </c>
      <c r="M45" s="30">
        <f t="shared" si="17"/>
        <v>0.29749999999999999</v>
      </c>
      <c r="N45" s="30">
        <f t="shared" si="13"/>
        <v>0.29749999999999999</v>
      </c>
      <c r="O45" s="30">
        <f t="shared" si="14"/>
        <v>0.29749999999999999</v>
      </c>
      <c r="P45" s="30">
        <f t="shared" si="15"/>
        <v>0.29749999999999999</v>
      </c>
      <c r="Q45" s="30">
        <f t="shared" si="16"/>
        <v>0.29749999999999999</v>
      </c>
    </row>
    <row r="46" spans="1:17" x14ac:dyDescent="0.15">
      <c r="A46" s="45"/>
      <c r="B46" s="32" t="s">
        <v>11</v>
      </c>
      <c r="C46" s="4">
        <v>1620</v>
      </c>
      <c r="D46" s="3">
        <v>1582.33</v>
      </c>
      <c r="E46" s="3">
        <v>1544.65</v>
      </c>
      <c r="F46" s="3">
        <v>1506.98</v>
      </c>
      <c r="G46" s="3">
        <v>1431.63</v>
      </c>
      <c r="H46" s="3">
        <v>1356.28</v>
      </c>
      <c r="I46" s="22"/>
    </row>
    <row r="47" spans="1:17" x14ac:dyDescent="0.15">
      <c r="A47" s="45"/>
      <c r="B47" s="32" t="s">
        <v>25</v>
      </c>
      <c r="C47" s="4">
        <v>4104</v>
      </c>
      <c r="D47" s="3">
        <v>3928.19</v>
      </c>
      <c r="E47" s="3">
        <v>3752.37</v>
      </c>
      <c r="F47" s="3">
        <v>3576.56</v>
      </c>
      <c r="G47" s="3">
        <v>3224.93</v>
      </c>
      <c r="H47" s="4">
        <v>2873.3</v>
      </c>
      <c r="I47" s="21"/>
    </row>
    <row r="48" spans="1:17" x14ac:dyDescent="0.15">
      <c r="A48" s="45"/>
      <c r="B48" s="1" t="s">
        <v>27</v>
      </c>
      <c r="C48" s="4">
        <v>6840</v>
      </c>
      <c r="D48" s="4">
        <v>4320</v>
      </c>
      <c r="E48" s="4">
        <v>3415</v>
      </c>
      <c r="F48" s="4">
        <v>2700</v>
      </c>
      <c r="G48" s="4">
        <v>2091</v>
      </c>
      <c r="H48" s="4">
        <v>2091</v>
      </c>
      <c r="I48" s="21"/>
    </row>
    <row r="49" spans="1:14" x14ac:dyDescent="0.15">
      <c r="A49" s="45"/>
      <c r="L49" s="1" t="s">
        <v>105</v>
      </c>
      <c r="M49" s="5" t="s">
        <v>102</v>
      </c>
      <c r="N49" s="1" t="s">
        <v>106</v>
      </c>
    </row>
    <row r="50" spans="1:14" x14ac:dyDescent="0.15">
      <c r="A50" s="45"/>
      <c r="B50" s="1" t="s">
        <v>30</v>
      </c>
      <c r="G50" s="1"/>
      <c r="H50" s="1"/>
      <c r="I50" s="19"/>
      <c r="J50" s="6" t="s">
        <v>104</v>
      </c>
    </row>
    <row r="51" spans="1:14" x14ac:dyDescent="0.15">
      <c r="A51" s="45"/>
      <c r="B51" s="1" t="s">
        <v>31</v>
      </c>
      <c r="C51" s="2">
        <v>2015</v>
      </c>
      <c r="D51" s="2">
        <v>2020</v>
      </c>
      <c r="E51" s="2">
        <v>2025</v>
      </c>
      <c r="F51" s="2">
        <v>2030</v>
      </c>
      <c r="G51" s="2">
        <v>2040</v>
      </c>
      <c r="H51" s="2">
        <v>2050</v>
      </c>
      <c r="I51" s="20"/>
      <c r="J51" s="5" t="s">
        <v>70</v>
      </c>
      <c r="K51" s="5" t="s">
        <v>59</v>
      </c>
      <c r="L51" s="5" t="s">
        <v>60</v>
      </c>
    </row>
    <row r="52" spans="1:14" x14ac:dyDescent="0.15">
      <c r="A52" s="45"/>
      <c r="B52" s="1" t="s">
        <v>32</v>
      </c>
      <c r="C52" s="3">
        <v>13.14</v>
      </c>
      <c r="D52" s="4">
        <v>12.2</v>
      </c>
      <c r="E52" s="3">
        <v>12.76</v>
      </c>
      <c r="F52" s="3">
        <v>14.27</v>
      </c>
      <c r="G52" s="4">
        <v>16.899999999999999</v>
      </c>
      <c r="H52" s="3">
        <v>19.52</v>
      </c>
      <c r="I52" s="22"/>
      <c r="J52" s="5" t="s">
        <v>71</v>
      </c>
      <c r="K52" s="5" t="s">
        <v>61</v>
      </c>
      <c r="L52" s="5" t="s">
        <v>2</v>
      </c>
      <c r="M52" s="5">
        <f>0.000057168*365*24*10*$G$20*C65</f>
        <v>330.52250880000003</v>
      </c>
    </row>
    <row r="53" spans="1:14" x14ac:dyDescent="0.15">
      <c r="A53" s="45"/>
      <c r="B53" s="1" t="s">
        <v>33</v>
      </c>
      <c r="C53" s="3">
        <v>11.95</v>
      </c>
      <c r="D53" s="3">
        <v>11.09</v>
      </c>
      <c r="E53" s="4">
        <v>11.6</v>
      </c>
      <c r="F53" s="3">
        <v>12.97</v>
      </c>
      <c r="G53" s="3">
        <v>15.36</v>
      </c>
      <c r="H53" s="3">
        <v>17.75</v>
      </c>
      <c r="I53" s="22"/>
      <c r="J53" s="5" t="s">
        <v>72</v>
      </c>
      <c r="K53" s="5" t="s">
        <v>62</v>
      </c>
      <c r="L53" s="5" t="s">
        <v>3</v>
      </c>
      <c r="M53" s="5">
        <f>0.000057168*365*24*10*$G$21*C66</f>
        <v>402.68658988799996</v>
      </c>
    </row>
    <row r="54" spans="1:14" x14ac:dyDescent="0.15">
      <c r="A54" s="45"/>
      <c r="B54" s="1" t="s">
        <v>34</v>
      </c>
      <c r="C54" s="3">
        <v>6.16</v>
      </c>
      <c r="D54" s="3">
        <v>6.16</v>
      </c>
      <c r="E54" s="3">
        <v>6.16</v>
      </c>
      <c r="F54" s="3">
        <v>6.16</v>
      </c>
      <c r="G54" s="3">
        <v>6.16</v>
      </c>
      <c r="H54" s="3">
        <v>6.16</v>
      </c>
      <c r="I54" s="22"/>
      <c r="J54" s="5" t="s">
        <v>73</v>
      </c>
      <c r="K54" s="5" t="s">
        <v>63</v>
      </c>
      <c r="L54" s="5" t="s">
        <v>4</v>
      </c>
      <c r="M54" s="5">
        <f>0.000057168*365*24*10*$G$24*AVERAGE(C64,C67:C68)</f>
        <v>312.16014719999998</v>
      </c>
    </row>
    <row r="55" spans="1:14" x14ac:dyDescent="0.15">
      <c r="A55" s="45"/>
      <c r="B55" s="1" t="s">
        <v>35</v>
      </c>
      <c r="C55" s="4">
        <v>5.6</v>
      </c>
      <c r="D55" s="4">
        <v>5.6</v>
      </c>
      <c r="E55" s="4">
        <v>5.6</v>
      </c>
      <c r="F55" s="4">
        <v>5.6</v>
      </c>
      <c r="G55" s="4">
        <v>5.6</v>
      </c>
      <c r="H55" s="4">
        <v>5.6</v>
      </c>
      <c r="I55" s="21"/>
      <c r="J55" s="5" t="s">
        <v>74</v>
      </c>
      <c r="K55" s="5" t="s">
        <v>64</v>
      </c>
      <c r="L55" s="5" t="s">
        <v>5</v>
      </c>
      <c r="M55" s="5">
        <f>0.000057168*365*24*10*$G$26*C69</f>
        <v>238.802512608</v>
      </c>
    </row>
    <row r="56" spans="1:14" x14ac:dyDescent="0.15">
      <c r="A56" s="45"/>
      <c r="B56" s="1" t="s">
        <v>36</v>
      </c>
      <c r="C56" s="4">
        <v>3.2</v>
      </c>
      <c r="D56" s="3">
        <v>3.55</v>
      </c>
      <c r="E56" s="3">
        <v>3.64</v>
      </c>
      <c r="F56" s="3">
        <v>3.73</v>
      </c>
      <c r="G56" s="4">
        <v>3.9</v>
      </c>
      <c r="H56" s="3">
        <v>4.26</v>
      </c>
      <c r="I56" s="22"/>
      <c r="J56" s="5" t="s">
        <v>75</v>
      </c>
      <c r="K56" s="5" t="s">
        <v>63</v>
      </c>
      <c r="L56" s="5" t="s">
        <v>6</v>
      </c>
      <c r="M56" s="5">
        <f>0.000057168*365*24*10*$G$26*C69</f>
        <v>238.802512608</v>
      </c>
    </row>
    <row r="57" spans="1:14" x14ac:dyDescent="0.15">
      <c r="A57" s="45"/>
      <c r="B57" s="1" t="s">
        <v>37</v>
      </c>
      <c r="C57" s="3">
        <v>2.91</v>
      </c>
      <c r="D57" s="3">
        <v>3.23</v>
      </c>
      <c r="E57" s="3">
        <v>3.31</v>
      </c>
      <c r="F57" s="3">
        <v>3.39</v>
      </c>
      <c r="G57" s="3">
        <v>3.55</v>
      </c>
      <c r="H57" s="3">
        <v>3.87</v>
      </c>
      <c r="I57" s="22"/>
    </row>
    <row r="58" spans="1:14" x14ac:dyDescent="0.15">
      <c r="A58" s="45"/>
      <c r="B58" s="1" t="s">
        <v>38</v>
      </c>
      <c r="C58" s="3">
        <v>15.89</v>
      </c>
      <c r="D58" s="3">
        <v>14.75</v>
      </c>
      <c r="E58" s="3">
        <v>15.43</v>
      </c>
      <c r="F58" s="3">
        <v>17.25</v>
      </c>
      <c r="G58" s="3">
        <v>20.43</v>
      </c>
      <c r="H58" s="3">
        <v>23.61</v>
      </c>
      <c r="I58" s="22"/>
    </row>
    <row r="59" spans="1:14" x14ac:dyDescent="0.15">
      <c r="A59" s="45"/>
      <c r="B59" s="1" t="s">
        <v>39</v>
      </c>
      <c r="C59" s="3">
        <v>9.56</v>
      </c>
      <c r="D59" s="3">
        <v>8.8699999999999992</v>
      </c>
      <c r="E59" s="3">
        <v>9.2799999999999994</v>
      </c>
      <c r="F59" s="3">
        <v>10.38</v>
      </c>
      <c r="G59" s="3">
        <v>12.29</v>
      </c>
      <c r="H59" s="4">
        <v>14.2</v>
      </c>
      <c r="I59" s="21"/>
    </row>
    <row r="60" spans="1:14" x14ac:dyDescent="0.15">
      <c r="A60" s="45"/>
      <c r="B60" s="1" t="s">
        <v>40</v>
      </c>
      <c r="C60" s="3">
        <v>3.76</v>
      </c>
      <c r="D60" s="3">
        <v>4.6500000000000004</v>
      </c>
      <c r="E60" s="3">
        <v>5.54</v>
      </c>
      <c r="F60" s="3">
        <v>6.43</v>
      </c>
      <c r="G60" s="3">
        <v>8.2200000000000006</v>
      </c>
      <c r="H60" s="3">
        <v>10.01</v>
      </c>
      <c r="I60" s="22"/>
    </row>
    <row r="61" spans="1:14" x14ac:dyDescent="0.15">
      <c r="A61" s="45"/>
      <c r="B61" s="1" t="s">
        <v>41</v>
      </c>
      <c r="C61" s="3">
        <v>3.41</v>
      </c>
      <c r="D61" s="3">
        <v>4.22</v>
      </c>
      <c r="E61" s="3">
        <v>5.04</v>
      </c>
      <c r="F61" s="3">
        <v>5.85</v>
      </c>
      <c r="G61" s="3">
        <v>7.48</v>
      </c>
      <c r="H61" s="4">
        <v>9.1</v>
      </c>
      <c r="I61" s="21"/>
    </row>
    <row r="63" spans="1:14" x14ac:dyDescent="0.15">
      <c r="A63" s="46" t="s">
        <v>101</v>
      </c>
      <c r="B63" s="1" t="s">
        <v>42</v>
      </c>
      <c r="C63" s="1" t="s">
        <v>43</v>
      </c>
    </row>
    <row r="64" spans="1:14" x14ac:dyDescent="0.15">
      <c r="A64" s="41"/>
      <c r="B64" s="1" t="s">
        <v>44</v>
      </c>
      <c r="C64" s="1">
        <v>73.3</v>
      </c>
    </row>
    <row r="65" spans="1:4" x14ac:dyDescent="0.15">
      <c r="A65" s="41"/>
      <c r="B65" s="1" t="s">
        <v>45</v>
      </c>
      <c r="C65" s="1">
        <v>100</v>
      </c>
    </row>
    <row r="66" spans="1:4" x14ac:dyDescent="0.15">
      <c r="A66" s="41"/>
      <c r="B66" s="1" t="s">
        <v>46</v>
      </c>
      <c r="C66" s="1">
        <v>94.6</v>
      </c>
    </row>
    <row r="67" spans="1:4" x14ac:dyDescent="0.15">
      <c r="A67" s="41"/>
      <c r="B67" s="1" t="s">
        <v>47</v>
      </c>
      <c r="C67" s="1">
        <v>69.3</v>
      </c>
    </row>
    <row r="68" spans="1:4" x14ac:dyDescent="0.15">
      <c r="A68" s="41"/>
      <c r="B68" s="1" t="s">
        <v>48</v>
      </c>
      <c r="C68" s="1">
        <v>77.400000000000006</v>
      </c>
    </row>
    <row r="69" spans="1:4" x14ac:dyDescent="0.15">
      <c r="A69" s="41"/>
      <c r="B69" s="1" t="s">
        <v>49</v>
      </c>
      <c r="C69" s="1">
        <v>56.1</v>
      </c>
    </row>
    <row r="71" spans="1:4" x14ac:dyDescent="0.15">
      <c r="A71" s="6" t="s">
        <v>90</v>
      </c>
      <c r="B71" s="1" t="s">
        <v>50</v>
      </c>
      <c r="C71" s="1" t="s">
        <v>51</v>
      </c>
      <c r="D71" s="1" t="s">
        <v>52</v>
      </c>
    </row>
    <row r="72" spans="1:4" x14ac:dyDescent="0.15">
      <c r="B72" s="1" t="s">
        <v>53</v>
      </c>
      <c r="C72" s="1" t="s">
        <v>54</v>
      </c>
      <c r="D72" s="1">
        <v>24992</v>
      </c>
    </row>
    <row r="73" spans="1:4" x14ac:dyDescent="0.15">
      <c r="B73" s="1" t="s">
        <v>11</v>
      </c>
      <c r="C73" s="1" t="s">
        <v>54</v>
      </c>
      <c r="D73" s="1">
        <v>22215.5</v>
      </c>
    </row>
    <row r="74" spans="1:4" x14ac:dyDescent="0.15">
      <c r="B74" s="1" t="s">
        <v>25</v>
      </c>
      <c r="C74" s="1" t="s">
        <v>54</v>
      </c>
      <c r="D74" s="1">
        <v>7554.97</v>
      </c>
    </row>
    <row r="75" spans="1:4" x14ac:dyDescent="0.15">
      <c r="B75" s="1" t="s">
        <v>55</v>
      </c>
      <c r="C75" s="1" t="s">
        <v>56</v>
      </c>
      <c r="D75" s="1">
        <v>260093</v>
      </c>
    </row>
    <row r="76" spans="1:4" x14ac:dyDescent="0.15">
      <c r="B76" s="1" t="s">
        <v>57</v>
      </c>
      <c r="C76" s="1" t="s">
        <v>56</v>
      </c>
      <c r="D76" s="1">
        <v>0</v>
      </c>
    </row>
    <row r="77" spans="1:4" x14ac:dyDescent="0.15">
      <c r="B77" s="1" t="s">
        <v>58</v>
      </c>
      <c r="C77" s="1" t="s">
        <v>56</v>
      </c>
      <c r="D77" s="1">
        <v>0</v>
      </c>
    </row>
  </sheetData>
  <phoneticPr fontId="3" type="noConversion"/>
  <conditionalFormatting sqref="F4:F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{4EC9F577-2B8A-9F45-8C86-318079F8C31D}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C9F577-2B8A-9F45-8C86-318079F8C31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F4:F14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Decision_Sheet</vt:lpstr>
      <vt:lpstr>Information_Collection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2024-02-27T10:24:47Z</dcterms:created>
  <dcterms:modified xsi:type="dcterms:W3CDTF">2024-02-27T12:21:52Z</dcterms:modified>
</cp:coreProperties>
</file>