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W. Rice\Desktop\"/>
    </mc:Choice>
  </mc:AlternateContent>
  <xr:revisionPtr revIDLastSave="0" documentId="13_ncr:1_{B2741F1C-9D80-4099-951C-DDF5939F8D1F}" xr6:coauthVersionLast="47" xr6:coauthVersionMax="47" xr10:uidLastSave="{00000000-0000-0000-0000-000000000000}"/>
  <bookViews>
    <workbookView xWindow="1716" yWindow="708" windowWidth="21066" windowHeight="8994" xr2:uid="{DC62F467-EDB8-4202-839A-B410C4ED9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1" i="1" l="1"/>
  <c r="M121" i="1"/>
  <c r="O121" i="1" s="1"/>
  <c r="U121" i="1"/>
  <c r="R121" i="1"/>
  <c r="Q121" i="1"/>
  <c r="T121" i="1"/>
  <c r="N121" i="1"/>
  <c r="L121" i="1"/>
  <c r="P120" i="1"/>
  <c r="M120" i="1"/>
  <c r="O120" i="1" s="1"/>
  <c r="U120" i="1"/>
  <c r="R120" i="1"/>
  <c r="T120" i="1" s="1"/>
  <c r="Q120" i="1"/>
  <c r="N120" i="1"/>
  <c r="L120" i="1"/>
  <c r="R119" i="1"/>
  <c r="Q119" i="1"/>
  <c r="P119" i="1"/>
  <c r="T119" i="1" s="1"/>
  <c r="L119" i="1"/>
  <c r="P118" i="1"/>
  <c r="R118" i="1"/>
  <c r="M118" i="1"/>
  <c r="O118" i="1" s="1"/>
  <c r="P117" i="1"/>
  <c r="T117" i="1" s="1"/>
  <c r="M117" i="1"/>
  <c r="P116" i="1"/>
  <c r="T116" i="1" s="1"/>
  <c r="M116" i="1"/>
  <c r="O116" i="1" s="1"/>
  <c r="P115" i="1"/>
  <c r="M115" i="1"/>
  <c r="P114" i="1"/>
  <c r="T114" i="1" s="1"/>
  <c r="M114" i="1"/>
  <c r="P113" i="1"/>
  <c r="M113" i="1"/>
  <c r="P112" i="1"/>
  <c r="M112" i="1"/>
  <c r="R111" i="1"/>
  <c r="Q111" i="1"/>
  <c r="P111" i="1"/>
  <c r="T111" i="1" s="1"/>
  <c r="L111" i="1"/>
  <c r="R110" i="1"/>
  <c r="P110" i="1"/>
  <c r="M110" i="1"/>
  <c r="O110" i="1" s="1"/>
  <c r="U119" i="1"/>
  <c r="U118" i="1"/>
  <c r="Q118" i="1"/>
  <c r="T118" i="1"/>
  <c r="N118" i="1"/>
  <c r="U117" i="1"/>
  <c r="R117" i="1"/>
  <c r="Q117" i="1"/>
  <c r="O117" i="1"/>
  <c r="N117" i="1"/>
  <c r="U116" i="1"/>
  <c r="R116" i="1"/>
  <c r="Q116" i="1"/>
  <c r="N116" i="1"/>
  <c r="U115" i="1"/>
  <c r="R115" i="1"/>
  <c r="Q115" i="1"/>
  <c r="T115" i="1"/>
  <c r="O115" i="1"/>
  <c r="N115" i="1"/>
  <c r="U114" i="1"/>
  <c r="R114" i="1"/>
  <c r="Q114" i="1"/>
  <c r="N114" i="1"/>
  <c r="O114" i="1"/>
  <c r="U113" i="1"/>
  <c r="R113" i="1"/>
  <c r="Q113" i="1"/>
  <c r="T113" i="1"/>
  <c r="N113" i="1"/>
  <c r="O113" i="1"/>
  <c r="U112" i="1"/>
  <c r="R112" i="1"/>
  <c r="Q112" i="1"/>
  <c r="T112" i="1"/>
  <c r="N112" i="1"/>
  <c r="O112" i="1"/>
  <c r="L112" i="1"/>
  <c r="L113" i="1" s="1"/>
  <c r="L114" i="1" s="1"/>
  <c r="L115" i="1" s="1"/>
  <c r="L116" i="1" s="1"/>
  <c r="L117" i="1" s="1"/>
  <c r="L118" i="1" s="1"/>
  <c r="P109" i="1"/>
  <c r="M109" i="1"/>
  <c r="O109" i="1" s="1"/>
  <c r="P108" i="1"/>
  <c r="M108" i="1"/>
  <c r="R107" i="1"/>
  <c r="Q107" i="1"/>
  <c r="P107" i="1"/>
  <c r="L107" i="1"/>
  <c r="P106" i="1"/>
  <c r="R106" i="1"/>
  <c r="M106" i="1"/>
  <c r="P105" i="1"/>
  <c r="M105" i="1"/>
  <c r="O105" i="1" s="1"/>
  <c r="R104" i="1"/>
  <c r="T104" i="1" s="1"/>
  <c r="Q104" i="1"/>
  <c r="P103" i="1"/>
  <c r="T103" i="1" s="1"/>
  <c r="P104" i="1"/>
  <c r="L104" i="1"/>
  <c r="R103" i="1"/>
  <c r="M103" i="1"/>
  <c r="P102" i="1"/>
  <c r="M102" i="1"/>
  <c r="O102" i="1" s="1"/>
  <c r="R101" i="1"/>
  <c r="Q101" i="1"/>
  <c r="P101" i="1"/>
  <c r="L101" i="1"/>
  <c r="R100" i="1"/>
  <c r="P100" i="1"/>
  <c r="M100" i="1"/>
  <c r="P99" i="1"/>
  <c r="T99" i="1" s="1"/>
  <c r="M99" i="1"/>
  <c r="P98" i="1"/>
  <c r="M98" i="1"/>
  <c r="R97" i="1"/>
  <c r="Q97" i="1"/>
  <c r="P97" i="1"/>
  <c r="L97" i="1"/>
  <c r="R96" i="1"/>
  <c r="P96" i="1"/>
  <c r="M96" i="1"/>
  <c r="O96" i="1" s="1"/>
  <c r="P95" i="1"/>
  <c r="M95" i="1"/>
  <c r="O95" i="1" s="1"/>
  <c r="R94" i="1"/>
  <c r="Q94" i="1"/>
  <c r="P94" i="1"/>
  <c r="L94" i="1"/>
  <c r="R93" i="1"/>
  <c r="P93" i="1"/>
  <c r="M93" i="1"/>
  <c r="P92" i="1"/>
  <c r="M92" i="1"/>
  <c r="R91" i="1"/>
  <c r="Q91" i="1"/>
  <c r="P91" i="1"/>
  <c r="N89" i="1"/>
  <c r="O89" i="1" s="1"/>
  <c r="M89" i="1"/>
  <c r="L91" i="1"/>
  <c r="R90" i="1"/>
  <c r="P90" i="1"/>
  <c r="M90" i="1"/>
  <c r="P89" i="1"/>
  <c r="R88" i="1"/>
  <c r="P88" i="1"/>
  <c r="L88" i="1"/>
  <c r="R87" i="1"/>
  <c r="P87" i="1"/>
  <c r="T87" i="1" s="1"/>
  <c r="M87" i="1"/>
  <c r="O87" i="1" s="1"/>
  <c r="P86" i="1"/>
  <c r="L86" i="1"/>
  <c r="R85" i="1"/>
  <c r="T85" i="1" s="1"/>
  <c r="P85" i="1"/>
  <c r="M85" i="1"/>
  <c r="O85" i="1" s="1"/>
  <c r="P84" i="1"/>
  <c r="M84" i="1"/>
  <c r="U111" i="1"/>
  <c r="U110" i="1"/>
  <c r="Q110" i="1"/>
  <c r="T110" i="1"/>
  <c r="N110" i="1"/>
  <c r="U109" i="1"/>
  <c r="R109" i="1"/>
  <c r="Q109" i="1"/>
  <c r="T109" i="1"/>
  <c r="N109" i="1"/>
  <c r="U108" i="1"/>
  <c r="R108" i="1"/>
  <c r="Q108" i="1"/>
  <c r="T108" i="1"/>
  <c r="N108" i="1"/>
  <c r="O108" i="1"/>
  <c r="U107" i="1"/>
  <c r="T107" i="1"/>
  <c r="U106" i="1"/>
  <c r="Q106" i="1"/>
  <c r="N106" i="1"/>
  <c r="O106" i="1"/>
  <c r="U105" i="1"/>
  <c r="R105" i="1"/>
  <c r="Q105" i="1"/>
  <c r="T105" i="1"/>
  <c r="N105" i="1"/>
  <c r="U104" i="1"/>
  <c r="U103" i="1"/>
  <c r="Q103" i="1"/>
  <c r="O103" i="1"/>
  <c r="N103" i="1"/>
  <c r="U101" i="1"/>
  <c r="T101" i="1"/>
  <c r="U102" i="1"/>
  <c r="R102" i="1"/>
  <c r="Q102" i="1"/>
  <c r="T102" i="1"/>
  <c r="N102" i="1"/>
  <c r="U100" i="1"/>
  <c r="Q100" i="1"/>
  <c r="O100" i="1"/>
  <c r="N100" i="1"/>
  <c r="U99" i="1"/>
  <c r="R99" i="1"/>
  <c r="Q99" i="1"/>
  <c r="O99" i="1"/>
  <c r="N99" i="1"/>
  <c r="U98" i="1"/>
  <c r="R98" i="1"/>
  <c r="Q98" i="1"/>
  <c r="T98" i="1"/>
  <c r="O98" i="1"/>
  <c r="N98" i="1"/>
  <c r="U97" i="1"/>
  <c r="T97" i="1"/>
  <c r="U96" i="1"/>
  <c r="Q96" i="1"/>
  <c r="N96" i="1"/>
  <c r="U95" i="1"/>
  <c r="R95" i="1"/>
  <c r="Q95" i="1"/>
  <c r="T95" i="1"/>
  <c r="N95" i="1"/>
  <c r="U94" i="1"/>
  <c r="U93" i="1"/>
  <c r="Q93" i="1"/>
  <c r="T93" i="1"/>
  <c r="N93" i="1"/>
  <c r="O93" i="1"/>
  <c r="U92" i="1"/>
  <c r="T92" i="1"/>
  <c r="R92" i="1"/>
  <c r="Q92" i="1"/>
  <c r="O92" i="1"/>
  <c r="N92" i="1"/>
  <c r="U91" i="1"/>
  <c r="U90" i="1"/>
  <c r="Q90" i="1"/>
  <c r="T90" i="1"/>
  <c r="O90" i="1"/>
  <c r="N90" i="1"/>
  <c r="U89" i="1"/>
  <c r="R89" i="1"/>
  <c r="Q89" i="1"/>
  <c r="T89" i="1"/>
  <c r="U88" i="1"/>
  <c r="T88" i="1"/>
  <c r="U87" i="1"/>
  <c r="Q87" i="1"/>
  <c r="N87" i="1"/>
  <c r="L87" i="1"/>
  <c r="L89" i="1" s="1"/>
  <c r="L90" i="1" s="1"/>
  <c r="L92" i="1" s="1"/>
  <c r="L93" i="1" s="1"/>
  <c r="L95" i="1" s="1"/>
  <c r="L96" i="1" s="1"/>
  <c r="U86" i="1"/>
  <c r="T86" i="1"/>
  <c r="U85" i="1"/>
  <c r="Q85" i="1"/>
  <c r="N85" i="1"/>
  <c r="L85" i="1"/>
  <c r="U84" i="1"/>
  <c r="R84" i="1"/>
  <c r="Q84" i="1"/>
  <c r="T84" i="1"/>
  <c r="O84" i="1"/>
  <c r="N84" i="1"/>
  <c r="L84" i="1"/>
  <c r="U83" i="1"/>
  <c r="T83" i="1"/>
  <c r="R83" i="1"/>
  <c r="Q83" i="1"/>
  <c r="P83" i="1"/>
  <c r="O83" i="1"/>
  <c r="N83" i="1"/>
  <c r="M83" i="1"/>
  <c r="L83" i="1"/>
  <c r="U82" i="1"/>
  <c r="T82" i="1"/>
  <c r="Q82" i="1"/>
  <c r="P82" i="1"/>
  <c r="L82" i="1"/>
  <c r="P81" i="1"/>
  <c r="M81" i="1"/>
  <c r="U81" i="1"/>
  <c r="Q81" i="1"/>
  <c r="T81" i="1"/>
  <c r="O81" i="1"/>
  <c r="N81" i="1"/>
  <c r="L81" i="1"/>
  <c r="P74" i="1"/>
  <c r="M74" i="1"/>
  <c r="P73" i="1"/>
  <c r="T73" i="1" s="1"/>
  <c r="M73" i="1"/>
  <c r="P72" i="1"/>
  <c r="M72" i="1"/>
  <c r="P71" i="1"/>
  <c r="T71" i="1" s="1"/>
  <c r="M71" i="1"/>
  <c r="P70" i="1"/>
  <c r="M70" i="1"/>
  <c r="P69" i="1"/>
  <c r="M69" i="1"/>
  <c r="P68" i="1"/>
  <c r="T68" i="1" s="1"/>
  <c r="M68" i="1"/>
  <c r="O68" i="1" s="1"/>
  <c r="P67" i="1"/>
  <c r="T67" i="1" s="1"/>
  <c r="M67" i="1"/>
  <c r="P66" i="1"/>
  <c r="M66" i="1"/>
  <c r="P65" i="1"/>
  <c r="T65" i="1" s="1"/>
  <c r="M65" i="1"/>
  <c r="O65" i="1" s="1"/>
  <c r="U74" i="1"/>
  <c r="T74" i="1"/>
  <c r="O74" i="1"/>
  <c r="N74" i="1"/>
  <c r="L74" i="1"/>
  <c r="U73" i="1"/>
  <c r="N73" i="1"/>
  <c r="O73" i="1"/>
  <c r="L73" i="1"/>
  <c r="U72" i="1"/>
  <c r="T72" i="1"/>
  <c r="N72" i="1"/>
  <c r="O72" i="1"/>
  <c r="L72" i="1"/>
  <c r="U71" i="1"/>
  <c r="N71" i="1"/>
  <c r="O71" i="1"/>
  <c r="L71" i="1"/>
  <c r="U70" i="1"/>
  <c r="T70" i="1"/>
  <c r="N70" i="1"/>
  <c r="O70" i="1"/>
  <c r="L70" i="1"/>
  <c r="U69" i="1"/>
  <c r="T69" i="1"/>
  <c r="N69" i="1"/>
  <c r="O69" i="1"/>
  <c r="L69" i="1"/>
  <c r="U68" i="1"/>
  <c r="N68" i="1"/>
  <c r="L68" i="1"/>
  <c r="U67" i="1"/>
  <c r="N67" i="1"/>
  <c r="L67" i="1"/>
  <c r="U66" i="1"/>
  <c r="T66" i="1"/>
  <c r="O66" i="1"/>
  <c r="N66" i="1"/>
  <c r="L66" i="1"/>
  <c r="U65" i="1"/>
  <c r="N65" i="1"/>
  <c r="L65" i="1"/>
  <c r="U64" i="1"/>
  <c r="T64" i="1"/>
  <c r="P64" i="1"/>
  <c r="N64" i="1"/>
  <c r="O64" i="1" s="1"/>
  <c r="M64" i="1"/>
  <c r="L64" i="1"/>
  <c r="U63" i="1"/>
  <c r="T63" i="1"/>
  <c r="P63" i="1"/>
  <c r="O63" i="1"/>
  <c r="N63" i="1"/>
  <c r="M63" i="1"/>
  <c r="L63" i="1"/>
  <c r="U62" i="1"/>
  <c r="T62" i="1"/>
  <c r="P62" i="1"/>
  <c r="N62" i="1"/>
  <c r="O62" i="1" s="1"/>
  <c r="M62" i="1"/>
  <c r="L62" i="1"/>
  <c r="U61" i="1"/>
  <c r="T61" i="1"/>
  <c r="P61" i="1"/>
  <c r="O61" i="1"/>
  <c r="N61" i="1"/>
  <c r="M61" i="1"/>
  <c r="L61" i="1"/>
  <c r="U60" i="1"/>
  <c r="T60" i="1"/>
  <c r="P60" i="1"/>
  <c r="N60" i="1"/>
  <c r="O60" i="1" s="1"/>
  <c r="M60" i="1"/>
  <c r="L60" i="1"/>
  <c r="U59" i="1"/>
  <c r="T59" i="1"/>
  <c r="P59" i="1"/>
  <c r="N59" i="1"/>
  <c r="O59" i="1" s="1"/>
  <c r="M59" i="1"/>
  <c r="L59" i="1"/>
  <c r="U58" i="1"/>
  <c r="T58" i="1"/>
  <c r="P58" i="1"/>
  <c r="N58" i="1"/>
  <c r="O58" i="1" s="1"/>
  <c r="M58" i="1"/>
  <c r="L58" i="1"/>
  <c r="U57" i="1"/>
  <c r="T57" i="1"/>
  <c r="P57" i="1"/>
  <c r="O57" i="1"/>
  <c r="N57" i="1"/>
  <c r="M57" i="1"/>
  <c r="L57" i="1"/>
  <c r="U56" i="1"/>
  <c r="T56" i="1"/>
  <c r="P56" i="1"/>
  <c r="O56" i="1"/>
  <c r="N56" i="1"/>
  <c r="M56" i="1"/>
  <c r="L56" i="1"/>
  <c r="U55" i="1"/>
  <c r="T55" i="1"/>
  <c r="P55" i="1"/>
  <c r="O55" i="1"/>
  <c r="N55" i="1"/>
  <c r="M55" i="1"/>
  <c r="L55" i="1"/>
  <c r="U54" i="1"/>
  <c r="T54" i="1"/>
  <c r="P54" i="1"/>
  <c r="L54" i="1"/>
  <c r="U53" i="1"/>
  <c r="R53" i="1"/>
  <c r="P53" i="1"/>
  <c r="N53" i="1"/>
  <c r="O53" i="1" s="1"/>
  <c r="L53" i="1"/>
  <c r="M53" i="1"/>
  <c r="U52" i="1"/>
  <c r="T52" i="1"/>
  <c r="P52" i="1"/>
  <c r="N52" i="1"/>
  <c r="O52" i="1" s="1"/>
  <c r="M52" i="1"/>
  <c r="L52" i="1"/>
  <c r="U51" i="1"/>
  <c r="T51" i="1"/>
  <c r="P51" i="1"/>
  <c r="O51" i="1"/>
  <c r="N51" i="1"/>
  <c r="M51" i="1"/>
  <c r="L51" i="1"/>
  <c r="U50" i="1"/>
  <c r="T50" i="1"/>
  <c r="P50" i="1"/>
  <c r="O50" i="1"/>
  <c r="N50" i="1"/>
  <c r="M50" i="1"/>
  <c r="L50" i="1"/>
  <c r="U49" i="1"/>
  <c r="T49" i="1"/>
  <c r="P49" i="1"/>
  <c r="N49" i="1"/>
  <c r="O49" i="1" s="1"/>
  <c r="M49" i="1"/>
  <c r="L49" i="1"/>
  <c r="U48" i="1"/>
  <c r="T48" i="1"/>
  <c r="P48" i="1"/>
  <c r="N48" i="1"/>
  <c r="O48" i="1" s="1"/>
  <c r="M48" i="1"/>
  <c r="L48" i="1"/>
  <c r="U47" i="1"/>
  <c r="T47" i="1"/>
  <c r="P47" i="1"/>
  <c r="N47" i="1"/>
  <c r="O47" i="1" s="1"/>
  <c r="M47" i="1"/>
  <c r="L47" i="1"/>
  <c r="U46" i="1"/>
  <c r="T46" i="1"/>
  <c r="P46" i="1"/>
  <c r="O46" i="1"/>
  <c r="N46" i="1"/>
  <c r="M46" i="1"/>
  <c r="L46" i="1"/>
  <c r="U45" i="1"/>
  <c r="T45" i="1"/>
  <c r="P45" i="1"/>
  <c r="O45" i="1"/>
  <c r="N45" i="1"/>
  <c r="M45" i="1"/>
  <c r="L45" i="1"/>
  <c r="U44" i="1"/>
  <c r="T44" i="1"/>
  <c r="P44" i="1"/>
  <c r="O44" i="1"/>
  <c r="N44" i="1"/>
  <c r="M44" i="1"/>
  <c r="L44" i="1"/>
  <c r="U40" i="1"/>
  <c r="T40" i="1"/>
  <c r="R40" i="1"/>
  <c r="Q40" i="1"/>
  <c r="P40" i="1"/>
  <c r="O40" i="1"/>
  <c r="N40" i="1"/>
  <c r="M40" i="1"/>
  <c r="L40" i="1"/>
  <c r="P39" i="1"/>
  <c r="M39" i="1"/>
  <c r="P38" i="1"/>
  <c r="M38" i="1"/>
  <c r="P37" i="1"/>
  <c r="T37" i="1" s="1"/>
  <c r="M37" i="1"/>
  <c r="P36" i="1"/>
  <c r="M36" i="1"/>
  <c r="P35" i="1"/>
  <c r="M35" i="1"/>
  <c r="P34" i="1"/>
  <c r="M34" i="1"/>
  <c r="P33" i="1"/>
  <c r="T33" i="1" s="1"/>
  <c r="M33" i="1"/>
  <c r="P32" i="1"/>
  <c r="M32" i="1"/>
  <c r="O32" i="1" s="1"/>
  <c r="P31" i="1"/>
  <c r="M31" i="1"/>
  <c r="P30" i="1"/>
  <c r="M30" i="1"/>
  <c r="O30" i="1" s="1"/>
  <c r="P29" i="1"/>
  <c r="T29" i="1" s="1"/>
  <c r="P28" i="1"/>
  <c r="N28" i="1"/>
  <c r="M28" i="1"/>
  <c r="O28" i="1" s="1"/>
  <c r="R27" i="1"/>
  <c r="T27" i="1" s="1"/>
  <c r="P27" i="1"/>
  <c r="M27" i="1"/>
  <c r="P26" i="1"/>
  <c r="M26" i="1"/>
  <c r="P25" i="1"/>
  <c r="M25" i="1"/>
  <c r="P24" i="1"/>
  <c r="M24" i="1"/>
  <c r="O24" i="1" s="1"/>
  <c r="P23" i="1"/>
  <c r="M23" i="1"/>
  <c r="P22" i="1"/>
  <c r="M22" i="1"/>
  <c r="P21" i="1"/>
  <c r="M21" i="1"/>
  <c r="P20" i="1"/>
  <c r="M20" i="1"/>
  <c r="O20" i="1" s="1"/>
  <c r="P19" i="1"/>
  <c r="T19" i="1" s="1"/>
  <c r="M19" i="1"/>
  <c r="P18" i="1"/>
  <c r="M18" i="1"/>
  <c r="P17" i="1"/>
  <c r="N17" i="1"/>
  <c r="M17" i="1"/>
  <c r="O17" i="1" s="1"/>
  <c r="R16" i="1"/>
  <c r="P16" i="1"/>
  <c r="T16" i="1" s="1"/>
  <c r="M16" i="1"/>
  <c r="P15" i="1"/>
  <c r="T15" i="1" s="1"/>
  <c r="M15" i="1"/>
  <c r="O15" i="1" s="1"/>
  <c r="P14" i="1"/>
  <c r="L14" i="1"/>
  <c r="P13" i="1"/>
  <c r="M13" i="1"/>
  <c r="P12" i="1"/>
  <c r="M12" i="1"/>
  <c r="P11" i="1"/>
  <c r="T11" i="1" s="1"/>
  <c r="M11" i="1"/>
  <c r="P10" i="1"/>
  <c r="M10" i="1"/>
  <c r="P9" i="1"/>
  <c r="M9" i="1"/>
  <c r="U39" i="1"/>
  <c r="R39" i="1"/>
  <c r="Q39" i="1"/>
  <c r="T39" i="1"/>
  <c r="N39" i="1"/>
  <c r="U38" i="1"/>
  <c r="R38" i="1"/>
  <c r="Q38" i="1"/>
  <c r="N38" i="1"/>
  <c r="U37" i="1"/>
  <c r="R37" i="1"/>
  <c r="Q37" i="1"/>
  <c r="N37" i="1"/>
  <c r="U36" i="1"/>
  <c r="R36" i="1"/>
  <c r="T36" i="1" s="1"/>
  <c r="Q36" i="1"/>
  <c r="N36" i="1"/>
  <c r="O36" i="1" s="1"/>
  <c r="U35" i="1"/>
  <c r="R35" i="1"/>
  <c r="T35" i="1" s="1"/>
  <c r="Q35" i="1"/>
  <c r="N35" i="1"/>
  <c r="U34" i="1"/>
  <c r="R34" i="1"/>
  <c r="Q34" i="1"/>
  <c r="O34" i="1"/>
  <c r="N34" i="1"/>
  <c r="U33" i="1"/>
  <c r="R33" i="1"/>
  <c r="Q33" i="1"/>
  <c r="N33" i="1"/>
  <c r="O33" i="1" s="1"/>
  <c r="U32" i="1"/>
  <c r="R32" i="1"/>
  <c r="T32" i="1" s="1"/>
  <c r="Q32" i="1"/>
  <c r="N32" i="1"/>
  <c r="U31" i="1"/>
  <c r="R31" i="1"/>
  <c r="T31" i="1" s="1"/>
  <c r="Q31" i="1"/>
  <c r="N31" i="1"/>
  <c r="O31" i="1" s="1"/>
  <c r="U30" i="1"/>
  <c r="R30" i="1"/>
  <c r="T30" i="1" s="1"/>
  <c r="Q30" i="1"/>
  <c r="N30" i="1"/>
  <c r="U29" i="1"/>
  <c r="R29" i="1"/>
  <c r="Q29" i="1"/>
  <c r="U28" i="1"/>
  <c r="Q28" i="1"/>
  <c r="U27" i="1"/>
  <c r="Q27" i="1"/>
  <c r="N27" i="1"/>
  <c r="U26" i="1"/>
  <c r="R26" i="1"/>
  <c r="Q26" i="1"/>
  <c r="N26" i="1"/>
  <c r="U25" i="1"/>
  <c r="R25" i="1"/>
  <c r="Q25" i="1"/>
  <c r="N25" i="1"/>
  <c r="U24" i="1"/>
  <c r="R24" i="1"/>
  <c r="Q24" i="1"/>
  <c r="N24" i="1"/>
  <c r="U23" i="1"/>
  <c r="R23" i="1"/>
  <c r="Q23" i="1"/>
  <c r="N23" i="1"/>
  <c r="U22" i="1"/>
  <c r="R22" i="1"/>
  <c r="T22" i="1" s="1"/>
  <c r="Q22" i="1"/>
  <c r="N22" i="1"/>
  <c r="U21" i="1"/>
  <c r="R21" i="1"/>
  <c r="Q21" i="1"/>
  <c r="N21" i="1"/>
  <c r="U20" i="1"/>
  <c r="R20" i="1"/>
  <c r="Q20" i="1"/>
  <c r="N20" i="1"/>
  <c r="U19" i="1"/>
  <c r="R19" i="1"/>
  <c r="Q19" i="1"/>
  <c r="N19" i="1"/>
  <c r="U18" i="1"/>
  <c r="R18" i="1"/>
  <c r="Q18" i="1"/>
  <c r="N18" i="1"/>
  <c r="O18" i="1"/>
  <c r="U17" i="1"/>
  <c r="R17" i="1"/>
  <c r="Q17" i="1"/>
  <c r="U16" i="1"/>
  <c r="Q16" i="1"/>
  <c r="N16" i="1"/>
  <c r="U15" i="1"/>
  <c r="R15" i="1"/>
  <c r="Q15" i="1"/>
  <c r="N15" i="1"/>
  <c r="U14" i="1"/>
  <c r="R14" i="1"/>
  <c r="Q14" i="1"/>
  <c r="U13" i="1"/>
  <c r="Q13" i="1"/>
  <c r="N13" i="1"/>
  <c r="O13" i="1" s="1"/>
  <c r="U12" i="1"/>
  <c r="R12" i="1"/>
  <c r="Q12" i="1"/>
  <c r="T12" i="1"/>
  <c r="N12" i="1"/>
  <c r="O12" i="1" s="1"/>
  <c r="U11" i="1"/>
  <c r="R11" i="1"/>
  <c r="Q11" i="1"/>
  <c r="N11" i="1"/>
  <c r="U10" i="1"/>
  <c r="R10" i="1"/>
  <c r="Q10" i="1"/>
  <c r="T10" i="1"/>
  <c r="N10" i="1"/>
  <c r="O10" i="1" s="1"/>
  <c r="U9" i="1"/>
  <c r="T9" i="1"/>
  <c r="N9" i="1"/>
  <c r="L9" i="1"/>
  <c r="L10" i="1" s="1"/>
  <c r="L11" i="1" s="1"/>
  <c r="L12" i="1" s="1"/>
  <c r="L13" i="1" s="1"/>
  <c r="E110" i="1"/>
  <c r="E109" i="1"/>
  <c r="E108" i="1"/>
  <c r="E107" i="1"/>
  <c r="E106" i="1"/>
  <c r="E105" i="1"/>
  <c r="E104" i="1"/>
  <c r="E103" i="1"/>
  <c r="E102" i="1"/>
  <c r="E101" i="1"/>
  <c r="E99" i="1"/>
  <c r="E98" i="1"/>
  <c r="E97" i="1"/>
  <c r="E96" i="1"/>
  <c r="E94" i="1"/>
  <c r="E93" i="1"/>
  <c r="E92" i="1"/>
  <c r="E90" i="1"/>
  <c r="E89" i="1"/>
  <c r="E88" i="1"/>
  <c r="E86" i="1"/>
  <c r="E85" i="1"/>
  <c r="E84" i="1"/>
  <c r="E83" i="1"/>
  <c r="E82" i="1"/>
  <c r="E81" i="1"/>
  <c r="B81" i="1"/>
  <c r="J110" i="1"/>
  <c r="G110" i="1"/>
  <c r="F110" i="1"/>
  <c r="I110" i="1"/>
  <c r="C110" i="1"/>
  <c r="D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G109" i="1"/>
  <c r="G108" i="1"/>
  <c r="I108" i="1" s="1"/>
  <c r="G107" i="1"/>
  <c r="I107" i="1" s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G81" i="1"/>
  <c r="C81" i="1"/>
  <c r="D97" i="1"/>
  <c r="I86" i="1"/>
  <c r="A81" i="1"/>
  <c r="A82" i="1" s="1"/>
  <c r="A83" i="1" s="1"/>
  <c r="A84" i="1" s="1"/>
  <c r="A85" i="1" s="1"/>
  <c r="A86" i="1" s="1"/>
  <c r="A87" i="1" s="1"/>
  <c r="E39" i="1"/>
  <c r="E38" i="1"/>
  <c r="E37" i="1"/>
  <c r="E36" i="1"/>
  <c r="E35" i="1"/>
  <c r="E34" i="1"/>
  <c r="E33" i="1"/>
  <c r="E32" i="1"/>
  <c r="E31" i="1"/>
  <c r="E30" i="1"/>
  <c r="G39" i="1"/>
  <c r="G38" i="1"/>
  <c r="G37" i="1"/>
  <c r="G36" i="1"/>
  <c r="G35" i="1"/>
  <c r="G34" i="1"/>
  <c r="G33" i="1"/>
  <c r="G32" i="1"/>
  <c r="G31" i="1"/>
  <c r="F39" i="1"/>
  <c r="F38" i="1"/>
  <c r="F37" i="1"/>
  <c r="F36" i="1"/>
  <c r="F35" i="1"/>
  <c r="F34" i="1"/>
  <c r="F33" i="1"/>
  <c r="F32" i="1"/>
  <c r="F31" i="1"/>
  <c r="F30" i="1"/>
  <c r="J39" i="1"/>
  <c r="C39" i="1"/>
  <c r="D39" i="1" s="1"/>
  <c r="J38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E29" i="1"/>
  <c r="E28" i="1"/>
  <c r="E27" i="1"/>
  <c r="E26" i="1"/>
  <c r="E25" i="1"/>
  <c r="G30" i="1"/>
  <c r="G29" i="1"/>
  <c r="G28" i="1"/>
  <c r="G27" i="1"/>
  <c r="G26" i="1"/>
  <c r="G25" i="1"/>
  <c r="G24" i="1"/>
  <c r="F29" i="1"/>
  <c r="F28" i="1"/>
  <c r="F27" i="1"/>
  <c r="F26" i="1"/>
  <c r="F25" i="1"/>
  <c r="F24" i="1"/>
  <c r="E24" i="1"/>
  <c r="E23" i="1"/>
  <c r="E22" i="1"/>
  <c r="E21" i="1"/>
  <c r="E20" i="1"/>
  <c r="G23" i="1"/>
  <c r="G22" i="1"/>
  <c r="G21" i="1"/>
  <c r="G20" i="1"/>
  <c r="F23" i="1"/>
  <c r="F22" i="1"/>
  <c r="F21" i="1"/>
  <c r="F20" i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E19" i="1"/>
  <c r="E18" i="1"/>
  <c r="C18" i="1"/>
  <c r="B18" i="1"/>
  <c r="E16" i="1"/>
  <c r="J17" i="1"/>
  <c r="G17" i="1"/>
  <c r="F17" i="1"/>
  <c r="E17" i="1"/>
  <c r="E15" i="1"/>
  <c r="E14" i="1"/>
  <c r="E13" i="1"/>
  <c r="E12" i="1"/>
  <c r="G19" i="1"/>
  <c r="G18" i="1"/>
  <c r="G15" i="1"/>
  <c r="G14" i="1"/>
  <c r="G13" i="1"/>
  <c r="G12" i="1"/>
  <c r="F19" i="1"/>
  <c r="F18" i="1"/>
  <c r="F16" i="1"/>
  <c r="F15" i="1"/>
  <c r="F14" i="1"/>
  <c r="F13" i="1"/>
  <c r="F12" i="1"/>
  <c r="C19" i="1"/>
  <c r="D19" i="1" s="1"/>
  <c r="C16" i="1"/>
  <c r="D16" i="1" s="1"/>
  <c r="C15" i="1"/>
  <c r="D15" i="1" s="1"/>
  <c r="C14" i="1"/>
  <c r="D14" i="1" s="1"/>
  <c r="C13" i="1"/>
  <c r="D13" i="1" s="1"/>
  <c r="C12" i="1"/>
  <c r="D12" i="1" s="1"/>
  <c r="E11" i="1"/>
  <c r="C11" i="1"/>
  <c r="D11" i="1" s="1"/>
  <c r="G11" i="1"/>
  <c r="F11" i="1"/>
  <c r="E10" i="1"/>
  <c r="G10" i="1"/>
  <c r="F10" i="1"/>
  <c r="C10" i="1"/>
  <c r="D10" i="1" s="1"/>
  <c r="C9" i="1"/>
  <c r="E9" i="1"/>
  <c r="I9" i="1" s="1"/>
  <c r="B9" i="1"/>
  <c r="J77" i="1"/>
  <c r="G77" i="1"/>
  <c r="F77" i="1"/>
  <c r="E77" i="1"/>
  <c r="C77" i="1"/>
  <c r="D77" i="1" s="1"/>
  <c r="J76" i="1"/>
  <c r="G76" i="1"/>
  <c r="F76" i="1"/>
  <c r="E76" i="1"/>
  <c r="C76" i="1"/>
  <c r="D76" i="1" s="1"/>
  <c r="J75" i="1"/>
  <c r="G75" i="1"/>
  <c r="F75" i="1"/>
  <c r="E75" i="1"/>
  <c r="C75" i="1"/>
  <c r="D75" i="1" s="1"/>
  <c r="J74" i="1"/>
  <c r="G74" i="1"/>
  <c r="F74" i="1"/>
  <c r="E74" i="1"/>
  <c r="C74" i="1"/>
  <c r="D74" i="1" s="1"/>
  <c r="J73" i="1"/>
  <c r="G73" i="1"/>
  <c r="F73" i="1"/>
  <c r="E73" i="1"/>
  <c r="C73" i="1"/>
  <c r="D73" i="1" s="1"/>
  <c r="J72" i="1"/>
  <c r="G72" i="1"/>
  <c r="F72" i="1"/>
  <c r="E72" i="1"/>
  <c r="C72" i="1"/>
  <c r="D72" i="1" s="1"/>
  <c r="J71" i="1"/>
  <c r="G71" i="1"/>
  <c r="F71" i="1"/>
  <c r="E71" i="1"/>
  <c r="C71" i="1"/>
  <c r="D71" i="1" s="1"/>
  <c r="J70" i="1"/>
  <c r="G70" i="1"/>
  <c r="F70" i="1"/>
  <c r="E70" i="1"/>
  <c r="C70" i="1"/>
  <c r="D70" i="1" s="1"/>
  <c r="J69" i="1"/>
  <c r="G69" i="1"/>
  <c r="F69" i="1"/>
  <c r="E69" i="1"/>
  <c r="C69" i="1"/>
  <c r="D69" i="1" s="1"/>
  <c r="J68" i="1"/>
  <c r="G68" i="1"/>
  <c r="F68" i="1"/>
  <c r="E68" i="1"/>
  <c r="C68" i="1"/>
  <c r="D68" i="1" s="1"/>
  <c r="J67" i="1"/>
  <c r="G67" i="1"/>
  <c r="F67" i="1"/>
  <c r="E67" i="1"/>
  <c r="C67" i="1"/>
  <c r="D67" i="1" s="1"/>
  <c r="J66" i="1"/>
  <c r="G66" i="1"/>
  <c r="F66" i="1"/>
  <c r="E66" i="1"/>
  <c r="C66" i="1"/>
  <c r="D66" i="1" s="1"/>
  <c r="J65" i="1"/>
  <c r="G65" i="1"/>
  <c r="F65" i="1"/>
  <c r="E65" i="1"/>
  <c r="C65" i="1"/>
  <c r="D65" i="1" s="1"/>
  <c r="J64" i="1"/>
  <c r="G64" i="1"/>
  <c r="F64" i="1"/>
  <c r="E64" i="1"/>
  <c r="C64" i="1"/>
  <c r="D64" i="1" s="1"/>
  <c r="J63" i="1"/>
  <c r="G63" i="1"/>
  <c r="F63" i="1"/>
  <c r="E63" i="1"/>
  <c r="J62" i="1"/>
  <c r="G62" i="1"/>
  <c r="F62" i="1"/>
  <c r="E62" i="1"/>
  <c r="C62" i="1"/>
  <c r="D62" i="1" s="1"/>
  <c r="J61" i="1"/>
  <c r="G61" i="1"/>
  <c r="F61" i="1"/>
  <c r="E61" i="1"/>
  <c r="C61" i="1"/>
  <c r="D61" i="1" s="1"/>
  <c r="J60" i="1"/>
  <c r="G60" i="1"/>
  <c r="F60" i="1"/>
  <c r="E60" i="1"/>
  <c r="C60" i="1"/>
  <c r="D60" i="1" s="1"/>
  <c r="J59" i="1"/>
  <c r="G59" i="1"/>
  <c r="F59" i="1"/>
  <c r="E59" i="1"/>
  <c r="C59" i="1"/>
  <c r="D59" i="1" s="1"/>
  <c r="J58" i="1"/>
  <c r="G58" i="1"/>
  <c r="F58" i="1"/>
  <c r="E58" i="1"/>
  <c r="C58" i="1"/>
  <c r="D58" i="1" s="1"/>
  <c r="J57" i="1"/>
  <c r="G57" i="1"/>
  <c r="F57" i="1"/>
  <c r="E57" i="1"/>
  <c r="C57" i="1"/>
  <c r="D57" i="1" s="1"/>
  <c r="J56" i="1"/>
  <c r="G56" i="1"/>
  <c r="F56" i="1"/>
  <c r="E56" i="1"/>
  <c r="J55" i="1"/>
  <c r="F55" i="1"/>
  <c r="E55" i="1"/>
  <c r="C55" i="1"/>
  <c r="D55" i="1" s="1"/>
  <c r="J54" i="1"/>
  <c r="G54" i="1"/>
  <c r="F54" i="1"/>
  <c r="E54" i="1"/>
  <c r="C54" i="1"/>
  <c r="D54" i="1" s="1"/>
  <c r="J53" i="1"/>
  <c r="G53" i="1"/>
  <c r="F53" i="1"/>
  <c r="E53" i="1"/>
  <c r="C53" i="1"/>
  <c r="D53" i="1" s="1"/>
  <c r="J52" i="1"/>
  <c r="G52" i="1"/>
  <c r="F52" i="1"/>
  <c r="E52" i="1"/>
  <c r="C52" i="1"/>
  <c r="D52" i="1" s="1"/>
  <c r="J51" i="1"/>
  <c r="G51" i="1"/>
  <c r="F51" i="1"/>
  <c r="E51" i="1"/>
  <c r="J50" i="1"/>
  <c r="G50" i="1"/>
  <c r="F50" i="1"/>
  <c r="E50" i="1"/>
  <c r="C50" i="1"/>
  <c r="D50" i="1" s="1"/>
  <c r="J49" i="1"/>
  <c r="G49" i="1"/>
  <c r="F49" i="1"/>
  <c r="E49" i="1"/>
  <c r="C49" i="1"/>
  <c r="D49" i="1" s="1"/>
  <c r="J48" i="1"/>
  <c r="G48" i="1"/>
  <c r="F48" i="1"/>
  <c r="E48" i="1"/>
  <c r="C48" i="1"/>
  <c r="D48" i="1" s="1"/>
  <c r="J47" i="1"/>
  <c r="G47" i="1"/>
  <c r="F47" i="1"/>
  <c r="E47" i="1"/>
  <c r="C47" i="1"/>
  <c r="D47" i="1" s="1"/>
  <c r="J46" i="1"/>
  <c r="G46" i="1"/>
  <c r="F46" i="1"/>
  <c r="E46" i="1"/>
  <c r="C46" i="1"/>
  <c r="D46" i="1" s="1"/>
  <c r="J45" i="1"/>
  <c r="G45" i="1"/>
  <c r="F45" i="1"/>
  <c r="E45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J44" i="1"/>
  <c r="G44" i="1"/>
  <c r="E44" i="1"/>
  <c r="C44" i="1"/>
  <c r="B44" i="1"/>
  <c r="A44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A9" i="1"/>
  <c r="A10" i="1" s="1"/>
  <c r="A11" i="1" s="1"/>
  <c r="A12" i="1" s="1"/>
  <c r="A13" i="1" s="1"/>
  <c r="A14" i="1" s="1"/>
  <c r="A15" i="1" s="1"/>
  <c r="T106" i="1" l="1"/>
  <c r="T100" i="1"/>
  <c r="L98" i="1"/>
  <c r="L99" i="1" s="1"/>
  <c r="L100" i="1" s="1"/>
  <c r="L102" i="1" s="1"/>
  <c r="L103" i="1" s="1"/>
  <c r="L105" i="1" s="1"/>
  <c r="L106" i="1" s="1"/>
  <c r="L108" i="1" s="1"/>
  <c r="L109" i="1" s="1"/>
  <c r="L110" i="1" s="1"/>
  <c r="T96" i="1"/>
  <c r="T94" i="1"/>
  <c r="T91" i="1"/>
  <c r="O67" i="1"/>
  <c r="T14" i="1"/>
  <c r="O21" i="1"/>
  <c r="O16" i="1"/>
  <c r="T21" i="1"/>
  <c r="O22" i="1"/>
  <c r="O37" i="1"/>
  <c r="T23" i="1"/>
  <c r="O11" i="1"/>
  <c r="T26" i="1"/>
  <c r="O19" i="1"/>
  <c r="T34" i="1"/>
  <c r="T17" i="1"/>
  <c r="T25" i="1"/>
  <c r="O26" i="1"/>
  <c r="O39" i="1"/>
  <c r="T38" i="1"/>
  <c r="O38" i="1"/>
  <c r="O35" i="1"/>
  <c r="O27" i="1"/>
  <c r="O23" i="1"/>
  <c r="O25" i="1"/>
  <c r="T24" i="1"/>
  <c r="T20" i="1"/>
  <c r="T18" i="1"/>
  <c r="L15" i="1"/>
  <c r="L16" i="1" s="1"/>
  <c r="O9" i="1"/>
  <c r="I100" i="1"/>
  <c r="I103" i="1"/>
  <c r="I81" i="1"/>
  <c r="I90" i="1"/>
  <c r="I102" i="1"/>
  <c r="I93" i="1"/>
  <c r="I39" i="1"/>
  <c r="I105" i="1"/>
  <c r="I97" i="1"/>
  <c r="I83" i="1"/>
  <c r="I99" i="1"/>
  <c r="I96" i="1"/>
  <c r="I106" i="1"/>
  <c r="I109" i="1"/>
  <c r="I89" i="1"/>
  <c r="A88" i="1"/>
  <c r="A89" i="1" s="1"/>
  <c r="I84" i="1"/>
  <c r="I87" i="1"/>
  <c r="I82" i="1"/>
  <c r="I85" i="1"/>
  <c r="I98" i="1"/>
  <c r="I101" i="1"/>
  <c r="I104" i="1"/>
  <c r="I94" i="1"/>
  <c r="I95" i="1"/>
  <c r="I91" i="1"/>
  <c r="D81" i="1"/>
  <c r="I88" i="1"/>
  <c r="I92" i="1"/>
  <c r="I48" i="1"/>
  <c r="I45" i="1"/>
  <c r="I36" i="1"/>
  <c r="I38" i="1"/>
  <c r="D18" i="1"/>
  <c r="I17" i="1"/>
  <c r="I47" i="1"/>
  <c r="I29" i="1"/>
  <c r="D9" i="1"/>
  <c r="I33" i="1"/>
  <c r="D44" i="1"/>
  <c r="I50" i="1"/>
  <c r="I57" i="1"/>
  <c r="I26" i="1"/>
  <c r="I49" i="1"/>
  <c r="A16" i="1"/>
  <c r="I37" i="1"/>
  <c r="I61" i="1"/>
  <c r="I25" i="1"/>
  <c r="I59" i="1"/>
  <c r="I75" i="1"/>
  <c r="I23" i="1"/>
  <c r="I13" i="1"/>
  <c r="I54" i="1"/>
  <c r="I73" i="1"/>
  <c r="I76" i="1"/>
  <c r="I51" i="1"/>
  <c r="I64" i="1"/>
  <c r="I34" i="1"/>
  <c r="I11" i="1"/>
  <c r="I24" i="1"/>
  <c r="I74" i="1"/>
  <c r="I65" i="1"/>
  <c r="I68" i="1"/>
  <c r="I71" i="1"/>
  <c r="I31" i="1"/>
  <c r="I56" i="1"/>
  <c r="I62" i="1"/>
  <c r="I67" i="1"/>
  <c r="I70" i="1"/>
  <c r="I53" i="1"/>
  <c r="I77" i="1"/>
  <c r="I27" i="1"/>
  <c r="I30" i="1"/>
  <c r="I15" i="1"/>
  <c r="I60" i="1"/>
  <c r="I63" i="1"/>
  <c r="I66" i="1"/>
  <c r="I14" i="1"/>
  <c r="I69" i="1"/>
  <c r="I72" i="1"/>
  <c r="I46" i="1"/>
  <c r="I52" i="1"/>
  <c r="I58" i="1"/>
  <c r="I21" i="1"/>
  <c r="I32" i="1"/>
  <c r="I28" i="1"/>
  <c r="I35" i="1"/>
  <c r="I20" i="1"/>
  <c r="I10" i="1"/>
  <c r="I12" i="1"/>
  <c r="I18" i="1"/>
  <c r="I22" i="1"/>
  <c r="I19" i="1"/>
  <c r="L17" i="1" l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A90" i="1"/>
  <c r="A91" i="1" s="1"/>
  <c r="A92" i="1" s="1"/>
  <c r="A93" i="1" s="1"/>
  <c r="A94" i="1" s="1"/>
  <c r="A95" i="1" s="1"/>
  <c r="A17" i="1"/>
  <c r="A18" i="1" s="1"/>
  <c r="A19" i="1" s="1"/>
  <c r="A20" i="1" s="1"/>
  <c r="A21" i="1" s="1"/>
  <c r="A22" i="1" s="1"/>
  <c r="A23" i="1" s="1"/>
  <c r="L28" i="1" l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<sst xmlns="http://schemas.openxmlformats.org/spreadsheetml/2006/main" count="337" uniqueCount="19">
  <si>
    <t xml:space="preserve">Dell Precision 7760   </t>
  </si>
  <si>
    <t xml:space="preserve">Xeon W-11955M CPU 2.60 GHz, 2611 MHz, 8 cores, 16 Logical Processors   </t>
  </si>
  <si>
    <t>Windows 10 (x64) Professional</t>
  </si>
  <si>
    <t>Dual USB FTDI serial ports connected by cross-over, 115200 baud rate setting</t>
  </si>
  <si>
    <t>Xmt/Rcv #</t>
  </si>
  <si>
    <t>txport.write()  elapsed ms</t>
  </si>
  <si>
    <t>rxport.read() elapsed ms</t>
  </si>
  <si>
    <t>Timeout</t>
  </si>
  <si>
    <t>-</t>
  </si>
  <si>
    <t>Ok</t>
  </si>
  <si>
    <t>rxport.read() result status</t>
  </si>
  <si>
    <t>Single threaded with synchronous write() preceeding its corresponding read(s).</t>
  </si>
  <si>
    <t>rxport.read()  ms / byte</t>
  </si>
  <si>
    <t>txport.write()  ms / byte</t>
  </si>
  <si>
    <t>rx timeout setpoint (ms)</t>
  </si>
  <si>
    <t>txport.write() rqst bytes</t>
  </si>
  <si>
    <t>rxport.read()  rqst bytes</t>
  </si>
  <si>
    <t>rxport.read()  actual rcvd bytes</t>
  </si>
  <si>
    <t>Ubuntu 22.04 (x64) LTS (running as VM guest on Windows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</si>
</sst>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quotePrefix="1" applyFill="1" applyAlignment="1">
      <alignment horizontal="center" wrapText="1"/>
    </xf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829E-908A-43CF-9B24-60BC58BD3D0D}">
  <dimension ref="A1:U122"/>
  <sheetViews>
    <sheetView tabSelected="1" workbookViewId="0">
      <selection activeCell="M3" sqref="M3"/>
    </sheetView>
  </sheetViews>
  <sheetFormatPr defaultRowHeight="14.4" x14ac:dyDescent="0.55000000000000004"/>
  <cols>
    <col min="1" max="1" width="10.578125" customWidth="1"/>
    <col min="2" max="2" width="14.5234375" customWidth="1"/>
    <col min="3" max="4" width="12.68359375" customWidth="1"/>
    <col min="5" max="5" width="12" customWidth="1"/>
    <col min="6" max="6" width="11.89453125" customWidth="1"/>
    <col min="7" max="7" width="11.7890625" customWidth="1"/>
    <col min="8" max="8" width="12.734375" customWidth="1"/>
    <col min="9" max="9" width="12.20703125" customWidth="1"/>
    <col min="10" max="10" width="10.62890625" style="2" customWidth="1"/>
    <col min="13" max="13" width="12.15625" customWidth="1"/>
    <col min="14" max="14" width="12.734375" customWidth="1"/>
    <col min="15" max="15" width="12.62890625" customWidth="1"/>
    <col min="16" max="16" width="11.578125" bestFit="1" customWidth="1"/>
    <col min="17" max="17" width="13" customWidth="1"/>
    <col min="18" max="18" width="12.15625" customWidth="1"/>
    <col min="19" max="19" width="12.05078125" customWidth="1"/>
    <col min="20" max="20" width="11.734375" customWidth="1"/>
    <col min="21" max="21" width="11.3125" customWidth="1"/>
  </cols>
  <sheetData>
    <row r="1" spans="1:21" x14ac:dyDescent="0.55000000000000004">
      <c r="B1" t="s">
        <v>0</v>
      </c>
      <c r="D1" t="s">
        <v>1</v>
      </c>
    </row>
    <row r="3" spans="1:21" x14ac:dyDescent="0.55000000000000004">
      <c r="B3" t="s">
        <v>3</v>
      </c>
      <c r="G3" t="s">
        <v>11</v>
      </c>
    </row>
    <row r="5" spans="1:21" x14ac:dyDescent="0.55000000000000004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L5" s="11" t="s">
        <v>18</v>
      </c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55000000000000004">
      <c r="A6" s="3"/>
      <c r="B6" s="3"/>
      <c r="C6" s="3"/>
      <c r="D6" s="3"/>
      <c r="E6" s="3"/>
      <c r="F6" s="3"/>
      <c r="G6" s="3"/>
      <c r="H6" s="3"/>
      <c r="I6" s="3"/>
      <c r="J6" s="5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" customFormat="1" ht="43.2" x14ac:dyDescent="0.55000000000000004">
      <c r="A7" s="6" t="s">
        <v>4</v>
      </c>
      <c r="B7" s="7" t="s">
        <v>5</v>
      </c>
      <c r="C7" s="7" t="s">
        <v>15</v>
      </c>
      <c r="D7" s="7" t="s">
        <v>13</v>
      </c>
      <c r="E7" s="7" t="s">
        <v>6</v>
      </c>
      <c r="F7" s="7" t="s">
        <v>16</v>
      </c>
      <c r="G7" s="7" t="s">
        <v>17</v>
      </c>
      <c r="H7" s="7" t="s">
        <v>10</v>
      </c>
      <c r="I7" s="7" t="s">
        <v>12</v>
      </c>
      <c r="J7" s="7" t="s">
        <v>14</v>
      </c>
      <c r="L7" s="13" t="s">
        <v>4</v>
      </c>
      <c r="M7" s="14" t="s">
        <v>5</v>
      </c>
      <c r="N7" s="14" t="s">
        <v>15</v>
      </c>
      <c r="O7" s="14" t="s">
        <v>13</v>
      </c>
      <c r="P7" s="14" t="s">
        <v>6</v>
      </c>
      <c r="Q7" s="14" t="s">
        <v>16</v>
      </c>
      <c r="R7" s="14" t="s">
        <v>17</v>
      </c>
      <c r="S7" s="14" t="s">
        <v>10</v>
      </c>
      <c r="T7" s="14" t="s">
        <v>12</v>
      </c>
      <c r="U7" s="14" t="s">
        <v>14</v>
      </c>
    </row>
    <row r="8" spans="1:21" x14ac:dyDescent="0.55000000000000004">
      <c r="A8" s="8"/>
      <c r="B8" s="3"/>
      <c r="C8" s="3"/>
      <c r="D8" s="3"/>
      <c r="E8" s="3"/>
      <c r="F8" s="3"/>
      <c r="G8" s="3"/>
      <c r="H8" s="3"/>
      <c r="I8" s="3"/>
      <c r="J8" s="5"/>
      <c r="L8" s="15"/>
      <c r="M8" s="12"/>
      <c r="N8" s="12"/>
      <c r="O8" s="12"/>
      <c r="P8" s="12"/>
      <c r="Q8" s="12"/>
      <c r="R8" s="12"/>
      <c r="S8" s="12"/>
      <c r="T8" s="12"/>
      <c r="U8" s="16"/>
    </row>
    <row r="9" spans="1:21" x14ac:dyDescent="0.55000000000000004">
      <c r="A9" s="8">
        <f>1</f>
        <v>1</v>
      </c>
      <c r="B9" s="8">
        <f>0.211</f>
        <v>0.21099999999999999</v>
      </c>
      <c r="C9" s="8">
        <f>1</f>
        <v>1</v>
      </c>
      <c r="D9" s="8">
        <f t="shared" ref="D9:D16" si="0">B9/C9</f>
        <v>0.21099999999999999</v>
      </c>
      <c r="E9" s="8">
        <f>12.028</f>
        <v>12.028</v>
      </c>
      <c r="F9" s="8">
        <v>1</v>
      </c>
      <c r="G9" s="8">
        <v>1</v>
      </c>
      <c r="H9" s="9" t="s">
        <v>9</v>
      </c>
      <c r="I9" s="8">
        <f t="shared" ref="I9:I15" si="1">E9/G9</f>
        <v>12.028</v>
      </c>
      <c r="J9" s="5">
        <f>5</f>
        <v>5</v>
      </c>
      <c r="L9" s="15">
        <f>1</f>
        <v>1</v>
      </c>
      <c r="M9" s="15">
        <f>2.458</f>
        <v>2.4580000000000002</v>
      </c>
      <c r="N9" s="15">
        <f>1</f>
        <v>1</v>
      </c>
      <c r="O9" s="15">
        <f t="shared" ref="O9:O17" si="2">M9/N9</f>
        <v>2.4580000000000002</v>
      </c>
      <c r="P9" s="15">
        <f>1.685</f>
        <v>1.6850000000000001</v>
      </c>
      <c r="Q9" s="15">
        <v>1</v>
      </c>
      <c r="R9" s="15">
        <v>1</v>
      </c>
      <c r="S9" s="17" t="s">
        <v>9</v>
      </c>
      <c r="T9" s="15">
        <f t="shared" ref="T9:T16" si="3">P9/R9</f>
        <v>1.6850000000000001</v>
      </c>
      <c r="U9" s="16">
        <f>5</f>
        <v>5</v>
      </c>
    </row>
    <row r="10" spans="1:21" x14ac:dyDescent="0.55000000000000004">
      <c r="A10" s="8">
        <f t="shared" ref="A10:A16" si="4">A9+1</f>
        <v>2</v>
      </c>
      <c r="B10" s="8">
        <v>0.24</v>
      </c>
      <c r="C10" s="8">
        <f>1</f>
        <v>1</v>
      </c>
      <c r="D10" s="8">
        <f t="shared" si="0"/>
        <v>0.24</v>
      </c>
      <c r="E10" s="8">
        <f>5.114</f>
        <v>5.1139999999999999</v>
      </c>
      <c r="F10" s="8">
        <f>1</f>
        <v>1</v>
      </c>
      <c r="G10" s="8">
        <f>1</f>
        <v>1</v>
      </c>
      <c r="H10" s="9" t="s">
        <v>9</v>
      </c>
      <c r="I10" s="8">
        <f t="shared" si="1"/>
        <v>5.1139999999999999</v>
      </c>
      <c r="J10" s="5">
        <f>5</f>
        <v>5</v>
      </c>
      <c r="L10" s="15">
        <f t="shared" ref="L10:L16" si="5">L9+1</f>
        <v>2</v>
      </c>
      <c r="M10" s="15">
        <f>3.842</f>
        <v>3.8420000000000001</v>
      </c>
      <c r="N10" s="15">
        <f>1</f>
        <v>1</v>
      </c>
      <c r="O10" s="15">
        <f t="shared" si="2"/>
        <v>3.8420000000000001</v>
      </c>
      <c r="P10" s="15">
        <f>3.604</f>
        <v>3.6040000000000001</v>
      </c>
      <c r="Q10" s="15">
        <f>1</f>
        <v>1</v>
      </c>
      <c r="R10" s="15">
        <f>1</f>
        <v>1</v>
      </c>
      <c r="S10" s="17" t="s">
        <v>9</v>
      </c>
      <c r="T10" s="15">
        <f t="shared" si="3"/>
        <v>3.6040000000000001</v>
      </c>
      <c r="U10" s="16">
        <f>5</f>
        <v>5</v>
      </c>
    </row>
    <row r="11" spans="1:21" x14ac:dyDescent="0.55000000000000004">
      <c r="A11" s="8">
        <f t="shared" si="4"/>
        <v>3</v>
      </c>
      <c r="B11" s="8">
        <v>0.24399999999999999</v>
      </c>
      <c r="C11" s="8">
        <f>1</f>
        <v>1</v>
      </c>
      <c r="D11" s="8">
        <f t="shared" si="0"/>
        <v>0.24399999999999999</v>
      </c>
      <c r="E11" s="8">
        <f>13.093</f>
        <v>13.093</v>
      </c>
      <c r="F11" s="8">
        <f>1</f>
        <v>1</v>
      </c>
      <c r="G11" s="8">
        <f>1</f>
        <v>1</v>
      </c>
      <c r="H11" s="9" t="s">
        <v>9</v>
      </c>
      <c r="I11" s="8">
        <f t="shared" si="1"/>
        <v>13.093</v>
      </c>
      <c r="J11" s="5">
        <f>5</f>
        <v>5</v>
      </c>
      <c r="L11" s="15">
        <f t="shared" si="5"/>
        <v>3</v>
      </c>
      <c r="M11" s="15">
        <f>2.576</f>
        <v>2.5760000000000001</v>
      </c>
      <c r="N11" s="15">
        <f>1</f>
        <v>1</v>
      </c>
      <c r="O11" s="15">
        <f t="shared" si="2"/>
        <v>2.5760000000000001</v>
      </c>
      <c r="P11" s="15">
        <f>4.493</f>
        <v>4.4930000000000003</v>
      </c>
      <c r="Q11" s="15">
        <f>1</f>
        <v>1</v>
      </c>
      <c r="R11" s="15">
        <f>1</f>
        <v>1</v>
      </c>
      <c r="S11" s="17" t="s">
        <v>9</v>
      </c>
      <c r="T11" s="15">
        <f t="shared" si="3"/>
        <v>4.4930000000000003</v>
      </c>
      <c r="U11" s="16">
        <f>5</f>
        <v>5</v>
      </c>
    </row>
    <row r="12" spans="1:21" x14ac:dyDescent="0.55000000000000004">
      <c r="A12" s="8">
        <f t="shared" si="4"/>
        <v>4</v>
      </c>
      <c r="B12" s="8">
        <v>0.16700000000000001</v>
      </c>
      <c r="C12" s="8">
        <f>1</f>
        <v>1</v>
      </c>
      <c r="D12" s="8">
        <f t="shared" si="0"/>
        <v>0.16700000000000001</v>
      </c>
      <c r="E12" s="8">
        <f>2.777</f>
        <v>2.7770000000000001</v>
      </c>
      <c r="F12" s="8">
        <f>1</f>
        <v>1</v>
      </c>
      <c r="G12" s="8">
        <f>1</f>
        <v>1</v>
      </c>
      <c r="H12" s="9" t="s">
        <v>9</v>
      </c>
      <c r="I12" s="8">
        <f t="shared" si="1"/>
        <v>2.7770000000000001</v>
      </c>
      <c r="J12" s="5">
        <f>5</f>
        <v>5</v>
      </c>
      <c r="L12" s="15">
        <f t="shared" si="5"/>
        <v>4</v>
      </c>
      <c r="M12" s="15">
        <f>4.226</f>
        <v>4.226</v>
      </c>
      <c r="N12" s="15">
        <f>1</f>
        <v>1</v>
      </c>
      <c r="O12" s="15">
        <f t="shared" si="2"/>
        <v>4.226</v>
      </c>
      <c r="P12" s="15">
        <f>3.626</f>
        <v>3.6259999999999999</v>
      </c>
      <c r="Q12" s="15">
        <f>1</f>
        <v>1</v>
      </c>
      <c r="R12" s="15">
        <f>1</f>
        <v>1</v>
      </c>
      <c r="S12" s="17" t="s">
        <v>9</v>
      </c>
      <c r="T12" s="15">
        <f t="shared" si="3"/>
        <v>3.6259999999999999</v>
      </c>
      <c r="U12" s="16">
        <f>5</f>
        <v>5</v>
      </c>
    </row>
    <row r="13" spans="1:21" x14ac:dyDescent="0.55000000000000004">
      <c r="A13" s="8">
        <f t="shared" si="4"/>
        <v>5</v>
      </c>
      <c r="B13" s="8">
        <v>0.188</v>
      </c>
      <c r="C13" s="8">
        <f>1</f>
        <v>1</v>
      </c>
      <c r="D13" s="8">
        <f t="shared" si="0"/>
        <v>0.188</v>
      </c>
      <c r="E13" s="8">
        <f>11.126</f>
        <v>11.125999999999999</v>
      </c>
      <c r="F13" s="8">
        <f>1</f>
        <v>1</v>
      </c>
      <c r="G13" s="8">
        <f>1</f>
        <v>1</v>
      </c>
      <c r="H13" s="9" t="s">
        <v>9</v>
      </c>
      <c r="I13" s="8">
        <f t="shared" si="1"/>
        <v>11.125999999999999</v>
      </c>
      <c r="J13" s="5">
        <f>5</f>
        <v>5</v>
      </c>
      <c r="L13" s="15">
        <f t="shared" si="5"/>
        <v>5</v>
      </c>
      <c r="M13" s="15">
        <f>2.159</f>
        <v>2.1589999999999998</v>
      </c>
      <c r="N13" s="15">
        <f>1</f>
        <v>1</v>
      </c>
      <c r="O13" s="15">
        <f t="shared" si="2"/>
        <v>2.1589999999999998</v>
      </c>
      <c r="P13" s="15">
        <f>5.23</f>
        <v>5.23</v>
      </c>
      <c r="Q13" s="15">
        <f>1</f>
        <v>1</v>
      </c>
      <c r="R13" s="15">
        <v>0</v>
      </c>
      <c r="S13" s="17" t="s">
        <v>7</v>
      </c>
      <c r="T13" s="17" t="s">
        <v>8</v>
      </c>
      <c r="U13" s="16">
        <f>5</f>
        <v>5</v>
      </c>
    </row>
    <row r="14" spans="1:21" x14ac:dyDescent="0.55000000000000004">
      <c r="A14" s="8">
        <f t="shared" si="4"/>
        <v>6</v>
      </c>
      <c r="B14" s="8">
        <v>0.16200000000000001</v>
      </c>
      <c r="C14" s="8">
        <f>1</f>
        <v>1</v>
      </c>
      <c r="D14" s="8">
        <f t="shared" si="0"/>
        <v>0.16200000000000001</v>
      </c>
      <c r="E14" s="8">
        <f>1.866</f>
        <v>1.8660000000000001</v>
      </c>
      <c r="F14" s="8">
        <f>1</f>
        <v>1</v>
      </c>
      <c r="G14" s="8">
        <f>1</f>
        <v>1</v>
      </c>
      <c r="H14" s="9" t="s">
        <v>9</v>
      </c>
      <c r="I14" s="8">
        <f t="shared" si="1"/>
        <v>1.8660000000000001</v>
      </c>
      <c r="J14" s="5">
        <f>5</f>
        <v>5</v>
      </c>
      <c r="L14" s="15">
        <f>L13</f>
        <v>5</v>
      </c>
      <c r="M14" s="17" t="s">
        <v>8</v>
      </c>
      <c r="N14" s="17" t="s">
        <v>8</v>
      </c>
      <c r="O14" s="17" t="s">
        <v>8</v>
      </c>
      <c r="P14" s="15">
        <f>0.008</f>
        <v>8.0000000000000002E-3</v>
      </c>
      <c r="Q14" s="15">
        <f>1</f>
        <v>1</v>
      </c>
      <c r="R14" s="15">
        <f>1</f>
        <v>1</v>
      </c>
      <c r="S14" s="17" t="s">
        <v>9</v>
      </c>
      <c r="T14" s="15">
        <f t="shared" si="3"/>
        <v>8.0000000000000002E-3</v>
      </c>
      <c r="U14" s="16">
        <f>5</f>
        <v>5</v>
      </c>
    </row>
    <row r="15" spans="1:21" x14ac:dyDescent="0.55000000000000004">
      <c r="A15" s="8">
        <f t="shared" si="4"/>
        <v>7</v>
      </c>
      <c r="B15" s="8">
        <v>0.157</v>
      </c>
      <c r="C15" s="8">
        <f>1</f>
        <v>1</v>
      </c>
      <c r="D15" s="8">
        <f t="shared" si="0"/>
        <v>0.157</v>
      </c>
      <c r="E15" s="8">
        <f>8.047</f>
        <v>8.0470000000000006</v>
      </c>
      <c r="F15" s="8">
        <f>1</f>
        <v>1</v>
      </c>
      <c r="G15" s="8">
        <f>1</f>
        <v>1</v>
      </c>
      <c r="H15" s="9" t="s">
        <v>9</v>
      </c>
      <c r="I15" s="8">
        <f t="shared" si="1"/>
        <v>8.0470000000000006</v>
      </c>
      <c r="J15" s="5">
        <f>5</f>
        <v>5</v>
      </c>
      <c r="L15" s="15">
        <f t="shared" si="5"/>
        <v>6</v>
      </c>
      <c r="M15" s="15">
        <f>3.15</f>
        <v>3.15</v>
      </c>
      <c r="N15" s="15">
        <f>1</f>
        <v>1</v>
      </c>
      <c r="O15" s="15">
        <f t="shared" si="2"/>
        <v>3.15</v>
      </c>
      <c r="P15" s="15">
        <f>4.492</f>
        <v>4.492</v>
      </c>
      <c r="Q15" s="15">
        <f>1</f>
        <v>1</v>
      </c>
      <c r="R15" s="15">
        <f>1</f>
        <v>1</v>
      </c>
      <c r="S15" s="17" t="s">
        <v>9</v>
      </c>
      <c r="T15" s="15">
        <f t="shared" si="3"/>
        <v>4.492</v>
      </c>
      <c r="U15" s="16">
        <f>5</f>
        <v>5</v>
      </c>
    </row>
    <row r="16" spans="1:21" x14ac:dyDescent="0.55000000000000004">
      <c r="A16" s="8">
        <f t="shared" si="4"/>
        <v>8</v>
      </c>
      <c r="B16" s="8">
        <v>0.13100000000000001</v>
      </c>
      <c r="C16" s="8">
        <f>1</f>
        <v>1</v>
      </c>
      <c r="D16" s="8">
        <f t="shared" si="0"/>
        <v>0.13100000000000001</v>
      </c>
      <c r="E16" s="8">
        <f>15.161</f>
        <v>15.161</v>
      </c>
      <c r="F16" s="8">
        <f>1</f>
        <v>1</v>
      </c>
      <c r="G16" s="8">
        <v>0</v>
      </c>
      <c r="H16" s="9" t="s">
        <v>7</v>
      </c>
      <c r="I16" s="9" t="s">
        <v>8</v>
      </c>
      <c r="J16" s="5">
        <f>5</f>
        <v>5</v>
      </c>
      <c r="L16" s="15">
        <f t="shared" si="5"/>
        <v>7</v>
      </c>
      <c r="M16" s="15">
        <f>4.14</f>
        <v>4.1399999999999997</v>
      </c>
      <c r="N16" s="15">
        <f>1</f>
        <v>1</v>
      </c>
      <c r="O16" s="15">
        <f t="shared" si="2"/>
        <v>4.1399999999999997</v>
      </c>
      <c r="P16" s="15">
        <f>3.661</f>
        <v>3.661</v>
      </c>
      <c r="Q16" s="15">
        <f>1</f>
        <v>1</v>
      </c>
      <c r="R16" s="15">
        <f>1</f>
        <v>1</v>
      </c>
      <c r="S16" s="17" t="s">
        <v>9</v>
      </c>
      <c r="T16" s="15">
        <f t="shared" si="3"/>
        <v>3.661</v>
      </c>
      <c r="U16" s="16">
        <f>5</f>
        <v>5</v>
      </c>
    </row>
    <row r="17" spans="1:21" x14ac:dyDescent="0.55000000000000004">
      <c r="A17" s="8">
        <f>A16</f>
        <v>8</v>
      </c>
      <c r="B17" s="9" t="s">
        <v>8</v>
      </c>
      <c r="C17" s="9" t="s">
        <v>8</v>
      </c>
      <c r="D17" s="9" t="s">
        <v>8</v>
      </c>
      <c r="E17" s="8">
        <f>0.089</f>
        <v>8.8999999999999996E-2</v>
      </c>
      <c r="F17" s="8">
        <f>1</f>
        <v>1</v>
      </c>
      <c r="G17" s="8">
        <f>1</f>
        <v>1</v>
      </c>
      <c r="H17" s="9" t="s">
        <v>9</v>
      </c>
      <c r="I17" s="8">
        <f t="shared" ref="I17:I39" si="6">E17/G17</f>
        <v>8.8999999999999996E-2</v>
      </c>
      <c r="J17" s="5">
        <f>5</f>
        <v>5</v>
      </c>
      <c r="L17" s="15">
        <f t="shared" ref="L17:L40" si="7">L16+1</f>
        <v>8</v>
      </c>
      <c r="M17" s="17">
        <f>4.21</f>
        <v>4.21</v>
      </c>
      <c r="N17" s="15">
        <f>1</f>
        <v>1</v>
      </c>
      <c r="O17" s="15">
        <f t="shared" si="2"/>
        <v>4.21</v>
      </c>
      <c r="P17" s="15">
        <f>3.792</f>
        <v>3.7919999999999998</v>
      </c>
      <c r="Q17" s="15">
        <f>1</f>
        <v>1</v>
      </c>
      <c r="R17" s="15">
        <f>1</f>
        <v>1</v>
      </c>
      <c r="S17" s="17" t="s">
        <v>9</v>
      </c>
      <c r="T17" s="15">
        <f t="shared" ref="T17:T40" si="8">P17/R17</f>
        <v>3.7919999999999998</v>
      </c>
      <c r="U17" s="16">
        <f>5</f>
        <v>5</v>
      </c>
    </row>
    <row r="18" spans="1:21" x14ac:dyDescent="0.55000000000000004">
      <c r="A18" s="8">
        <f t="shared" ref="A18:A39" si="9">A17+1</f>
        <v>9</v>
      </c>
      <c r="B18" s="9">
        <f>0.133</f>
        <v>0.13300000000000001</v>
      </c>
      <c r="C18" s="8">
        <f>1</f>
        <v>1</v>
      </c>
      <c r="D18" s="8">
        <f t="shared" ref="D18:D39" si="10">B18/C18</f>
        <v>0.13300000000000001</v>
      </c>
      <c r="E18" s="8">
        <f>7.239</f>
        <v>7.2389999999999999</v>
      </c>
      <c r="F18" s="8">
        <f>1</f>
        <v>1</v>
      </c>
      <c r="G18" s="8">
        <f>1</f>
        <v>1</v>
      </c>
      <c r="H18" s="9" t="s">
        <v>9</v>
      </c>
      <c r="I18" s="8">
        <f t="shared" si="6"/>
        <v>7.2389999999999999</v>
      </c>
      <c r="J18" s="5">
        <f>5</f>
        <v>5</v>
      </c>
      <c r="L18" s="15">
        <f t="shared" si="7"/>
        <v>9</v>
      </c>
      <c r="M18" s="17">
        <f>2.694</f>
        <v>2.694</v>
      </c>
      <c r="N18" s="15">
        <f>1</f>
        <v>1</v>
      </c>
      <c r="O18" s="15">
        <f t="shared" ref="O18:O40" si="11">M18/N18</f>
        <v>2.694</v>
      </c>
      <c r="P18" s="15">
        <f>4.758</f>
        <v>4.758</v>
      </c>
      <c r="Q18" s="15">
        <f>1</f>
        <v>1</v>
      </c>
      <c r="R18" s="15">
        <f>1</f>
        <v>1</v>
      </c>
      <c r="S18" s="17" t="s">
        <v>9</v>
      </c>
      <c r="T18" s="15">
        <f t="shared" si="8"/>
        <v>4.758</v>
      </c>
      <c r="U18" s="16">
        <f>5</f>
        <v>5</v>
      </c>
    </row>
    <row r="19" spans="1:21" x14ac:dyDescent="0.55000000000000004">
      <c r="A19" s="8">
        <f t="shared" si="9"/>
        <v>10</v>
      </c>
      <c r="B19" s="8">
        <v>0.129</v>
      </c>
      <c r="C19" s="8">
        <f>1</f>
        <v>1</v>
      </c>
      <c r="D19" s="8">
        <f t="shared" si="10"/>
        <v>0.129</v>
      </c>
      <c r="E19" s="8">
        <f>14.833</f>
        <v>14.833</v>
      </c>
      <c r="F19" s="8">
        <f>1</f>
        <v>1</v>
      </c>
      <c r="G19" s="8">
        <f>1</f>
        <v>1</v>
      </c>
      <c r="H19" s="9" t="s">
        <v>9</v>
      </c>
      <c r="I19" s="8">
        <f t="shared" si="6"/>
        <v>14.833</v>
      </c>
      <c r="J19" s="5">
        <f>5</f>
        <v>5</v>
      </c>
      <c r="L19" s="15">
        <f t="shared" si="7"/>
        <v>10</v>
      </c>
      <c r="M19" s="15">
        <f>4.074</f>
        <v>4.0739999999999998</v>
      </c>
      <c r="N19" s="15">
        <f>1</f>
        <v>1</v>
      </c>
      <c r="O19" s="15">
        <f t="shared" si="11"/>
        <v>4.0739999999999998</v>
      </c>
      <c r="P19" s="15">
        <f>3.287</f>
        <v>3.2869999999999999</v>
      </c>
      <c r="Q19" s="15">
        <f>1</f>
        <v>1</v>
      </c>
      <c r="R19" s="15">
        <f>1</f>
        <v>1</v>
      </c>
      <c r="S19" s="17" t="s">
        <v>9</v>
      </c>
      <c r="T19" s="15">
        <f t="shared" si="8"/>
        <v>3.2869999999999999</v>
      </c>
      <c r="U19" s="16">
        <f>5</f>
        <v>5</v>
      </c>
    </row>
    <row r="20" spans="1:21" x14ac:dyDescent="0.55000000000000004">
      <c r="A20" s="8">
        <f t="shared" si="9"/>
        <v>11</v>
      </c>
      <c r="B20" s="8">
        <v>0.14899999999999999</v>
      </c>
      <c r="C20" s="8">
        <f>1</f>
        <v>1</v>
      </c>
      <c r="D20" s="8">
        <f t="shared" si="10"/>
        <v>0.14899999999999999</v>
      </c>
      <c r="E20" s="8">
        <f>13.449</f>
        <v>13.449</v>
      </c>
      <c r="F20" s="8">
        <f>1</f>
        <v>1</v>
      </c>
      <c r="G20" s="8">
        <f>1</f>
        <v>1</v>
      </c>
      <c r="H20" s="9" t="s">
        <v>9</v>
      </c>
      <c r="I20" s="8">
        <f t="shared" si="6"/>
        <v>13.449</v>
      </c>
      <c r="J20" s="5">
        <f>5</f>
        <v>5</v>
      </c>
      <c r="L20" s="15">
        <f t="shared" si="7"/>
        <v>11</v>
      </c>
      <c r="M20" s="15">
        <f>3.157</f>
        <v>3.157</v>
      </c>
      <c r="N20" s="15">
        <f>1</f>
        <v>1</v>
      </c>
      <c r="O20" s="15">
        <f t="shared" si="11"/>
        <v>3.157</v>
      </c>
      <c r="P20" s="15">
        <f>0.686</f>
        <v>0.68600000000000005</v>
      </c>
      <c r="Q20" s="15">
        <f>1</f>
        <v>1</v>
      </c>
      <c r="R20" s="15">
        <f>1</f>
        <v>1</v>
      </c>
      <c r="S20" s="17" t="s">
        <v>9</v>
      </c>
      <c r="T20" s="15">
        <f t="shared" si="8"/>
        <v>0.68600000000000005</v>
      </c>
      <c r="U20" s="16">
        <f>5</f>
        <v>5</v>
      </c>
    </row>
    <row r="21" spans="1:21" x14ac:dyDescent="0.55000000000000004">
      <c r="A21" s="8">
        <f t="shared" si="9"/>
        <v>12</v>
      </c>
      <c r="B21" s="8">
        <v>0.13500000000000001</v>
      </c>
      <c r="C21" s="8">
        <f>1</f>
        <v>1</v>
      </c>
      <c r="D21" s="8">
        <f t="shared" si="10"/>
        <v>0.13500000000000001</v>
      </c>
      <c r="E21" s="8">
        <f>4.91</f>
        <v>4.91</v>
      </c>
      <c r="F21" s="8">
        <f>1</f>
        <v>1</v>
      </c>
      <c r="G21" s="8">
        <f>1</f>
        <v>1</v>
      </c>
      <c r="H21" s="9" t="s">
        <v>9</v>
      </c>
      <c r="I21" s="8">
        <f t="shared" si="6"/>
        <v>4.91</v>
      </c>
      <c r="J21" s="5">
        <f>5</f>
        <v>5</v>
      </c>
      <c r="L21" s="15">
        <f t="shared" si="7"/>
        <v>12</v>
      </c>
      <c r="M21" s="15">
        <f>3.034</f>
        <v>3.0339999999999998</v>
      </c>
      <c r="N21" s="15">
        <f>1</f>
        <v>1</v>
      </c>
      <c r="O21" s="15">
        <f t="shared" si="11"/>
        <v>3.0339999999999998</v>
      </c>
      <c r="P21" s="15">
        <f>4.125</f>
        <v>4.125</v>
      </c>
      <c r="Q21" s="15">
        <f>1</f>
        <v>1</v>
      </c>
      <c r="R21" s="15">
        <f>1</f>
        <v>1</v>
      </c>
      <c r="S21" s="17" t="s">
        <v>9</v>
      </c>
      <c r="T21" s="15">
        <f t="shared" si="8"/>
        <v>4.125</v>
      </c>
      <c r="U21" s="16">
        <f>5</f>
        <v>5</v>
      </c>
    </row>
    <row r="22" spans="1:21" x14ac:dyDescent="0.55000000000000004">
      <c r="A22" s="8">
        <f t="shared" si="9"/>
        <v>13</v>
      </c>
      <c r="B22" s="8">
        <v>0.23300000000000001</v>
      </c>
      <c r="C22" s="8">
        <f>1</f>
        <v>1</v>
      </c>
      <c r="D22" s="8">
        <f t="shared" si="10"/>
        <v>0.23300000000000001</v>
      </c>
      <c r="E22" s="8">
        <f>14.099</f>
        <v>14.099</v>
      </c>
      <c r="F22" s="8">
        <f>1</f>
        <v>1</v>
      </c>
      <c r="G22" s="8">
        <f>1</f>
        <v>1</v>
      </c>
      <c r="H22" s="9" t="s">
        <v>9</v>
      </c>
      <c r="I22" s="8">
        <f t="shared" si="6"/>
        <v>14.099</v>
      </c>
      <c r="J22" s="5">
        <f>5</f>
        <v>5</v>
      </c>
      <c r="L22" s="15">
        <f t="shared" si="7"/>
        <v>13</v>
      </c>
      <c r="M22" s="15">
        <f>3.686</f>
        <v>3.6859999999999999</v>
      </c>
      <c r="N22" s="15">
        <f>1</f>
        <v>1</v>
      </c>
      <c r="O22" s="15">
        <f t="shared" si="11"/>
        <v>3.6859999999999999</v>
      </c>
      <c r="P22" s="15">
        <f>4.204</f>
        <v>4.2039999999999997</v>
      </c>
      <c r="Q22" s="15">
        <f>1</f>
        <v>1</v>
      </c>
      <c r="R22" s="15">
        <f>1</f>
        <v>1</v>
      </c>
      <c r="S22" s="17" t="s">
        <v>9</v>
      </c>
      <c r="T22" s="15">
        <f t="shared" si="8"/>
        <v>4.2039999999999997</v>
      </c>
      <c r="U22" s="16">
        <f>5</f>
        <v>5</v>
      </c>
    </row>
    <row r="23" spans="1:21" x14ac:dyDescent="0.55000000000000004">
      <c r="A23" s="8">
        <f t="shared" si="9"/>
        <v>14</v>
      </c>
      <c r="B23" s="8">
        <v>0.19900000000000001</v>
      </c>
      <c r="C23" s="8">
        <f>1</f>
        <v>1</v>
      </c>
      <c r="D23" s="8">
        <f t="shared" si="10"/>
        <v>0.19900000000000001</v>
      </c>
      <c r="E23" s="8">
        <f>5.668</f>
        <v>5.6680000000000001</v>
      </c>
      <c r="F23" s="8">
        <f>1</f>
        <v>1</v>
      </c>
      <c r="G23" s="8">
        <f>1</f>
        <v>1</v>
      </c>
      <c r="H23" s="9" t="s">
        <v>9</v>
      </c>
      <c r="I23" s="8">
        <f t="shared" si="6"/>
        <v>5.6680000000000001</v>
      </c>
      <c r="J23" s="5">
        <f>5</f>
        <v>5</v>
      </c>
      <c r="L23" s="15">
        <f t="shared" si="7"/>
        <v>14</v>
      </c>
      <c r="M23" s="15">
        <f>3.232</f>
        <v>3.2320000000000002</v>
      </c>
      <c r="N23" s="15">
        <f>1</f>
        <v>1</v>
      </c>
      <c r="O23" s="15">
        <f t="shared" si="11"/>
        <v>3.2320000000000002</v>
      </c>
      <c r="P23" s="15">
        <f>3.575</f>
        <v>3.5750000000000002</v>
      </c>
      <c r="Q23" s="15">
        <f>1</f>
        <v>1</v>
      </c>
      <c r="R23" s="15">
        <f>1</f>
        <v>1</v>
      </c>
      <c r="S23" s="17" t="s">
        <v>9</v>
      </c>
      <c r="T23" s="15">
        <f t="shared" si="8"/>
        <v>3.5750000000000002</v>
      </c>
      <c r="U23" s="16">
        <f>5</f>
        <v>5</v>
      </c>
    </row>
    <row r="24" spans="1:21" x14ac:dyDescent="0.55000000000000004">
      <c r="A24" s="8">
        <f t="shared" si="9"/>
        <v>15</v>
      </c>
      <c r="B24" s="8">
        <v>0.16900000000000001</v>
      </c>
      <c r="C24" s="8">
        <f>1</f>
        <v>1</v>
      </c>
      <c r="D24" s="8">
        <f t="shared" si="10"/>
        <v>0.16900000000000001</v>
      </c>
      <c r="E24" s="8">
        <f>12.613</f>
        <v>12.613</v>
      </c>
      <c r="F24" s="8">
        <f>1</f>
        <v>1</v>
      </c>
      <c r="G24" s="8">
        <f>1</f>
        <v>1</v>
      </c>
      <c r="H24" s="9" t="s">
        <v>9</v>
      </c>
      <c r="I24" s="8">
        <f t="shared" si="6"/>
        <v>12.613</v>
      </c>
      <c r="J24" s="5">
        <f>5</f>
        <v>5</v>
      </c>
      <c r="L24" s="15">
        <f t="shared" si="7"/>
        <v>15</v>
      </c>
      <c r="M24" s="15">
        <f>4.096</f>
        <v>4.0960000000000001</v>
      </c>
      <c r="N24" s="15">
        <f>1</f>
        <v>1</v>
      </c>
      <c r="O24" s="15">
        <f t="shared" si="11"/>
        <v>4.0960000000000001</v>
      </c>
      <c r="P24" s="15">
        <f>3.086</f>
        <v>3.0859999999999999</v>
      </c>
      <c r="Q24" s="15">
        <f>1</f>
        <v>1</v>
      </c>
      <c r="R24" s="15">
        <f>1</f>
        <v>1</v>
      </c>
      <c r="S24" s="17" t="s">
        <v>9</v>
      </c>
      <c r="T24" s="15">
        <f t="shared" si="8"/>
        <v>3.0859999999999999</v>
      </c>
      <c r="U24" s="16">
        <f>5</f>
        <v>5</v>
      </c>
    </row>
    <row r="25" spans="1:21" x14ac:dyDescent="0.55000000000000004">
      <c r="A25" s="8">
        <f t="shared" si="9"/>
        <v>16</v>
      </c>
      <c r="B25" s="8">
        <v>0.184</v>
      </c>
      <c r="C25" s="8">
        <f>1</f>
        <v>1</v>
      </c>
      <c r="D25" s="8">
        <f t="shared" si="10"/>
        <v>0.184</v>
      </c>
      <c r="E25" s="8">
        <f>4.04</f>
        <v>4.04</v>
      </c>
      <c r="F25" s="8">
        <f>1</f>
        <v>1</v>
      </c>
      <c r="G25" s="8">
        <f>1</f>
        <v>1</v>
      </c>
      <c r="H25" s="9" t="s">
        <v>9</v>
      </c>
      <c r="I25" s="8">
        <f t="shared" si="6"/>
        <v>4.04</v>
      </c>
      <c r="J25" s="5">
        <f>5</f>
        <v>5</v>
      </c>
      <c r="L25" s="15">
        <f t="shared" si="7"/>
        <v>16</v>
      </c>
      <c r="M25" s="15">
        <f>2.693</f>
        <v>2.6930000000000001</v>
      </c>
      <c r="N25" s="15">
        <f>1</f>
        <v>1</v>
      </c>
      <c r="O25" s="15">
        <f t="shared" si="11"/>
        <v>2.6930000000000001</v>
      </c>
      <c r="P25" s="15">
        <f>4.73</f>
        <v>4.7300000000000004</v>
      </c>
      <c r="Q25" s="15">
        <f>1</f>
        <v>1</v>
      </c>
      <c r="R25" s="15">
        <f>1</f>
        <v>1</v>
      </c>
      <c r="S25" s="17" t="s">
        <v>9</v>
      </c>
      <c r="T25" s="15">
        <f t="shared" si="8"/>
        <v>4.7300000000000004</v>
      </c>
      <c r="U25" s="16">
        <f>5</f>
        <v>5</v>
      </c>
    </row>
    <row r="26" spans="1:21" x14ac:dyDescent="0.55000000000000004">
      <c r="A26" s="8">
        <f t="shared" si="9"/>
        <v>17</v>
      </c>
      <c r="B26" s="8">
        <v>0.17299999999999999</v>
      </c>
      <c r="C26" s="8">
        <f>1</f>
        <v>1</v>
      </c>
      <c r="D26" s="8">
        <f t="shared" si="10"/>
        <v>0.17299999999999999</v>
      </c>
      <c r="E26" s="8">
        <f>10.334</f>
        <v>10.334</v>
      </c>
      <c r="F26" s="8">
        <f>1</f>
        <v>1</v>
      </c>
      <c r="G26" s="8">
        <f>1</f>
        <v>1</v>
      </c>
      <c r="H26" s="9" t="s">
        <v>9</v>
      </c>
      <c r="I26" s="8">
        <f t="shared" si="6"/>
        <v>10.334</v>
      </c>
      <c r="J26" s="5">
        <f>5</f>
        <v>5</v>
      </c>
      <c r="L26" s="15">
        <f t="shared" si="7"/>
        <v>17</v>
      </c>
      <c r="M26" s="15">
        <f>3.313</f>
        <v>3.3130000000000002</v>
      </c>
      <c r="N26" s="15">
        <f>1</f>
        <v>1</v>
      </c>
      <c r="O26" s="15">
        <f t="shared" si="11"/>
        <v>3.3130000000000002</v>
      </c>
      <c r="P26" s="15">
        <f>4.2</f>
        <v>4.2</v>
      </c>
      <c r="Q26" s="15">
        <f>1</f>
        <v>1</v>
      </c>
      <c r="R26" s="15">
        <f>1</f>
        <v>1</v>
      </c>
      <c r="S26" s="17" t="s">
        <v>9</v>
      </c>
      <c r="T26" s="15">
        <f t="shared" si="8"/>
        <v>4.2</v>
      </c>
      <c r="U26" s="16">
        <f>5</f>
        <v>5</v>
      </c>
    </row>
    <row r="27" spans="1:21" x14ac:dyDescent="0.55000000000000004">
      <c r="A27" s="8">
        <f t="shared" si="9"/>
        <v>18</v>
      </c>
      <c r="B27" s="8">
        <v>0.14399999999999999</v>
      </c>
      <c r="C27" s="8">
        <f>1</f>
        <v>1</v>
      </c>
      <c r="D27" s="8">
        <f t="shared" si="10"/>
        <v>0.14399999999999999</v>
      </c>
      <c r="E27" s="8">
        <f>1.485</f>
        <v>1.4850000000000001</v>
      </c>
      <c r="F27" s="8">
        <f>1</f>
        <v>1</v>
      </c>
      <c r="G27" s="8">
        <f>1</f>
        <v>1</v>
      </c>
      <c r="H27" s="9" t="s">
        <v>9</v>
      </c>
      <c r="I27" s="8">
        <f t="shared" si="6"/>
        <v>1.4850000000000001</v>
      </c>
      <c r="J27" s="5">
        <f>5</f>
        <v>5</v>
      </c>
      <c r="L27" s="15">
        <f t="shared" si="7"/>
        <v>18</v>
      </c>
      <c r="M27" s="15">
        <f>3.272</f>
        <v>3.2719999999999998</v>
      </c>
      <c r="N27" s="15">
        <f>1</f>
        <v>1</v>
      </c>
      <c r="O27" s="15">
        <f t="shared" si="11"/>
        <v>3.2719999999999998</v>
      </c>
      <c r="P27" s="15">
        <f>4.049</f>
        <v>4.0490000000000004</v>
      </c>
      <c r="Q27" s="15">
        <f>1</f>
        <v>1</v>
      </c>
      <c r="R27" s="15">
        <f>1</f>
        <v>1</v>
      </c>
      <c r="S27" s="17" t="s">
        <v>9</v>
      </c>
      <c r="T27" s="15">
        <f t="shared" si="8"/>
        <v>4.0490000000000004</v>
      </c>
      <c r="U27" s="16">
        <f>5</f>
        <v>5</v>
      </c>
    </row>
    <row r="28" spans="1:21" x14ac:dyDescent="0.55000000000000004">
      <c r="A28" s="8">
        <f t="shared" si="9"/>
        <v>19</v>
      </c>
      <c r="B28" s="8">
        <v>0.17399999999999999</v>
      </c>
      <c r="C28" s="8">
        <f>1</f>
        <v>1</v>
      </c>
      <c r="D28" s="8">
        <f t="shared" si="10"/>
        <v>0.17399999999999999</v>
      </c>
      <c r="E28" s="8">
        <f>10.355</f>
        <v>10.355</v>
      </c>
      <c r="F28" s="8">
        <f>1</f>
        <v>1</v>
      </c>
      <c r="G28" s="8">
        <f>1</f>
        <v>1</v>
      </c>
      <c r="H28" s="9" t="s">
        <v>9</v>
      </c>
      <c r="I28" s="8">
        <f t="shared" si="6"/>
        <v>10.355</v>
      </c>
      <c r="J28" s="5">
        <f>5</f>
        <v>5</v>
      </c>
      <c r="L28" s="15">
        <f>L27+1</f>
        <v>19</v>
      </c>
      <c r="M28" s="17">
        <f>1.623</f>
        <v>1.623</v>
      </c>
      <c r="N28" s="15">
        <f>1</f>
        <v>1</v>
      </c>
      <c r="O28" s="15">
        <f t="shared" si="11"/>
        <v>1.623</v>
      </c>
      <c r="P28" s="15">
        <f>5.122</f>
        <v>5.1219999999999999</v>
      </c>
      <c r="Q28" s="15">
        <f>1</f>
        <v>1</v>
      </c>
      <c r="R28" s="15">
        <v>0</v>
      </c>
      <c r="S28" s="17" t="s">
        <v>7</v>
      </c>
      <c r="T28" s="17" t="s">
        <v>8</v>
      </c>
      <c r="U28" s="16">
        <f>5</f>
        <v>5</v>
      </c>
    </row>
    <row r="29" spans="1:21" x14ac:dyDescent="0.55000000000000004">
      <c r="A29" s="8">
        <f t="shared" si="9"/>
        <v>20</v>
      </c>
      <c r="B29" s="8">
        <v>0.16700000000000001</v>
      </c>
      <c r="C29" s="8">
        <f>1</f>
        <v>1</v>
      </c>
      <c r="D29" s="8">
        <f t="shared" si="10"/>
        <v>0.16700000000000001</v>
      </c>
      <c r="E29" s="8">
        <f>2.578</f>
        <v>2.5779999999999998</v>
      </c>
      <c r="F29" s="8">
        <f>1</f>
        <v>1</v>
      </c>
      <c r="G29" s="8">
        <f>1</f>
        <v>1</v>
      </c>
      <c r="H29" s="9" t="s">
        <v>9</v>
      </c>
      <c r="I29" s="8">
        <f t="shared" si="6"/>
        <v>2.5779999999999998</v>
      </c>
      <c r="J29" s="5">
        <f>5</f>
        <v>5</v>
      </c>
      <c r="L29" s="15">
        <f>L28</f>
        <v>19</v>
      </c>
      <c r="M29" s="17" t="s">
        <v>8</v>
      </c>
      <c r="N29" s="17" t="s">
        <v>8</v>
      </c>
      <c r="O29" s="17" t="s">
        <v>8</v>
      </c>
      <c r="P29" s="15">
        <f>0.659</f>
        <v>0.65900000000000003</v>
      </c>
      <c r="Q29" s="15">
        <f>1</f>
        <v>1</v>
      </c>
      <c r="R29" s="15">
        <f>1</f>
        <v>1</v>
      </c>
      <c r="S29" s="17" t="s">
        <v>9</v>
      </c>
      <c r="T29" s="15">
        <f t="shared" si="8"/>
        <v>0.65900000000000003</v>
      </c>
      <c r="U29" s="16">
        <f>5</f>
        <v>5</v>
      </c>
    </row>
    <row r="30" spans="1:21" x14ac:dyDescent="0.55000000000000004">
      <c r="A30" s="8">
        <f t="shared" si="9"/>
        <v>21</v>
      </c>
      <c r="B30" s="8">
        <v>0.15</v>
      </c>
      <c r="C30" s="8">
        <f>1</f>
        <v>1</v>
      </c>
      <c r="D30" s="8">
        <f t="shared" si="10"/>
        <v>0.15</v>
      </c>
      <c r="E30" s="8">
        <f>0.329</f>
        <v>0.32900000000000001</v>
      </c>
      <c r="F30" s="8">
        <f>1</f>
        <v>1</v>
      </c>
      <c r="G30" s="8">
        <f>1</f>
        <v>1</v>
      </c>
      <c r="H30" s="9" t="s">
        <v>9</v>
      </c>
      <c r="I30" s="8">
        <f t="shared" si="6"/>
        <v>0.32900000000000001</v>
      </c>
      <c r="J30" s="5">
        <f>5</f>
        <v>5</v>
      </c>
      <c r="L30" s="15">
        <f t="shared" si="7"/>
        <v>20</v>
      </c>
      <c r="M30" s="15">
        <f>2.71</f>
        <v>2.71</v>
      </c>
      <c r="N30" s="15">
        <f>1</f>
        <v>1</v>
      </c>
      <c r="O30" s="15">
        <f t="shared" si="11"/>
        <v>2.71</v>
      </c>
      <c r="P30" s="15">
        <f>4.313</f>
        <v>4.3129999999999997</v>
      </c>
      <c r="Q30" s="15">
        <f>1</f>
        <v>1</v>
      </c>
      <c r="R30" s="15">
        <f>1</f>
        <v>1</v>
      </c>
      <c r="S30" s="17" t="s">
        <v>9</v>
      </c>
      <c r="T30" s="15">
        <f t="shared" si="8"/>
        <v>4.3129999999999997</v>
      </c>
      <c r="U30" s="16">
        <f>5</f>
        <v>5</v>
      </c>
    </row>
    <row r="31" spans="1:21" x14ac:dyDescent="0.55000000000000004">
      <c r="A31" s="8">
        <f t="shared" si="9"/>
        <v>22</v>
      </c>
      <c r="B31" s="8">
        <v>0.14699999999999999</v>
      </c>
      <c r="C31" s="8">
        <f>1</f>
        <v>1</v>
      </c>
      <c r="D31" s="8">
        <f t="shared" si="10"/>
        <v>0.14699999999999999</v>
      </c>
      <c r="E31" s="8">
        <f>9.704</f>
        <v>9.7040000000000006</v>
      </c>
      <c r="F31" s="8">
        <f>1</f>
        <v>1</v>
      </c>
      <c r="G31" s="8">
        <f>1</f>
        <v>1</v>
      </c>
      <c r="H31" s="9" t="s">
        <v>9</v>
      </c>
      <c r="I31" s="8">
        <f t="shared" si="6"/>
        <v>9.7040000000000006</v>
      </c>
      <c r="J31" s="5">
        <f>5</f>
        <v>5</v>
      </c>
      <c r="L31" s="15">
        <f t="shared" si="7"/>
        <v>21</v>
      </c>
      <c r="M31" s="15">
        <f>2.526</f>
        <v>2.5259999999999998</v>
      </c>
      <c r="N31" s="15">
        <f>1</f>
        <v>1</v>
      </c>
      <c r="O31" s="15">
        <f t="shared" si="11"/>
        <v>2.5259999999999998</v>
      </c>
      <c r="P31" s="15">
        <f>1.372</f>
        <v>1.3720000000000001</v>
      </c>
      <c r="Q31" s="15">
        <f>1</f>
        <v>1</v>
      </c>
      <c r="R31" s="15">
        <f>1</f>
        <v>1</v>
      </c>
      <c r="S31" s="17" t="s">
        <v>9</v>
      </c>
      <c r="T31" s="15">
        <f t="shared" si="8"/>
        <v>1.3720000000000001</v>
      </c>
      <c r="U31" s="16">
        <f>5</f>
        <v>5</v>
      </c>
    </row>
    <row r="32" spans="1:21" x14ac:dyDescent="0.55000000000000004">
      <c r="A32" s="8">
        <f t="shared" si="9"/>
        <v>23</v>
      </c>
      <c r="B32" s="8">
        <v>0.159</v>
      </c>
      <c r="C32" s="8">
        <f>1</f>
        <v>1</v>
      </c>
      <c r="D32" s="8">
        <f t="shared" si="10"/>
        <v>0.159</v>
      </c>
      <c r="E32" s="8">
        <f>1.985</f>
        <v>1.9850000000000001</v>
      </c>
      <c r="F32" s="8">
        <f>1</f>
        <v>1</v>
      </c>
      <c r="G32" s="8">
        <f>1</f>
        <v>1</v>
      </c>
      <c r="H32" s="9" t="s">
        <v>9</v>
      </c>
      <c r="I32" s="8">
        <f t="shared" si="6"/>
        <v>1.9850000000000001</v>
      </c>
      <c r="J32" s="5">
        <f>5</f>
        <v>5</v>
      </c>
      <c r="L32" s="15">
        <f t="shared" si="7"/>
        <v>22</v>
      </c>
      <c r="M32" s="15">
        <f>3.159</f>
        <v>3.1589999999999998</v>
      </c>
      <c r="N32" s="15">
        <f>1</f>
        <v>1</v>
      </c>
      <c r="O32" s="15">
        <f t="shared" si="11"/>
        <v>3.1589999999999998</v>
      </c>
      <c r="P32" s="15">
        <f>4.161</f>
        <v>4.1609999999999996</v>
      </c>
      <c r="Q32" s="15">
        <f>1</f>
        <v>1</v>
      </c>
      <c r="R32" s="15">
        <f>1</f>
        <v>1</v>
      </c>
      <c r="S32" s="17" t="s">
        <v>9</v>
      </c>
      <c r="T32" s="15">
        <f t="shared" si="8"/>
        <v>4.1609999999999996</v>
      </c>
      <c r="U32" s="16">
        <f>5</f>
        <v>5</v>
      </c>
    </row>
    <row r="33" spans="1:21" x14ac:dyDescent="0.55000000000000004">
      <c r="A33" s="8">
        <f t="shared" si="9"/>
        <v>24</v>
      </c>
      <c r="B33" s="8">
        <v>0.25600000000000001</v>
      </c>
      <c r="C33" s="8">
        <f>1</f>
        <v>1</v>
      </c>
      <c r="D33" s="8">
        <f t="shared" si="10"/>
        <v>0.25600000000000001</v>
      </c>
      <c r="E33" s="8">
        <f>11.21</f>
        <v>11.21</v>
      </c>
      <c r="F33" s="8">
        <f>1</f>
        <v>1</v>
      </c>
      <c r="G33" s="8">
        <f>1</f>
        <v>1</v>
      </c>
      <c r="H33" s="9" t="s">
        <v>9</v>
      </c>
      <c r="I33" s="8">
        <f t="shared" si="6"/>
        <v>11.21</v>
      </c>
      <c r="J33" s="5">
        <f>5</f>
        <v>5</v>
      </c>
      <c r="L33" s="15">
        <f t="shared" si="7"/>
        <v>23</v>
      </c>
      <c r="M33" s="15">
        <f>3.514</f>
        <v>3.5139999999999998</v>
      </c>
      <c r="N33" s="15">
        <f>1</f>
        <v>1</v>
      </c>
      <c r="O33" s="15">
        <f t="shared" si="11"/>
        <v>3.5139999999999998</v>
      </c>
      <c r="P33" s="15">
        <f>4.381</f>
        <v>4.3810000000000002</v>
      </c>
      <c r="Q33" s="15">
        <f>1</f>
        <v>1</v>
      </c>
      <c r="R33" s="15">
        <f>1</f>
        <v>1</v>
      </c>
      <c r="S33" s="17" t="s">
        <v>9</v>
      </c>
      <c r="T33" s="15">
        <f t="shared" si="8"/>
        <v>4.3810000000000002</v>
      </c>
      <c r="U33" s="16">
        <f>5</f>
        <v>5</v>
      </c>
    </row>
    <row r="34" spans="1:21" x14ac:dyDescent="0.55000000000000004">
      <c r="A34" s="8">
        <f t="shared" si="9"/>
        <v>25</v>
      </c>
      <c r="B34" s="8">
        <v>0.19800000000000001</v>
      </c>
      <c r="C34" s="8">
        <f>1</f>
        <v>1</v>
      </c>
      <c r="D34" s="8">
        <f t="shared" si="10"/>
        <v>0.19800000000000001</v>
      </c>
      <c r="E34" s="8">
        <f>2.266</f>
        <v>2.266</v>
      </c>
      <c r="F34" s="8">
        <f>1</f>
        <v>1</v>
      </c>
      <c r="G34" s="8">
        <f>1</f>
        <v>1</v>
      </c>
      <c r="H34" s="9" t="s">
        <v>9</v>
      </c>
      <c r="I34" s="8">
        <f t="shared" si="6"/>
        <v>2.266</v>
      </c>
      <c r="J34" s="5">
        <f>5</f>
        <v>5</v>
      </c>
      <c r="L34" s="15">
        <f t="shared" si="7"/>
        <v>24</v>
      </c>
      <c r="M34" s="15">
        <f>2.712</f>
        <v>2.7120000000000002</v>
      </c>
      <c r="N34" s="15">
        <f>1</f>
        <v>1</v>
      </c>
      <c r="O34" s="15">
        <f t="shared" si="11"/>
        <v>2.7120000000000002</v>
      </c>
      <c r="P34" s="15">
        <f>4.539</f>
        <v>4.5389999999999997</v>
      </c>
      <c r="Q34" s="15">
        <f>1</f>
        <v>1</v>
      </c>
      <c r="R34" s="15">
        <f>1</f>
        <v>1</v>
      </c>
      <c r="S34" s="17" t="s">
        <v>9</v>
      </c>
      <c r="T34" s="15">
        <f t="shared" si="8"/>
        <v>4.5389999999999997</v>
      </c>
      <c r="U34" s="16">
        <f>5</f>
        <v>5</v>
      </c>
    </row>
    <row r="35" spans="1:21" x14ac:dyDescent="0.55000000000000004">
      <c r="A35" s="8">
        <f t="shared" si="9"/>
        <v>26</v>
      </c>
      <c r="B35" s="8">
        <v>0.192</v>
      </c>
      <c r="C35" s="8">
        <f>1</f>
        <v>1</v>
      </c>
      <c r="D35" s="8">
        <f t="shared" si="10"/>
        <v>0.192</v>
      </c>
      <c r="E35" s="8">
        <f>8.781</f>
        <v>8.7810000000000006</v>
      </c>
      <c r="F35" s="8">
        <f>1</f>
        <v>1</v>
      </c>
      <c r="G35" s="8">
        <f>1</f>
        <v>1</v>
      </c>
      <c r="H35" s="9" t="s">
        <v>9</v>
      </c>
      <c r="I35" s="8">
        <f t="shared" si="6"/>
        <v>8.7810000000000006</v>
      </c>
      <c r="J35" s="5">
        <f>5</f>
        <v>5</v>
      </c>
      <c r="L35" s="15">
        <f t="shared" si="7"/>
        <v>25</v>
      </c>
      <c r="M35" s="15">
        <f>4.142</f>
        <v>4.1420000000000003</v>
      </c>
      <c r="N35" s="15">
        <f>1</f>
        <v>1</v>
      </c>
      <c r="O35" s="15">
        <f t="shared" si="11"/>
        <v>4.1420000000000003</v>
      </c>
      <c r="P35" s="15">
        <f>3.74</f>
        <v>3.74</v>
      </c>
      <c r="Q35" s="15">
        <f>1</f>
        <v>1</v>
      </c>
      <c r="R35" s="15">
        <f>1</f>
        <v>1</v>
      </c>
      <c r="S35" s="17" t="s">
        <v>9</v>
      </c>
      <c r="T35" s="15">
        <f t="shared" si="8"/>
        <v>3.74</v>
      </c>
      <c r="U35" s="16">
        <f>5</f>
        <v>5</v>
      </c>
    </row>
    <row r="36" spans="1:21" x14ac:dyDescent="0.55000000000000004">
      <c r="A36" s="8">
        <f t="shared" si="9"/>
        <v>27</v>
      </c>
      <c r="B36" s="8">
        <v>0.27600000000000002</v>
      </c>
      <c r="C36" s="8">
        <f>1</f>
        <v>1</v>
      </c>
      <c r="D36" s="8">
        <f t="shared" si="10"/>
        <v>0.27600000000000002</v>
      </c>
      <c r="E36" s="8">
        <f>1.004</f>
        <v>1.004</v>
      </c>
      <c r="F36" s="8">
        <f>1</f>
        <v>1</v>
      </c>
      <c r="G36" s="8">
        <f>1</f>
        <v>1</v>
      </c>
      <c r="H36" s="9" t="s">
        <v>9</v>
      </c>
      <c r="I36" s="8">
        <f t="shared" si="6"/>
        <v>1.004</v>
      </c>
      <c r="J36" s="5">
        <f>5</f>
        <v>5</v>
      </c>
      <c r="L36" s="15">
        <f t="shared" si="7"/>
        <v>26</v>
      </c>
      <c r="M36" s="15">
        <f>3.488</f>
        <v>3.488</v>
      </c>
      <c r="N36" s="15">
        <f>1</f>
        <v>1</v>
      </c>
      <c r="O36" s="15">
        <f t="shared" si="11"/>
        <v>3.488</v>
      </c>
      <c r="P36" s="15">
        <f>3.901</f>
        <v>3.9009999999999998</v>
      </c>
      <c r="Q36" s="15">
        <f>1</f>
        <v>1</v>
      </c>
      <c r="R36" s="15">
        <f>1</f>
        <v>1</v>
      </c>
      <c r="S36" s="17" t="s">
        <v>9</v>
      </c>
      <c r="T36" s="15">
        <f t="shared" si="8"/>
        <v>3.9009999999999998</v>
      </c>
      <c r="U36" s="16">
        <f>5</f>
        <v>5</v>
      </c>
    </row>
    <row r="37" spans="1:21" x14ac:dyDescent="0.55000000000000004">
      <c r="A37" s="8">
        <f t="shared" si="9"/>
        <v>28</v>
      </c>
      <c r="B37" s="8">
        <v>0.23699999999999999</v>
      </c>
      <c r="C37" s="8">
        <f>1</f>
        <v>1</v>
      </c>
      <c r="D37" s="8">
        <f t="shared" si="10"/>
        <v>0.23699999999999999</v>
      </c>
      <c r="E37" s="8">
        <f>9.979</f>
        <v>9.9789999999999992</v>
      </c>
      <c r="F37" s="8">
        <f>1</f>
        <v>1</v>
      </c>
      <c r="G37" s="8">
        <f>1</f>
        <v>1</v>
      </c>
      <c r="H37" s="9" t="s">
        <v>9</v>
      </c>
      <c r="I37" s="8">
        <f t="shared" si="6"/>
        <v>9.9789999999999992</v>
      </c>
      <c r="J37" s="5">
        <f>5</f>
        <v>5</v>
      </c>
      <c r="L37" s="15">
        <f t="shared" si="7"/>
        <v>27</v>
      </c>
      <c r="M37" s="15">
        <f>3.646</f>
        <v>3.6459999999999999</v>
      </c>
      <c r="N37" s="15">
        <f>1</f>
        <v>1</v>
      </c>
      <c r="O37" s="15">
        <f t="shared" si="11"/>
        <v>3.6459999999999999</v>
      </c>
      <c r="P37" s="15">
        <f>4.128</f>
        <v>4.1280000000000001</v>
      </c>
      <c r="Q37" s="15">
        <f>1</f>
        <v>1</v>
      </c>
      <c r="R37" s="15">
        <f>1</f>
        <v>1</v>
      </c>
      <c r="S37" s="17" t="s">
        <v>9</v>
      </c>
      <c r="T37" s="15">
        <f t="shared" si="8"/>
        <v>4.1280000000000001</v>
      </c>
      <c r="U37" s="16">
        <f>5</f>
        <v>5</v>
      </c>
    </row>
    <row r="38" spans="1:21" x14ac:dyDescent="0.55000000000000004">
      <c r="A38" s="8">
        <f t="shared" si="9"/>
        <v>29</v>
      </c>
      <c r="B38" s="8">
        <v>0.16700000000000001</v>
      </c>
      <c r="C38" s="8">
        <f>1</f>
        <v>1</v>
      </c>
      <c r="D38" s="8">
        <f t="shared" si="10"/>
        <v>0.16700000000000001</v>
      </c>
      <c r="E38" s="8">
        <f>1.205</f>
        <v>1.2050000000000001</v>
      </c>
      <c r="F38" s="8">
        <f>1</f>
        <v>1</v>
      </c>
      <c r="G38" s="8">
        <f>1</f>
        <v>1</v>
      </c>
      <c r="H38" s="9" t="s">
        <v>9</v>
      </c>
      <c r="I38" s="8">
        <f t="shared" si="6"/>
        <v>1.2050000000000001</v>
      </c>
      <c r="J38" s="5">
        <f>5</f>
        <v>5</v>
      </c>
      <c r="L38" s="15">
        <f t="shared" si="7"/>
        <v>28</v>
      </c>
      <c r="M38" s="15">
        <f>3.622</f>
        <v>3.6219999999999999</v>
      </c>
      <c r="N38" s="15">
        <f>1</f>
        <v>1</v>
      </c>
      <c r="O38" s="15">
        <f t="shared" si="11"/>
        <v>3.6219999999999999</v>
      </c>
      <c r="P38" s="15">
        <f>3.807</f>
        <v>3.8069999999999999</v>
      </c>
      <c r="Q38" s="15">
        <f>1</f>
        <v>1</v>
      </c>
      <c r="R38" s="15">
        <f>1</f>
        <v>1</v>
      </c>
      <c r="S38" s="17" t="s">
        <v>9</v>
      </c>
      <c r="T38" s="15">
        <f t="shared" si="8"/>
        <v>3.8069999999999999</v>
      </c>
      <c r="U38" s="16">
        <f>5</f>
        <v>5</v>
      </c>
    </row>
    <row r="39" spans="1:21" x14ac:dyDescent="0.55000000000000004">
      <c r="A39" s="8">
        <f t="shared" si="9"/>
        <v>30</v>
      </c>
      <c r="B39" s="8">
        <v>0.10299999999999999</v>
      </c>
      <c r="C39" s="8">
        <f>1</f>
        <v>1</v>
      </c>
      <c r="D39" s="8">
        <f t="shared" si="10"/>
        <v>0.10299999999999999</v>
      </c>
      <c r="E39" s="8">
        <f>8.945</f>
        <v>8.9450000000000003</v>
      </c>
      <c r="F39" s="8">
        <f>1</f>
        <v>1</v>
      </c>
      <c r="G39" s="8">
        <f>1</f>
        <v>1</v>
      </c>
      <c r="H39" s="9" t="s">
        <v>9</v>
      </c>
      <c r="I39" s="8">
        <f t="shared" si="6"/>
        <v>8.9450000000000003</v>
      </c>
      <c r="J39" s="5">
        <f>5</f>
        <v>5</v>
      </c>
      <c r="L39" s="15">
        <f t="shared" si="7"/>
        <v>29</v>
      </c>
      <c r="M39" s="15">
        <f>4.124</f>
        <v>4.1239999999999997</v>
      </c>
      <c r="N39" s="15">
        <f>1</f>
        <v>1</v>
      </c>
      <c r="O39" s="15">
        <f t="shared" si="11"/>
        <v>4.1239999999999997</v>
      </c>
      <c r="P39" s="15">
        <f>3.248</f>
        <v>3.2480000000000002</v>
      </c>
      <c r="Q39" s="15">
        <f>1</f>
        <v>1</v>
      </c>
      <c r="R39" s="15">
        <f>1</f>
        <v>1</v>
      </c>
      <c r="S39" s="17" t="s">
        <v>9</v>
      </c>
      <c r="T39" s="15">
        <f t="shared" si="8"/>
        <v>3.2480000000000002</v>
      </c>
      <c r="U39" s="16">
        <f>5</f>
        <v>5</v>
      </c>
    </row>
    <row r="40" spans="1:21" x14ac:dyDescent="0.55000000000000004">
      <c r="A40" s="8"/>
      <c r="B40" s="9" t="s">
        <v>8</v>
      </c>
      <c r="C40" s="9" t="s">
        <v>8</v>
      </c>
      <c r="D40" s="9" t="s">
        <v>8</v>
      </c>
      <c r="E40" s="9" t="s">
        <v>8</v>
      </c>
      <c r="F40" s="9" t="s">
        <v>8</v>
      </c>
      <c r="G40" s="9" t="s">
        <v>8</v>
      </c>
      <c r="H40" s="9" t="s">
        <v>8</v>
      </c>
      <c r="I40" s="9" t="s">
        <v>8</v>
      </c>
      <c r="J40" s="9" t="s">
        <v>8</v>
      </c>
      <c r="L40" s="15">
        <f t="shared" si="7"/>
        <v>30</v>
      </c>
      <c r="M40" s="15">
        <f>3.144</f>
        <v>3.1440000000000001</v>
      </c>
      <c r="N40" s="15">
        <f>1</f>
        <v>1</v>
      </c>
      <c r="O40" s="15">
        <f t="shared" si="11"/>
        <v>3.1440000000000001</v>
      </c>
      <c r="P40" s="15">
        <f>4.61</f>
        <v>4.6100000000000003</v>
      </c>
      <c r="Q40" s="15">
        <f>1</f>
        <v>1</v>
      </c>
      <c r="R40" s="15">
        <f>1</f>
        <v>1</v>
      </c>
      <c r="S40" s="17" t="s">
        <v>9</v>
      </c>
      <c r="T40" s="15">
        <f t="shared" si="8"/>
        <v>4.6100000000000003</v>
      </c>
      <c r="U40" s="16">
        <f>5</f>
        <v>5</v>
      </c>
    </row>
    <row r="41" spans="1:21" x14ac:dyDescent="0.55000000000000004">
      <c r="A41" s="3"/>
      <c r="B41" s="3"/>
      <c r="C41" s="3"/>
      <c r="D41" s="3"/>
      <c r="E41" s="3"/>
      <c r="F41" s="3"/>
      <c r="G41" s="3"/>
      <c r="H41" s="3"/>
      <c r="I41" s="3"/>
      <c r="J41" s="5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43.2" x14ac:dyDescent="0.55000000000000004">
      <c r="A42" s="6" t="s">
        <v>4</v>
      </c>
      <c r="B42" s="7" t="s">
        <v>5</v>
      </c>
      <c r="C42" s="7" t="s">
        <v>15</v>
      </c>
      <c r="D42" s="7" t="s">
        <v>13</v>
      </c>
      <c r="E42" s="7" t="s">
        <v>6</v>
      </c>
      <c r="F42" s="7" t="s">
        <v>16</v>
      </c>
      <c r="G42" s="7" t="s">
        <v>17</v>
      </c>
      <c r="H42" s="7" t="s">
        <v>10</v>
      </c>
      <c r="I42" s="7" t="s">
        <v>12</v>
      </c>
      <c r="J42" s="7" t="s">
        <v>14</v>
      </c>
      <c r="L42" s="13" t="s">
        <v>4</v>
      </c>
      <c r="M42" s="14" t="s">
        <v>5</v>
      </c>
      <c r="N42" s="14" t="s">
        <v>15</v>
      </c>
      <c r="O42" s="14" t="s">
        <v>13</v>
      </c>
      <c r="P42" s="14" t="s">
        <v>6</v>
      </c>
      <c r="Q42" s="14" t="s">
        <v>16</v>
      </c>
      <c r="R42" s="14" t="s">
        <v>17</v>
      </c>
      <c r="S42" s="14" t="s">
        <v>10</v>
      </c>
      <c r="T42" s="14" t="s">
        <v>12</v>
      </c>
      <c r="U42" s="14" t="s">
        <v>14</v>
      </c>
    </row>
    <row r="43" spans="1:21" x14ac:dyDescent="0.55000000000000004">
      <c r="A43" s="3"/>
      <c r="B43" s="3"/>
      <c r="C43" s="3"/>
      <c r="D43" s="3"/>
      <c r="E43" s="3"/>
      <c r="F43" s="3"/>
      <c r="G43" s="3"/>
      <c r="H43" s="3"/>
      <c r="I43" s="3"/>
      <c r="J43" s="5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55000000000000004">
      <c r="A44" s="8">
        <f>1</f>
        <v>1</v>
      </c>
      <c r="B44" s="8">
        <f>0.336</f>
        <v>0.33600000000000002</v>
      </c>
      <c r="C44" s="8">
        <f>16</f>
        <v>16</v>
      </c>
      <c r="D44" s="8">
        <f>B44/C44</f>
        <v>2.1000000000000001E-2</v>
      </c>
      <c r="E44" s="8">
        <f>6.863</f>
        <v>6.8630000000000004</v>
      </c>
      <c r="F44" s="8">
        <v>16</v>
      </c>
      <c r="G44" s="8">
        <f>0</f>
        <v>0</v>
      </c>
      <c r="H44" s="10" t="s">
        <v>7</v>
      </c>
      <c r="I44" s="9" t="s">
        <v>8</v>
      </c>
      <c r="J44" s="5">
        <f>5</f>
        <v>5</v>
      </c>
      <c r="L44" s="15">
        <f>1</f>
        <v>1</v>
      </c>
      <c r="M44" s="15">
        <f>3.06</f>
        <v>3.06</v>
      </c>
      <c r="N44" s="15">
        <f>16</f>
        <v>16</v>
      </c>
      <c r="O44" s="15">
        <f t="shared" ref="O44:O53" si="12">M44/N44</f>
        <v>0.19125</v>
      </c>
      <c r="P44" s="15">
        <f>0.731</f>
        <v>0.73099999999999998</v>
      </c>
      <c r="Q44" s="15">
        <v>16</v>
      </c>
      <c r="R44" s="15">
        <v>16</v>
      </c>
      <c r="S44" s="17" t="s">
        <v>9</v>
      </c>
      <c r="T44" s="15">
        <f t="shared" ref="T44" si="13">P44/R44</f>
        <v>4.5687499999999999E-2</v>
      </c>
      <c r="U44" s="16">
        <f>5</f>
        <v>5</v>
      </c>
    </row>
    <row r="45" spans="1:21" x14ac:dyDescent="0.55000000000000004">
      <c r="A45" s="8">
        <f>1</f>
        <v>1</v>
      </c>
      <c r="B45" s="9" t="s">
        <v>8</v>
      </c>
      <c r="C45" s="9" t="s">
        <v>8</v>
      </c>
      <c r="D45" s="9" t="s">
        <v>8</v>
      </c>
      <c r="E45" s="8">
        <f>5.015</f>
        <v>5.0149999999999997</v>
      </c>
      <c r="F45" s="8">
        <f>16</f>
        <v>16</v>
      </c>
      <c r="G45" s="8">
        <f>16</f>
        <v>16</v>
      </c>
      <c r="H45" s="9" t="s">
        <v>9</v>
      </c>
      <c r="I45" s="8">
        <f t="shared" ref="I45:I54" si="14">E45/G45</f>
        <v>0.31343749999999998</v>
      </c>
      <c r="J45" s="5">
        <f>5</f>
        <v>5</v>
      </c>
      <c r="L45" s="15">
        <f t="shared" ref="L45:L53" si="15">L44+1</f>
        <v>2</v>
      </c>
      <c r="M45" s="15">
        <f>3.553</f>
        <v>3.5529999999999999</v>
      </c>
      <c r="N45" s="15">
        <f>16</f>
        <v>16</v>
      </c>
      <c r="O45" s="15">
        <f t="shared" si="12"/>
        <v>0.2220625</v>
      </c>
      <c r="P45" s="15">
        <f>4.094</f>
        <v>4.0940000000000003</v>
      </c>
      <c r="Q45" s="15">
        <v>16</v>
      </c>
      <c r="R45" s="15">
        <v>16</v>
      </c>
      <c r="S45" s="17" t="s">
        <v>9</v>
      </c>
      <c r="T45" s="15">
        <f t="shared" ref="T45" si="16">P45/R45</f>
        <v>0.25587500000000002</v>
      </c>
      <c r="U45" s="16">
        <f>5</f>
        <v>5</v>
      </c>
    </row>
    <row r="46" spans="1:21" x14ac:dyDescent="0.55000000000000004">
      <c r="A46" s="8">
        <f>A45+1</f>
        <v>2</v>
      </c>
      <c r="B46" s="8">
        <v>0.223</v>
      </c>
      <c r="C46" s="8">
        <f>16</f>
        <v>16</v>
      </c>
      <c r="D46" s="8">
        <f>B46/C46</f>
        <v>1.39375E-2</v>
      </c>
      <c r="E46" s="8">
        <f>8.444</f>
        <v>8.4440000000000008</v>
      </c>
      <c r="F46" s="8">
        <f>16</f>
        <v>16</v>
      </c>
      <c r="G46" s="8">
        <f>16</f>
        <v>16</v>
      </c>
      <c r="H46" s="9" t="s">
        <v>9</v>
      </c>
      <c r="I46" s="8">
        <f t="shared" si="14"/>
        <v>0.52775000000000005</v>
      </c>
      <c r="J46" s="5">
        <f>5</f>
        <v>5</v>
      </c>
      <c r="L46" s="15">
        <f t="shared" si="15"/>
        <v>3</v>
      </c>
      <c r="M46" s="15">
        <f>3.757</f>
        <v>3.7570000000000001</v>
      </c>
      <c r="N46" s="15">
        <f>16</f>
        <v>16</v>
      </c>
      <c r="O46" s="15">
        <f t="shared" si="12"/>
        <v>0.23481250000000001</v>
      </c>
      <c r="P46" s="15">
        <f>3.464</f>
        <v>3.464</v>
      </c>
      <c r="Q46" s="15">
        <v>16</v>
      </c>
      <c r="R46" s="15">
        <v>16</v>
      </c>
      <c r="S46" s="17" t="s">
        <v>9</v>
      </c>
      <c r="T46" s="15">
        <f t="shared" ref="T46" si="17">P46/R46</f>
        <v>0.2165</v>
      </c>
      <c r="U46" s="16">
        <f>5</f>
        <v>5</v>
      </c>
    </row>
    <row r="47" spans="1:21" x14ac:dyDescent="0.55000000000000004">
      <c r="A47" s="8">
        <f>A46+1</f>
        <v>3</v>
      </c>
      <c r="B47" s="8">
        <v>0.252</v>
      </c>
      <c r="C47" s="8">
        <f>16</f>
        <v>16</v>
      </c>
      <c r="D47" s="8">
        <f>B47/C47</f>
        <v>1.575E-2</v>
      </c>
      <c r="E47" s="8">
        <f>3.886</f>
        <v>3.8860000000000001</v>
      </c>
      <c r="F47" s="8">
        <f>16</f>
        <v>16</v>
      </c>
      <c r="G47" s="8">
        <f>16</f>
        <v>16</v>
      </c>
      <c r="H47" s="9" t="s">
        <v>9</v>
      </c>
      <c r="I47" s="8">
        <f t="shared" si="14"/>
        <v>0.24287500000000001</v>
      </c>
      <c r="J47" s="5">
        <f>5</f>
        <v>5</v>
      </c>
      <c r="L47" s="15">
        <f t="shared" si="15"/>
        <v>4</v>
      </c>
      <c r="M47" s="15">
        <f>2.571</f>
        <v>2.5710000000000002</v>
      </c>
      <c r="N47" s="15">
        <f>16</f>
        <v>16</v>
      </c>
      <c r="O47" s="15">
        <f t="shared" si="12"/>
        <v>0.16068750000000001</v>
      </c>
      <c r="P47" s="15">
        <f>5.09</f>
        <v>5.09</v>
      </c>
      <c r="Q47" s="15">
        <v>16</v>
      </c>
      <c r="R47" s="15">
        <v>16</v>
      </c>
      <c r="S47" s="17" t="s">
        <v>9</v>
      </c>
      <c r="T47" s="15">
        <f t="shared" ref="T47" si="18">P47/R47</f>
        <v>0.31812499999999999</v>
      </c>
      <c r="U47" s="16">
        <f>5</f>
        <v>5</v>
      </c>
    </row>
    <row r="48" spans="1:21" x14ac:dyDescent="0.55000000000000004">
      <c r="A48" s="8">
        <f>A47+1</f>
        <v>4</v>
      </c>
      <c r="B48" s="8">
        <v>0.17100000000000001</v>
      </c>
      <c r="C48" s="8">
        <f>16</f>
        <v>16</v>
      </c>
      <c r="D48" s="8">
        <f>B48/C48</f>
        <v>1.0687500000000001E-2</v>
      </c>
      <c r="E48" s="8">
        <f>14.578</f>
        <v>14.577999999999999</v>
      </c>
      <c r="F48" s="8">
        <f>16</f>
        <v>16</v>
      </c>
      <c r="G48" s="8">
        <f>16</f>
        <v>16</v>
      </c>
      <c r="H48" s="9" t="s">
        <v>9</v>
      </c>
      <c r="I48" s="8">
        <f t="shared" si="14"/>
        <v>0.91112499999999996</v>
      </c>
      <c r="J48" s="5">
        <f>5</f>
        <v>5</v>
      </c>
      <c r="L48" s="15">
        <f t="shared" si="15"/>
        <v>5</v>
      </c>
      <c r="M48" s="15">
        <f>2.649</f>
        <v>2.649</v>
      </c>
      <c r="N48" s="15">
        <f>16</f>
        <v>16</v>
      </c>
      <c r="O48" s="15">
        <f t="shared" si="12"/>
        <v>0.1655625</v>
      </c>
      <c r="P48" s="15">
        <f>4.865</f>
        <v>4.8650000000000002</v>
      </c>
      <c r="Q48" s="15">
        <v>16</v>
      </c>
      <c r="R48" s="15">
        <v>16</v>
      </c>
      <c r="S48" s="17" t="s">
        <v>9</v>
      </c>
      <c r="T48" s="15">
        <f t="shared" ref="T48" si="19">P48/R48</f>
        <v>0.30406250000000001</v>
      </c>
      <c r="U48" s="16">
        <f>5</f>
        <v>5</v>
      </c>
    </row>
    <row r="49" spans="1:21" x14ac:dyDescent="0.55000000000000004">
      <c r="A49" s="8">
        <f>A48+1</f>
        <v>5</v>
      </c>
      <c r="B49" s="8">
        <v>0.35199999999999998</v>
      </c>
      <c r="C49" s="8">
        <f>16</f>
        <v>16</v>
      </c>
      <c r="D49" s="8">
        <f>B49/C49</f>
        <v>2.1999999999999999E-2</v>
      </c>
      <c r="E49" s="8">
        <f>11.189</f>
        <v>11.189</v>
      </c>
      <c r="F49" s="8">
        <f>16</f>
        <v>16</v>
      </c>
      <c r="G49" s="8">
        <f>16</f>
        <v>16</v>
      </c>
      <c r="H49" s="9" t="s">
        <v>9</v>
      </c>
      <c r="I49" s="8">
        <f t="shared" si="14"/>
        <v>0.6993125</v>
      </c>
      <c r="J49" s="5">
        <f>5</f>
        <v>5</v>
      </c>
      <c r="L49" s="15">
        <f t="shared" si="15"/>
        <v>6</v>
      </c>
      <c r="M49" s="15">
        <f>3.843</f>
        <v>3.843</v>
      </c>
      <c r="N49" s="15">
        <f>16</f>
        <v>16</v>
      </c>
      <c r="O49" s="15">
        <f t="shared" si="12"/>
        <v>0.2401875</v>
      </c>
      <c r="P49" s="15">
        <f>3.789</f>
        <v>3.7890000000000001</v>
      </c>
      <c r="Q49" s="15">
        <v>16</v>
      </c>
      <c r="R49" s="15">
        <v>16</v>
      </c>
      <c r="S49" s="17" t="s">
        <v>9</v>
      </c>
      <c r="T49" s="15">
        <f t="shared" ref="T49" si="20">P49/R49</f>
        <v>0.23681250000000001</v>
      </c>
      <c r="U49" s="16">
        <f>5</f>
        <v>5</v>
      </c>
    </row>
    <row r="50" spans="1:21" x14ac:dyDescent="0.55000000000000004">
      <c r="A50" s="8">
        <f>A49+1</f>
        <v>6</v>
      </c>
      <c r="B50" s="8">
        <v>0.498</v>
      </c>
      <c r="C50" s="8">
        <f>16</f>
        <v>16</v>
      </c>
      <c r="D50" s="8">
        <f>B50/C50</f>
        <v>3.1125E-2</v>
      </c>
      <c r="E50" s="8">
        <f>14.626</f>
        <v>14.625999999999999</v>
      </c>
      <c r="F50" s="8">
        <f>16</f>
        <v>16</v>
      </c>
      <c r="G50" s="8">
        <f>10</f>
        <v>10</v>
      </c>
      <c r="H50" s="9" t="s">
        <v>9</v>
      </c>
      <c r="I50" s="8">
        <f t="shared" si="14"/>
        <v>1.4625999999999999</v>
      </c>
      <c r="J50" s="5">
        <f>5</f>
        <v>5</v>
      </c>
      <c r="L50" s="15">
        <f t="shared" si="15"/>
        <v>7</v>
      </c>
      <c r="M50" s="15">
        <f>3.388</f>
        <v>3.3879999999999999</v>
      </c>
      <c r="N50" s="15">
        <f>16</f>
        <v>16</v>
      </c>
      <c r="O50" s="15">
        <f t="shared" si="12"/>
        <v>0.21174999999999999</v>
      </c>
      <c r="P50" s="15">
        <f>3.844</f>
        <v>3.8439999999999999</v>
      </c>
      <c r="Q50" s="15">
        <v>16</v>
      </c>
      <c r="R50" s="15">
        <v>16</v>
      </c>
      <c r="S50" s="17" t="s">
        <v>9</v>
      </c>
      <c r="T50" s="15">
        <f t="shared" ref="T50" si="21">P50/R50</f>
        <v>0.24024999999999999</v>
      </c>
      <c r="U50" s="16">
        <f>5</f>
        <v>5</v>
      </c>
    </row>
    <row r="51" spans="1:21" x14ac:dyDescent="0.55000000000000004">
      <c r="A51" s="8">
        <f>A50</f>
        <v>6</v>
      </c>
      <c r="B51" s="9" t="s">
        <v>8</v>
      </c>
      <c r="C51" s="9" t="s">
        <v>8</v>
      </c>
      <c r="D51" s="9" t="s">
        <v>8</v>
      </c>
      <c r="E51" s="8">
        <f>2.305</f>
        <v>2.3050000000000002</v>
      </c>
      <c r="F51" s="8">
        <f>6</f>
        <v>6</v>
      </c>
      <c r="G51" s="8">
        <f>6</f>
        <v>6</v>
      </c>
      <c r="H51" s="9" t="s">
        <v>9</v>
      </c>
      <c r="I51" s="8">
        <f t="shared" si="14"/>
        <v>0.38416666666666671</v>
      </c>
      <c r="J51" s="5">
        <f>5</f>
        <v>5</v>
      </c>
      <c r="L51" s="15">
        <f t="shared" si="15"/>
        <v>8</v>
      </c>
      <c r="M51" s="15">
        <f>3443</f>
        <v>3443</v>
      </c>
      <c r="N51" s="15">
        <f>16</f>
        <v>16</v>
      </c>
      <c r="O51" s="15">
        <f t="shared" si="12"/>
        <v>215.1875</v>
      </c>
      <c r="P51" s="15">
        <f>4.1</f>
        <v>4.0999999999999996</v>
      </c>
      <c r="Q51" s="15">
        <v>16</v>
      </c>
      <c r="R51" s="15">
        <v>16</v>
      </c>
      <c r="S51" s="17" t="s">
        <v>9</v>
      </c>
      <c r="T51" s="15">
        <f t="shared" ref="T51" si="22">P51/R51</f>
        <v>0.25624999999999998</v>
      </c>
      <c r="U51" s="16">
        <f>5</f>
        <v>5</v>
      </c>
    </row>
    <row r="52" spans="1:21" x14ac:dyDescent="0.55000000000000004">
      <c r="A52" s="8">
        <f>A51+1</f>
        <v>7</v>
      </c>
      <c r="B52" s="8">
        <v>0.41799999999999998</v>
      </c>
      <c r="C52" s="8">
        <f>16</f>
        <v>16</v>
      </c>
      <c r="D52" s="8">
        <f>B52/C52</f>
        <v>2.6124999999999999E-2</v>
      </c>
      <c r="E52" s="8">
        <f>4.606</f>
        <v>4.6059999999999999</v>
      </c>
      <c r="F52" s="8">
        <f>16</f>
        <v>16</v>
      </c>
      <c r="G52" s="8">
        <f>16</f>
        <v>16</v>
      </c>
      <c r="H52" s="9" t="s">
        <v>9</v>
      </c>
      <c r="I52" s="8">
        <f t="shared" si="14"/>
        <v>0.28787499999999999</v>
      </c>
      <c r="J52" s="5">
        <f>5</f>
        <v>5</v>
      </c>
      <c r="L52" s="15">
        <f t="shared" si="15"/>
        <v>9</v>
      </c>
      <c r="M52" s="15">
        <f>2.139</f>
        <v>2.1389999999999998</v>
      </c>
      <c r="N52" s="15">
        <f>16</f>
        <v>16</v>
      </c>
      <c r="O52" s="15">
        <f t="shared" si="12"/>
        <v>0.13368749999999999</v>
      </c>
      <c r="P52" s="15">
        <f>5.294</f>
        <v>5.2939999999999996</v>
      </c>
      <c r="Q52" s="15">
        <v>16</v>
      </c>
      <c r="R52" s="15">
        <v>16</v>
      </c>
      <c r="S52" s="17" t="s">
        <v>9</v>
      </c>
      <c r="T52" s="15">
        <f t="shared" ref="T52:T54" si="23">P52/R52</f>
        <v>0.33087499999999997</v>
      </c>
      <c r="U52" s="16">
        <f>5</f>
        <v>5</v>
      </c>
    </row>
    <row r="53" spans="1:21" x14ac:dyDescent="0.55000000000000004">
      <c r="A53" s="8">
        <f>A52+1</f>
        <v>8</v>
      </c>
      <c r="B53" s="8">
        <v>0.30099999999999999</v>
      </c>
      <c r="C53" s="8">
        <f>16</f>
        <v>16</v>
      </c>
      <c r="D53" s="8">
        <f>B53/C53</f>
        <v>1.8812499999999999E-2</v>
      </c>
      <c r="E53" s="8">
        <f>9.53</f>
        <v>9.5299999999999994</v>
      </c>
      <c r="F53" s="8">
        <f>16</f>
        <v>16</v>
      </c>
      <c r="G53" s="8">
        <f>16</f>
        <v>16</v>
      </c>
      <c r="H53" s="9" t="s">
        <v>9</v>
      </c>
      <c r="I53" s="8">
        <f t="shared" si="14"/>
        <v>0.59562499999999996</v>
      </c>
      <c r="J53" s="5">
        <f>5</f>
        <v>5</v>
      </c>
      <c r="L53" s="15">
        <f t="shared" si="15"/>
        <v>10</v>
      </c>
      <c r="M53" s="15">
        <f>1.922</f>
        <v>1.9219999999999999</v>
      </c>
      <c r="N53" s="15">
        <f>16</f>
        <v>16</v>
      </c>
      <c r="O53" s="15">
        <f t="shared" si="12"/>
        <v>0.120125</v>
      </c>
      <c r="P53" s="15">
        <f>5.121</f>
        <v>5.1210000000000004</v>
      </c>
      <c r="Q53" s="15">
        <v>16</v>
      </c>
      <c r="R53" s="16">
        <f>0</f>
        <v>0</v>
      </c>
      <c r="S53" s="17" t="s">
        <v>7</v>
      </c>
      <c r="T53" s="17" t="s">
        <v>8</v>
      </c>
      <c r="U53" s="16">
        <f>5</f>
        <v>5</v>
      </c>
    </row>
    <row r="54" spans="1:21" x14ac:dyDescent="0.55000000000000004">
      <c r="A54" s="8">
        <f>A53+1</f>
        <v>9</v>
      </c>
      <c r="B54" s="8">
        <v>0.44800000000000001</v>
      </c>
      <c r="C54" s="8">
        <f>16</f>
        <v>16</v>
      </c>
      <c r="D54" s="8">
        <f>B54/C54</f>
        <v>2.8000000000000001E-2</v>
      </c>
      <c r="E54" s="8">
        <f>4.217</f>
        <v>4.2169999999999996</v>
      </c>
      <c r="F54" s="8">
        <f>16</f>
        <v>16</v>
      </c>
      <c r="G54" s="8">
        <f>16</f>
        <v>16</v>
      </c>
      <c r="H54" s="9" t="s">
        <v>9</v>
      </c>
      <c r="I54" s="8">
        <f t="shared" si="14"/>
        <v>0.26356249999999998</v>
      </c>
      <c r="J54" s="5">
        <f>5</f>
        <v>5</v>
      </c>
      <c r="L54" s="15">
        <f>L53</f>
        <v>10</v>
      </c>
      <c r="M54" s="17" t="s">
        <v>8</v>
      </c>
      <c r="N54" s="17" t="s">
        <v>8</v>
      </c>
      <c r="O54" s="17" t="s">
        <v>8</v>
      </c>
      <c r="P54" s="15">
        <f>0.505</f>
        <v>0.505</v>
      </c>
      <c r="Q54" s="15">
        <v>16</v>
      </c>
      <c r="R54" s="15">
        <v>16</v>
      </c>
      <c r="S54" s="17" t="s">
        <v>9</v>
      </c>
      <c r="T54" s="15">
        <f t="shared" si="23"/>
        <v>3.15625E-2</v>
      </c>
      <c r="U54" s="16">
        <f>5</f>
        <v>5</v>
      </c>
    </row>
    <row r="55" spans="1:21" x14ac:dyDescent="0.55000000000000004">
      <c r="A55" s="8">
        <f>A54+1</f>
        <v>10</v>
      </c>
      <c r="B55" s="8">
        <v>0.25800000000000001</v>
      </c>
      <c r="C55" s="8">
        <f>16</f>
        <v>16</v>
      </c>
      <c r="D55" s="8">
        <f>B55/C55</f>
        <v>1.6125E-2</v>
      </c>
      <c r="E55" s="8">
        <f>14.733</f>
        <v>14.733000000000001</v>
      </c>
      <c r="F55" s="8">
        <f>16</f>
        <v>16</v>
      </c>
      <c r="G55" s="8">
        <v>0</v>
      </c>
      <c r="H55" s="9" t="s">
        <v>7</v>
      </c>
      <c r="I55" s="9" t="s">
        <v>8</v>
      </c>
      <c r="J55" s="5">
        <f>5</f>
        <v>5</v>
      </c>
      <c r="L55" s="15">
        <f t="shared" ref="L55:L74" si="24">L54+1</f>
        <v>11</v>
      </c>
      <c r="M55" s="15">
        <f>1.734</f>
        <v>1.734</v>
      </c>
      <c r="N55" s="15">
        <f>16</f>
        <v>16</v>
      </c>
      <c r="O55" s="15">
        <f t="shared" ref="O55:O74" si="25">M55/N55</f>
        <v>0.108375</v>
      </c>
      <c r="P55" s="15">
        <f>0.478</f>
        <v>0.47799999999999998</v>
      </c>
      <c r="Q55" s="15">
        <v>16</v>
      </c>
      <c r="R55" s="15">
        <v>16</v>
      </c>
      <c r="S55" s="17" t="s">
        <v>9</v>
      </c>
      <c r="T55" s="15">
        <f t="shared" ref="T55" si="26">P55/R55</f>
        <v>2.9874999999999999E-2</v>
      </c>
      <c r="U55" s="16">
        <f>5</f>
        <v>5</v>
      </c>
    </row>
    <row r="56" spans="1:21" x14ac:dyDescent="0.55000000000000004">
      <c r="A56" s="8">
        <f>A55</f>
        <v>10</v>
      </c>
      <c r="B56" s="9" t="s">
        <v>8</v>
      </c>
      <c r="C56" s="9" t="s">
        <v>8</v>
      </c>
      <c r="D56" s="9" t="s">
        <v>8</v>
      </c>
      <c r="E56" s="8">
        <f>0.593</f>
        <v>0.59299999999999997</v>
      </c>
      <c r="F56" s="8">
        <f>16</f>
        <v>16</v>
      </c>
      <c r="G56" s="8">
        <f>16</f>
        <v>16</v>
      </c>
      <c r="H56" s="9" t="s">
        <v>9</v>
      </c>
      <c r="I56" s="8">
        <f t="shared" ref="I56:I77" si="27">E56/G56</f>
        <v>3.7062499999999998E-2</v>
      </c>
      <c r="J56" s="5">
        <f>5</f>
        <v>5</v>
      </c>
      <c r="L56" s="15">
        <f t="shared" si="24"/>
        <v>12</v>
      </c>
      <c r="M56" s="15">
        <f>3.698</f>
        <v>3.698</v>
      </c>
      <c r="N56" s="15">
        <f>16</f>
        <v>16</v>
      </c>
      <c r="O56" s="15">
        <f t="shared" si="25"/>
        <v>0.231125</v>
      </c>
      <c r="P56" s="15">
        <f>4.238</f>
        <v>4.2380000000000004</v>
      </c>
      <c r="Q56" s="15">
        <v>16</v>
      </c>
      <c r="R56" s="15">
        <v>16</v>
      </c>
      <c r="S56" s="17" t="s">
        <v>9</v>
      </c>
      <c r="T56" s="15">
        <f t="shared" ref="T56" si="28">P56/R56</f>
        <v>0.26487500000000003</v>
      </c>
      <c r="U56" s="16">
        <f>5</f>
        <v>5</v>
      </c>
    </row>
    <row r="57" spans="1:21" x14ac:dyDescent="0.55000000000000004">
      <c r="A57" s="8">
        <f t="shared" ref="A57:A62" si="29">A56+1</f>
        <v>11</v>
      </c>
      <c r="B57" s="8">
        <v>0.216</v>
      </c>
      <c r="C57" s="8">
        <f>16</f>
        <v>16</v>
      </c>
      <c r="D57" s="8">
        <f t="shared" ref="D57:D62" si="30">B57/C57</f>
        <v>1.35E-2</v>
      </c>
      <c r="E57" s="8">
        <f>9.345</f>
        <v>9.3450000000000006</v>
      </c>
      <c r="F57" s="8">
        <f>16</f>
        <v>16</v>
      </c>
      <c r="G57" s="8">
        <f>16</f>
        <v>16</v>
      </c>
      <c r="H57" s="9" t="s">
        <v>9</v>
      </c>
      <c r="I57" s="8">
        <f t="shared" si="27"/>
        <v>0.58406250000000004</v>
      </c>
      <c r="J57" s="5">
        <f>5</f>
        <v>5</v>
      </c>
      <c r="L57" s="15">
        <f t="shared" si="24"/>
        <v>13</v>
      </c>
      <c r="M57" s="15">
        <f>4.399</f>
        <v>4.399</v>
      </c>
      <c r="N57" s="15">
        <f>16</f>
        <v>16</v>
      </c>
      <c r="O57" s="15">
        <f t="shared" si="25"/>
        <v>0.2749375</v>
      </c>
      <c r="P57" s="15">
        <f>2.101</f>
        <v>2.101</v>
      </c>
      <c r="Q57" s="15">
        <v>16</v>
      </c>
      <c r="R57" s="15">
        <v>16</v>
      </c>
      <c r="S57" s="17" t="s">
        <v>9</v>
      </c>
      <c r="T57" s="15">
        <f t="shared" ref="T57" si="31">P57/R57</f>
        <v>0.1313125</v>
      </c>
      <c r="U57" s="16">
        <f>5</f>
        <v>5</v>
      </c>
    </row>
    <row r="58" spans="1:21" x14ac:dyDescent="0.55000000000000004">
      <c r="A58" s="8">
        <f t="shared" si="29"/>
        <v>12</v>
      </c>
      <c r="B58" s="8">
        <v>0.16700000000000001</v>
      </c>
      <c r="C58" s="8">
        <f>16</f>
        <v>16</v>
      </c>
      <c r="D58" s="8">
        <f t="shared" si="30"/>
        <v>1.0437500000000001E-2</v>
      </c>
      <c r="E58" s="8">
        <f>12.754</f>
        <v>12.754</v>
      </c>
      <c r="F58" s="8">
        <f>16</f>
        <v>16</v>
      </c>
      <c r="G58" s="8">
        <f>16</f>
        <v>16</v>
      </c>
      <c r="H58" s="9" t="s">
        <v>9</v>
      </c>
      <c r="I58" s="8">
        <f t="shared" si="27"/>
        <v>0.79712499999999997</v>
      </c>
      <c r="J58" s="5">
        <f>5</f>
        <v>5</v>
      </c>
      <c r="L58" s="15">
        <f t="shared" si="24"/>
        <v>14</v>
      </c>
      <c r="M58" s="15">
        <f>3.001</f>
        <v>3.0009999999999999</v>
      </c>
      <c r="N58" s="15">
        <f>16</f>
        <v>16</v>
      </c>
      <c r="O58" s="15">
        <f t="shared" si="25"/>
        <v>0.18756249999999999</v>
      </c>
      <c r="P58" s="15">
        <f>4.016</f>
        <v>4.016</v>
      </c>
      <c r="Q58" s="15">
        <v>16</v>
      </c>
      <c r="R58" s="15">
        <v>16</v>
      </c>
      <c r="S58" s="17" t="s">
        <v>9</v>
      </c>
      <c r="T58" s="15">
        <f t="shared" ref="T58" si="32">P58/R58</f>
        <v>0.251</v>
      </c>
      <c r="U58" s="16">
        <f>5</f>
        <v>5</v>
      </c>
    </row>
    <row r="59" spans="1:21" x14ac:dyDescent="0.55000000000000004">
      <c r="A59" s="8">
        <f t="shared" si="29"/>
        <v>13</v>
      </c>
      <c r="B59" s="8">
        <v>0.24099999999999999</v>
      </c>
      <c r="C59" s="8">
        <f>16</f>
        <v>16</v>
      </c>
      <c r="D59" s="8">
        <f t="shared" si="30"/>
        <v>1.50625E-2</v>
      </c>
      <c r="E59" s="8">
        <f>3.415</f>
        <v>3.415</v>
      </c>
      <c r="F59" s="8">
        <f>16</f>
        <v>16</v>
      </c>
      <c r="G59" s="8">
        <f>16</f>
        <v>16</v>
      </c>
      <c r="H59" s="9" t="s">
        <v>9</v>
      </c>
      <c r="I59" s="8">
        <f t="shared" si="27"/>
        <v>0.2134375</v>
      </c>
      <c r="J59" s="5">
        <f>5</f>
        <v>5</v>
      </c>
      <c r="L59" s="15">
        <f t="shared" si="24"/>
        <v>15</v>
      </c>
      <c r="M59" s="15">
        <f>4.549</f>
        <v>4.5490000000000004</v>
      </c>
      <c r="N59" s="15">
        <f>16</f>
        <v>16</v>
      </c>
      <c r="O59" s="15">
        <f t="shared" si="25"/>
        <v>0.28431250000000002</v>
      </c>
      <c r="P59" s="15">
        <f>3.178</f>
        <v>3.1779999999999999</v>
      </c>
      <c r="Q59" s="15">
        <v>16</v>
      </c>
      <c r="R59" s="15">
        <v>16</v>
      </c>
      <c r="S59" s="17" t="s">
        <v>9</v>
      </c>
      <c r="T59" s="15">
        <f t="shared" ref="T59" si="33">P59/R59</f>
        <v>0.198625</v>
      </c>
      <c r="U59" s="16">
        <f>5</f>
        <v>5</v>
      </c>
    </row>
    <row r="60" spans="1:21" x14ac:dyDescent="0.55000000000000004">
      <c r="A60" s="8">
        <f t="shared" si="29"/>
        <v>14</v>
      </c>
      <c r="B60" s="8">
        <v>0.27800000000000002</v>
      </c>
      <c r="C60" s="8">
        <f>16</f>
        <v>16</v>
      </c>
      <c r="D60" s="8">
        <f t="shared" si="30"/>
        <v>1.7375000000000002E-2</v>
      </c>
      <c r="E60" s="8">
        <f>9.274</f>
        <v>9.2739999999999991</v>
      </c>
      <c r="F60" s="8">
        <f>16</f>
        <v>16</v>
      </c>
      <c r="G60" s="8">
        <f>16</f>
        <v>16</v>
      </c>
      <c r="H60" s="9" t="s">
        <v>9</v>
      </c>
      <c r="I60" s="8">
        <f t="shared" si="27"/>
        <v>0.57962499999999995</v>
      </c>
      <c r="J60" s="5">
        <f>5</f>
        <v>5</v>
      </c>
      <c r="L60" s="15">
        <f t="shared" si="24"/>
        <v>16</v>
      </c>
      <c r="M60" s="15">
        <f>2.232</f>
        <v>2.2320000000000002</v>
      </c>
      <c r="N60" s="15">
        <f>16</f>
        <v>16</v>
      </c>
      <c r="O60" s="15">
        <f t="shared" si="25"/>
        <v>0.13950000000000001</v>
      </c>
      <c r="P60" s="15">
        <f>5.107</f>
        <v>5.1070000000000002</v>
      </c>
      <c r="Q60" s="15">
        <v>16</v>
      </c>
      <c r="R60" s="15">
        <v>16</v>
      </c>
      <c r="S60" s="17" t="s">
        <v>9</v>
      </c>
      <c r="T60" s="15">
        <f t="shared" ref="T60" si="34">P60/R60</f>
        <v>0.31918750000000001</v>
      </c>
      <c r="U60" s="16">
        <f>5</f>
        <v>5</v>
      </c>
    </row>
    <row r="61" spans="1:21" x14ac:dyDescent="0.55000000000000004">
      <c r="A61" s="8">
        <f t="shared" si="29"/>
        <v>15</v>
      </c>
      <c r="B61" s="8">
        <v>0.28899999999999998</v>
      </c>
      <c r="C61" s="8">
        <f>16</f>
        <v>16</v>
      </c>
      <c r="D61" s="8">
        <f t="shared" si="30"/>
        <v>1.8062499999999999E-2</v>
      </c>
      <c r="E61" s="8">
        <f>11.46</f>
        <v>11.46</v>
      </c>
      <c r="F61" s="8">
        <f>16</f>
        <v>16</v>
      </c>
      <c r="G61" s="8">
        <f>16</f>
        <v>16</v>
      </c>
      <c r="H61" s="9" t="s">
        <v>9</v>
      </c>
      <c r="I61" s="8">
        <f t="shared" si="27"/>
        <v>0.71625000000000005</v>
      </c>
      <c r="J61" s="5">
        <f>5</f>
        <v>5</v>
      </c>
      <c r="L61" s="15">
        <f t="shared" si="24"/>
        <v>17</v>
      </c>
      <c r="M61" s="15">
        <f>3.295</f>
        <v>3.2949999999999999</v>
      </c>
      <c r="N61" s="15">
        <f>16</f>
        <v>16</v>
      </c>
      <c r="O61" s="15">
        <f t="shared" si="25"/>
        <v>0.2059375</v>
      </c>
      <c r="P61" s="15">
        <f>3.774</f>
        <v>3.774</v>
      </c>
      <c r="Q61" s="15">
        <v>16</v>
      </c>
      <c r="R61" s="15">
        <v>16</v>
      </c>
      <c r="S61" s="17" t="s">
        <v>9</v>
      </c>
      <c r="T61" s="15">
        <f t="shared" ref="T61" si="35">P61/R61</f>
        <v>0.235875</v>
      </c>
      <c r="U61" s="16">
        <f>5</f>
        <v>5</v>
      </c>
    </row>
    <row r="62" spans="1:21" x14ac:dyDescent="0.55000000000000004">
      <c r="A62" s="8">
        <f t="shared" si="29"/>
        <v>16</v>
      </c>
      <c r="B62" s="8">
        <v>0.23300000000000001</v>
      </c>
      <c r="C62" s="8">
        <f>16</f>
        <v>16</v>
      </c>
      <c r="D62" s="8">
        <f t="shared" si="30"/>
        <v>1.4562500000000001E-2</v>
      </c>
      <c r="E62" s="8">
        <f>15.565</f>
        <v>15.565</v>
      </c>
      <c r="F62" s="8">
        <f>16</f>
        <v>16</v>
      </c>
      <c r="G62" s="8">
        <f>4</f>
        <v>4</v>
      </c>
      <c r="H62" s="9" t="s">
        <v>9</v>
      </c>
      <c r="I62" s="8">
        <f t="shared" si="27"/>
        <v>3.8912499999999999</v>
      </c>
      <c r="J62" s="5">
        <f>5</f>
        <v>5</v>
      </c>
      <c r="L62" s="15">
        <f t="shared" si="24"/>
        <v>18</v>
      </c>
      <c r="M62" s="15">
        <f>2.65</f>
        <v>2.65</v>
      </c>
      <c r="N62" s="15">
        <f>16</f>
        <v>16</v>
      </c>
      <c r="O62" s="15">
        <f t="shared" si="25"/>
        <v>0.16562499999999999</v>
      </c>
      <c r="P62" s="15">
        <f>4.924</f>
        <v>4.9240000000000004</v>
      </c>
      <c r="Q62" s="15">
        <v>16</v>
      </c>
      <c r="R62" s="15">
        <v>16</v>
      </c>
      <c r="S62" s="17" t="s">
        <v>9</v>
      </c>
      <c r="T62" s="15">
        <f t="shared" ref="T62" si="36">P62/R62</f>
        <v>0.30775000000000002</v>
      </c>
      <c r="U62" s="16">
        <f>5</f>
        <v>5</v>
      </c>
    </row>
    <row r="63" spans="1:21" x14ac:dyDescent="0.55000000000000004">
      <c r="A63" s="8">
        <f>A62</f>
        <v>16</v>
      </c>
      <c r="B63" s="9" t="s">
        <v>8</v>
      </c>
      <c r="C63" s="9" t="s">
        <v>8</v>
      </c>
      <c r="D63" s="9" t="s">
        <v>8</v>
      </c>
      <c r="E63" s="8">
        <f>0.939</f>
        <v>0.93899999999999995</v>
      </c>
      <c r="F63" s="8">
        <f>12</f>
        <v>12</v>
      </c>
      <c r="G63" s="8">
        <f>12</f>
        <v>12</v>
      </c>
      <c r="H63" s="9" t="s">
        <v>9</v>
      </c>
      <c r="I63" s="8">
        <f t="shared" si="27"/>
        <v>7.825E-2</v>
      </c>
      <c r="J63" s="5">
        <f>5</f>
        <v>5</v>
      </c>
      <c r="L63" s="15">
        <f t="shared" si="24"/>
        <v>19</v>
      </c>
      <c r="M63" s="15">
        <f>2.668</f>
        <v>2.6680000000000001</v>
      </c>
      <c r="N63" s="15">
        <f>16</f>
        <v>16</v>
      </c>
      <c r="O63" s="15">
        <f t="shared" si="25"/>
        <v>0.16675000000000001</v>
      </c>
      <c r="P63" s="15">
        <f>4.945</f>
        <v>4.9450000000000003</v>
      </c>
      <c r="Q63" s="15">
        <v>16</v>
      </c>
      <c r="R63" s="15">
        <v>16</v>
      </c>
      <c r="S63" s="17" t="s">
        <v>9</v>
      </c>
      <c r="T63" s="15">
        <f t="shared" ref="T63" si="37">P63/R63</f>
        <v>0.30906250000000002</v>
      </c>
      <c r="U63" s="16">
        <f>5</f>
        <v>5</v>
      </c>
    </row>
    <row r="64" spans="1:21" x14ac:dyDescent="0.55000000000000004">
      <c r="A64" s="8">
        <f t="shared" ref="A64:A77" si="38">A63+1</f>
        <v>17</v>
      </c>
      <c r="B64" s="8">
        <v>0.309</v>
      </c>
      <c r="C64" s="8">
        <f>16</f>
        <v>16</v>
      </c>
      <c r="D64" s="8">
        <f t="shared" ref="D64:D77" si="39">B64/C64</f>
        <v>1.93125E-2</v>
      </c>
      <c r="E64" s="8">
        <f>5.241</f>
        <v>5.2409999999999997</v>
      </c>
      <c r="F64" s="8">
        <f>16</f>
        <v>16</v>
      </c>
      <c r="G64" s="8">
        <f>16</f>
        <v>16</v>
      </c>
      <c r="H64" s="9" t="s">
        <v>9</v>
      </c>
      <c r="I64" s="8">
        <f t="shared" si="27"/>
        <v>0.32756249999999998</v>
      </c>
      <c r="J64" s="5">
        <f>5</f>
        <v>5</v>
      </c>
      <c r="L64" s="15">
        <f t="shared" si="24"/>
        <v>20</v>
      </c>
      <c r="M64" s="15">
        <f>3.817</f>
        <v>3.8170000000000002</v>
      </c>
      <c r="N64" s="15">
        <f>16</f>
        <v>16</v>
      </c>
      <c r="O64" s="15">
        <f t="shared" si="25"/>
        <v>0.23856250000000001</v>
      </c>
      <c r="P64" s="15">
        <f>3.139</f>
        <v>3.1389999999999998</v>
      </c>
      <c r="Q64" s="15">
        <v>16</v>
      </c>
      <c r="R64" s="15">
        <v>16</v>
      </c>
      <c r="S64" s="17" t="s">
        <v>9</v>
      </c>
      <c r="T64" s="15">
        <f t="shared" ref="T64" si="40">P64/R64</f>
        <v>0.19618749999999999</v>
      </c>
      <c r="U64" s="16">
        <f>5</f>
        <v>5</v>
      </c>
    </row>
    <row r="65" spans="1:21" x14ac:dyDescent="0.55000000000000004">
      <c r="A65" s="8">
        <f t="shared" si="38"/>
        <v>18</v>
      </c>
      <c r="B65" s="8">
        <v>0.253</v>
      </c>
      <c r="C65" s="8">
        <f>16</f>
        <v>16</v>
      </c>
      <c r="D65" s="8">
        <f t="shared" si="39"/>
        <v>1.58125E-2</v>
      </c>
      <c r="E65" s="8">
        <f>10.612</f>
        <v>10.612</v>
      </c>
      <c r="F65" s="8">
        <f>16</f>
        <v>16</v>
      </c>
      <c r="G65" s="8">
        <f>16</f>
        <v>16</v>
      </c>
      <c r="H65" s="9" t="s">
        <v>9</v>
      </c>
      <c r="I65" s="8">
        <f t="shared" si="27"/>
        <v>0.66325000000000001</v>
      </c>
      <c r="J65" s="5">
        <f>5</f>
        <v>5</v>
      </c>
      <c r="L65" s="15">
        <f t="shared" si="24"/>
        <v>21</v>
      </c>
      <c r="M65" s="15">
        <f>2.924</f>
        <v>2.9239999999999999</v>
      </c>
      <c r="N65" s="15">
        <f>16</f>
        <v>16</v>
      </c>
      <c r="O65" s="15">
        <f t="shared" si="25"/>
        <v>0.18275</v>
      </c>
      <c r="P65" s="15">
        <f>1.746</f>
        <v>1.746</v>
      </c>
      <c r="Q65" s="15">
        <v>16</v>
      </c>
      <c r="R65" s="15">
        <v>16</v>
      </c>
      <c r="S65" s="17" t="s">
        <v>9</v>
      </c>
      <c r="T65" s="15">
        <f t="shared" ref="T65:T74" si="41">P65/R65</f>
        <v>0.109125</v>
      </c>
      <c r="U65" s="16">
        <f>5</f>
        <v>5</v>
      </c>
    </row>
    <row r="66" spans="1:21" x14ac:dyDescent="0.55000000000000004">
      <c r="A66" s="8">
        <f t="shared" si="38"/>
        <v>19</v>
      </c>
      <c r="B66" s="8">
        <v>0.318</v>
      </c>
      <c r="C66" s="8">
        <f>16</f>
        <v>16</v>
      </c>
      <c r="D66" s="8">
        <f t="shared" si="39"/>
        <v>1.9875E-2</v>
      </c>
      <c r="E66" s="8">
        <f>1.762</f>
        <v>1.762</v>
      </c>
      <c r="F66" s="8">
        <f>16</f>
        <v>16</v>
      </c>
      <c r="G66" s="8">
        <f>16</f>
        <v>16</v>
      </c>
      <c r="H66" s="9" t="s">
        <v>9</v>
      </c>
      <c r="I66" s="8">
        <f t="shared" si="27"/>
        <v>0.110125</v>
      </c>
      <c r="J66" s="5">
        <f>5</f>
        <v>5</v>
      </c>
      <c r="L66" s="15">
        <f t="shared" si="24"/>
        <v>22</v>
      </c>
      <c r="M66" s="15">
        <f>2.599</f>
        <v>2.5990000000000002</v>
      </c>
      <c r="N66" s="15">
        <f>16</f>
        <v>16</v>
      </c>
      <c r="O66" s="15">
        <f t="shared" si="25"/>
        <v>0.16243750000000001</v>
      </c>
      <c r="P66" s="15">
        <f>4.713</f>
        <v>4.7130000000000001</v>
      </c>
      <c r="Q66" s="15">
        <v>16</v>
      </c>
      <c r="R66" s="15">
        <v>16</v>
      </c>
      <c r="S66" s="17" t="s">
        <v>9</v>
      </c>
      <c r="T66" s="15">
        <f t="shared" si="41"/>
        <v>0.2945625</v>
      </c>
      <c r="U66" s="16">
        <f>5</f>
        <v>5</v>
      </c>
    </row>
    <row r="67" spans="1:21" x14ac:dyDescent="0.55000000000000004">
      <c r="A67" s="8">
        <f t="shared" si="38"/>
        <v>20</v>
      </c>
      <c r="B67" s="8">
        <v>0.19500000000000001</v>
      </c>
      <c r="C67" s="8">
        <f>16</f>
        <v>16</v>
      </c>
      <c r="D67" s="8">
        <f t="shared" si="39"/>
        <v>1.21875E-2</v>
      </c>
      <c r="E67" s="8">
        <f>6.646</f>
        <v>6.6459999999999999</v>
      </c>
      <c r="F67" s="8">
        <f>16</f>
        <v>16</v>
      </c>
      <c r="G67" s="8">
        <f>16</f>
        <v>16</v>
      </c>
      <c r="H67" s="9" t="s">
        <v>9</v>
      </c>
      <c r="I67" s="8">
        <f t="shared" si="27"/>
        <v>0.41537499999999999</v>
      </c>
      <c r="J67" s="5">
        <f>5</f>
        <v>5</v>
      </c>
      <c r="L67" s="15">
        <f t="shared" si="24"/>
        <v>23</v>
      </c>
      <c r="M67" s="15">
        <f>4.152</f>
        <v>4.1520000000000001</v>
      </c>
      <c r="N67" s="15">
        <f>16</f>
        <v>16</v>
      </c>
      <c r="O67" s="15">
        <f t="shared" si="25"/>
        <v>0.25950000000000001</v>
      </c>
      <c r="P67" s="15">
        <f>2.792</f>
        <v>2.7919999999999998</v>
      </c>
      <c r="Q67" s="15">
        <v>16</v>
      </c>
      <c r="R67" s="15">
        <v>16</v>
      </c>
      <c r="S67" s="17" t="s">
        <v>9</v>
      </c>
      <c r="T67" s="15">
        <f t="shared" si="41"/>
        <v>0.17449999999999999</v>
      </c>
      <c r="U67" s="16">
        <f>5</f>
        <v>5</v>
      </c>
    </row>
    <row r="68" spans="1:21" x14ac:dyDescent="0.55000000000000004">
      <c r="A68" s="8">
        <f t="shared" si="38"/>
        <v>21</v>
      </c>
      <c r="B68" s="8">
        <v>0.222</v>
      </c>
      <c r="C68" s="8">
        <f>16</f>
        <v>16</v>
      </c>
      <c r="D68" s="8">
        <f t="shared" si="39"/>
        <v>1.3875E-2</v>
      </c>
      <c r="E68" s="8">
        <f>3.55</f>
        <v>3.55</v>
      </c>
      <c r="F68" s="8">
        <f>16</f>
        <v>16</v>
      </c>
      <c r="G68" s="8">
        <f>16</f>
        <v>16</v>
      </c>
      <c r="H68" s="9" t="s">
        <v>9</v>
      </c>
      <c r="I68" s="8">
        <f t="shared" si="27"/>
        <v>0.22187499999999999</v>
      </c>
      <c r="J68" s="5">
        <f>5</f>
        <v>5</v>
      </c>
      <c r="L68" s="15">
        <f t="shared" si="24"/>
        <v>24</v>
      </c>
      <c r="M68" s="15">
        <f>2.161</f>
        <v>2.161</v>
      </c>
      <c r="N68" s="15">
        <f>16</f>
        <v>16</v>
      </c>
      <c r="O68" s="15">
        <f t="shared" si="25"/>
        <v>0.1350625</v>
      </c>
      <c r="P68" s="15">
        <f>5.623</f>
        <v>5.6230000000000002</v>
      </c>
      <c r="Q68" s="15">
        <v>16</v>
      </c>
      <c r="R68" s="15">
        <v>16</v>
      </c>
      <c r="S68" s="17" t="s">
        <v>9</v>
      </c>
      <c r="T68" s="15">
        <f t="shared" si="41"/>
        <v>0.35143750000000001</v>
      </c>
      <c r="U68" s="16">
        <f>5</f>
        <v>5</v>
      </c>
    </row>
    <row r="69" spans="1:21" x14ac:dyDescent="0.55000000000000004">
      <c r="A69" s="8">
        <f t="shared" si="38"/>
        <v>22</v>
      </c>
      <c r="B69" s="8">
        <v>0.25700000000000001</v>
      </c>
      <c r="C69" s="8">
        <f>16</f>
        <v>16</v>
      </c>
      <c r="D69" s="8">
        <f t="shared" si="39"/>
        <v>1.60625E-2</v>
      </c>
      <c r="E69" s="8">
        <f>8.855</f>
        <v>8.8550000000000004</v>
      </c>
      <c r="F69" s="8">
        <f>16</f>
        <v>16</v>
      </c>
      <c r="G69" s="8">
        <f>16</f>
        <v>16</v>
      </c>
      <c r="H69" s="9" t="s">
        <v>9</v>
      </c>
      <c r="I69" s="8">
        <f t="shared" si="27"/>
        <v>0.55343750000000003</v>
      </c>
      <c r="J69" s="5">
        <f>5</f>
        <v>5</v>
      </c>
      <c r="L69" s="15">
        <f t="shared" si="24"/>
        <v>25</v>
      </c>
      <c r="M69" s="15">
        <f>2.723</f>
        <v>2.7229999999999999</v>
      </c>
      <c r="N69" s="15">
        <f>16</f>
        <v>16</v>
      </c>
      <c r="O69" s="15">
        <f t="shared" si="25"/>
        <v>0.17018749999999999</v>
      </c>
      <c r="P69" s="15">
        <f>4.696</f>
        <v>4.6959999999999997</v>
      </c>
      <c r="Q69" s="15">
        <v>16</v>
      </c>
      <c r="R69" s="15">
        <v>16</v>
      </c>
      <c r="S69" s="17" t="s">
        <v>9</v>
      </c>
      <c r="T69" s="15">
        <f t="shared" si="41"/>
        <v>0.29349999999999998</v>
      </c>
      <c r="U69" s="16">
        <f>5</f>
        <v>5</v>
      </c>
    </row>
    <row r="70" spans="1:21" x14ac:dyDescent="0.55000000000000004">
      <c r="A70" s="8">
        <f t="shared" si="38"/>
        <v>23</v>
      </c>
      <c r="B70" s="8">
        <v>0.27900000000000003</v>
      </c>
      <c r="C70" s="8">
        <f>16</f>
        <v>16</v>
      </c>
      <c r="D70" s="8">
        <f t="shared" si="39"/>
        <v>1.7437500000000002E-2</v>
      </c>
      <c r="E70" s="8">
        <f>13.978</f>
        <v>13.978</v>
      </c>
      <c r="F70" s="8">
        <f>16</f>
        <v>16</v>
      </c>
      <c r="G70" s="8">
        <f>16</f>
        <v>16</v>
      </c>
      <c r="H70" s="9" t="s">
        <v>9</v>
      </c>
      <c r="I70" s="8">
        <f t="shared" si="27"/>
        <v>0.87362499999999998</v>
      </c>
      <c r="J70" s="5">
        <f>5</f>
        <v>5</v>
      </c>
      <c r="L70" s="15">
        <f t="shared" si="24"/>
        <v>26</v>
      </c>
      <c r="M70" s="15">
        <f>3.74</f>
        <v>3.74</v>
      </c>
      <c r="N70" s="15">
        <f>16</f>
        <v>16</v>
      </c>
      <c r="O70" s="15">
        <f t="shared" si="25"/>
        <v>0.23375000000000001</v>
      </c>
      <c r="P70" s="15">
        <f>4.024</f>
        <v>4.024</v>
      </c>
      <c r="Q70" s="15">
        <v>16</v>
      </c>
      <c r="R70" s="15">
        <v>16</v>
      </c>
      <c r="S70" s="17" t="s">
        <v>9</v>
      </c>
      <c r="T70" s="15">
        <f t="shared" si="41"/>
        <v>0.2515</v>
      </c>
      <c r="U70" s="16">
        <f>5</f>
        <v>5</v>
      </c>
    </row>
    <row r="71" spans="1:21" x14ac:dyDescent="0.55000000000000004">
      <c r="A71" s="8">
        <f t="shared" si="38"/>
        <v>24</v>
      </c>
      <c r="B71" s="8">
        <v>0.23499999999999999</v>
      </c>
      <c r="C71" s="8">
        <f>16</f>
        <v>16</v>
      </c>
      <c r="D71" s="8">
        <f t="shared" si="39"/>
        <v>1.4687499999999999E-2</v>
      </c>
      <c r="E71" s="8">
        <f>5.7</f>
        <v>5.7</v>
      </c>
      <c r="F71" s="8">
        <f>16</f>
        <v>16</v>
      </c>
      <c r="G71" s="8">
        <f>16</f>
        <v>16</v>
      </c>
      <c r="H71" s="9" t="s">
        <v>9</v>
      </c>
      <c r="I71" s="8">
        <f t="shared" si="27"/>
        <v>0.35625000000000001</v>
      </c>
      <c r="J71" s="5">
        <f>5</f>
        <v>5</v>
      </c>
      <c r="L71" s="15">
        <f t="shared" si="24"/>
        <v>27</v>
      </c>
      <c r="M71" s="15">
        <f>3.011</f>
        <v>3.0110000000000001</v>
      </c>
      <c r="N71" s="15">
        <f>16</f>
        <v>16</v>
      </c>
      <c r="O71" s="15">
        <f t="shared" si="25"/>
        <v>0.18818750000000001</v>
      </c>
      <c r="P71" s="15">
        <f>4.377</f>
        <v>4.3769999999999998</v>
      </c>
      <c r="Q71" s="15">
        <v>16</v>
      </c>
      <c r="R71" s="15">
        <v>16</v>
      </c>
      <c r="S71" s="17" t="s">
        <v>9</v>
      </c>
      <c r="T71" s="15">
        <f t="shared" si="41"/>
        <v>0.27356249999999999</v>
      </c>
      <c r="U71" s="16">
        <f>5</f>
        <v>5</v>
      </c>
    </row>
    <row r="72" spans="1:21" x14ac:dyDescent="0.55000000000000004">
      <c r="A72" s="8">
        <f t="shared" si="38"/>
        <v>25</v>
      </c>
      <c r="B72" s="8">
        <v>0.32200000000000001</v>
      </c>
      <c r="C72" s="8">
        <f>16</f>
        <v>16</v>
      </c>
      <c r="D72" s="8">
        <f t="shared" si="39"/>
        <v>2.0125000000000001E-2</v>
      </c>
      <c r="E72" s="8">
        <f>9.851</f>
        <v>9.8510000000000009</v>
      </c>
      <c r="F72" s="8">
        <f>16</f>
        <v>16</v>
      </c>
      <c r="G72" s="8">
        <f>16</f>
        <v>16</v>
      </c>
      <c r="H72" s="9" t="s">
        <v>9</v>
      </c>
      <c r="I72" s="8">
        <f t="shared" si="27"/>
        <v>0.61568750000000005</v>
      </c>
      <c r="J72" s="5">
        <f>5</f>
        <v>5</v>
      </c>
      <c r="L72" s="15">
        <f t="shared" si="24"/>
        <v>28</v>
      </c>
      <c r="M72" s="15">
        <f>2.55</f>
        <v>2.5499999999999998</v>
      </c>
      <c r="N72" s="15">
        <f>16</f>
        <v>16</v>
      </c>
      <c r="O72" s="15">
        <f t="shared" si="25"/>
        <v>0.15937499999999999</v>
      </c>
      <c r="P72" s="15">
        <f>5.406</f>
        <v>5.4059999999999997</v>
      </c>
      <c r="Q72" s="15">
        <v>16</v>
      </c>
      <c r="R72" s="15">
        <v>16</v>
      </c>
      <c r="S72" s="17" t="s">
        <v>9</v>
      </c>
      <c r="T72" s="15">
        <f t="shared" si="41"/>
        <v>0.33787499999999998</v>
      </c>
      <c r="U72" s="16">
        <f>5</f>
        <v>5</v>
      </c>
    </row>
    <row r="73" spans="1:21" x14ac:dyDescent="0.55000000000000004">
      <c r="A73" s="8">
        <f t="shared" si="38"/>
        <v>26</v>
      </c>
      <c r="B73" s="8">
        <v>0.25</v>
      </c>
      <c r="C73" s="8">
        <f>16</f>
        <v>16</v>
      </c>
      <c r="D73" s="8">
        <f t="shared" si="39"/>
        <v>1.5625E-2</v>
      </c>
      <c r="E73" s="8">
        <f>1.814</f>
        <v>1.8140000000000001</v>
      </c>
      <c r="F73" s="8">
        <f>16</f>
        <v>16</v>
      </c>
      <c r="G73" s="8">
        <f>16</f>
        <v>16</v>
      </c>
      <c r="H73" s="9" t="s">
        <v>9</v>
      </c>
      <c r="I73" s="8">
        <f t="shared" si="27"/>
        <v>0.113375</v>
      </c>
      <c r="J73" s="5">
        <f>5</f>
        <v>5</v>
      </c>
      <c r="L73" s="15">
        <f t="shared" si="24"/>
        <v>29</v>
      </c>
      <c r="M73" s="15">
        <f>2.843</f>
        <v>2.843</v>
      </c>
      <c r="N73" s="15">
        <f>16</f>
        <v>16</v>
      </c>
      <c r="O73" s="15">
        <f t="shared" si="25"/>
        <v>0.1776875</v>
      </c>
      <c r="P73" s="15">
        <f>4.656</f>
        <v>4.6559999999999997</v>
      </c>
      <c r="Q73" s="15">
        <v>16</v>
      </c>
      <c r="R73" s="15">
        <v>16</v>
      </c>
      <c r="S73" s="17" t="s">
        <v>9</v>
      </c>
      <c r="T73" s="15">
        <f t="shared" si="41"/>
        <v>0.29099999999999998</v>
      </c>
      <c r="U73" s="16">
        <f>5</f>
        <v>5</v>
      </c>
    </row>
    <row r="74" spans="1:21" x14ac:dyDescent="0.55000000000000004">
      <c r="A74" s="8">
        <f t="shared" si="38"/>
        <v>27</v>
      </c>
      <c r="B74" s="8">
        <v>0.252</v>
      </c>
      <c r="C74" s="8">
        <f>16</f>
        <v>16</v>
      </c>
      <c r="D74" s="8">
        <f t="shared" si="39"/>
        <v>1.575E-2</v>
      </c>
      <c r="E74" s="8">
        <f>4.842</f>
        <v>4.8419999999999996</v>
      </c>
      <c r="F74" s="8">
        <f>16</f>
        <v>16</v>
      </c>
      <c r="G74" s="8">
        <f>16</f>
        <v>16</v>
      </c>
      <c r="H74" s="9" t="s">
        <v>9</v>
      </c>
      <c r="I74" s="8">
        <f t="shared" si="27"/>
        <v>0.30262499999999998</v>
      </c>
      <c r="J74" s="5">
        <f>5</f>
        <v>5</v>
      </c>
      <c r="L74" s="15">
        <f t="shared" si="24"/>
        <v>30</v>
      </c>
      <c r="M74" s="15">
        <f>2.576</f>
        <v>2.5760000000000001</v>
      </c>
      <c r="N74" s="15">
        <f>16</f>
        <v>16</v>
      </c>
      <c r="O74" s="15">
        <f t="shared" si="25"/>
        <v>0.161</v>
      </c>
      <c r="P74" s="15">
        <f>4.953</f>
        <v>4.9530000000000003</v>
      </c>
      <c r="Q74" s="15">
        <v>16</v>
      </c>
      <c r="R74" s="15">
        <v>16</v>
      </c>
      <c r="S74" s="17" t="s">
        <v>9</v>
      </c>
      <c r="T74" s="15">
        <f t="shared" si="41"/>
        <v>0.30956250000000002</v>
      </c>
      <c r="U74" s="16">
        <f>5</f>
        <v>5</v>
      </c>
    </row>
    <row r="75" spans="1:21" x14ac:dyDescent="0.55000000000000004">
      <c r="A75" s="8">
        <f t="shared" si="38"/>
        <v>28</v>
      </c>
      <c r="B75" s="8">
        <v>0.24199999999999999</v>
      </c>
      <c r="C75" s="8">
        <f>16</f>
        <v>16</v>
      </c>
      <c r="D75" s="8">
        <f t="shared" si="39"/>
        <v>1.5125E-2</v>
      </c>
      <c r="E75" s="8">
        <f>13.178</f>
        <v>13.178000000000001</v>
      </c>
      <c r="F75" s="8">
        <f>16</f>
        <v>16</v>
      </c>
      <c r="G75" s="8">
        <f>16</f>
        <v>16</v>
      </c>
      <c r="H75" s="9" t="s">
        <v>9</v>
      </c>
      <c r="I75" s="8">
        <f t="shared" si="27"/>
        <v>0.82362500000000005</v>
      </c>
      <c r="J75" s="5">
        <f>5</f>
        <v>5</v>
      </c>
      <c r="L75" s="15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55000000000000004">
      <c r="A76" s="8">
        <f t="shared" si="38"/>
        <v>29</v>
      </c>
      <c r="B76" s="8">
        <v>0.252</v>
      </c>
      <c r="C76" s="8">
        <f>16</f>
        <v>16</v>
      </c>
      <c r="D76" s="8">
        <f t="shared" si="39"/>
        <v>1.575E-2</v>
      </c>
      <c r="E76" s="8">
        <f>1.786</f>
        <v>1.786</v>
      </c>
      <c r="F76" s="8">
        <f>16</f>
        <v>16</v>
      </c>
      <c r="G76" s="8">
        <f>16</f>
        <v>16</v>
      </c>
      <c r="H76" s="9" t="s">
        <v>9</v>
      </c>
      <c r="I76" s="8">
        <f t="shared" si="27"/>
        <v>0.111625</v>
      </c>
      <c r="J76" s="5">
        <f>5</f>
        <v>5</v>
      </c>
      <c r="L76" s="15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55000000000000004">
      <c r="A77" s="8">
        <f t="shared" si="38"/>
        <v>30</v>
      </c>
      <c r="B77" s="8">
        <v>0.23899999999999999</v>
      </c>
      <c r="C77" s="8">
        <f>16</f>
        <v>16</v>
      </c>
      <c r="D77" s="8">
        <f t="shared" si="39"/>
        <v>1.4937499999999999E-2</v>
      </c>
      <c r="E77" s="8">
        <f>5.116</f>
        <v>5.1159999999999997</v>
      </c>
      <c r="F77" s="8">
        <f>16</f>
        <v>16</v>
      </c>
      <c r="G77" s="8">
        <f>16</f>
        <v>16</v>
      </c>
      <c r="H77" s="9" t="s">
        <v>9</v>
      </c>
      <c r="I77" s="8">
        <f t="shared" si="27"/>
        <v>0.31974999999999998</v>
      </c>
      <c r="J77" s="5">
        <f>5</f>
        <v>5</v>
      </c>
      <c r="L77" s="15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5"/>
      <c r="L78" s="15"/>
      <c r="M78" s="12"/>
      <c r="N78" s="12"/>
      <c r="O78" s="12"/>
      <c r="P78" s="12"/>
      <c r="Q78" s="12"/>
      <c r="R78" s="12"/>
      <c r="S78" s="12"/>
      <c r="T78" s="12"/>
      <c r="U78" s="12"/>
    </row>
    <row r="79" spans="1:21" ht="43.2" x14ac:dyDescent="0.55000000000000004">
      <c r="A79" s="6" t="s">
        <v>4</v>
      </c>
      <c r="B79" s="7" t="s">
        <v>5</v>
      </c>
      <c r="C79" s="7" t="s">
        <v>15</v>
      </c>
      <c r="D79" s="7" t="s">
        <v>13</v>
      </c>
      <c r="E79" s="7" t="s">
        <v>6</v>
      </c>
      <c r="F79" s="7" t="s">
        <v>16</v>
      </c>
      <c r="G79" s="7" t="s">
        <v>17</v>
      </c>
      <c r="H79" s="7" t="s">
        <v>10</v>
      </c>
      <c r="I79" s="7" t="s">
        <v>12</v>
      </c>
      <c r="J79" s="7" t="s">
        <v>14</v>
      </c>
      <c r="L79" s="13" t="s">
        <v>4</v>
      </c>
      <c r="M79" s="14" t="s">
        <v>5</v>
      </c>
      <c r="N79" s="14" t="s">
        <v>15</v>
      </c>
      <c r="O79" s="14" t="s">
        <v>13</v>
      </c>
      <c r="P79" s="14" t="s">
        <v>6</v>
      </c>
      <c r="Q79" s="14" t="s">
        <v>16</v>
      </c>
      <c r="R79" s="14" t="s">
        <v>17</v>
      </c>
      <c r="S79" s="14" t="s">
        <v>10</v>
      </c>
      <c r="T79" s="14" t="s">
        <v>12</v>
      </c>
      <c r="U79" s="14" t="s">
        <v>14</v>
      </c>
    </row>
    <row r="80" spans="1:2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5"/>
      <c r="L80" s="15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55000000000000004">
      <c r="A81" s="8">
        <f>1</f>
        <v>1</v>
      </c>
      <c r="B81" s="8">
        <f>0.479</f>
        <v>0.47899999999999998</v>
      </c>
      <c r="C81" s="8">
        <f>128</f>
        <v>128</v>
      </c>
      <c r="D81" s="8">
        <f t="shared" ref="D81:D110" si="42">B81/C81</f>
        <v>3.7421874999999999E-3</v>
      </c>
      <c r="E81" s="8">
        <f>26.52</f>
        <v>26.52</v>
      </c>
      <c r="F81" s="8">
        <f>128</f>
        <v>128</v>
      </c>
      <c r="G81" s="8">
        <f>128</f>
        <v>128</v>
      </c>
      <c r="H81" s="9" t="s">
        <v>9</v>
      </c>
      <c r="I81" s="8">
        <f t="shared" ref="I81:I110" si="43">E81/G81</f>
        <v>0.2071875</v>
      </c>
      <c r="J81" s="5">
        <f>32</f>
        <v>32</v>
      </c>
      <c r="L81" s="15">
        <f>1</f>
        <v>1</v>
      </c>
      <c r="M81" s="15">
        <f>3.005</f>
        <v>3.0049999999999999</v>
      </c>
      <c r="N81" s="15">
        <f>128</f>
        <v>128</v>
      </c>
      <c r="O81" s="15">
        <f t="shared" ref="O81" si="44">M81/N81</f>
        <v>2.3476562499999999E-2</v>
      </c>
      <c r="P81" s="15">
        <f>1.61</f>
        <v>1.61</v>
      </c>
      <c r="Q81" s="15">
        <f>128</f>
        <v>128</v>
      </c>
      <c r="R81" s="15">
        <v>36</v>
      </c>
      <c r="S81" s="17" t="s">
        <v>9</v>
      </c>
      <c r="T81" s="15">
        <f t="shared" ref="T81:T82" si="45">P81/R81</f>
        <v>4.4722222222222226E-2</v>
      </c>
      <c r="U81" s="16">
        <f>32</f>
        <v>32</v>
      </c>
    </row>
    <row r="82" spans="1:21" x14ac:dyDescent="0.55000000000000004">
      <c r="A82" s="8">
        <f>$A81+1</f>
        <v>2</v>
      </c>
      <c r="B82" s="8">
        <v>0.57599999999999996</v>
      </c>
      <c r="C82" s="8">
        <f>128</f>
        <v>128</v>
      </c>
      <c r="D82" s="8">
        <f t="shared" si="42"/>
        <v>4.4999999999999997E-3</v>
      </c>
      <c r="E82" s="8">
        <f>21.824</f>
        <v>21.824000000000002</v>
      </c>
      <c r="F82" s="8">
        <f>128</f>
        <v>128</v>
      </c>
      <c r="G82" s="8">
        <f>128</f>
        <v>128</v>
      </c>
      <c r="H82" s="9" t="s">
        <v>9</v>
      </c>
      <c r="I82" s="8">
        <f t="shared" si="43"/>
        <v>0.17050000000000001</v>
      </c>
      <c r="J82" s="5">
        <f>32</f>
        <v>32</v>
      </c>
      <c r="L82" s="15">
        <f>1</f>
        <v>1</v>
      </c>
      <c r="M82" s="17" t="s">
        <v>8</v>
      </c>
      <c r="N82" s="17" t="s">
        <v>8</v>
      </c>
      <c r="O82" s="17" t="s">
        <v>8</v>
      </c>
      <c r="P82" s="15">
        <f>21.094</f>
        <v>21.094000000000001</v>
      </c>
      <c r="Q82" s="15">
        <f>92</f>
        <v>92</v>
      </c>
      <c r="R82" s="15">
        <v>92</v>
      </c>
      <c r="S82" s="17" t="s">
        <v>9</v>
      </c>
      <c r="T82" s="15">
        <f t="shared" si="45"/>
        <v>0.22928260869565217</v>
      </c>
      <c r="U82" s="16">
        <f>32</f>
        <v>32</v>
      </c>
    </row>
    <row r="83" spans="1:21" x14ac:dyDescent="0.55000000000000004">
      <c r="A83" s="8">
        <f t="shared" ref="A83:A110" si="46">A82+1</f>
        <v>3</v>
      </c>
      <c r="B83" s="8">
        <v>0.57099999999999995</v>
      </c>
      <c r="C83" s="8">
        <f>128</f>
        <v>128</v>
      </c>
      <c r="D83" s="8">
        <f t="shared" si="42"/>
        <v>4.4609374999999996E-3</v>
      </c>
      <c r="E83" s="8">
        <f>26.302</f>
        <v>26.302</v>
      </c>
      <c r="F83" s="8">
        <f>128</f>
        <v>128</v>
      </c>
      <c r="G83" s="8">
        <f>128</f>
        <v>128</v>
      </c>
      <c r="H83" s="9" t="s">
        <v>9</v>
      </c>
      <c r="I83" s="8">
        <f t="shared" si="43"/>
        <v>0.205484375</v>
      </c>
      <c r="J83" s="5">
        <f>32</f>
        <v>32</v>
      </c>
      <c r="L83" s="15">
        <f>L82+1</f>
        <v>2</v>
      </c>
      <c r="M83" s="15">
        <f>1.996</f>
        <v>1.996</v>
      </c>
      <c r="N83" s="15">
        <f>128</f>
        <v>128</v>
      </c>
      <c r="O83" s="15">
        <f t="shared" ref="O83" si="47">M83/N83</f>
        <v>1.559375E-2</v>
      </c>
      <c r="P83" s="15">
        <f>25.498</f>
        <v>25.498000000000001</v>
      </c>
      <c r="Q83" s="15">
        <f>128</f>
        <v>128</v>
      </c>
      <c r="R83" s="15">
        <f>128</f>
        <v>128</v>
      </c>
      <c r="S83" s="17" t="s">
        <v>9</v>
      </c>
      <c r="T83" s="15">
        <f t="shared" ref="T83" si="48">P83/R83</f>
        <v>0.19920312500000001</v>
      </c>
      <c r="U83" s="16">
        <f>32</f>
        <v>32</v>
      </c>
    </row>
    <row r="84" spans="1:21" x14ac:dyDescent="0.55000000000000004">
      <c r="A84" s="8">
        <f t="shared" si="46"/>
        <v>4</v>
      </c>
      <c r="B84" s="8">
        <v>0.48099999999999998</v>
      </c>
      <c r="C84" s="8">
        <f>128</f>
        <v>128</v>
      </c>
      <c r="D84" s="8">
        <f t="shared" si="42"/>
        <v>3.7578124999999999E-3</v>
      </c>
      <c r="E84" s="8">
        <f>22.414</f>
        <v>22.414000000000001</v>
      </c>
      <c r="F84" s="8">
        <f>128</f>
        <v>128</v>
      </c>
      <c r="G84" s="8">
        <f>128</f>
        <v>128</v>
      </c>
      <c r="H84" s="9" t="s">
        <v>9</v>
      </c>
      <c r="I84" s="8">
        <f t="shared" si="43"/>
        <v>0.17510937500000001</v>
      </c>
      <c r="J84" s="5">
        <f>32</f>
        <v>32</v>
      </c>
      <c r="L84" s="15">
        <f>L83+1</f>
        <v>3</v>
      </c>
      <c r="M84" s="15">
        <f>2.181</f>
        <v>2.181</v>
      </c>
      <c r="N84" s="15">
        <f>128</f>
        <v>128</v>
      </c>
      <c r="O84" s="15">
        <f t="shared" ref="O84:O101" si="49">M84/N84</f>
        <v>1.70390625E-2</v>
      </c>
      <c r="P84" s="15">
        <f>25.383</f>
        <v>25.382999999999999</v>
      </c>
      <c r="Q84" s="15">
        <f>128</f>
        <v>128</v>
      </c>
      <c r="R84" s="15">
        <f>128</f>
        <v>128</v>
      </c>
      <c r="S84" s="17" t="s">
        <v>9</v>
      </c>
      <c r="T84" s="15">
        <f t="shared" ref="T84:T101" si="50">P84/R84</f>
        <v>0.19830468749999999</v>
      </c>
      <c r="U84" s="16">
        <f>32</f>
        <v>32</v>
      </c>
    </row>
    <row r="85" spans="1:21" x14ac:dyDescent="0.55000000000000004">
      <c r="A85" s="8">
        <f t="shared" si="46"/>
        <v>5</v>
      </c>
      <c r="B85" s="8">
        <v>0.53500000000000003</v>
      </c>
      <c r="C85" s="8">
        <f>128</f>
        <v>128</v>
      </c>
      <c r="D85" s="8">
        <f t="shared" si="42"/>
        <v>4.1796875000000002E-3</v>
      </c>
      <c r="E85" s="8">
        <f>26.383</f>
        <v>26.382999999999999</v>
      </c>
      <c r="F85" s="8">
        <f>128</f>
        <v>128</v>
      </c>
      <c r="G85" s="8">
        <f>128</f>
        <v>128</v>
      </c>
      <c r="H85" s="9" t="s">
        <v>9</v>
      </c>
      <c r="I85" s="8">
        <f t="shared" si="43"/>
        <v>0.20611718749999999</v>
      </c>
      <c r="J85" s="5">
        <f>32</f>
        <v>32</v>
      </c>
      <c r="L85" s="15">
        <f>L84+1</f>
        <v>4</v>
      </c>
      <c r="M85" s="15">
        <f>3.591</f>
        <v>3.5910000000000002</v>
      </c>
      <c r="N85" s="15">
        <f>128</f>
        <v>128</v>
      </c>
      <c r="O85" s="15">
        <f t="shared" si="49"/>
        <v>2.8054687500000001E-2</v>
      </c>
      <c r="P85" s="15">
        <f>3.497</f>
        <v>3.4969999999999999</v>
      </c>
      <c r="Q85" s="15">
        <f>128</f>
        <v>128</v>
      </c>
      <c r="R85" s="15">
        <f>59</f>
        <v>59</v>
      </c>
      <c r="S85" s="17" t="s">
        <v>9</v>
      </c>
      <c r="T85" s="15">
        <f t="shared" si="50"/>
        <v>5.9271186440677963E-2</v>
      </c>
      <c r="U85" s="16">
        <f>32</f>
        <v>32</v>
      </c>
    </row>
    <row r="86" spans="1:21" x14ac:dyDescent="0.55000000000000004">
      <c r="A86" s="8">
        <f t="shared" si="46"/>
        <v>6</v>
      </c>
      <c r="B86" s="8">
        <v>0.621</v>
      </c>
      <c r="C86" s="8">
        <f>128</f>
        <v>128</v>
      </c>
      <c r="D86" s="8">
        <f t="shared" si="42"/>
        <v>4.8515625E-3</v>
      </c>
      <c r="E86" s="8">
        <f>26.742</f>
        <v>26.742000000000001</v>
      </c>
      <c r="F86" s="8">
        <f>128</f>
        <v>128</v>
      </c>
      <c r="G86" s="8">
        <f>128</f>
        <v>128</v>
      </c>
      <c r="H86" s="9" t="s">
        <v>9</v>
      </c>
      <c r="I86" s="8">
        <f t="shared" si="43"/>
        <v>0.20892187500000001</v>
      </c>
      <c r="J86" s="5">
        <f>32</f>
        <v>32</v>
      </c>
      <c r="L86" s="15">
        <f>L85</f>
        <v>4</v>
      </c>
      <c r="M86" s="17" t="s">
        <v>8</v>
      </c>
      <c r="N86" s="17" t="s">
        <v>8</v>
      </c>
      <c r="O86" s="17" t="s">
        <v>8</v>
      </c>
      <c r="P86" s="15">
        <f>20.947</f>
        <v>20.946999999999999</v>
      </c>
      <c r="Q86" s="15">
        <v>69</v>
      </c>
      <c r="R86" s="15">
        <v>69</v>
      </c>
      <c r="S86" s="17" t="s">
        <v>9</v>
      </c>
      <c r="T86" s="15">
        <f t="shared" si="50"/>
        <v>0.30357971014492752</v>
      </c>
      <c r="U86" s="16">
        <f>32</f>
        <v>32</v>
      </c>
    </row>
    <row r="87" spans="1:21" x14ac:dyDescent="0.55000000000000004">
      <c r="A87" s="8">
        <f t="shared" si="46"/>
        <v>7</v>
      </c>
      <c r="B87" s="8">
        <v>0.53</v>
      </c>
      <c r="C87" s="8">
        <f>128</f>
        <v>128</v>
      </c>
      <c r="D87" s="8">
        <f t="shared" si="42"/>
        <v>4.1406250000000002E-3</v>
      </c>
      <c r="E87" s="8">
        <v>24.818000000000001</v>
      </c>
      <c r="F87" s="8">
        <f>128</f>
        <v>128</v>
      </c>
      <c r="G87" s="8">
        <f>128</f>
        <v>128</v>
      </c>
      <c r="H87" s="9" t="s">
        <v>9</v>
      </c>
      <c r="I87" s="8">
        <f t="shared" si="43"/>
        <v>0.19389062500000001</v>
      </c>
      <c r="J87" s="5">
        <f>32</f>
        <v>32</v>
      </c>
      <c r="L87" s="15">
        <f>L86+1</f>
        <v>5</v>
      </c>
      <c r="M87" s="15">
        <f>2.601</f>
        <v>2.601</v>
      </c>
      <c r="N87" s="15">
        <f>128</f>
        <v>128</v>
      </c>
      <c r="O87" s="15">
        <f t="shared" si="49"/>
        <v>2.03203125E-2</v>
      </c>
      <c r="P87" s="15">
        <f>4.761</f>
        <v>4.7610000000000001</v>
      </c>
      <c r="Q87" s="15">
        <f>128</f>
        <v>128</v>
      </c>
      <c r="R87" s="15">
        <f>66</f>
        <v>66</v>
      </c>
      <c r="S87" s="17" t="s">
        <v>9</v>
      </c>
      <c r="T87" s="15">
        <f t="shared" si="50"/>
        <v>7.2136363636363637E-2</v>
      </c>
      <c r="U87" s="16">
        <f>32</f>
        <v>32</v>
      </c>
    </row>
    <row r="88" spans="1:21" x14ac:dyDescent="0.55000000000000004">
      <c r="A88" s="8">
        <f t="shared" si="46"/>
        <v>8</v>
      </c>
      <c r="B88" s="8">
        <v>0.67900000000000005</v>
      </c>
      <c r="C88" s="8">
        <f>128</f>
        <v>128</v>
      </c>
      <c r="D88" s="8">
        <f t="shared" si="42"/>
        <v>5.3046875000000004E-3</v>
      </c>
      <c r="E88" s="8">
        <f>37.169</f>
        <v>37.168999999999997</v>
      </c>
      <c r="F88" s="8">
        <f>128</f>
        <v>128</v>
      </c>
      <c r="G88" s="8">
        <f>128</f>
        <v>128</v>
      </c>
      <c r="H88" s="9" t="s">
        <v>9</v>
      </c>
      <c r="I88" s="8">
        <f t="shared" si="43"/>
        <v>0.29038281249999998</v>
      </c>
      <c r="J88" s="5">
        <f>32</f>
        <v>32</v>
      </c>
      <c r="L88" s="15">
        <f>L87</f>
        <v>5</v>
      </c>
      <c r="M88" s="17" t="s">
        <v>8</v>
      </c>
      <c r="N88" s="17" t="s">
        <v>8</v>
      </c>
      <c r="O88" s="17" t="s">
        <v>8</v>
      </c>
      <c r="P88" s="15">
        <f>31.884</f>
        <v>31.884</v>
      </c>
      <c r="Q88" s="15">
        <v>62</v>
      </c>
      <c r="R88" s="15">
        <f>62</f>
        <v>62</v>
      </c>
      <c r="S88" s="17" t="s">
        <v>9</v>
      </c>
      <c r="T88" s="15">
        <f t="shared" si="50"/>
        <v>0.51425806451612899</v>
      </c>
      <c r="U88" s="16">
        <f>32</f>
        <v>32</v>
      </c>
    </row>
    <row r="89" spans="1:21" x14ac:dyDescent="0.55000000000000004">
      <c r="A89" s="8">
        <f t="shared" si="46"/>
        <v>9</v>
      </c>
      <c r="B89" s="8">
        <v>0.66100000000000003</v>
      </c>
      <c r="C89" s="8">
        <f>128</f>
        <v>128</v>
      </c>
      <c r="D89" s="8">
        <f t="shared" si="42"/>
        <v>5.1640625000000002E-3</v>
      </c>
      <c r="E89" s="8">
        <f>26.778</f>
        <v>26.777999999999999</v>
      </c>
      <c r="F89" s="8">
        <f>128</f>
        <v>128</v>
      </c>
      <c r="G89" s="8">
        <f>128</f>
        <v>128</v>
      </c>
      <c r="H89" s="9" t="s">
        <v>9</v>
      </c>
      <c r="I89" s="8">
        <f t="shared" si="43"/>
        <v>0.20920312499999999</v>
      </c>
      <c r="J89" s="5">
        <f>32</f>
        <v>32</v>
      </c>
      <c r="L89" s="15">
        <f>L88+1</f>
        <v>6</v>
      </c>
      <c r="M89" s="17">
        <f>3.392</f>
        <v>3.3919999999999999</v>
      </c>
      <c r="N89" s="15">
        <f>128</f>
        <v>128</v>
      </c>
      <c r="O89" s="15">
        <f t="shared" ref="O89" si="51">M89/N89</f>
        <v>2.6499999999999999E-2</v>
      </c>
      <c r="P89" s="15">
        <f>24.98</f>
        <v>24.98</v>
      </c>
      <c r="Q89" s="15">
        <f>128</f>
        <v>128</v>
      </c>
      <c r="R89" s="15">
        <f>128</f>
        <v>128</v>
      </c>
      <c r="S89" s="17" t="s">
        <v>9</v>
      </c>
      <c r="T89" s="15">
        <f t="shared" si="50"/>
        <v>0.19515625</v>
      </c>
      <c r="U89" s="16">
        <f>32</f>
        <v>32</v>
      </c>
    </row>
    <row r="90" spans="1:21" x14ac:dyDescent="0.55000000000000004">
      <c r="A90" s="8">
        <f t="shared" si="46"/>
        <v>10</v>
      </c>
      <c r="B90" s="8">
        <v>0.50900000000000001</v>
      </c>
      <c r="C90" s="8">
        <f>128</f>
        <v>128</v>
      </c>
      <c r="D90" s="8">
        <f t="shared" si="42"/>
        <v>3.9765625000000001E-3</v>
      </c>
      <c r="E90" s="8">
        <f>22.614</f>
        <v>22.614000000000001</v>
      </c>
      <c r="F90" s="8">
        <f>128</f>
        <v>128</v>
      </c>
      <c r="G90" s="8">
        <f>128</f>
        <v>128</v>
      </c>
      <c r="H90" s="9" t="s">
        <v>9</v>
      </c>
      <c r="I90" s="8">
        <f t="shared" si="43"/>
        <v>0.17667187500000001</v>
      </c>
      <c r="J90" s="5">
        <f>32</f>
        <v>32</v>
      </c>
      <c r="L90" s="15">
        <f>L89+1</f>
        <v>7</v>
      </c>
      <c r="M90" s="15">
        <f>4.055</f>
        <v>4.0549999999999997</v>
      </c>
      <c r="N90" s="15">
        <f>128</f>
        <v>128</v>
      </c>
      <c r="O90" s="15">
        <f t="shared" si="49"/>
        <v>3.1679687499999998E-2</v>
      </c>
      <c r="P90" s="15">
        <f>3.14</f>
        <v>3.14</v>
      </c>
      <c r="Q90" s="15">
        <f>128</f>
        <v>128</v>
      </c>
      <c r="R90" s="15">
        <f>54</f>
        <v>54</v>
      </c>
      <c r="S90" s="17" t="s">
        <v>9</v>
      </c>
      <c r="T90" s="15">
        <f t="shared" si="50"/>
        <v>5.814814814814815E-2</v>
      </c>
      <c r="U90" s="16">
        <f>32</f>
        <v>32</v>
      </c>
    </row>
    <row r="91" spans="1:21" x14ac:dyDescent="0.55000000000000004">
      <c r="A91" s="8">
        <f t="shared" si="46"/>
        <v>11</v>
      </c>
      <c r="B91" s="8">
        <v>0.48099999999999998</v>
      </c>
      <c r="C91" s="8">
        <f>128</f>
        <v>128</v>
      </c>
      <c r="D91" s="8">
        <f t="shared" si="42"/>
        <v>3.7578124999999999E-3</v>
      </c>
      <c r="E91" s="8">
        <v>24.375</v>
      </c>
      <c r="F91" s="8">
        <f>128</f>
        <v>128</v>
      </c>
      <c r="G91" s="8">
        <f>128</f>
        <v>128</v>
      </c>
      <c r="H91" s="9" t="s">
        <v>9</v>
      </c>
      <c r="I91" s="8">
        <f t="shared" si="43"/>
        <v>0.1904296875</v>
      </c>
      <c r="J91" s="5">
        <f>32</f>
        <v>32</v>
      </c>
      <c r="L91" s="15">
        <f>L90</f>
        <v>7</v>
      </c>
      <c r="M91" s="17" t="s">
        <v>8</v>
      </c>
      <c r="N91" s="17" t="s">
        <v>8</v>
      </c>
      <c r="O91" s="17" t="s">
        <v>8</v>
      </c>
      <c r="P91" s="15">
        <f>20.958</f>
        <v>20.957999999999998</v>
      </c>
      <c r="Q91" s="15">
        <f>74</f>
        <v>74</v>
      </c>
      <c r="R91" s="15">
        <f>74</f>
        <v>74</v>
      </c>
      <c r="S91" s="17" t="s">
        <v>9</v>
      </c>
      <c r="T91" s="15">
        <f t="shared" si="50"/>
        <v>0.28321621621621618</v>
      </c>
      <c r="U91" s="16">
        <f>32</f>
        <v>32</v>
      </c>
    </row>
    <row r="92" spans="1:21" x14ac:dyDescent="0.55000000000000004">
      <c r="A92" s="8">
        <f t="shared" si="46"/>
        <v>12</v>
      </c>
      <c r="B92" s="8">
        <v>0.58599999999999997</v>
      </c>
      <c r="C92" s="8">
        <f>128</f>
        <v>128</v>
      </c>
      <c r="D92" s="8">
        <f t="shared" si="42"/>
        <v>4.5781249999999997E-3</v>
      </c>
      <c r="E92" s="8">
        <f>26.899</f>
        <v>26.899000000000001</v>
      </c>
      <c r="F92" s="8">
        <f>128</f>
        <v>128</v>
      </c>
      <c r="G92" s="8">
        <f>128</f>
        <v>128</v>
      </c>
      <c r="H92" s="9" t="s">
        <v>9</v>
      </c>
      <c r="I92" s="8">
        <f t="shared" si="43"/>
        <v>0.21014843750000001</v>
      </c>
      <c r="J92" s="5">
        <f>32</f>
        <v>32</v>
      </c>
      <c r="L92" s="15">
        <f>L91+1</f>
        <v>8</v>
      </c>
      <c r="M92" s="15">
        <f>2.431</f>
        <v>2.431</v>
      </c>
      <c r="N92" s="15">
        <f>128</f>
        <v>128</v>
      </c>
      <c r="O92" s="15">
        <f t="shared" si="49"/>
        <v>1.89921875E-2</v>
      </c>
      <c r="P92" s="15">
        <f>25.017</f>
        <v>25.016999999999999</v>
      </c>
      <c r="Q92" s="15">
        <f>128</f>
        <v>128</v>
      </c>
      <c r="R92" s="15">
        <f>128</f>
        <v>128</v>
      </c>
      <c r="S92" s="17" t="s">
        <v>9</v>
      </c>
      <c r="T92" s="15">
        <f t="shared" si="50"/>
        <v>0.1954453125</v>
      </c>
      <c r="U92" s="16">
        <f>32</f>
        <v>32</v>
      </c>
    </row>
    <row r="93" spans="1:21" x14ac:dyDescent="0.55000000000000004">
      <c r="A93" s="8">
        <f t="shared" si="46"/>
        <v>13</v>
      </c>
      <c r="B93" s="8">
        <v>0.628</v>
      </c>
      <c r="C93" s="8">
        <f>128</f>
        <v>128</v>
      </c>
      <c r="D93" s="8">
        <f t="shared" si="42"/>
        <v>4.90625E-3</v>
      </c>
      <c r="E93" s="8">
        <f>21.519</f>
        <v>21.518999999999998</v>
      </c>
      <c r="F93" s="8">
        <f>128</f>
        <v>128</v>
      </c>
      <c r="G93" s="8">
        <f>128</f>
        <v>128</v>
      </c>
      <c r="H93" s="9" t="s">
        <v>9</v>
      </c>
      <c r="I93" s="8">
        <f t="shared" si="43"/>
        <v>0.16811718749999999</v>
      </c>
      <c r="J93" s="5">
        <f>32</f>
        <v>32</v>
      </c>
      <c r="L93" s="15">
        <f>L92+1</f>
        <v>9</v>
      </c>
      <c r="M93" s="15">
        <f>3.611</f>
        <v>3.6110000000000002</v>
      </c>
      <c r="N93" s="15">
        <f>128</f>
        <v>128</v>
      </c>
      <c r="O93" s="15">
        <f t="shared" si="49"/>
        <v>2.8210937500000002E-2</v>
      </c>
      <c r="P93" s="15">
        <f>3.715</f>
        <v>3.7149999999999999</v>
      </c>
      <c r="Q93" s="15">
        <f>128</f>
        <v>128</v>
      </c>
      <c r="R93" s="15">
        <f>53</f>
        <v>53</v>
      </c>
      <c r="S93" s="17" t="s">
        <v>9</v>
      </c>
      <c r="T93" s="15">
        <f t="shared" si="50"/>
        <v>7.0094339622641513E-2</v>
      </c>
      <c r="U93" s="16">
        <f>32</f>
        <v>32</v>
      </c>
    </row>
    <row r="94" spans="1:21" x14ac:dyDescent="0.55000000000000004">
      <c r="A94" s="8">
        <f t="shared" si="46"/>
        <v>14</v>
      </c>
      <c r="B94" s="8">
        <v>0.63200000000000001</v>
      </c>
      <c r="C94" s="8">
        <f>128</f>
        <v>128</v>
      </c>
      <c r="D94" s="8">
        <f t="shared" si="42"/>
        <v>4.9375E-3</v>
      </c>
      <c r="E94" s="8">
        <f>26.788</f>
        <v>26.788</v>
      </c>
      <c r="F94" s="8">
        <f>128</f>
        <v>128</v>
      </c>
      <c r="G94" s="8">
        <f>128</f>
        <v>128</v>
      </c>
      <c r="H94" s="9" t="s">
        <v>9</v>
      </c>
      <c r="I94" s="8">
        <f t="shared" si="43"/>
        <v>0.20928125</v>
      </c>
      <c r="J94" s="5">
        <f>32</f>
        <v>32</v>
      </c>
      <c r="L94" s="15">
        <f>L93</f>
        <v>9</v>
      </c>
      <c r="M94" s="17" t="s">
        <v>8</v>
      </c>
      <c r="N94" s="17" t="s">
        <v>8</v>
      </c>
      <c r="O94" s="17" t="s">
        <v>8</v>
      </c>
      <c r="P94" s="15">
        <f>21.087</f>
        <v>21.087</v>
      </c>
      <c r="Q94" s="15">
        <f>75</f>
        <v>75</v>
      </c>
      <c r="R94" s="15">
        <f>75</f>
        <v>75</v>
      </c>
      <c r="S94" s="17" t="s">
        <v>9</v>
      </c>
      <c r="T94" s="15">
        <f t="shared" si="50"/>
        <v>0.28116000000000002</v>
      </c>
      <c r="U94" s="16">
        <f>32</f>
        <v>32</v>
      </c>
    </row>
    <row r="95" spans="1:21" x14ac:dyDescent="0.55000000000000004">
      <c r="A95" s="8">
        <f t="shared" si="46"/>
        <v>15</v>
      </c>
      <c r="B95" s="8">
        <v>0.64300000000000002</v>
      </c>
      <c r="C95" s="8">
        <f>128</f>
        <v>128</v>
      </c>
      <c r="D95" s="8">
        <f t="shared" si="42"/>
        <v>5.0234375000000001E-3</v>
      </c>
      <c r="E95" s="8">
        <v>26.776</v>
      </c>
      <c r="F95" s="8">
        <f>128</f>
        <v>128</v>
      </c>
      <c r="G95" s="8">
        <f>128</f>
        <v>128</v>
      </c>
      <c r="H95" s="9" t="s">
        <v>9</v>
      </c>
      <c r="I95" s="8">
        <f t="shared" si="43"/>
        <v>0.2091875</v>
      </c>
      <c r="J95" s="5">
        <f>32</f>
        <v>32</v>
      </c>
      <c r="L95" s="15">
        <f>L94+1</f>
        <v>10</v>
      </c>
      <c r="M95" s="15">
        <f>2.109</f>
        <v>2.109</v>
      </c>
      <c r="N95" s="15">
        <f>128</f>
        <v>128</v>
      </c>
      <c r="O95" s="15">
        <f t="shared" si="49"/>
        <v>1.64765625E-2</v>
      </c>
      <c r="P95" s="15">
        <f>25.461</f>
        <v>25.460999999999999</v>
      </c>
      <c r="Q95" s="15">
        <f>128</f>
        <v>128</v>
      </c>
      <c r="R95" s="15">
        <f>128</f>
        <v>128</v>
      </c>
      <c r="S95" s="17" t="s">
        <v>9</v>
      </c>
      <c r="T95" s="15">
        <f t="shared" si="50"/>
        <v>0.19891406249999999</v>
      </c>
      <c r="U95" s="16">
        <f>32</f>
        <v>32</v>
      </c>
    </row>
    <row r="96" spans="1:21" x14ac:dyDescent="0.55000000000000004">
      <c r="A96" s="8">
        <f t="shared" si="46"/>
        <v>16</v>
      </c>
      <c r="B96" s="8">
        <v>0.35499999999999998</v>
      </c>
      <c r="C96" s="8">
        <f>128</f>
        <v>128</v>
      </c>
      <c r="D96" s="8">
        <f t="shared" si="42"/>
        <v>2.7734374999999999E-3</v>
      </c>
      <c r="E96" s="8">
        <f>23.633</f>
        <v>23.632999999999999</v>
      </c>
      <c r="F96" s="8">
        <f>128</f>
        <v>128</v>
      </c>
      <c r="G96" s="8">
        <f>128</f>
        <v>128</v>
      </c>
      <c r="H96" s="9" t="s">
        <v>9</v>
      </c>
      <c r="I96" s="8">
        <f t="shared" si="43"/>
        <v>0.18463281249999999</v>
      </c>
      <c r="J96" s="5">
        <f>32</f>
        <v>32</v>
      </c>
      <c r="L96" s="15">
        <f>L95+1</f>
        <v>11</v>
      </c>
      <c r="M96" s="15">
        <f>2.77</f>
        <v>2.77</v>
      </c>
      <c r="N96" s="15">
        <f>128</f>
        <v>128</v>
      </c>
      <c r="O96" s="15">
        <f t="shared" si="49"/>
        <v>2.1640625E-2</v>
      </c>
      <c r="P96" s="15">
        <f>1.855</f>
        <v>1.855</v>
      </c>
      <c r="Q96" s="15">
        <f>128</f>
        <v>128</v>
      </c>
      <c r="R96" s="15">
        <f>38</f>
        <v>38</v>
      </c>
      <c r="S96" s="17" t="s">
        <v>9</v>
      </c>
      <c r="T96" s="15">
        <f t="shared" si="50"/>
        <v>4.8815789473684208E-2</v>
      </c>
      <c r="U96" s="16">
        <f>32</f>
        <v>32</v>
      </c>
    </row>
    <row r="97" spans="1:21" x14ac:dyDescent="0.55000000000000004">
      <c r="A97" s="8">
        <f t="shared" si="46"/>
        <v>17</v>
      </c>
      <c r="B97" s="8">
        <v>0.42899999999999999</v>
      </c>
      <c r="C97" s="8">
        <f>128</f>
        <v>128</v>
      </c>
      <c r="D97" s="8">
        <f t="shared" si="42"/>
        <v>3.3515624999999999E-3</v>
      </c>
      <c r="E97" s="8">
        <f>26.361</f>
        <v>26.361000000000001</v>
      </c>
      <c r="F97" s="8">
        <f>128</f>
        <v>128</v>
      </c>
      <c r="G97" s="8">
        <f>128</f>
        <v>128</v>
      </c>
      <c r="H97" s="9" t="s">
        <v>9</v>
      </c>
      <c r="I97" s="8">
        <f t="shared" si="43"/>
        <v>0.20594531250000001</v>
      </c>
      <c r="J97" s="5">
        <f>32</f>
        <v>32</v>
      </c>
      <c r="L97" s="15">
        <f>L96</f>
        <v>11</v>
      </c>
      <c r="M97" s="17" t="s">
        <v>8</v>
      </c>
      <c r="N97" s="17" t="s">
        <v>8</v>
      </c>
      <c r="O97" s="17" t="s">
        <v>8</v>
      </c>
      <c r="P97" s="15">
        <f>20.828</f>
        <v>20.827999999999999</v>
      </c>
      <c r="Q97" s="15">
        <f>90</f>
        <v>90</v>
      </c>
      <c r="R97" s="15">
        <f>90</f>
        <v>90</v>
      </c>
      <c r="S97" s="17" t="s">
        <v>9</v>
      </c>
      <c r="T97" s="15">
        <f t="shared" si="50"/>
        <v>0.23142222222222222</v>
      </c>
      <c r="U97" s="16">
        <f>32</f>
        <v>32</v>
      </c>
    </row>
    <row r="98" spans="1:21" x14ac:dyDescent="0.55000000000000004">
      <c r="A98" s="8">
        <f t="shared" si="46"/>
        <v>18</v>
      </c>
      <c r="B98" s="8">
        <v>0.48699999999999999</v>
      </c>
      <c r="C98" s="8">
        <f>128</f>
        <v>128</v>
      </c>
      <c r="D98" s="8">
        <f t="shared" si="42"/>
        <v>3.8046874999999999E-3</v>
      </c>
      <c r="E98" s="8">
        <f>26.181</f>
        <v>26.181000000000001</v>
      </c>
      <c r="F98" s="8">
        <f>128</f>
        <v>128</v>
      </c>
      <c r="G98" s="8">
        <f>128</f>
        <v>128</v>
      </c>
      <c r="H98" s="9" t="s">
        <v>9</v>
      </c>
      <c r="I98" s="8">
        <f t="shared" si="43"/>
        <v>0.20453906250000001</v>
      </c>
      <c r="J98" s="5">
        <f>32</f>
        <v>32</v>
      </c>
      <c r="L98" s="15">
        <f>L97+1</f>
        <v>12</v>
      </c>
      <c r="M98" s="15">
        <f>2.334</f>
        <v>2.3340000000000001</v>
      </c>
      <c r="N98" s="15">
        <f>128</f>
        <v>128</v>
      </c>
      <c r="O98" s="15">
        <f t="shared" si="49"/>
        <v>1.8234375000000001E-2</v>
      </c>
      <c r="P98" s="15">
        <f>24.989</f>
        <v>24.989000000000001</v>
      </c>
      <c r="Q98" s="15">
        <f>128</f>
        <v>128</v>
      </c>
      <c r="R98" s="15">
        <f>128</f>
        <v>128</v>
      </c>
      <c r="S98" s="17" t="s">
        <v>9</v>
      </c>
      <c r="T98" s="15">
        <f t="shared" si="50"/>
        <v>0.19522656250000001</v>
      </c>
      <c r="U98" s="16">
        <f>32</f>
        <v>32</v>
      </c>
    </row>
    <row r="99" spans="1:21" x14ac:dyDescent="0.55000000000000004">
      <c r="A99" s="8">
        <f t="shared" si="46"/>
        <v>19</v>
      </c>
      <c r="B99" s="8">
        <v>0.35499999999999998</v>
      </c>
      <c r="C99" s="8">
        <f>128</f>
        <v>128</v>
      </c>
      <c r="D99" s="8">
        <f t="shared" si="42"/>
        <v>2.7734374999999999E-3</v>
      </c>
      <c r="E99" s="8">
        <f>23.436</f>
        <v>23.436</v>
      </c>
      <c r="F99" s="8">
        <f>128</f>
        <v>128</v>
      </c>
      <c r="G99" s="8">
        <f>128</f>
        <v>128</v>
      </c>
      <c r="H99" s="9" t="s">
        <v>9</v>
      </c>
      <c r="I99" s="8">
        <f t="shared" si="43"/>
        <v>0.18309375</v>
      </c>
      <c r="J99" s="5">
        <f>32</f>
        <v>32</v>
      </c>
      <c r="L99" s="15">
        <f>L98+1</f>
        <v>13</v>
      </c>
      <c r="M99" s="15">
        <f>2.209</f>
        <v>2.2090000000000001</v>
      </c>
      <c r="N99" s="15">
        <f>128</f>
        <v>128</v>
      </c>
      <c r="O99" s="15">
        <f t="shared" si="49"/>
        <v>1.7257812500000001E-2</v>
      </c>
      <c r="P99" s="15">
        <f>25.301</f>
        <v>25.300999999999998</v>
      </c>
      <c r="Q99" s="15">
        <f>128</f>
        <v>128</v>
      </c>
      <c r="R99" s="15">
        <f>128</f>
        <v>128</v>
      </c>
      <c r="S99" s="17" t="s">
        <v>9</v>
      </c>
      <c r="T99" s="15">
        <f t="shared" si="50"/>
        <v>0.19766406249999999</v>
      </c>
      <c r="U99" s="16">
        <f>32</f>
        <v>32</v>
      </c>
    </row>
    <row r="100" spans="1:21" x14ac:dyDescent="0.55000000000000004">
      <c r="A100" s="8">
        <f t="shared" si="46"/>
        <v>20</v>
      </c>
      <c r="B100" s="8">
        <v>0.45400000000000001</v>
      </c>
      <c r="C100" s="8">
        <f>128</f>
        <v>128</v>
      </c>
      <c r="D100" s="8">
        <f t="shared" si="42"/>
        <v>3.5468750000000001E-3</v>
      </c>
      <c r="E100" s="8">
        <v>26.388000000000002</v>
      </c>
      <c r="F100" s="8">
        <f>128</f>
        <v>128</v>
      </c>
      <c r="G100" s="8">
        <f>128</f>
        <v>128</v>
      </c>
      <c r="H100" s="9" t="s">
        <v>9</v>
      </c>
      <c r="I100" s="8">
        <f t="shared" si="43"/>
        <v>0.20615625000000001</v>
      </c>
      <c r="J100" s="5">
        <f>32</f>
        <v>32</v>
      </c>
      <c r="L100" s="15">
        <f>L99+1</f>
        <v>14</v>
      </c>
      <c r="M100" s="15">
        <f>4.143</f>
        <v>4.1429999999999998</v>
      </c>
      <c r="N100" s="15">
        <f>128</f>
        <v>128</v>
      </c>
      <c r="O100" s="15">
        <f t="shared" si="49"/>
        <v>3.2367187499999998E-2</v>
      </c>
      <c r="P100" s="15">
        <f>3.268</f>
        <v>3.2679999999999998</v>
      </c>
      <c r="Q100" s="15">
        <f>128</f>
        <v>128</v>
      </c>
      <c r="R100" s="15">
        <f>53</f>
        <v>53</v>
      </c>
      <c r="S100" s="17" t="s">
        <v>9</v>
      </c>
      <c r="T100" s="15">
        <f t="shared" si="50"/>
        <v>6.1660377358490559E-2</v>
      </c>
      <c r="U100" s="16">
        <f>32</f>
        <v>32</v>
      </c>
    </row>
    <row r="101" spans="1:21" x14ac:dyDescent="0.55000000000000004">
      <c r="A101" s="8">
        <f t="shared" si="46"/>
        <v>21</v>
      </c>
      <c r="B101" s="8">
        <v>0.57299999999999995</v>
      </c>
      <c r="C101" s="8">
        <f>128</f>
        <v>128</v>
      </c>
      <c r="D101" s="8">
        <f t="shared" si="42"/>
        <v>4.4765624999999996E-3</v>
      </c>
      <c r="E101" s="8">
        <f>26.713</f>
        <v>26.713000000000001</v>
      </c>
      <c r="F101" s="8">
        <f>128</f>
        <v>128</v>
      </c>
      <c r="G101" s="8">
        <f>128</f>
        <v>128</v>
      </c>
      <c r="H101" s="9" t="s">
        <v>9</v>
      </c>
      <c r="I101" s="8">
        <f t="shared" si="43"/>
        <v>0.20869531250000001</v>
      </c>
      <c r="J101" s="5">
        <f>32</f>
        <v>32</v>
      </c>
      <c r="L101" s="15">
        <f>L100</f>
        <v>14</v>
      </c>
      <c r="M101" s="17" t="s">
        <v>8</v>
      </c>
      <c r="N101" s="17" t="s">
        <v>8</v>
      </c>
      <c r="O101" s="17" t="s">
        <v>8</v>
      </c>
      <c r="P101" s="15">
        <f>20.855</f>
        <v>20.855</v>
      </c>
      <c r="Q101" s="15">
        <f>75</f>
        <v>75</v>
      </c>
      <c r="R101" s="15">
        <f>75</f>
        <v>75</v>
      </c>
      <c r="S101" s="17" t="s">
        <v>9</v>
      </c>
      <c r="T101" s="15">
        <f t="shared" si="50"/>
        <v>0.27806666666666668</v>
      </c>
      <c r="U101" s="16">
        <f>32</f>
        <v>32</v>
      </c>
    </row>
    <row r="102" spans="1:21" x14ac:dyDescent="0.55000000000000004">
      <c r="A102" s="8">
        <f t="shared" si="46"/>
        <v>22</v>
      </c>
      <c r="B102" s="8">
        <v>0.58599999999999997</v>
      </c>
      <c r="C102" s="8">
        <f>128</f>
        <v>128</v>
      </c>
      <c r="D102" s="8">
        <f t="shared" si="42"/>
        <v>4.5781249999999997E-3</v>
      </c>
      <c r="E102" s="8">
        <f>21.934</f>
        <v>21.934000000000001</v>
      </c>
      <c r="F102" s="8">
        <f>128</f>
        <v>128</v>
      </c>
      <c r="G102" s="8">
        <f>128</f>
        <v>128</v>
      </c>
      <c r="H102" s="9" t="s">
        <v>9</v>
      </c>
      <c r="I102" s="8">
        <f t="shared" si="43"/>
        <v>0.17135937500000001</v>
      </c>
      <c r="J102" s="5">
        <f>32</f>
        <v>32</v>
      </c>
      <c r="L102" s="15">
        <f>L101+1</f>
        <v>15</v>
      </c>
      <c r="M102" s="15">
        <f>3.183</f>
        <v>3.1829999999999998</v>
      </c>
      <c r="N102" s="15">
        <f>128</f>
        <v>128</v>
      </c>
      <c r="O102" s="15">
        <f t="shared" ref="O102:O111" si="52">M102/N102</f>
        <v>2.4867187499999999E-2</v>
      </c>
      <c r="P102" s="15">
        <f>25.583</f>
        <v>25.582999999999998</v>
      </c>
      <c r="Q102" s="15">
        <f>128</f>
        <v>128</v>
      </c>
      <c r="R102" s="15">
        <f>128</f>
        <v>128</v>
      </c>
      <c r="S102" s="17" t="s">
        <v>9</v>
      </c>
      <c r="T102" s="15">
        <f t="shared" ref="T102:T111" si="53">P102/R102</f>
        <v>0.19986718749999999</v>
      </c>
      <c r="U102" s="16">
        <f>32</f>
        <v>32</v>
      </c>
    </row>
    <row r="103" spans="1:21" x14ac:dyDescent="0.55000000000000004">
      <c r="A103" s="8">
        <f t="shared" si="46"/>
        <v>23</v>
      </c>
      <c r="B103" s="8">
        <v>0.56399999999999995</v>
      </c>
      <c r="C103" s="8">
        <f>128</f>
        <v>128</v>
      </c>
      <c r="D103" s="8">
        <f t="shared" si="42"/>
        <v>4.4062499999999996E-3</v>
      </c>
      <c r="E103" s="8">
        <f>26.149</f>
        <v>26.149000000000001</v>
      </c>
      <c r="F103" s="8">
        <f>128</f>
        <v>128</v>
      </c>
      <c r="G103" s="8">
        <f>128</f>
        <v>128</v>
      </c>
      <c r="H103" s="9" t="s">
        <v>9</v>
      </c>
      <c r="I103" s="8">
        <f t="shared" si="43"/>
        <v>0.20428906250000001</v>
      </c>
      <c r="J103" s="5">
        <f>32</f>
        <v>32</v>
      </c>
      <c r="L103" s="15">
        <f>L102+1</f>
        <v>16</v>
      </c>
      <c r="M103" s="15">
        <f>3.669</f>
        <v>3.669</v>
      </c>
      <c r="N103" s="15">
        <f>128</f>
        <v>128</v>
      </c>
      <c r="O103" s="15">
        <f t="shared" si="52"/>
        <v>2.86640625E-2</v>
      </c>
      <c r="P103" s="15">
        <f>3.581</f>
        <v>3.581</v>
      </c>
      <c r="Q103" s="15">
        <f>128</f>
        <v>128</v>
      </c>
      <c r="R103" s="15">
        <f>52</f>
        <v>52</v>
      </c>
      <c r="S103" s="17" t="s">
        <v>9</v>
      </c>
      <c r="T103" s="15">
        <f t="shared" si="53"/>
        <v>6.886538461538462E-2</v>
      </c>
      <c r="U103" s="16">
        <f>32</f>
        <v>32</v>
      </c>
    </row>
    <row r="104" spans="1:21" x14ac:dyDescent="0.55000000000000004">
      <c r="A104" s="8">
        <f t="shared" si="46"/>
        <v>24</v>
      </c>
      <c r="B104" s="8">
        <v>0.501</v>
      </c>
      <c r="C104" s="8">
        <f>128</f>
        <v>128</v>
      </c>
      <c r="D104" s="8">
        <f t="shared" si="42"/>
        <v>3.9140625E-3</v>
      </c>
      <c r="E104" s="8">
        <f>27.036</f>
        <v>27.036000000000001</v>
      </c>
      <c r="F104" s="8">
        <f>128</f>
        <v>128</v>
      </c>
      <c r="G104" s="8">
        <f>128</f>
        <v>128</v>
      </c>
      <c r="H104" s="9" t="s">
        <v>9</v>
      </c>
      <c r="I104" s="8">
        <f t="shared" si="43"/>
        <v>0.21121875000000001</v>
      </c>
      <c r="J104" s="5">
        <f>32</f>
        <v>32</v>
      </c>
      <c r="L104" s="15">
        <f>L103</f>
        <v>16</v>
      </c>
      <c r="M104" s="17" t="s">
        <v>8</v>
      </c>
      <c r="N104" s="17" t="s">
        <v>8</v>
      </c>
      <c r="O104" s="17" t="s">
        <v>8</v>
      </c>
      <c r="P104" s="15">
        <f>20.834</f>
        <v>20.834</v>
      </c>
      <c r="Q104" s="15">
        <f>76</f>
        <v>76</v>
      </c>
      <c r="R104" s="15">
        <f>76</f>
        <v>76</v>
      </c>
      <c r="S104" s="17" t="s">
        <v>9</v>
      </c>
      <c r="T104" s="15">
        <f t="shared" si="53"/>
        <v>0.27413157894736839</v>
      </c>
      <c r="U104" s="16">
        <f>32</f>
        <v>32</v>
      </c>
    </row>
    <row r="105" spans="1:21" x14ac:dyDescent="0.55000000000000004">
      <c r="A105" s="8">
        <f t="shared" si="46"/>
        <v>25</v>
      </c>
      <c r="B105" s="8">
        <v>0.621</v>
      </c>
      <c r="C105" s="8">
        <f>128</f>
        <v>128</v>
      </c>
      <c r="D105" s="8">
        <f t="shared" si="42"/>
        <v>4.8515625E-3</v>
      </c>
      <c r="E105" s="8">
        <f>21.638</f>
        <v>21.638000000000002</v>
      </c>
      <c r="F105" s="8">
        <f>128</f>
        <v>128</v>
      </c>
      <c r="G105" s="8">
        <f>128</f>
        <v>128</v>
      </c>
      <c r="H105" s="9" t="s">
        <v>9</v>
      </c>
      <c r="I105" s="8">
        <f t="shared" si="43"/>
        <v>0.16904687500000001</v>
      </c>
      <c r="J105" s="5">
        <f>32</f>
        <v>32</v>
      </c>
      <c r="L105" s="15">
        <f>L104+1</f>
        <v>17</v>
      </c>
      <c r="M105" s="15">
        <f>2.72</f>
        <v>2.72</v>
      </c>
      <c r="N105" s="15">
        <f>128</f>
        <v>128</v>
      </c>
      <c r="O105" s="15">
        <f t="shared" si="52"/>
        <v>2.1250000000000002E-2</v>
      </c>
      <c r="P105" s="15">
        <f>24.877</f>
        <v>24.876999999999999</v>
      </c>
      <c r="Q105" s="15">
        <f>128</f>
        <v>128</v>
      </c>
      <c r="R105" s="15">
        <f>128</f>
        <v>128</v>
      </c>
      <c r="S105" s="17" t="s">
        <v>9</v>
      </c>
      <c r="T105" s="15">
        <f t="shared" si="53"/>
        <v>0.19435156249999999</v>
      </c>
      <c r="U105" s="16">
        <f>32</f>
        <v>32</v>
      </c>
    </row>
    <row r="106" spans="1:21" x14ac:dyDescent="0.55000000000000004">
      <c r="A106" s="8">
        <f t="shared" si="46"/>
        <v>26</v>
      </c>
      <c r="B106" s="8">
        <v>0.64400000000000002</v>
      </c>
      <c r="C106" s="8">
        <f>128</f>
        <v>128</v>
      </c>
      <c r="D106" s="8">
        <f t="shared" si="42"/>
        <v>5.0312500000000001E-3</v>
      </c>
      <c r="E106" s="8">
        <f>26.911</f>
        <v>26.911000000000001</v>
      </c>
      <c r="F106" s="8">
        <f>128</f>
        <v>128</v>
      </c>
      <c r="G106" s="8">
        <f>128</f>
        <v>128</v>
      </c>
      <c r="H106" s="9" t="s">
        <v>9</v>
      </c>
      <c r="I106" s="8">
        <f t="shared" si="43"/>
        <v>0.21024218750000001</v>
      </c>
      <c r="J106" s="5">
        <f>32</f>
        <v>32</v>
      </c>
      <c r="L106" s="15">
        <f>L105+1</f>
        <v>18</v>
      </c>
      <c r="M106" s="15">
        <f>4.54</f>
        <v>4.54</v>
      </c>
      <c r="N106" s="15">
        <f>128</f>
        <v>128</v>
      </c>
      <c r="O106" s="15">
        <f t="shared" si="52"/>
        <v>3.546875E-2</v>
      </c>
      <c r="P106" s="15">
        <f>2.625</f>
        <v>2.625</v>
      </c>
      <c r="Q106" s="15">
        <f>128</f>
        <v>128</v>
      </c>
      <c r="R106" s="15">
        <f>52</f>
        <v>52</v>
      </c>
      <c r="S106" s="17" t="s">
        <v>9</v>
      </c>
      <c r="T106" s="15">
        <f t="shared" si="53"/>
        <v>5.0480769230769232E-2</v>
      </c>
      <c r="U106" s="16">
        <f>32</f>
        <v>32</v>
      </c>
    </row>
    <row r="107" spans="1:21" x14ac:dyDescent="0.55000000000000004">
      <c r="A107" s="8">
        <f t="shared" si="46"/>
        <v>27</v>
      </c>
      <c r="B107" s="8">
        <v>0.54400000000000004</v>
      </c>
      <c r="C107" s="8">
        <f>128</f>
        <v>128</v>
      </c>
      <c r="D107" s="8">
        <f t="shared" si="42"/>
        <v>4.2500000000000003E-3</v>
      </c>
      <c r="E107" s="8">
        <f>26.681</f>
        <v>26.681000000000001</v>
      </c>
      <c r="F107" s="8">
        <f>128</f>
        <v>128</v>
      </c>
      <c r="G107" s="8">
        <f>128</f>
        <v>128</v>
      </c>
      <c r="H107" s="9" t="s">
        <v>9</v>
      </c>
      <c r="I107" s="8">
        <f t="shared" si="43"/>
        <v>0.20844531250000001</v>
      </c>
      <c r="J107" s="5">
        <f>32</f>
        <v>32</v>
      </c>
      <c r="L107" s="15">
        <f>L106</f>
        <v>18</v>
      </c>
      <c r="M107" s="17" t="s">
        <v>8</v>
      </c>
      <c r="N107" s="17" t="s">
        <v>8</v>
      </c>
      <c r="O107" s="17" t="s">
        <v>8</v>
      </c>
      <c r="P107" s="15">
        <f>20.941</f>
        <v>20.940999999999999</v>
      </c>
      <c r="Q107" s="15">
        <f>76</f>
        <v>76</v>
      </c>
      <c r="R107" s="15">
        <f>76</f>
        <v>76</v>
      </c>
      <c r="S107" s="17" t="s">
        <v>9</v>
      </c>
      <c r="T107" s="15">
        <f t="shared" si="53"/>
        <v>0.2755394736842105</v>
      </c>
      <c r="U107" s="16">
        <f>32</f>
        <v>32</v>
      </c>
    </row>
    <row r="108" spans="1:21" x14ac:dyDescent="0.55000000000000004">
      <c r="A108" s="8">
        <f t="shared" si="46"/>
        <v>28</v>
      </c>
      <c r="B108" s="8">
        <v>0.47099999999999997</v>
      </c>
      <c r="C108" s="8">
        <f>128</f>
        <v>128</v>
      </c>
      <c r="D108" s="8">
        <f t="shared" si="42"/>
        <v>3.6796874999999998E-3</v>
      </c>
      <c r="E108" s="8">
        <f>37.277</f>
        <v>37.277000000000001</v>
      </c>
      <c r="F108" s="8">
        <f>128</f>
        <v>128</v>
      </c>
      <c r="G108" s="8">
        <f>128</f>
        <v>128</v>
      </c>
      <c r="H108" s="9" t="s">
        <v>9</v>
      </c>
      <c r="I108" s="8">
        <f t="shared" si="43"/>
        <v>0.29122656250000001</v>
      </c>
      <c r="J108" s="5">
        <f>32</f>
        <v>32</v>
      </c>
      <c r="L108" s="15">
        <f>L107+1</f>
        <v>19</v>
      </c>
      <c r="M108" s="15">
        <f>2.992</f>
        <v>2.992</v>
      </c>
      <c r="N108" s="15">
        <f>128</f>
        <v>128</v>
      </c>
      <c r="O108" s="15">
        <f t="shared" si="52"/>
        <v>2.3375E-2</v>
      </c>
      <c r="P108" s="15">
        <f>25.603</f>
        <v>25.603000000000002</v>
      </c>
      <c r="Q108" s="15">
        <f>128</f>
        <v>128</v>
      </c>
      <c r="R108" s="15">
        <f>128</f>
        <v>128</v>
      </c>
      <c r="S108" s="17" t="s">
        <v>9</v>
      </c>
      <c r="T108" s="15">
        <f t="shared" si="53"/>
        <v>0.20002343750000001</v>
      </c>
      <c r="U108" s="16">
        <f>32</f>
        <v>32</v>
      </c>
    </row>
    <row r="109" spans="1:21" x14ac:dyDescent="0.55000000000000004">
      <c r="A109" s="8">
        <f t="shared" si="46"/>
        <v>29</v>
      </c>
      <c r="B109" s="8">
        <v>0.58299999999999996</v>
      </c>
      <c r="C109" s="8">
        <f>128</f>
        <v>128</v>
      </c>
      <c r="D109" s="8">
        <f t="shared" si="42"/>
        <v>4.5546874999999997E-3</v>
      </c>
      <c r="E109" s="8">
        <f>26.332</f>
        <v>26.332000000000001</v>
      </c>
      <c r="F109" s="8">
        <f>128</f>
        <v>128</v>
      </c>
      <c r="G109" s="8">
        <f>128</f>
        <v>128</v>
      </c>
      <c r="H109" s="9" t="s">
        <v>9</v>
      </c>
      <c r="I109" s="8">
        <f t="shared" si="43"/>
        <v>0.20571875000000001</v>
      </c>
      <c r="J109" s="5">
        <f>32</f>
        <v>32</v>
      </c>
      <c r="L109" s="15">
        <f>L108+1</f>
        <v>20</v>
      </c>
      <c r="M109" s="15">
        <f>2.524</f>
        <v>2.524</v>
      </c>
      <c r="N109" s="15">
        <f>128</f>
        <v>128</v>
      </c>
      <c r="O109" s="15">
        <f t="shared" si="52"/>
        <v>1.971875E-2</v>
      </c>
      <c r="P109" s="15">
        <f>24.898</f>
        <v>24.898</v>
      </c>
      <c r="Q109" s="15">
        <f>128</f>
        <v>128</v>
      </c>
      <c r="R109" s="15">
        <f>128</f>
        <v>128</v>
      </c>
      <c r="S109" s="17" t="s">
        <v>9</v>
      </c>
      <c r="T109" s="15">
        <f t="shared" si="53"/>
        <v>0.194515625</v>
      </c>
      <c r="U109" s="16">
        <f>32</f>
        <v>32</v>
      </c>
    </row>
    <row r="110" spans="1:21" x14ac:dyDescent="0.55000000000000004">
      <c r="A110" s="8">
        <f t="shared" si="46"/>
        <v>30</v>
      </c>
      <c r="B110" s="8">
        <v>0.63300000000000001</v>
      </c>
      <c r="C110" s="8">
        <f>128</f>
        <v>128</v>
      </c>
      <c r="D110" s="8">
        <f t="shared" si="42"/>
        <v>4.9453125000000001E-3</v>
      </c>
      <c r="E110" s="8">
        <f>26.023</f>
        <v>26.023</v>
      </c>
      <c r="F110" s="8">
        <f>128</f>
        <v>128</v>
      </c>
      <c r="G110" s="8">
        <f>128</f>
        <v>128</v>
      </c>
      <c r="H110" s="9" t="s">
        <v>9</v>
      </c>
      <c r="I110" s="8">
        <f t="shared" si="43"/>
        <v>0.2033046875</v>
      </c>
      <c r="J110" s="5">
        <f>32</f>
        <v>32</v>
      </c>
      <c r="L110" s="15">
        <f>L109+1</f>
        <v>21</v>
      </c>
      <c r="M110" s="15">
        <f>3.724</f>
        <v>3.7240000000000002</v>
      </c>
      <c r="N110" s="15">
        <f>128</f>
        <v>128</v>
      </c>
      <c r="O110" s="15">
        <f t="shared" si="52"/>
        <v>2.9093750000000002E-2</v>
      </c>
      <c r="P110" s="15">
        <f>1.496</f>
        <v>1.496</v>
      </c>
      <c r="Q110" s="15">
        <f>128</f>
        <v>128</v>
      </c>
      <c r="R110" s="15">
        <f>30</f>
        <v>30</v>
      </c>
      <c r="S110" s="17" t="s">
        <v>9</v>
      </c>
      <c r="T110" s="15">
        <f t="shared" si="53"/>
        <v>4.9866666666666663E-2</v>
      </c>
      <c r="U110" s="16">
        <f>32</f>
        <v>32</v>
      </c>
    </row>
    <row r="111" spans="1:2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5"/>
      <c r="L111" s="15">
        <f>L110</f>
        <v>21</v>
      </c>
      <c r="M111" s="17" t="s">
        <v>8</v>
      </c>
      <c r="N111" s="17" t="s">
        <v>8</v>
      </c>
      <c r="O111" s="17" t="s">
        <v>8</v>
      </c>
      <c r="P111" s="15">
        <f>20.984</f>
        <v>20.984000000000002</v>
      </c>
      <c r="Q111" s="15">
        <f>98</f>
        <v>98</v>
      </c>
      <c r="R111" s="15">
        <f>98</f>
        <v>98</v>
      </c>
      <c r="S111" s="17" t="s">
        <v>9</v>
      </c>
      <c r="T111" s="15">
        <f t="shared" si="53"/>
        <v>0.21412244897959185</v>
      </c>
      <c r="U111" s="16">
        <f>32</f>
        <v>32</v>
      </c>
    </row>
    <row r="112" spans="1:21" x14ac:dyDescent="0.55000000000000004">
      <c r="L112" s="15">
        <f>L111+1</f>
        <v>22</v>
      </c>
      <c r="M112" s="15">
        <f>3.476</f>
        <v>3.476</v>
      </c>
      <c r="N112" s="15">
        <f>128</f>
        <v>128</v>
      </c>
      <c r="O112" s="15">
        <f t="shared" ref="O112:O119" si="54">M112/N112</f>
        <v>2.715625E-2</v>
      </c>
      <c r="P112" s="15">
        <f>25.082</f>
        <v>25.082000000000001</v>
      </c>
      <c r="Q112" s="15">
        <f>128</f>
        <v>128</v>
      </c>
      <c r="R112" s="15">
        <f>128</f>
        <v>128</v>
      </c>
      <c r="S112" s="17" t="s">
        <v>9</v>
      </c>
      <c r="T112" s="15">
        <f t="shared" ref="T112:T119" si="55">P112/R112</f>
        <v>0.19595312500000001</v>
      </c>
      <c r="U112" s="16">
        <f>32</f>
        <v>32</v>
      </c>
    </row>
    <row r="113" spans="12:21" x14ac:dyDescent="0.55000000000000004">
      <c r="L113" s="15">
        <f>L112+1</f>
        <v>23</v>
      </c>
      <c r="M113" s="15">
        <f>2.148</f>
        <v>2.1480000000000001</v>
      </c>
      <c r="N113" s="15">
        <f>128</f>
        <v>128</v>
      </c>
      <c r="O113" s="15">
        <f t="shared" si="54"/>
        <v>1.6781250000000001E-2</v>
      </c>
      <c r="P113" s="15">
        <f>25.575</f>
        <v>25.574999999999999</v>
      </c>
      <c r="Q113" s="15">
        <f>128</f>
        <v>128</v>
      </c>
      <c r="R113" s="15">
        <f>128</f>
        <v>128</v>
      </c>
      <c r="S113" s="17" t="s">
        <v>9</v>
      </c>
      <c r="T113" s="15">
        <f t="shared" si="55"/>
        <v>0.19980468749999999</v>
      </c>
      <c r="U113" s="16">
        <f>32</f>
        <v>32</v>
      </c>
    </row>
    <row r="114" spans="12:21" x14ac:dyDescent="0.55000000000000004">
      <c r="L114" s="15">
        <f>L113+1</f>
        <v>24</v>
      </c>
      <c r="M114" s="15">
        <f>2.78</f>
        <v>2.78</v>
      </c>
      <c r="N114" s="15">
        <f>128</f>
        <v>128</v>
      </c>
      <c r="O114" s="15">
        <f t="shared" si="54"/>
        <v>2.1718749999999998E-2</v>
      </c>
      <c r="P114" s="15">
        <f>26.023</f>
        <v>26.023</v>
      </c>
      <c r="Q114" s="15">
        <f>128</f>
        <v>128</v>
      </c>
      <c r="R114" s="15">
        <f>128</f>
        <v>128</v>
      </c>
      <c r="S114" s="17" t="s">
        <v>9</v>
      </c>
      <c r="T114" s="15">
        <f t="shared" si="55"/>
        <v>0.2033046875</v>
      </c>
      <c r="U114" s="16">
        <f>32</f>
        <v>32</v>
      </c>
    </row>
    <row r="115" spans="12:21" x14ac:dyDescent="0.55000000000000004">
      <c r="L115" s="15">
        <f>L114+1</f>
        <v>25</v>
      </c>
      <c r="M115" s="15">
        <f>2.312</f>
        <v>2.3119999999999998</v>
      </c>
      <c r="N115" s="15">
        <f>128</f>
        <v>128</v>
      </c>
      <c r="O115" s="15">
        <f t="shared" si="54"/>
        <v>1.8062499999999999E-2</v>
      </c>
      <c r="P115" s="15">
        <f>25.177</f>
        <v>25.177</v>
      </c>
      <c r="Q115" s="15">
        <f>128</f>
        <v>128</v>
      </c>
      <c r="R115" s="15">
        <f>128</f>
        <v>128</v>
      </c>
      <c r="S115" s="17" t="s">
        <v>9</v>
      </c>
      <c r="T115" s="15">
        <f t="shared" si="55"/>
        <v>0.1966953125</v>
      </c>
      <c r="U115" s="16">
        <f>32</f>
        <v>32</v>
      </c>
    </row>
    <row r="116" spans="12:21" x14ac:dyDescent="0.55000000000000004">
      <c r="L116" s="15">
        <f>L115+1</f>
        <v>26</v>
      </c>
      <c r="M116" s="15">
        <f>2.652</f>
        <v>2.6520000000000001</v>
      </c>
      <c r="N116" s="15">
        <f>128</f>
        <v>128</v>
      </c>
      <c r="O116" s="15">
        <f t="shared" si="54"/>
        <v>2.0718750000000001E-2</v>
      </c>
      <c r="P116" s="15">
        <f>24.928</f>
        <v>24.928000000000001</v>
      </c>
      <c r="Q116" s="15">
        <f>128</f>
        <v>128</v>
      </c>
      <c r="R116" s="15">
        <f>128</f>
        <v>128</v>
      </c>
      <c r="S116" s="17" t="s">
        <v>9</v>
      </c>
      <c r="T116" s="15">
        <f t="shared" si="55"/>
        <v>0.19475000000000001</v>
      </c>
      <c r="U116" s="16">
        <f>32</f>
        <v>32</v>
      </c>
    </row>
    <row r="117" spans="12:21" x14ac:dyDescent="0.55000000000000004">
      <c r="L117" s="15">
        <f>L116+1</f>
        <v>27</v>
      </c>
      <c r="M117" s="15">
        <f>2.273</f>
        <v>2.2730000000000001</v>
      </c>
      <c r="N117" s="15">
        <f>128</f>
        <v>128</v>
      </c>
      <c r="O117" s="15">
        <f t="shared" si="54"/>
        <v>1.7757812500000001E-2</v>
      </c>
      <c r="P117" s="15">
        <f>25.098</f>
        <v>25.097999999999999</v>
      </c>
      <c r="Q117" s="15">
        <f>128</f>
        <v>128</v>
      </c>
      <c r="R117" s="15">
        <f>128</f>
        <v>128</v>
      </c>
      <c r="S117" s="17" t="s">
        <v>9</v>
      </c>
      <c r="T117" s="15">
        <f t="shared" si="55"/>
        <v>0.19607812499999999</v>
      </c>
      <c r="U117" s="16">
        <f>32</f>
        <v>32</v>
      </c>
    </row>
    <row r="118" spans="12:21" x14ac:dyDescent="0.55000000000000004">
      <c r="L118" s="15">
        <f>L117+1</f>
        <v>28</v>
      </c>
      <c r="M118" s="15">
        <f>3.853</f>
        <v>3.8530000000000002</v>
      </c>
      <c r="N118" s="15">
        <f>128</f>
        <v>128</v>
      </c>
      <c r="O118" s="15">
        <f t="shared" si="54"/>
        <v>3.0101562500000002E-2</v>
      </c>
      <c r="P118" s="15">
        <f>4.051</f>
        <v>4.0510000000000002</v>
      </c>
      <c r="Q118" s="15">
        <f>128</f>
        <v>128</v>
      </c>
      <c r="R118" s="15">
        <f>60</f>
        <v>60</v>
      </c>
      <c r="S118" s="17" t="s">
        <v>9</v>
      </c>
      <c r="T118" s="15">
        <f t="shared" si="55"/>
        <v>6.7516666666666669E-2</v>
      </c>
      <c r="U118" s="16">
        <f>32</f>
        <v>32</v>
      </c>
    </row>
    <row r="119" spans="12:21" x14ac:dyDescent="0.55000000000000004">
      <c r="L119" s="15">
        <f>L118</f>
        <v>28</v>
      </c>
      <c r="M119" s="17" t="s">
        <v>8</v>
      </c>
      <c r="N119" s="17" t="s">
        <v>8</v>
      </c>
      <c r="O119" s="17" t="s">
        <v>8</v>
      </c>
      <c r="P119" s="15">
        <f>20.855</f>
        <v>20.855</v>
      </c>
      <c r="Q119" s="15">
        <f>68</f>
        <v>68</v>
      </c>
      <c r="R119" s="15">
        <f>68</f>
        <v>68</v>
      </c>
      <c r="S119" s="17" t="s">
        <v>9</v>
      </c>
      <c r="T119" s="15">
        <f t="shared" si="55"/>
        <v>0.30669117647058824</v>
      </c>
      <c r="U119" s="16">
        <f>32</f>
        <v>32</v>
      </c>
    </row>
    <row r="120" spans="12:21" x14ac:dyDescent="0.55000000000000004">
      <c r="L120" s="15">
        <f>L119+1</f>
        <v>29</v>
      </c>
      <c r="M120" s="15">
        <f>2.329</f>
        <v>2.3290000000000002</v>
      </c>
      <c r="N120" s="15">
        <f>128</f>
        <v>128</v>
      </c>
      <c r="O120" s="15">
        <f t="shared" ref="O120" si="56">M120/N120</f>
        <v>1.8195312500000001E-2</v>
      </c>
      <c r="P120" s="15">
        <f>25.474</f>
        <v>25.474</v>
      </c>
      <c r="Q120" s="15">
        <f>128</f>
        <v>128</v>
      </c>
      <c r="R120" s="15">
        <f>60</f>
        <v>60</v>
      </c>
      <c r="S120" s="17" t="s">
        <v>9</v>
      </c>
      <c r="T120" s="15">
        <f t="shared" ref="T120" si="57">P120/R120</f>
        <v>0.42456666666666665</v>
      </c>
      <c r="U120" s="16">
        <f>32</f>
        <v>32</v>
      </c>
    </row>
    <row r="121" spans="12:21" x14ac:dyDescent="0.55000000000000004">
      <c r="L121" s="15">
        <f>L120+1</f>
        <v>30</v>
      </c>
      <c r="M121" s="15">
        <f>2.434</f>
        <v>2.4340000000000002</v>
      </c>
      <c r="N121" s="15">
        <f>128</f>
        <v>128</v>
      </c>
      <c r="O121" s="15">
        <f t="shared" ref="O121" si="58">M121/N121</f>
        <v>1.9015625000000001E-2</v>
      </c>
      <c r="P121" s="15">
        <f>25.101</f>
        <v>25.100999999999999</v>
      </c>
      <c r="Q121" s="15">
        <f>128</f>
        <v>128</v>
      </c>
      <c r="R121" s="15">
        <f>60</f>
        <v>60</v>
      </c>
      <c r="S121" s="17" t="s">
        <v>9</v>
      </c>
      <c r="T121" s="15">
        <f t="shared" ref="T121" si="59">P121/R121</f>
        <v>0.41835</v>
      </c>
      <c r="U121" s="16">
        <f>32</f>
        <v>32</v>
      </c>
    </row>
    <row r="122" spans="12:21" x14ac:dyDescent="0.55000000000000004"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W. Rice</dc:creator>
  <cp:lastModifiedBy>Jerry W. Rice</cp:lastModifiedBy>
  <dcterms:created xsi:type="dcterms:W3CDTF">2023-06-25T21:26:54Z</dcterms:created>
  <dcterms:modified xsi:type="dcterms:W3CDTF">2023-06-26T04:22:22Z</dcterms:modified>
</cp:coreProperties>
</file>