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date1904="1" showInkAnnotation="0" autoCompressPictures="0"/>
  <mc:AlternateContent xmlns:mc="http://schemas.openxmlformats.org/markup-compatibility/2006">
    <mc:Choice Requires="x15">
      <x15ac:absPath xmlns:x15ac="http://schemas.microsoft.com/office/spreadsheetml/2010/11/ac" url="/Users/cshallah/OraPub/Technical Research/0 FF Diag Template/"/>
    </mc:Choice>
  </mc:AlternateContent>
  <bookViews>
    <workbookView xWindow="4240" yWindow="460" windowWidth="24560" windowHeight="17540" tabRatio="579"/>
  </bookViews>
  <sheets>
    <sheet name="Welcome" sheetId="5" r:id="rId1"/>
    <sheet name="Ora TBA" sheetId="1" r:id="rId2"/>
    <sheet name="OTBA Charts" sheetId="6" r:id="rId3"/>
    <sheet name="Ora WL" sheetId="2" r:id="rId4"/>
    <sheet name="Appl" sheetId="3" r:id="rId5"/>
    <sheet name="OS" sheetId="4" r:id="rId6"/>
  </sheets>
  <definedNames>
    <definedName name="cpu_cores">OS!$D$5</definedName>
    <definedName name="db_time">'Ora TBA'!$E$3</definedName>
    <definedName name="interval_s">'Ora WL'!$B$10</definedName>
    <definedName name="qt_io_r_wavg">'Ora TBA'!$J$12</definedName>
    <definedName name="qt_io_w_wavg">'Ora TBA'!$J$16</definedName>
    <definedName name="qt_io_wavg">'Ora TBA'!$J$11</definedName>
    <definedName name="qt_other_wavg">'Ora TBA'!$J$20</definedName>
    <definedName name="tot_qt">'Ora TBA'!$F$10</definedName>
    <definedName name="tot_qt_io">'Ora TBA'!$G$11</definedName>
    <definedName name="tot_qt_io_r">'Ora TBA'!$H$12</definedName>
    <definedName name="tot_qt_io_w">'Ora TBA'!$H$16</definedName>
    <definedName name="tot_qt_other">'Ora TBA'!$G$20</definedName>
    <definedName name="tot_rt">'Ora TBA'!$E$5</definedName>
    <definedName name="tot_st">'Ora TBA'!$F$6</definedName>
    <definedName name="wl_bc">'Ora WL'!$B$3</definedName>
    <definedName name="wl_exec">'Ora WL'!$B$7</definedName>
    <definedName name="wl_lio">'Ora WL'!$B$6</definedName>
    <definedName name="wl_pio">'Ora WL'!$B$4</definedName>
    <definedName name="wl_pio_reqs">'Ora WL'!$B$5</definedName>
    <definedName name="wl_uc">'Ora WL'!$B$8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 i="1" l="1"/>
  <c r="H12" i="1"/>
  <c r="H16" i="1"/>
  <c r="G11" i="1"/>
  <c r="G20" i="1"/>
  <c r="F10" i="1"/>
  <c r="E5" i="1"/>
  <c r="I25" i="1"/>
  <c r="D9" i="4"/>
  <c r="D6" i="4"/>
  <c r="D13" i="4"/>
  <c r="D4" i="4"/>
  <c r="B10" i="2"/>
  <c r="K12" i="1"/>
  <c r="K16" i="1"/>
  <c r="K10" i="1"/>
  <c r="K11" i="1"/>
  <c r="K6" i="1"/>
  <c r="K5" i="1"/>
  <c r="K25" i="1"/>
  <c r="K24" i="1"/>
  <c r="K23" i="1"/>
  <c r="K22" i="1"/>
  <c r="K21" i="1"/>
  <c r="K20" i="1"/>
  <c r="K19" i="1"/>
  <c r="K18" i="1"/>
  <c r="K17" i="1"/>
  <c r="K15" i="1"/>
  <c r="K14" i="1"/>
  <c r="K13" i="1"/>
  <c r="K8" i="1"/>
  <c r="K7" i="1"/>
  <c r="B8" i="6"/>
  <c r="I13" i="6"/>
  <c r="H13" i="6"/>
  <c r="I10" i="6"/>
  <c r="H10" i="6"/>
  <c r="C5" i="6"/>
  <c r="B5" i="6"/>
  <c r="D8" i="2"/>
  <c r="D7" i="2"/>
  <c r="D6" i="2"/>
  <c r="D5" i="2"/>
  <c r="D4" i="2"/>
  <c r="D3" i="2"/>
  <c r="C8" i="2"/>
  <c r="C7" i="2"/>
  <c r="C6" i="2"/>
  <c r="C5" i="2"/>
  <c r="C4" i="2"/>
  <c r="C3" i="2"/>
  <c r="E3" i="2"/>
  <c r="G3" i="2"/>
  <c r="F3" i="2"/>
  <c r="E4" i="2"/>
  <c r="G4" i="2"/>
  <c r="F4" i="2"/>
  <c r="E5" i="2"/>
  <c r="G5" i="2"/>
  <c r="F5" i="2"/>
  <c r="E6" i="2"/>
  <c r="G6" i="2"/>
  <c r="F6" i="2"/>
  <c r="E7" i="2"/>
  <c r="G7" i="2"/>
  <c r="F7" i="2"/>
  <c r="E8" i="2"/>
  <c r="G8" i="2"/>
  <c r="F8" i="2"/>
  <c r="J3" i="3"/>
  <c r="K3" i="3"/>
  <c r="L3" i="3"/>
  <c r="M3" i="3"/>
  <c r="N3" i="3"/>
  <c r="O3" i="3"/>
  <c r="J4" i="3"/>
  <c r="K4" i="3"/>
  <c r="L4" i="3"/>
  <c r="M4" i="3"/>
  <c r="N4" i="3"/>
  <c r="O4" i="3"/>
  <c r="J5" i="3"/>
  <c r="K5" i="3"/>
  <c r="L5" i="3"/>
  <c r="M5" i="3"/>
  <c r="N5" i="3"/>
  <c r="O5" i="3"/>
  <c r="J6" i="3"/>
  <c r="K6" i="3"/>
  <c r="L6" i="3"/>
  <c r="M6" i="3"/>
  <c r="N6" i="3"/>
  <c r="O6" i="3"/>
  <c r="J7" i="3"/>
  <c r="K7" i="3"/>
  <c r="L7" i="3"/>
  <c r="M7" i="3"/>
  <c r="N7" i="3"/>
  <c r="O7" i="3"/>
  <c r="J8" i="3"/>
  <c r="K8" i="3"/>
  <c r="L8" i="3"/>
  <c r="M8" i="3"/>
  <c r="N8" i="3"/>
  <c r="O8" i="3"/>
  <c r="J9" i="3"/>
  <c r="K9" i="3"/>
  <c r="L9" i="3"/>
  <c r="M9" i="3"/>
  <c r="N9" i="3"/>
  <c r="O9" i="3"/>
  <c r="J10" i="3"/>
  <c r="K10" i="3"/>
  <c r="L10" i="3"/>
  <c r="M10" i="3"/>
  <c r="N10" i="3"/>
  <c r="O10" i="3"/>
  <c r="D3" i="4"/>
  <c r="D7" i="4"/>
  <c r="D12" i="4"/>
  <c r="D15" i="4"/>
  <c r="D23" i="4"/>
  <c r="D24" i="4"/>
  <c r="D22" i="4"/>
  <c r="F26" i="4"/>
  <c r="D26" i="4"/>
  <c r="F27" i="4"/>
  <c r="G27" i="4"/>
  <c r="D27" i="4"/>
  <c r="D25" i="4"/>
  <c r="D39" i="4"/>
  <c r="D40" i="4"/>
  <c r="D36" i="4"/>
  <c r="D41" i="4"/>
  <c r="D42" i="4"/>
  <c r="D43" i="4"/>
  <c r="D44" i="4"/>
  <c r="D37" i="4"/>
  <c r="D49" i="4"/>
  <c r="D55" i="4"/>
  <c r="D56" i="4"/>
  <c r="D57" i="4"/>
  <c r="D54" i="4"/>
  <c r="D53" i="4"/>
  <c r="D62" i="4"/>
</calcChain>
</file>

<file path=xl/comments1.xml><?xml version="1.0" encoding="utf-8"?>
<comments xmlns="http://schemas.openxmlformats.org/spreadsheetml/2006/main">
  <authors>
    <author>Craig Shallahamer</author>
  </authors>
  <commentList>
    <comment ref="F6" authorId="0">
      <text>
        <r>
          <rPr>
            <b/>
            <sz val="9"/>
            <color indexed="81"/>
            <rFont val="Verdana"/>
          </rPr>
          <t>Craig Shallahamer:</t>
        </r>
        <r>
          <rPr>
            <sz val="9"/>
            <color indexed="81"/>
            <rFont val="Verdana"/>
          </rPr>
          <t xml:space="preserve">
This is the total CPU time (service time) used by all Oracle server and background processes during the sample interval.</t>
        </r>
      </text>
    </comment>
    <comment ref="I7" authorId="0">
      <text>
        <r>
          <rPr>
            <b/>
            <sz val="9"/>
            <color indexed="81"/>
            <rFont val="Verdana"/>
          </rPr>
          <t>Craig Shallahamer:</t>
        </r>
        <r>
          <rPr>
            <sz val="9"/>
            <color indexed="81"/>
            <rFont val="Verdana"/>
          </rPr>
          <t xml:space="preserve">
v$sys_time_model: DB CPU</t>
        </r>
      </text>
    </comment>
    <comment ref="I8" authorId="0">
      <text>
        <r>
          <rPr>
            <b/>
            <sz val="9"/>
            <color indexed="81"/>
            <rFont val="Verdana"/>
          </rPr>
          <t>Craig Shallahamer:</t>
        </r>
        <r>
          <rPr>
            <sz val="9"/>
            <color indexed="81"/>
            <rFont val="Verdana"/>
          </rPr>
          <t xml:space="preserve">
v$sys_time_model: background cpu time</t>
        </r>
      </text>
    </comment>
    <comment ref="B10" authorId="0">
      <text>
        <r>
          <rPr>
            <b/>
            <sz val="9"/>
            <color indexed="81"/>
            <rFont val="Verdana"/>
          </rPr>
          <t>Craig Shallahamer:</t>
        </r>
        <r>
          <rPr>
            <sz val="9"/>
            <color indexed="81"/>
            <rFont val="Verdana"/>
          </rPr>
          <t xml:space="preserve">
This is the total non-idle wait time. When using Statspack or AWR, just use the wait events from the "top 5 events" normally shown near the top of the report.
 </t>
        </r>
      </text>
    </comment>
    <comment ref="I25" authorId="0">
      <text>
        <r>
          <rPr>
            <b/>
            <sz val="9"/>
            <color indexed="81"/>
            <rFont val="Verdana"/>
          </rPr>
          <t>Craig Shallahamer:</t>
        </r>
        <r>
          <rPr>
            <sz val="9"/>
            <color indexed="81"/>
            <rFont val="Verdana"/>
          </rPr>
          <t xml:space="preserve">
Remember DB_Time does not include background process CPU time. Therefore, you can expect the "insignificatn wait time" to be off by at least the BG process time plus wait time by non-key wait events.
</t>
        </r>
      </text>
    </comment>
  </commentList>
</comments>
</file>

<file path=xl/comments2.xml><?xml version="1.0" encoding="utf-8"?>
<comments xmlns="http://schemas.openxmlformats.org/spreadsheetml/2006/main">
  <authors>
    <author>Craig Shallahamer</author>
  </authors>
  <commentList>
    <comment ref="A3" authorId="0">
      <text>
        <r>
          <rPr>
            <b/>
            <sz val="9"/>
            <color indexed="81"/>
            <rFont val="Verdana"/>
          </rPr>
          <t>Craig Shallahamer:</t>
        </r>
        <r>
          <rPr>
            <sz val="9"/>
            <color indexed="81"/>
            <rFont val="Verdana"/>
          </rPr>
          <t xml:space="preserve">
v$sysstat: db block changes</t>
        </r>
      </text>
    </comment>
    <comment ref="A4" authorId="0">
      <text>
        <r>
          <rPr>
            <b/>
            <sz val="9"/>
            <color indexed="81"/>
            <rFont val="Verdana"/>
          </rPr>
          <t>Craig Shallahamer:</t>
        </r>
        <r>
          <rPr>
            <sz val="9"/>
            <color indexed="81"/>
            <rFont val="Verdana"/>
          </rPr>
          <t xml:space="preserve">
v$sysstat: physical reads
</t>
        </r>
      </text>
    </comment>
    <comment ref="A5" authorId="0">
      <text>
        <r>
          <rPr>
            <b/>
            <sz val="9"/>
            <color indexed="81"/>
            <rFont val="Verdana"/>
          </rPr>
          <t>Craig Shallahamer:</t>
        </r>
        <r>
          <rPr>
            <sz val="9"/>
            <color indexed="81"/>
            <rFont val="Verdana"/>
          </rPr>
          <t xml:space="preserve">
v$sysstat: physical reads IO requests
</t>
        </r>
      </text>
    </comment>
    <comment ref="A6" authorId="0">
      <text>
        <r>
          <rPr>
            <b/>
            <sz val="9"/>
            <color indexed="81"/>
            <rFont val="Verdana"/>
          </rPr>
          <t>Craig Shallahamer:</t>
        </r>
        <r>
          <rPr>
            <sz val="9"/>
            <color indexed="81"/>
            <rFont val="Verdana"/>
          </rPr>
          <t xml:space="preserve">
lio = consistent gets (cr) + db block gets (cu)
or 
lio = v$sysstat.session logcial reads</t>
        </r>
      </text>
    </comment>
    <comment ref="A7" authorId="0">
      <text>
        <r>
          <rPr>
            <b/>
            <sz val="9"/>
            <color indexed="81"/>
            <rFont val="Verdana"/>
          </rPr>
          <t>Craig Shallahamer:</t>
        </r>
        <r>
          <rPr>
            <sz val="9"/>
            <color indexed="81"/>
            <rFont val="Verdana"/>
          </rPr>
          <t xml:space="preserve">
v$sysstat: execute count
</t>
        </r>
      </text>
    </comment>
    <comment ref="A8" authorId="0">
      <text>
        <r>
          <rPr>
            <b/>
            <sz val="9"/>
            <color indexed="81"/>
            <rFont val="Verdana"/>
          </rPr>
          <t>Craig Shallahamer:</t>
        </r>
        <r>
          <rPr>
            <sz val="9"/>
            <color indexed="81"/>
            <rFont val="Verdana"/>
          </rPr>
          <t xml:space="preserve">
v$sysstat: user calls
</t>
        </r>
      </text>
    </comment>
    <comment ref="B10" authorId="0">
      <text>
        <r>
          <rPr>
            <b/>
            <sz val="9"/>
            <color indexed="81"/>
            <rFont val="Verdana"/>
          </rPr>
          <t>Craig Shallahamer:</t>
        </r>
        <r>
          <rPr>
            <sz val="9"/>
            <color indexed="81"/>
            <rFont val="Verdana"/>
          </rPr>
          <t xml:space="preserve">
This is the sample interval time.
This is used throughout the spreadsheet. </t>
        </r>
      </text>
    </comment>
  </commentList>
</comments>
</file>

<file path=xl/comments3.xml><?xml version="1.0" encoding="utf-8"?>
<comments xmlns="http://schemas.openxmlformats.org/spreadsheetml/2006/main">
  <authors>
    <author>Craig Shallahamer</author>
  </authors>
  <commentList>
    <comment ref="A1" authorId="0">
      <text>
        <r>
          <rPr>
            <b/>
            <sz val="9"/>
            <color indexed="81"/>
            <rFont val="Verdana"/>
          </rPr>
          <t>Craig Shallahamer:</t>
        </r>
        <r>
          <rPr>
            <sz val="9"/>
            <color indexed="81"/>
            <rFont val="Verdana"/>
          </rPr>
          <t xml:space="preserve">
Just enter what you need based on the bottleneck. These cells are NOT referencd in other places in this workbook.</t>
        </r>
      </text>
    </comment>
  </commentList>
</comments>
</file>

<file path=xl/comments4.xml><?xml version="1.0" encoding="utf-8"?>
<comments xmlns="http://schemas.openxmlformats.org/spreadsheetml/2006/main">
  <authors>
    <author>Craig Shallahamer</author>
  </authors>
  <commentList>
    <comment ref="D5" authorId="0">
      <text>
        <r>
          <rPr>
            <b/>
            <sz val="9"/>
            <color indexed="81"/>
            <rFont val="Verdana"/>
          </rPr>
          <t>Craig Shallahamer:</t>
        </r>
        <r>
          <rPr>
            <sz val="9"/>
            <color indexed="81"/>
            <rFont val="Verdana"/>
          </rPr>
          <t xml:space="preserve">
Enter the number of CPU cores; not threads or actual CPUs, but cores.
v$osstat. Cpu cores, sockets, etc. 
Oracle is not consistent in reporting this value.
</t>
        </r>
      </text>
    </comment>
    <comment ref="D9" authorId="0">
      <text>
        <r>
          <rPr>
            <b/>
            <sz val="9"/>
            <color indexed="81"/>
            <rFont val="Verdana"/>
          </rPr>
          <t>Craig Shallahamer:</t>
        </r>
        <r>
          <rPr>
            <sz val="9"/>
            <color indexed="81"/>
            <rFont val="Verdana"/>
          </rPr>
          <t xml:space="preserve">
v$osstat: busy time / 100
Busy time is reported in centi-seconds, so be sure to enter as seconds.</t>
        </r>
      </text>
    </comment>
    <comment ref="D14" authorId="0">
      <text>
        <r>
          <rPr>
            <b/>
            <sz val="9"/>
            <color indexed="81"/>
            <rFont val="Verdana"/>
          </rPr>
          <t>Craig Shallahamer:</t>
        </r>
        <r>
          <rPr>
            <sz val="9"/>
            <color indexed="81"/>
            <rFont val="Verdana"/>
          </rPr>
          <t xml:space="preserve">
It is always a good idea to validate what you see in Oracle with another sources, such as vmstat, sar, or top, etc.</t>
        </r>
      </text>
    </comment>
    <comment ref="D19" authorId="0">
      <text>
        <r>
          <rPr>
            <b/>
            <sz val="9"/>
            <color indexed="81"/>
            <rFont val="Verdana"/>
          </rPr>
          <t>Craig Shallahamer:</t>
        </r>
        <r>
          <rPr>
            <sz val="9"/>
            <color indexed="81"/>
            <rFont val="Verdana"/>
          </rPr>
          <t xml:space="preserve">
Get the average wait time for db file sequential reads. This is a good datapoint for how quickly the IO subsystem can respond to a single block syncronous read.</t>
        </r>
      </text>
    </comment>
    <comment ref="F23" authorId="0">
      <text>
        <r>
          <rPr>
            <b/>
            <sz val="9"/>
            <color indexed="81"/>
            <rFont val="Verdana"/>
          </rPr>
          <t>Craig Shallahamer:</t>
        </r>
        <r>
          <rPr>
            <sz val="9"/>
            <color indexed="81"/>
            <rFont val="Verdana"/>
          </rPr>
          <t xml:space="preserve">
v$sysstat.physical read IO requests</t>
        </r>
      </text>
    </comment>
    <comment ref="F24" authorId="0">
      <text>
        <r>
          <rPr>
            <b/>
            <sz val="9"/>
            <color indexed="81"/>
            <rFont val="Verdana"/>
          </rPr>
          <t>Craig Shallahamer:</t>
        </r>
        <r>
          <rPr>
            <sz val="9"/>
            <color indexed="81"/>
            <rFont val="Verdana"/>
          </rPr>
          <t xml:space="preserve">
v$sysstat.physical write IO requests</t>
        </r>
      </text>
    </comment>
    <comment ref="G24" authorId="0">
      <text>
        <r>
          <rPr>
            <b/>
            <sz val="9"/>
            <color indexed="81"/>
            <rFont val="Verdana"/>
          </rPr>
          <t>Craig Shallahamer:</t>
        </r>
        <r>
          <rPr>
            <sz val="9"/>
            <color indexed="81"/>
            <rFont val="Verdana"/>
          </rPr>
          <t xml:space="preserve">
v$sysstat.redo writes</t>
        </r>
      </text>
    </comment>
    <comment ref="F26" authorId="0">
      <text>
        <r>
          <rPr>
            <b/>
            <sz val="9"/>
            <color indexed="81"/>
            <rFont val="Verdana"/>
          </rPr>
          <t>Craig Shallahamer:</t>
        </r>
        <r>
          <rPr>
            <sz val="9"/>
            <color indexed="81"/>
            <rFont val="Verdana"/>
          </rPr>
          <t xml:space="preserve">
v$systat.physical reads X block size / 1024/1024</t>
        </r>
      </text>
    </comment>
    <comment ref="F27" authorId="0">
      <text>
        <r>
          <rPr>
            <b/>
            <sz val="9"/>
            <color indexed="81"/>
            <rFont val="Verdana"/>
          </rPr>
          <t>Craig Shallahamer:</t>
        </r>
        <r>
          <rPr>
            <sz val="9"/>
            <color indexed="81"/>
            <rFont val="Verdana"/>
          </rPr>
          <t xml:space="preserve">
(v$sysstat.physical writes X block size) / 1024/1024</t>
        </r>
      </text>
    </comment>
    <comment ref="G27" authorId="0">
      <text>
        <r>
          <rPr>
            <b/>
            <sz val="9"/>
            <color indexed="81"/>
            <rFont val="Verdana"/>
          </rPr>
          <t>Craig Shallahamer:</t>
        </r>
        <r>
          <rPr>
            <sz val="9"/>
            <color indexed="81"/>
            <rFont val="Verdana"/>
          </rPr>
          <t xml:space="preserve">
$sysstat.redo size / 1024/1024</t>
        </r>
      </text>
    </comment>
    <comment ref="B36" authorId="0">
      <text>
        <r>
          <rPr>
            <b/>
            <sz val="9"/>
            <color indexed="81"/>
            <rFont val="Verdana"/>
          </rPr>
          <t>Craig Shallahamer:</t>
        </r>
        <r>
          <rPr>
            <sz val="9"/>
            <color indexed="81"/>
            <rFont val="Verdana"/>
          </rPr>
          <t xml:space="preserve">
All the below network stats come directly from v$sysstat.</t>
        </r>
      </text>
    </comment>
  </commentList>
</comments>
</file>

<file path=xl/sharedStrings.xml><?xml version="1.0" encoding="utf-8"?>
<sst xmlns="http://schemas.openxmlformats.org/spreadsheetml/2006/main" count="256" uniqueCount="131">
  <si>
    <t>Requirements</t>
  </si>
  <si>
    <t>PIO (pio/exe)</t>
  </si>
  <si>
    <t>LIO (lio/exe)</t>
  </si>
  <si>
    <t>SQL*Net roundtrips to/from client</t>
  </si>
  <si>
    <t>occurs/s</t>
  </si>
  <si>
    <t>bytes sent via SQL*Net to dblink</t>
  </si>
  <si>
    <t>bytes sent via SQL*Net to client</t>
  </si>
  <si>
    <t>SQL*Net roundtrips to/from dblink</t>
  </si>
  <si>
    <t>bytes received via SQL*Net from client</t>
  </si>
  <si>
    <t>bytes received via SQL*Net from dblink</t>
  </si>
  <si>
    <t>bytes</t>
  </si>
  <si>
    <t>KB/s</t>
  </si>
  <si>
    <t>SQL*Net total round trips</t>
  </si>
  <si>
    <t>SQL*Net total bytes transferred</t>
  </si>
  <si>
    <t>MB</t>
  </si>
  <si>
    <t>Total Requirements</t>
  </si>
  <si>
    <t xml:space="preserve">  SGA</t>
  </si>
  <si>
    <t xml:space="preserve">  PGA</t>
  </si>
  <si>
    <t>usage and utilization</t>
  </si>
  <si>
    <t>classic utilization</t>
  </si>
  <si>
    <t>Confirmed value</t>
  </si>
  <si>
    <t>per sec</t>
  </si>
  <si>
    <t>IOPS R (srvr prc)</t>
  </si>
  <si>
    <t>MB/s R (srvr prc)</t>
  </si>
  <si>
    <t>Elapsed Time (s/exec)</t>
  </si>
  <si>
    <t>CPU Time (s/exe)</t>
  </si>
  <si>
    <t>Use this template to methodically and quantitatively diagnosis performance issues.</t>
  </si>
  <si>
    <t>Note: Only type in yellow shaded cells or formulas may be overwritten!</t>
  </si>
  <si>
    <t>Warrenty: There is no warrenty. Use at your own risk.</t>
  </si>
  <si>
    <t>IOPS Read + Write</t>
  </si>
  <si>
    <t>IOPS Read</t>
  </si>
  <si>
    <t>IOPS Write</t>
  </si>
  <si>
    <t>MB/s Read + Write</t>
  </si>
  <si>
    <t>MB/s Read</t>
  </si>
  <si>
    <t>MB/s Write</t>
  </si>
  <si>
    <t>MB/s</t>
  </si>
  <si>
    <t>Arrival Rate (wl/ms)</t>
  </si>
  <si>
    <t>Arrival Rate (wl/sec)</t>
  </si>
  <si>
    <t>SQL_ID or Hash Value</t>
  </si>
  <si>
    <t>Network Subsystem</t>
  </si>
  <si>
    <t>tnsping</t>
  </si>
  <si>
    <t>client 1</t>
  </si>
  <si>
    <t>client 2</t>
  </si>
  <si>
    <t>client 3</t>
  </si>
  <si>
    <t>IO</t>
  </si>
  <si>
    <t>IOPS W (dbwr+lgwr)</t>
  </si>
  <si>
    <t>MB/s W (dbwr+lgwr)</t>
  </si>
  <si>
    <t>Response Time (from Oracle)</t>
  </si>
  <si>
    <t xml:space="preserve">     BC</t>
  </si>
  <si>
    <t xml:space="preserve">     SP</t>
  </si>
  <si>
    <t xml:space="preserve">     Redo</t>
  </si>
  <si>
    <t xml:space="preserve">     Fixed</t>
  </si>
  <si>
    <t>Phys Blk Reads</t>
  </si>
  <si>
    <t>Phys Blk R Reqs</t>
  </si>
  <si>
    <t>Exe Rate (exe/s)</t>
  </si>
  <si>
    <t xml:space="preserve"> </t>
  </si>
  <si>
    <t>Read</t>
  </si>
  <si>
    <t>Write</t>
  </si>
  <si>
    <t>Other</t>
  </si>
  <si>
    <t>Srvr Proc</t>
  </si>
  <si>
    <t>BG Proc</t>
  </si>
  <si>
    <t>Workload</t>
  </si>
  <si>
    <t>Interval</t>
  </si>
  <si>
    <t>na</t>
  </si>
  <si>
    <t>SELECT</t>
  </si>
  <si>
    <t>avg ms</t>
  </si>
  <si>
    <t>Total (s)</t>
  </si>
  <si>
    <t>CPU Subsystem</t>
  </si>
  <si>
    <t>OS vmstat</t>
  </si>
  <si>
    <t>OS v$osstat</t>
  </si>
  <si>
    <t>capacity</t>
  </si>
  <si>
    <t>CPU Cores</t>
  </si>
  <si>
    <t>requirements</t>
  </si>
  <si>
    <t>Memory Subsytem</t>
  </si>
  <si>
    <t>GB</t>
  </si>
  <si>
    <t>How to use this template is described in Shallahamer's book, Oracle Performance Firefighting and OraPub's course, Advanced Oracle Performance Analysis.</t>
  </si>
  <si>
    <t>scan rate</t>
  </si>
  <si>
    <t>swap outs</t>
  </si>
  <si>
    <t>IO Subsystem</t>
  </si>
  <si>
    <t>IOPS</t>
  </si>
  <si>
    <t>sec</t>
  </si>
  <si>
    <t>Oracle Workload Diagnosis</t>
  </si>
  <si>
    <t>Metric</t>
  </si>
  <si>
    <t>Workload (total)</t>
  </si>
  <si>
    <t>ST (ms/wl)</t>
  </si>
  <si>
    <t>trips/s</t>
  </si>
  <si>
    <t>trips</t>
  </si>
  <si>
    <t>QT (ms/wl)</t>
  </si>
  <si>
    <t>RT (ms/wl)</t>
  </si>
  <si>
    <t>Block Changes</t>
  </si>
  <si>
    <t>Log Blk Gets</t>
  </si>
  <si>
    <t>Executions</t>
  </si>
  <si>
    <t>User Calls</t>
  </si>
  <si>
    <t>Application SQL Diagnosis</t>
  </si>
  <si>
    <t>Elapsed Time (sec)</t>
  </si>
  <si>
    <t>PIO (tot)</t>
  </si>
  <si>
    <t>LIO (tot)</t>
  </si>
  <si>
    <t>CPU      (tot sec)</t>
  </si>
  <si>
    <t>LIO/ms</t>
  </si>
  <si>
    <t>Exec (tot)</t>
  </si>
  <si>
    <t>Rows (tot)</t>
  </si>
  <si>
    <t>Sorts (tot)</t>
  </si>
  <si>
    <t>SQL Type</t>
  </si>
  <si>
    <t>Operating Sytems Diagnosis</t>
  </si>
  <si>
    <t>Capacity</t>
  </si>
  <si>
    <t>Total Non-Idle Wait Time</t>
  </si>
  <si>
    <t>Total CPU Time</t>
  </si>
  <si>
    <t>Avg (ms)</t>
  </si>
  <si>
    <t>DB Time</t>
  </si>
  <si>
    <t>DB Time Pct</t>
  </si>
  <si>
    <t>Oracle Time Based Analysis Troubleshooting Diagnostic Framework</t>
  </si>
  <si>
    <t>Total Sig Time (sec)</t>
  </si>
  <si>
    <t>Core secs (busy idle method)</t>
  </si>
  <si>
    <t>Core secs (core method)</t>
  </si>
  <si>
    <t>OS v$osstat.idle_time</t>
  </si>
  <si>
    <t>OS v$osstat.busy_time</t>
  </si>
  <si>
    <t>OS v$osstat: core method</t>
  </si>
  <si>
    <t>OS v$osstat: busy idle method</t>
  </si>
  <si>
    <t>Oracle CPU consumption</t>
  </si>
  <si>
    <t>Utilization (ref: seminar entitled, Utilization On Steroids, OraPub Online Institute)</t>
  </si>
  <si>
    <t>And of course in Craig's online video seminar, Tuning Oracle Using An AWR Rerpot</t>
  </si>
  <si>
    <t>DB Time Gap</t>
  </si>
  <si>
    <t>db file seq read</t>
  </si>
  <si>
    <t>direct path read</t>
  </si>
  <si>
    <t>enq: TX - row lock</t>
  </si>
  <si>
    <t>db file scat read</t>
  </si>
  <si>
    <t>last update: 21-June-2016</t>
  </si>
  <si>
    <t>©2010-2016 OraPub, Inc.</t>
  </si>
  <si>
    <t>Read (single block read)</t>
  </si>
  <si>
    <t>ms/block read</t>
  </si>
  <si>
    <t>Welcome to OraPub's Oracle Time Based Analysis Troubleshooting Diagnostic Framework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</si>
</sst>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0"/>
    <numFmt numFmtId="165" formatCode="0.000"/>
    <numFmt numFmtId="166" formatCode="0.0000000"/>
    <numFmt numFmtId="167" formatCode="0.000000"/>
    <numFmt numFmtId="168" formatCode="0.00000"/>
    <numFmt numFmtId="169" formatCode="0.0"/>
    <numFmt numFmtId="170" formatCode="_(* #,##0_);_(* \(#,##0\);_(* &quot;-&quot;??_);_(@_)"/>
  </numFmts>
  <fonts count="12" x14ac:knownFonts="1">
    <font>
      <sz val="10"/>
      <name val="Verdana"/>
    </font>
    <font>
      <b/>
      <sz val="10"/>
      <name val="Verdana"/>
    </font>
    <font>
      <sz val="10"/>
      <name val="Verdana"/>
    </font>
    <font>
      <b/>
      <sz val="12"/>
      <name val="Verdana"/>
    </font>
    <font>
      <sz val="8"/>
      <name val="Verdana"/>
    </font>
    <font>
      <sz val="20"/>
      <name val="Verdana"/>
    </font>
    <font>
      <sz val="16"/>
      <name val="Verdana"/>
    </font>
    <font>
      <sz val="9"/>
      <color indexed="81"/>
      <name val="Verdana"/>
    </font>
    <font>
      <b/>
      <sz val="9"/>
      <color indexed="81"/>
      <name val="Verdana"/>
    </font>
    <font>
      <sz val="18"/>
      <name val="Verdana"/>
    </font>
    <font>
      <u/>
      <sz val="10"/>
      <color theme="10"/>
      <name val="Verdana"/>
    </font>
    <font>
      <u/>
      <sz val="10"/>
      <color theme="11"/>
      <name val="Verdana"/>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rgb="FFFFFF00"/>
        <bgColor indexed="64"/>
      </patternFill>
    </fill>
  </fills>
  <borders count="2">
    <border>
      <left/>
      <right/>
      <top/>
      <bottom/>
      <diagonal/>
    </border>
    <border>
      <left/>
      <right/>
      <top style="thin">
        <color auto="1"/>
      </top>
      <bottom style="thin">
        <color auto="1"/>
      </bottom>
      <diagonal/>
    </border>
  </borders>
  <cellStyleXfs count="35">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2">
    <xf numFmtId="0" fontId="0" fillId="0" borderId="0" xfId="0"/>
    <xf numFmtId="0" fontId="1" fillId="0" borderId="0" xfId="0" applyFont="1"/>
    <xf numFmtId="0" fontId="1" fillId="0" borderId="0" xfId="0" applyFont="1" applyAlignment="1">
      <alignment horizontal="center" vertical="center" wrapText="1"/>
    </xf>
    <xf numFmtId="165" fontId="0" fillId="0" borderId="0" xfId="0" applyNumberFormat="1"/>
    <xf numFmtId="165" fontId="2" fillId="0" borderId="0" xfId="0" applyNumberFormat="1" applyFont="1"/>
    <xf numFmtId="0" fontId="0" fillId="2" borderId="0" xfId="0" applyFill="1"/>
    <xf numFmtId="165" fontId="0" fillId="2" borderId="0" xfId="0" applyNumberFormat="1" applyFill="1"/>
    <xf numFmtId="3" fontId="0" fillId="2" borderId="0" xfId="0" applyNumberFormat="1" applyFill="1"/>
    <xf numFmtId="10" fontId="0" fillId="0" borderId="0" xfId="0" applyNumberFormat="1"/>
    <xf numFmtId="10" fontId="0" fillId="2" borderId="0" xfId="0" applyNumberFormat="1" applyFill="1"/>
    <xf numFmtId="169" fontId="0" fillId="0" borderId="0" xfId="0" applyNumberFormat="1"/>
    <xf numFmtId="169" fontId="0" fillId="2" borderId="0" xfId="0" applyNumberFormat="1" applyFill="1"/>
    <xf numFmtId="0" fontId="3" fillId="0" borderId="0" xfId="0" applyFont="1" applyAlignment="1">
      <alignment vertical="center"/>
    </xf>
    <xf numFmtId="0" fontId="1" fillId="0" borderId="1" xfId="0" applyFont="1" applyBorder="1" applyAlignment="1">
      <alignment horizontal="center" vertical="center" wrapText="1"/>
    </xf>
    <xf numFmtId="0" fontId="2" fillId="2" borderId="0" xfId="0" applyFont="1" applyFill="1"/>
    <xf numFmtId="166" fontId="2" fillId="0" borderId="0" xfId="0" applyNumberFormat="1" applyFont="1"/>
    <xf numFmtId="167" fontId="2" fillId="0" borderId="0" xfId="0" applyNumberFormat="1" applyFont="1"/>
    <xf numFmtId="0" fontId="0" fillId="0" borderId="0" xfId="0" applyAlignment="1">
      <alignment vertical="center"/>
    </xf>
    <xf numFmtId="0" fontId="0" fillId="0" borderId="0" xfId="0" applyAlignment="1">
      <alignment horizontal="center" vertical="center" wrapText="1"/>
    </xf>
    <xf numFmtId="1" fontId="0" fillId="2" borderId="0" xfId="0" applyNumberFormat="1" applyFill="1"/>
    <xf numFmtId="0" fontId="5" fillId="3" borderId="0" xfId="0" applyFont="1" applyFill="1"/>
    <xf numFmtId="0" fontId="0" fillId="3" borderId="0" xfId="0" applyFill="1"/>
    <xf numFmtId="3" fontId="2" fillId="2" borderId="0" xfId="0" applyNumberFormat="1" applyFont="1" applyFill="1"/>
    <xf numFmtId="164" fontId="0" fillId="0" borderId="0" xfId="0" applyNumberFormat="1"/>
    <xf numFmtId="164" fontId="2" fillId="0" borderId="0" xfId="0" applyNumberFormat="1" applyFont="1"/>
    <xf numFmtId="2" fontId="0" fillId="0" borderId="0" xfId="0" applyNumberFormat="1"/>
    <xf numFmtId="2" fontId="2" fillId="0" borderId="0" xfId="0" applyNumberFormat="1" applyFont="1"/>
    <xf numFmtId="166" fontId="0" fillId="0" borderId="0" xfId="0" applyNumberFormat="1"/>
    <xf numFmtId="0" fontId="1" fillId="0" borderId="1" xfId="0" applyFont="1" applyFill="1" applyBorder="1" applyAlignment="1">
      <alignment horizontal="center" vertical="center" wrapText="1"/>
    </xf>
    <xf numFmtId="0" fontId="2" fillId="0" borderId="0" xfId="0" applyFont="1"/>
    <xf numFmtId="0" fontId="6" fillId="3" borderId="0" xfId="0" applyFont="1" applyFill="1" applyAlignment="1">
      <alignment wrapText="1"/>
    </xf>
    <xf numFmtId="169" fontId="0" fillId="0" borderId="0" xfId="0" applyNumberFormat="1" applyFill="1"/>
    <xf numFmtId="165" fontId="0" fillId="0" borderId="0" xfId="0" applyNumberFormat="1" applyFill="1"/>
    <xf numFmtId="0" fontId="9" fillId="3" borderId="0" xfId="0" applyFont="1" applyFill="1" applyAlignment="1">
      <alignment vertical="center"/>
    </xf>
    <xf numFmtId="43" fontId="1" fillId="0" borderId="0" xfId="1" applyFont="1" applyBorder="1"/>
    <xf numFmtId="9" fontId="0" fillId="0" borderId="0" xfId="2" applyNumberFormat="1" applyFont="1"/>
    <xf numFmtId="43" fontId="1" fillId="2" borderId="0" xfId="1" applyFont="1" applyFill="1"/>
    <xf numFmtId="170" fontId="1" fillId="0" borderId="0" xfId="1" applyNumberFormat="1" applyFont="1"/>
    <xf numFmtId="170" fontId="1" fillId="0" borderId="0" xfId="1" applyNumberFormat="1" applyFont="1" applyBorder="1"/>
    <xf numFmtId="170" fontId="0" fillId="0" borderId="0" xfId="1" applyNumberFormat="1" applyFont="1"/>
    <xf numFmtId="1" fontId="0" fillId="0" borderId="0" xfId="2" applyNumberFormat="1" applyFont="1"/>
    <xf numFmtId="168" fontId="0" fillId="4" borderId="0" xfId="0" applyNumberFormat="1" applyFill="1"/>
  </cellXfs>
  <cellStyles count="3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0608429828624"/>
          <c:y val="0.162210338680927"/>
          <c:w val="0.745792311255211"/>
          <c:h val="0.814616755793226"/>
        </c:manualLayout>
      </c:layout>
      <c:barChart>
        <c:barDir val="col"/>
        <c:grouping val="percentStacked"/>
        <c:varyColors val="0"/>
        <c:ser>
          <c:idx val="0"/>
          <c:order val="0"/>
          <c:tx>
            <c:v>Total CPU Time</c:v>
          </c:tx>
          <c:spPr>
            <a:solidFill>
              <a:srgbClr val="008000"/>
            </a:solidFill>
          </c:spPr>
          <c:invertIfNegative val="0"/>
          <c:val>
            <c:numRef>
              <c:f>'OTBA Charts'!$B$5</c:f>
              <c:numCache>
                <c:formatCode>General</c:formatCode>
                <c:ptCount val="1"/>
                <c:pt idx="0">
                  <c:v>5000.0</c:v>
                </c:pt>
              </c:numCache>
            </c:numRef>
          </c:val>
        </c:ser>
        <c:ser>
          <c:idx val="1"/>
          <c:order val="1"/>
          <c:tx>
            <c:v>Total Wait Time</c:v>
          </c:tx>
          <c:spPr>
            <a:solidFill>
              <a:srgbClr val="FF0000"/>
            </a:solidFill>
          </c:spPr>
          <c:invertIfNegative val="0"/>
          <c:val>
            <c:numRef>
              <c:f>'OTBA Charts'!$C$5</c:f>
              <c:numCache>
                <c:formatCode>General</c:formatCode>
                <c:ptCount val="1"/>
                <c:pt idx="0">
                  <c:v>13750.0</c:v>
                </c:pt>
              </c:numCache>
            </c:numRef>
          </c:val>
        </c:ser>
        <c:dLbls>
          <c:showLegendKey val="0"/>
          <c:showVal val="0"/>
          <c:showCatName val="0"/>
          <c:showSerName val="0"/>
          <c:showPercent val="0"/>
          <c:showBubbleSize val="0"/>
        </c:dLbls>
        <c:gapWidth val="150"/>
        <c:overlap val="100"/>
        <c:axId val="-1856397056"/>
        <c:axId val="-1856394736"/>
      </c:barChart>
      <c:catAx>
        <c:axId val="-1856397056"/>
        <c:scaling>
          <c:orientation val="minMax"/>
        </c:scaling>
        <c:delete val="1"/>
        <c:axPos val="b"/>
        <c:majorTickMark val="out"/>
        <c:minorTickMark val="none"/>
        <c:tickLblPos val="nextTo"/>
        <c:crossAx val="-1856394736"/>
        <c:crosses val="autoZero"/>
        <c:auto val="1"/>
        <c:lblAlgn val="ctr"/>
        <c:lblOffset val="100"/>
        <c:noMultiLvlLbl val="0"/>
      </c:catAx>
      <c:valAx>
        <c:axId val="-1856394736"/>
        <c:scaling>
          <c:orientation val="minMax"/>
          <c:min val="0.0"/>
        </c:scaling>
        <c:delete val="0"/>
        <c:axPos val="l"/>
        <c:majorGridlines/>
        <c:numFmt formatCode="0%" sourceLinked="1"/>
        <c:majorTickMark val="out"/>
        <c:minorTickMark val="none"/>
        <c:tickLblPos val="nextTo"/>
        <c:crossAx val="-1856397056"/>
        <c:crosses val="autoZero"/>
        <c:crossBetween val="between"/>
      </c:valAx>
    </c:plotArea>
    <c:legend>
      <c:legendPos val="r"/>
      <c:layout>
        <c:manualLayout>
          <c:xMode val="edge"/>
          <c:yMode val="edge"/>
          <c:x val="0.0481982399258916"/>
          <c:y val="0.0285370612095948"/>
          <c:w val="0.907496804075961"/>
          <c:h val="0.0944410290959619"/>
        </c:manualLayout>
      </c:layout>
      <c:overlay val="0"/>
      <c:spPr>
        <a:solidFill>
          <a:schemeClr val="bg1"/>
        </a:solidFill>
      </c:spPr>
      <c:txPr>
        <a:bodyPr/>
        <a:lstStyle/>
        <a:p>
          <a:pPr algn="l">
            <a:defRPr sz="1800"/>
          </a:pPr>
          <a:endParaRPr lang="en-US"/>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7805459075121"/>
          <c:y val="0.150268356473109"/>
          <c:w val="0.710253677874561"/>
          <c:h val="0.824066879833223"/>
        </c:manualLayout>
      </c:layout>
      <c:barChart>
        <c:barDir val="col"/>
        <c:grouping val="percentStacked"/>
        <c:varyColors val="0"/>
        <c:ser>
          <c:idx val="0"/>
          <c:order val="0"/>
          <c:tx>
            <c:v>IO Wait Time</c:v>
          </c:tx>
          <c:spPr>
            <a:solidFill>
              <a:schemeClr val="tx2">
                <a:lumMod val="20000"/>
                <a:lumOff val="80000"/>
              </a:schemeClr>
            </a:solidFill>
          </c:spPr>
          <c:invertIfNegative val="0"/>
          <c:val>
            <c:numRef>
              <c:f>'OTBA Charts'!$H$10</c:f>
              <c:numCache>
                <c:formatCode>General</c:formatCode>
                <c:ptCount val="1"/>
                <c:pt idx="0">
                  <c:v>11750.0</c:v>
                </c:pt>
              </c:numCache>
            </c:numRef>
          </c:val>
        </c:ser>
        <c:ser>
          <c:idx val="1"/>
          <c:order val="1"/>
          <c:tx>
            <c:v>Non-IO Wait Time</c:v>
          </c:tx>
          <c:spPr>
            <a:solidFill>
              <a:schemeClr val="tx2">
                <a:lumMod val="60000"/>
                <a:lumOff val="40000"/>
              </a:schemeClr>
            </a:solidFill>
          </c:spPr>
          <c:invertIfNegative val="0"/>
          <c:val>
            <c:numRef>
              <c:f>'OTBA Charts'!$I$10</c:f>
              <c:numCache>
                <c:formatCode>General</c:formatCode>
                <c:ptCount val="1"/>
                <c:pt idx="0">
                  <c:v>2000.0</c:v>
                </c:pt>
              </c:numCache>
            </c:numRef>
          </c:val>
        </c:ser>
        <c:dLbls>
          <c:showLegendKey val="0"/>
          <c:showVal val="0"/>
          <c:showCatName val="0"/>
          <c:showSerName val="0"/>
          <c:showPercent val="0"/>
          <c:showBubbleSize val="0"/>
        </c:dLbls>
        <c:gapWidth val="150"/>
        <c:overlap val="100"/>
        <c:axId val="-1856376640"/>
        <c:axId val="-1856374320"/>
      </c:barChart>
      <c:catAx>
        <c:axId val="-1856376640"/>
        <c:scaling>
          <c:orientation val="minMax"/>
        </c:scaling>
        <c:delete val="1"/>
        <c:axPos val="b"/>
        <c:majorTickMark val="out"/>
        <c:minorTickMark val="none"/>
        <c:tickLblPos val="nextTo"/>
        <c:crossAx val="-1856374320"/>
        <c:crosses val="autoZero"/>
        <c:auto val="1"/>
        <c:lblAlgn val="ctr"/>
        <c:lblOffset val="100"/>
        <c:noMultiLvlLbl val="0"/>
      </c:catAx>
      <c:valAx>
        <c:axId val="-1856374320"/>
        <c:scaling>
          <c:orientation val="minMax"/>
          <c:min val="0.0"/>
        </c:scaling>
        <c:delete val="0"/>
        <c:axPos val="l"/>
        <c:majorGridlines/>
        <c:numFmt formatCode="0%" sourceLinked="1"/>
        <c:majorTickMark val="out"/>
        <c:minorTickMark val="none"/>
        <c:tickLblPos val="nextTo"/>
        <c:crossAx val="-1856376640"/>
        <c:crosses val="autoZero"/>
        <c:crossBetween val="between"/>
      </c:valAx>
    </c:plotArea>
    <c:legend>
      <c:legendPos val="r"/>
      <c:layout>
        <c:manualLayout>
          <c:xMode val="edge"/>
          <c:yMode val="edge"/>
          <c:x val="0.0351600223200446"/>
          <c:y val="0.03652430521319"/>
          <c:w val="0.952088717917894"/>
          <c:h val="0.0930544503491834"/>
        </c:manualLayout>
      </c:layout>
      <c:overlay val="0"/>
      <c:txPr>
        <a:bodyPr/>
        <a:lstStyle/>
        <a:p>
          <a:pPr>
            <a:defRPr sz="180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91708641878822"/>
          <c:y val="0.136901445778091"/>
          <c:w val="0.767762255524511"/>
          <c:h val="0.836444444444444"/>
        </c:manualLayout>
      </c:layout>
      <c:barChart>
        <c:barDir val="col"/>
        <c:grouping val="percentStacked"/>
        <c:varyColors val="0"/>
        <c:ser>
          <c:idx val="0"/>
          <c:order val="0"/>
          <c:tx>
            <c:v>IO Read Wait Time</c:v>
          </c:tx>
          <c:spPr>
            <a:solidFill>
              <a:schemeClr val="tx2">
                <a:lumMod val="60000"/>
                <a:lumOff val="40000"/>
              </a:schemeClr>
            </a:solidFill>
          </c:spPr>
          <c:invertIfNegative val="0"/>
          <c:val>
            <c:numRef>
              <c:f>'OTBA Charts'!$H$13</c:f>
              <c:numCache>
                <c:formatCode>General</c:formatCode>
                <c:ptCount val="1"/>
                <c:pt idx="0">
                  <c:v>11750.0</c:v>
                </c:pt>
              </c:numCache>
            </c:numRef>
          </c:val>
        </c:ser>
        <c:ser>
          <c:idx val="1"/>
          <c:order val="1"/>
          <c:tx>
            <c:v>IO Write Wait Time</c:v>
          </c:tx>
          <c:spPr>
            <a:solidFill>
              <a:srgbClr val="FF0000"/>
            </a:solidFill>
          </c:spPr>
          <c:invertIfNegative val="0"/>
          <c:val>
            <c:numRef>
              <c:f>'OTBA Charts'!$I$13</c:f>
              <c:numCache>
                <c:formatCode>General</c:formatCode>
                <c:ptCount val="1"/>
                <c:pt idx="0">
                  <c:v>0.0</c:v>
                </c:pt>
              </c:numCache>
            </c:numRef>
          </c:val>
        </c:ser>
        <c:dLbls>
          <c:showLegendKey val="0"/>
          <c:showVal val="0"/>
          <c:showCatName val="0"/>
          <c:showSerName val="0"/>
          <c:showPercent val="0"/>
          <c:showBubbleSize val="0"/>
        </c:dLbls>
        <c:gapWidth val="150"/>
        <c:overlap val="100"/>
        <c:axId val="-1856347152"/>
        <c:axId val="-1856344400"/>
      </c:barChart>
      <c:catAx>
        <c:axId val="-1856347152"/>
        <c:scaling>
          <c:orientation val="minMax"/>
        </c:scaling>
        <c:delete val="1"/>
        <c:axPos val="b"/>
        <c:majorTickMark val="out"/>
        <c:minorTickMark val="none"/>
        <c:tickLblPos val="nextTo"/>
        <c:crossAx val="-1856344400"/>
        <c:crosses val="autoZero"/>
        <c:auto val="1"/>
        <c:lblAlgn val="ctr"/>
        <c:lblOffset val="100"/>
        <c:noMultiLvlLbl val="0"/>
      </c:catAx>
      <c:valAx>
        <c:axId val="-1856344400"/>
        <c:scaling>
          <c:orientation val="minMax"/>
          <c:min val="0.0"/>
        </c:scaling>
        <c:delete val="0"/>
        <c:axPos val="l"/>
        <c:majorGridlines/>
        <c:numFmt formatCode="0%" sourceLinked="1"/>
        <c:majorTickMark val="out"/>
        <c:minorTickMark val="none"/>
        <c:tickLblPos val="nextTo"/>
        <c:crossAx val="-1856347152"/>
        <c:crosses val="autoZero"/>
        <c:crossBetween val="between"/>
      </c:valAx>
    </c:plotArea>
    <c:legend>
      <c:legendPos val="r"/>
      <c:layout>
        <c:manualLayout>
          <c:xMode val="edge"/>
          <c:yMode val="edge"/>
          <c:x val="0.0860217658896856"/>
          <c:y val="0.0161496132735401"/>
          <c:w val="0.859387663390711"/>
          <c:h val="0.0912562729658792"/>
        </c:manualLayout>
      </c:layout>
      <c:overlay val="0"/>
      <c:txPr>
        <a:bodyPr/>
        <a:lstStyle/>
        <a:p>
          <a:pPr>
            <a:defRPr sz="1800"/>
          </a:pPr>
          <a:endParaRPr lang="en-US"/>
        </a:p>
      </c:tx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100000366233291"/>
          <c:y val="0.0344514959202176"/>
        </c:manualLayout>
      </c:layout>
      <c:overlay val="0"/>
    </c:title>
    <c:autoTitleDeleted val="0"/>
    <c:plotArea>
      <c:layout>
        <c:manualLayout>
          <c:layoutTarget val="inner"/>
          <c:xMode val="edge"/>
          <c:yMode val="edge"/>
          <c:x val="0.179671122505036"/>
          <c:y val="0.13780598368087"/>
          <c:w val="0.656184215345175"/>
          <c:h val="0.838621940163191"/>
        </c:manualLayout>
      </c:layout>
      <c:barChart>
        <c:barDir val="col"/>
        <c:grouping val="percentStacked"/>
        <c:varyColors val="0"/>
        <c:ser>
          <c:idx val="0"/>
          <c:order val="0"/>
          <c:tx>
            <c:v>Total Time (~DB Time)</c:v>
          </c:tx>
          <c:invertIfNegative val="0"/>
          <c:val>
            <c:numRef>
              <c:f>'OTBA Charts'!$B$8</c:f>
              <c:numCache>
                <c:formatCode>General</c:formatCode>
                <c:ptCount val="1"/>
                <c:pt idx="0">
                  <c:v>18750.0</c:v>
                </c:pt>
              </c:numCache>
            </c:numRef>
          </c:val>
        </c:ser>
        <c:dLbls>
          <c:showLegendKey val="0"/>
          <c:showVal val="0"/>
          <c:showCatName val="0"/>
          <c:showSerName val="0"/>
          <c:showPercent val="0"/>
          <c:showBubbleSize val="0"/>
        </c:dLbls>
        <c:gapWidth val="150"/>
        <c:overlap val="100"/>
        <c:axId val="-1856324960"/>
        <c:axId val="-1856322208"/>
      </c:barChart>
      <c:catAx>
        <c:axId val="-1856324960"/>
        <c:scaling>
          <c:orientation val="minMax"/>
        </c:scaling>
        <c:delete val="1"/>
        <c:axPos val="b"/>
        <c:majorTickMark val="out"/>
        <c:minorTickMark val="none"/>
        <c:tickLblPos val="nextTo"/>
        <c:crossAx val="-1856322208"/>
        <c:crosses val="autoZero"/>
        <c:auto val="1"/>
        <c:lblAlgn val="ctr"/>
        <c:lblOffset val="100"/>
        <c:noMultiLvlLbl val="0"/>
      </c:catAx>
      <c:valAx>
        <c:axId val="-1856322208"/>
        <c:scaling>
          <c:orientation val="minMax"/>
        </c:scaling>
        <c:delete val="0"/>
        <c:axPos val="l"/>
        <c:majorGridlines/>
        <c:numFmt formatCode="0%" sourceLinked="1"/>
        <c:majorTickMark val="out"/>
        <c:minorTickMark val="none"/>
        <c:tickLblPos val="nextTo"/>
        <c:crossAx val="-18563249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349250</xdr:colOff>
      <xdr:row>2</xdr:row>
      <xdr:rowOff>25400</xdr:rowOff>
    </xdr:from>
    <xdr:to>
      <xdr:col>6</xdr:col>
      <xdr:colOff>190500</xdr:colOff>
      <xdr:row>45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400050</xdr:colOff>
      <xdr:row>1</xdr:row>
      <xdr:rowOff>114300</xdr:rowOff>
    </xdr:from>
    <xdr:to>
      <xdr:col>9</xdr:col>
      <xdr:colOff>292100</xdr:colOff>
      <xdr:row>45</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1</xdr:row>
      <xdr:rowOff>107950</xdr:rowOff>
    </xdr:from>
    <xdr:to>
      <xdr:col>12</xdr:col>
      <xdr:colOff>215900</xdr:colOff>
      <xdr:row>45</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317500</xdr:colOff>
      <xdr:row>2</xdr:row>
      <xdr:rowOff>19050</xdr:rowOff>
    </xdr:from>
    <xdr:to>
      <xdr:col>3</xdr:col>
      <xdr:colOff>190500</xdr:colOff>
      <xdr:row>45</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7"/>
  <sheetViews>
    <sheetView showGridLines="0" tabSelected="1" showRuler="0" workbookViewId="0">
      <selection activeCell="B29" sqref="B29"/>
    </sheetView>
  </sheetViews>
  <sheetFormatPr baseColWidth="10" defaultRowHeight="13" x14ac:dyDescent="0.15"/>
  <cols>
    <col min="1" max="1" width="10.83203125" style="21"/>
    <col min="2" max="2" width="121.1640625" style="21" customWidth="1"/>
    <col min="3" max="16384" width="10.83203125" style="21"/>
  </cols>
  <sheetData>
    <row r="3" spans="2:2" ht="25" x14ac:dyDescent="0.25">
      <c r="B3" s="20" t="s">
        <v>130</v>
      </c>
    </row>
    <row r="4" spans="2:2" ht="25" x14ac:dyDescent="0.25">
      <c r="B4" s="20"/>
    </row>
    <row r="5" spans="2:2" ht="25" x14ac:dyDescent="0.25">
      <c r="B5" s="20" t="s">
        <v>126</v>
      </c>
    </row>
    <row r="6" spans="2:2" ht="25" x14ac:dyDescent="0.25">
      <c r="B6" s="20"/>
    </row>
    <row r="7" spans="2:2" ht="25" x14ac:dyDescent="0.25">
      <c r="B7" s="20" t="s">
        <v>26</v>
      </c>
    </row>
    <row r="10" spans="2:2" ht="40" x14ac:dyDescent="0.2">
      <c r="B10" s="30" t="s">
        <v>75</v>
      </c>
    </row>
    <row r="11" spans="2:2" ht="43" customHeight="1" x14ac:dyDescent="0.15">
      <c r="B11" s="33" t="s">
        <v>120</v>
      </c>
    </row>
    <row r="13" spans="2:2" x14ac:dyDescent="0.15">
      <c r="B13" s="21" t="s">
        <v>27</v>
      </c>
    </row>
    <row r="15" spans="2:2" x14ac:dyDescent="0.15">
      <c r="B15" s="21" t="s">
        <v>28</v>
      </c>
    </row>
    <row r="17" spans="2:2" x14ac:dyDescent="0.15">
      <c r="B17" s="21" t="s">
        <v>127</v>
      </c>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showRuler="0" zoomScale="150" zoomScaleNormal="150" zoomScalePageLayoutView="150" workbookViewId="0">
      <pane ySplit="2" topLeftCell="A3" activePane="bottomLeft" state="frozen"/>
      <selection pane="bottomLeft" activeCell="J22" sqref="J22"/>
    </sheetView>
  </sheetViews>
  <sheetFormatPr baseColWidth="10" defaultRowHeight="13" x14ac:dyDescent="0.15"/>
  <cols>
    <col min="1" max="1" width="2.5" customWidth="1"/>
    <col min="2" max="3" width="3" customWidth="1"/>
    <col min="4" max="4" width="8.5" customWidth="1"/>
    <col min="5" max="5" width="17.1640625" customWidth="1"/>
    <col min="6" max="7" width="10.6640625" customWidth="1"/>
    <col min="8" max="8" width="11.1640625" customWidth="1"/>
    <col min="9" max="10" width="10.6640625" customWidth="1"/>
    <col min="11" max="11" width="12" customWidth="1"/>
  </cols>
  <sheetData>
    <row r="1" spans="1:11" s="17" customFormat="1" ht="22" customHeight="1" x14ac:dyDescent="0.15">
      <c r="A1" s="12" t="s">
        <v>110</v>
      </c>
    </row>
    <row r="2" spans="1:11" s="18" customFormat="1" ht="16" customHeight="1" x14ac:dyDescent="0.15">
      <c r="F2" s="18" t="s">
        <v>55</v>
      </c>
      <c r="I2" s="2" t="s">
        <v>66</v>
      </c>
      <c r="J2" s="2" t="s">
        <v>107</v>
      </c>
      <c r="K2" s="2" t="s">
        <v>109</v>
      </c>
    </row>
    <row r="3" spans="1:11" x14ac:dyDescent="0.15">
      <c r="A3" s="1" t="s">
        <v>108</v>
      </c>
      <c r="E3" s="36">
        <v>20000</v>
      </c>
    </row>
    <row r="4" spans="1:11" x14ac:dyDescent="0.15">
      <c r="A4" s="1"/>
    </row>
    <row r="5" spans="1:11" x14ac:dyDescent="0.15">
      <c r="A5" s="1" t="s">
        <v>111</v>
      </c>
      <c r="E5" s="34">
        <f>F6+F10</f>
        <v>18750</v>
      </c>
      <c r="F5" t="s">
        <v>80</v>
      </c>
      <c r="K5" s="35">
        <f>tot_rt/db_time</f>
        <v>0.9375</v>
      </c>
    </row>
    <row r="6" spans="1:11" x14ac:dyDescent="0.15">
      <c r="B6" s="1" t="s">
        <v>106</v>
      </c>
      <c r="F6" s="38">
        <f>I7+I8</f>
        <v>5000</v>
      </c>
      <c r="G6" t="s">
        <v>80</v>
      </c>
      <c r="K6" s="35">
        <f>tot_st/db_time</f>
        <v>0.25</v>
      </c>
    </row>
    <row r="7" spans="1:11" x14ac:dyDescent="0.15">
      <c r="C7" s="1" t="s">
        <v>59</v>
      </c>
      <c r="I7" s="6">
        <v>4000</v>
      </c>
      <c r="K7" s="35">
        <f>I7/db_time</f>
        <v>0.2</v>
      </c>
    </row>
    <row r="8" spans="1:11" x14ac:dyDescent="0.15">
      <c r="C8" s="1" t="s">
        <v>60</v>
      </c>
      <c r="I8" s="6">
        <v>1000</v>
      </c>
      <c r="K8" s="35">
        <f>I8/db_time</f>
        <v>0.05</v>
      </c>
    </row>
    <row r="9" spans="1:11" x14ac:dyDescent="0.15">
      <c r="K9" s="35"/>
    </row>
    <row r="10" spans="1:11" x14ac:dyDescent="0.15">
      <c r="B10" s="1" t="s">
        <v>105</v>
      </c>
      <c r="F10" s="38">
        <f>G11+G20</f>
        <v>13750</v>
      </c>
      <c r="G10" t="s">
        <v>80</v>
      </c>
      <c r="K10" s="35">
        <f>tot_qt/db_time</f>
        <v>0.6875</v>
      </c>
    </row>
    <row r="11" spans="1:11" x14ac:dyDescent="0.15">
      <c r="C11" s="1" t="s">
        <v>44</v>
      </c>
      <c r="G11" s="37">
        <f>H12+H16</f>
        <v>11750</v>
      </c>
      <c r="H11" t="s">
        <v>80</v>
      </c>
      <c r="J11" s="3" t="s">
        <v>55</v>
      </c>
      <c r="K11" s="35">
        <f>tot_qt_io/db_time</f>
        <v>0.58750000000000002</v>
      </c>
    </row>
    <row r="12" spans="1:11" x14ac:dyDescent="0.15">
      <c r="C12" t="s">
        <v>55</v>
      </c>
      <c r="D12" s="1" t="s">
        <v>56</v>
      </c>
      <c r="H12" s="37">
        <f>SUM(I13:I15)</f>
        <v>11750</v>
      </c>
      <c r="I12" t="s">
        <v>80</v>
      </c>
      <c r="J12" s="3" t="s">
        <v>55</v>
      </c>
      <c r="K12" s="35">
        <f>tot_qt_io_r/db_time</f>
        <v>0.58750000000000002</v>
      </c>
    </row>
    <row r="13" spans="1:11" x14ac:dyDescent="0.15">
      <c r="C13" t="s">
        <v>55</v>
      </c>
      <c r="D13">
        <v>1</v>
      </c>
      <c r="E13" s="5" t="s">
        <v>122</v>
      </c>
      <c r="I13" s="6">
        <v>9000</v>
      </c>
      <c r="J13" s="6">
        <v>19</v>
      </c>
      <c r="K13" s="35">
        <f>I13/db_time</f>
        <v>0.45</v>
      </c>
    </row>
    <row r="14" spans="1:11" x14ac:dyDescent="0.15">
      <c r="C14" t="s">
        <v>55</v>
      </c>
      <c r="D14">
        <v>2</v>
      </c>
      <c r="E14" s="5" t="s">
        <v>123</v>
      </c>
      <c r="I14" s="6">
        <v>2000</v>
      </c>
      <c r="J14" s="6">
        <v>25</v>
      </c>
      <c r="K14" s="35">
        <f>I14/db_time</f>
        <v>0.1</v>
      </c>
    </row>
    <row r="15" spans="1:11" x14ac:dyDescent="0.15">
      <c r="C15" t="s">
        <v>55</v>
      </c>
      <c r="D15">
        <v>3</v>
      </c>
      <c r="E15" s="5" t="s">
        <v>125</v>
      </c>
      <c r="I15" s="6">
        <v>750</v>
      </c>
      <c r="J15" s="6">
        <v>10</v>
      </c>
      <c r="K15" s="35">
        <f>I15/db_time</f>
        <v>3.7499999999999999E-2</v>
      </c>
    </row>
    <row r="16" spans="1:11" x14ac:dyDescent="0.15">
      <c r="C16" t="s">
        <v>55</v>
      </c>
      <c r="D16" s="1" t="s">
        <v>57</v>
      </c>
      <c r="H16" s="37">
        <f>SUM(I17:I19)</f>
        <v>0</v>
      </c>
      <c r="I16" t="s">
        <v>80</v>
      </c>
      <c r="J16" s="3" t="s">
        <v>55</v>
      </c>
      <c r="K16" s="35">
        <f>tot_qt_io_w/db_time</f>
        <v>0</v>
      </c>
    </row>
    <row r="17" spans="1:11" x14ac:dyDescent="0.15">
      <c r="D17">
        <v>1</v>
      </c>
      <c r="E17" s="7" t="s">
        <v>55</v>
      </c>
      <c r="I17" s="6">
        <v>0</v>
      </c>
      <c r="J17" s="6">
        <v>0</v>
      </c>
      <c r="K17" s="35">
        <f t="shared" ref="K17:K25" si="0">I17/db_time</f>
        <v>0</v>
      </c>
    </row>
    <row r="18" spans="1:11" x14ac:dyDescent="0.15">
      <c r="D18">
        <v>2</v>
      </c>
      <c r="E18" s="5" t="s">
        <v>55</v>
      </c>
      <c r="I18" s="6">
        <v>0</v>
      </c>
      <c r="J18" s="6">
        <v>0</v>
      </c>
      <c r="K18" s="35">
        <f t="shared" si="0"/>
        <v>0</v>
      </c>
    </row>
    <row r="19" spans="1:11" x14ac:dyDescent="0.15">
      <c r="D19">
        <v>3</v>
      </c>
      <c r="E19" s="5"/>
      <c r="I19" s="6">
        <v>0</v>
      </c>
      <c r="J19" s="6">
        <v>0</v>
      </c>
      <c r="K19" s="35">
        <f t="shared" si="0"/>
        <v>0</v>
      </c>
    </row>
    <row r="20" spans="1:11" x14ac:dyDescent="0.15">
      <c r="C20" s="1" t="s">
        <v>58</v>
      </c>
      <c r="G20" s="37">
        <f>SUM(I21:I23)</f>
        <v>2000</v>
      </c>
      <c r="H20" t="s">
        <v>80</v>
      </c>
      <c r="J20" s="3" t="s">
        <v>55</v>
      </c>
      <c r="K20" s="35">
        <f t="shared" si="0"/>
        <v>0</v>
      </c>
    </row>
    <row r="21" spans="1:11" x14ac:dyDescent="0.15">
      <c r="D21">
        <v>1</v>
      </c>
      <c r="E21" s="5" t="s">
        <v>124</v>
      </c>
      <c r="I21" s="6">
        <v>2000</v>
      </c>
      <c r="J21" s="6">
        <v>5000</v>
      </c>
      <c r="K21" s="35">
        <f t="shared" si="0"/>
        <v>0.1</v>
      </c>
    </row>
    <row r="22" spans="1:11" x14ac:dyDescent="0.15">
      <c r="D22">
        <v>2</v>
      </c>
      <c r="E22" s="5" t="s">
        <v>55</v>
      </c>
      <c r="I22" s="6">
        <v>0</v>
      </c>
      <c r="J22" s="6">
        <v>0</v>
      </c>
      <c r="K22" s="35">
        <f t="shared" si="0"/>
        <v>0</v>
      </c>
    </row>
    <row r="23" spans="1:11" x14ac:dyDescent="0.15">
      <c r="D23">
        <v>3</v>
      </c>
      <c r="E23" s="5" t="s">
        <v>55</v>
      </c>
      <c r="I23" s="6">
        <v>0</v>
      </c>
      <c r="J23" s="6">
        <v>0</v>
      </c>
      <c r="K23" s="35">
        <f t="shared" si="0"/>
        <v>0</v>
      </c>
    </row>
    <row r="24" spans="1:11" x14ac:dyDescent="0.15">
      <c r="K24" s="35">
        <f t="shared" si="0"/>
        <v>0</v>
      </c>
    </row>
    <row r="25" spans="1:11" x14ac:dyDescent="0.15">
      <c r="A25" s="1" t="s">
        <v>121</v>
      </c>
      <c r="I25" s="39">
        <f>db_time-tot_rt-I8</f>
        <v>250</v>
      </c>
      <c r="J25" t="s">
        <v>80</v>
      </c>
      <c r="K25" s="35">
        <f t="shared" si="0"/>
        <v>1.2500000000000001E-2</v>
      </c>
    </row>
  </sheetData>
  <phoneticPr fontId="4"/>
  <pageMargins left="0.75" right="0.75" top="1" bottom="1" header="0.5" footer="0.5"/>
  <pageSetup orientation="portrait" horizontalDpi="4294967292" verticalDpi="4294967292"/>
  <ignoredErrors>
    <ignoredError sqref="K16:K19 K21:K23" formula="1"/>
    <ignoredError sqref="K20 K24" formula="1" emptyCellReference="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3"/>
  <sheetViews>
    <sheetView showRuler="0" workbookViewId="0">
      <selection activeCell="E50" sqref="E50"/>
    </sheetView>
  </sheetViews>
  <sheetFormatPr baseColWidth="10" defaultRowHeight="13" x14ac:dyDescent="0.15"/>
  <sheetData>
    <row r="5" spans="2:9" x14ac:dyDescent="0.15">
      <c r="B5">
        <f>tot_st</f>
        <v>5000</v>
      </c>
      <c r="C5">
        <f>tot_qt</f>
        <v>13750</v>
      </c>
    </row>
    <row r="6" spans="2:9" x14ac:dyDescent="0.15">
      <c r="B6" t="s">
        <v>55</v>
      </c>
    </row>
    <row r="8" spans="2:9" x14ac:dyDescent="0.15">
      <c r="B8">
        <f>tot_rt</f>
        <v>18750</v>
      </c>
    </row>
    <row r="10" spans="2:9" x14ac:dyDescent="0.15">
      <c r="H10">
        <f>tot_qt_io</f>
        <v>11750</v>
      </c>
      <c r="I10">
        <f>tot_qt_other</f>
        <v>2000</v>
      </c>
    </row>
    <row r="13" spans="2:9" x14ac:dyDescent="0.15">
      <c r="H13">
        <f>tot_qt_io_r</f>
        <v>11750</v>
      </c>
      <c r="I13">
        <f>tot_qt_io_w</f>
        <v>0</v>
      </c>
    </row>
  </sheetData>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
  <sheetViews>
    <sheetView showRuler="0" zoomScale="140" zoomScaleNormal="140" zoomScalePageLayoutView="140" workbookViewId="0">
      <selection activeCell="B8" sqref="B8"/>
    </sheetView>
  </sheetViews>
  <sheetFormatPr baseColWidth="10" defaultRowHeight="13" x14ac:dyDescent="0.15"/>
  <cols>
    <col min="1" max="1" width="13.5" customWidth="1"/>
    <col min="2" max="2" width="13.33203125" customWidth="1"/>
    <col min="3" max="3" width="14.83203125" customWidth="1"/>
    <col min="4" max="4" width="12.83203125" customWidth="1"/>
    <col min="5" max="5" width="14.6640625" customWidth="1"/>
    <col min="6" max="6" width="11" customWidth="1"/>
    <col min="7" max="7" width="13.6640625" customWidth="1"/>
  </cols>
  <sheetData>
    <row r="1" spans="1:8" s="12" customFormat="1" ht="21" customHeight="1" x14ac:dyDescent="0.15">
      <c r="A1" s="12" t="s">
        <v>81</v>
      </c>
    </row>
    <row r="2" spans="1:8" ht="33" customHeight="1" x14ac:dyDescent="0.15">
      <c r="A2" s="13" t="s">
        <v>82</v>
      </c>
      <c r="B2" s="13" t="s">
        <v>83</v>
      </c>
      <c r="C2" s="13" t="s">
        <v>84</v>
      </c>
      <c r="D2" s="13" t="s">
        <v>87</v>
      </c>
      <c r="E2" s="13" t="s">
        <v>88</v>
      </c>
      <c r="F2" s="13" t="s">
        <v>36</v>
      </c>
      <c r="G2" s="13" t="s">
        <v>37</v>
      </c>
    </row>
    <row r="3" spans="1:8" x14ac:dyDescent="0.15">
      <c r="A3" t="s">
        <v>89</v>
      </c>
      <c r="B3" s="22">
        <v>0</v>
      </c>
      <c r="C3" s="15">
        <f>IFERROR(1000*tot_st/wl_bc,0)</f>
        <v>0</v>
      </c>
      <c r="D3" s="15">
        <f>IFERROR(1000*tot_qt/wl_bc,0)</f>
        <v>0</v>
      </c>
      <c r="E3" s="15">
        <f t="shared" ref="E3:E8" si="0">D3+C3</f>
        <v>0</v>
      </c>
      <c r="F3" s="16">
        <f t="shared" ref="F3:F8" si="1">G3/1000</f>
        <v>0</v>
      </c>
      <c r="G3" s="16">
        <f>wl_bc/interval_s</f>
        <v>0</v>
      </c>
      <c r="H3" s="3" t="s">
        <v>55</v>
      </c>
    </row>
    <row r="4" spans="1:8" x14ac:dyDescent="0.15">
      <c r="A4" t="s">
        <v>52</v>
      </c>
      <c r="B4" s="7">
        <v>0</v>
      </c>
      <c r="C4" s="15">
        <f>IFERROR(1000*tot_st/wl_pio,0)</f>
        <v>0</v>
      </c>
      <c r="D4" s="15">
        <f>IFERROR(1000*tot_qt/wl_pio,0)</f>
        <v>0</v>
      </c>
      <c r="E4" s="15">
        <f t="shared" si="0"/>
        <v>0</v>
      </c>
      <c r="F4" s="16">
        <f t="shared" si="1"/>
        <v>0</v>
      </c>
      <c r="G4" s="16">
        <f>wl_pio/interval_s</f>
        <v>0</v>
      </c>
      <c r="H4" s="4" t="s">
        <v>55</v>
      </c>
    </row>
    <row r="5" spans="1:8" x14ac:dyDescent="0.15">
      <c r="A5" t="s">
        <v>53</v>
      </c>
      <c r="B5" s="22">
        <v>0</v>
      </c>
      <c r="C5" s="15">
        <f>IFERROR(1000*tot_st/wl_pio_reqs,0)</f>
        <v>0</v>
      </c>
      <c r="D5" s="15">
        <f>IFERROR(1000*tot_qt/wl_pio_reqs,0)</f>
        <v>0</v>
      </c>
      <c r="E5" s="15">
        <f t="shared" si="0"/>
        <v>0</v>
      </c>
      <c r="F5" s="16">
        <f t="shared" si="1"/>
        <v>0</v>
      </c>
      <c r="G5" s="16">
        <f>wl_pio_reqs/interval_s</f>
        <v>0</v>
      </c>
      <c r="H5" s="4"/>
    </row>
    <row r="6" spans="1:8" x14ac:dyDescent="0.15">
      <c r="A6" t="s">
        <v>90</v>
      </c>
      <c r="B6" s="22">
        <v>413461765</v>
      </c>
      <c r="C6" s="15">
        <f>IFERROR(1000*tot_st/wl_lio,0)</f>
        <v>1.2093016629965772E-2</v>
      </c>
      <c r="D6" s="15">
        <f>IFERROR(1000*tot_qt/wl_lio,0)</f>
        <v>3.325579573240587E-2</v>
      </c>
      <c r="E6" s="15">
        <f t="shared" si="0"/>
        <v>4.5348812362371642E-2</v>
      </c>
      <c r="F6" s="16">
        <f t="shared" si="1"/>
        <v>114.85049027777778</v>
      </c>
      <c r="G6" s="16">
        <f>wl_lio/interval_s</f>
        <v>114850.49027777778</v>
      </c>
      <c r="H6" s="4" t="s">
        <v>55</v>
      </c>
    </row>
    <row r="7" spans="1:8" x14ac:dyDescent="0.15">
      <c r="A7" t="s">
        <v>91</v>
      </c>
      <c r="B7" s="22">
        <v>2305897</v>
      </c>
      <c r="C7" s="15">
        <f>IFERROR(1000*tot_st/wl_exec,0)</f>
        <v>2.1683535734683725</v>
      </c>
      <c r="D7" s="15">
        <f>IFERROR(1000*tot_qt/wl_exec,0)</f>
        <v>5.9629723270380248</v>
      </c>
      <c r="E7" s="15">
        <f t="shared" si="0"/>
        <v>8.1313259005063969</v>
      </c>
      <c r="F7" s="16">
        <f t="shared" si="1"/>
        <v>0.64052694444444447</v>
      </c>
      <c r="G7" s="16">
        <f>wl_exec/interval_s</f>
        <v>640.52694444444444</v>
      </c>
      <c r="H7" s="4" t="s">
        <v>55</v>
      </c>
    </row>
    <row r="8" spans="1:8" x14ac:dyDescent="0.15">
      <c r="A8" t="s">
        <v>92</v>
      </c>
      <c r="B8" s="22">
        <v>0</v>
      </c>
      <c r="C8" s="15">
        <f>IFERROR(1000*tot_st/wl_uc,0)</f>
        <v>0</v>
      </c>
      <c r="D8" s="15">
        <f>IFERROR(1000*tot_qt/wl_uc,0)</f>
        <v>0</v>
      </c>
      <c r="E8" s="15">
        <f t="shared" si="0"/>
        <v>0</v>
      </c>
      <c r="F8" s="16">
        <f t="shared" si="1"/>
        <v>0</v>
      </c>
      <c r="G8" s="16">
        <f>wl_uc/interval_s</f>
        <v>0</v>
      </c>
      <c r="H8" s="4" t="s">
        <v>55</v>
      </c>
    </row>
    <row r="9" spans="1:8" x14ac:dyDescent="0.15">
      <c r="H9" t="s">
        <v>55</v>
      </c>
    </row>
    <row r="10" spans="1:8" x14ac:dyDescent="0.15">
      <c r="A10" t="s">
        <v>62</v>
      </c>
      <c r="B10" s="6">
        <f>60*60</f>
        <v>3600</v>
      </c>
      <c r="C10" t="s">
        <v>80</v>
      </c>
    </row>
  </sheetData>
  <phoneticPr fontId="4"/>
  <pageMargins left="0.75" right="0.75" top="1" bottom="1" header="0.5" footer="0.5"/>
  <pageSetup paperSize="0" orientation="portrait" horizontalDpi="4294967292" verticalDpi="4294967292"/>
  <ignoredErrors>
    <ignoredError sqref="G4" 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
  <sheetViews>
    <sheetView showGridLines="0" showRuler="0" workbookViewId="0">
      <selection activeCell="A3" sqref="A3"/>
    </sheetView>
  </sheetViews>
  <sheetFormatPr baseColWidth="10" defaultRowHeight="13" x14ac:dyDescent="0.15"/>
  <cols>
    <col min="1" max="1" width="13.6640625" customWidth="1"/>
    <col min="2" max="2" width="10.5" customWidth="1"/>
    <col min="3" max="3" width="8.5" customWidth="1"/>
    <col min="4" max="4" width="12.5" customWidth="1"/>
    <col min="5" max="5" width="9.33203125" customWidth="1"/>
    <col min="6" max="6" width="11" customWidth="1"/>
    <col min="7" max="7" width="5.5" customWidth="1"/>
    <col min="8" max="8" width="5.33203125" customWidth="1"/>
    <col min="9" max="9" width="5" customWidth="1"/>
    <col min="10" max="10" width="10.5" customWidth="1"/>
    <col min="11" max="11" width="9.83203125" customWidth="1"/>
    <col min="12" max="12" width="9.5" customWidth="1"/>
  </cols>
  <sheetData>
    <row r="1" spans="1:15" s="17" customFormat="1" ht="21" customHeight="1" x14ac:dyDescent="0.15">
      <c r="A1" s="12" t="s">
        <v>93</v>
      </c>
    </row>
    <row r="2" spans="1:15" ht="51" customHeight="1" x14ac:dyDescent="0.15">
      <c r="A2" s="13" t="s">
        <v>38</v>
      </c>
      <c r="B2" s="13" t="s">
        <v>94</v>
      </c>
      <c r="C2" s="13" t="s">
        <v>95</v>
      </c>
      <c r="D2" s="13" t="s">
        <v>96</v>
      </c>
      <c r="E2" s="13" t="s">
        <v>97</v>
      </c>
      <c r="F2" s="13" t="s">
        <v>99</v>
      </c>
      <c r="G2" s="13" t="s">
        <v>100</v>
      </c>
      <c r="H2" s="13" t="s">
        <v>101</v>
      </c>
      <c r="I2" s="13" t="s">
        <v>102</v>
      </c>
      <c r="J2" s="13" t="s">
        <v>24</v>
      </c>
      <c r="K2" s="13" t="s">
        <v>25</v>
      </c>
      <c r="L2" s="13" t="s">
        <v>1</v>
      </c>
      <c r="M2" s="13" t="s">
        <v>2</v>
      </c>
      <c r="N2" s="13" t="s">
        <v>54</v>
      </c>
      <c r="O2" s="28" t="s">
        <v>98</v>
      </c>
    </row>
    <row r="3" spans="1:15" x14ac:dyDescent="0.15">
      <c r="A3" s="5">
        <v>314328380</v>
      </c>
      <c r="B3" s="6">
        <v>497518.8</v>
      </c>
      <c r="C3" s="5">
        <v>0</v>
      </c>
      <c r="D3" s="7">
        <v>1182585272</v>
      </c>
      <c r="E3" s="6">
        <v>14456.36</v>
      </c>
      <c r="F3" s="19">
        <v>7000</v>
      </c>
      <c r="G3" s="19" t="s">
        <v>55</v>
      </c>
      <c r="H3" s="19" t="s">
        <v>55</v>
      </c>
      <c r="I3" s="5" t="s">
        <v>64</v>
      </c>
      <c r="J3" s="15">
        <f>B3/F3</f>
        <v>71.074114285714288</v>
      </c>
      <c r="K3" s="27">
        <f>E3/F3</f>
        <v>2.065194285714286</v>
      </c>
      <c r="L3" s="27">
        <f>C3/F3</f>
        <v>0</v>
      </c>
      <c r="M3" s="3">
        <f>D3/F3</f>
        <v>168940.75314285714</v>
      </c>
      <c r="N3" s="25">
        <f>F3/interval_s</f>
        <v>1.9444444444444444</v>
      </c>
      <c r="O3">
        <f>D3/interval_s/1000</f>
        <v>328.49590888888889</v>
      </c>
    </row>
    <row r="4" spans="1:15" x14ac:dyDescent="0.15">
      <c r="A4" s="14" t="s">
        <v>55</v>
      </c>
      <c r="B4" s="6" t="s">
        <v>55</v>
      </c>
      <c r="C4" s="5" t="s">
        <v>55</v>
      </c>
      <c r="D4" s="7" t="s">
        <v>55</v>
      </c>
      <c r="E4" s="6" t="s">
        <v>55</v>
      </c>
      <c r="F4" s="19" t="s">
        <v>55</v>
      </c>
      <c r="G4" s="19" t="s">
        <v>55</v>
      </c>
      <c r="H4" s="19" t="s">
        <v>55</v>
      </c>
      <c r="I4" s="5" t="s">
        <v>55</v>
      </c>
      <c r="J4" s="4" t="e">
        <f t="shared" ref="J4:J10" si="0">B4/F4</f>
        <v>#VALUE!</v>
      </c>
      <c r="K4" s="4" t="e">
        <f t="shared" ref="K4:K10" si="1">E4/F4</f>
        <v>#VALUE!</v>
      </c>
      <c r="L4" s="4" t="e">
        <f t="shared" ref="L4:L10" si="2">C4/F4</f>
        <v>#VALUE!</v>
      </c>
      <c r="M4" s="4" t="e">
        <f t="shared" ref="M4:M10" si="3">D4/F4</f>
        <v>#VALUE!</v>
      </c>
      <c r="N4" s="25" t="e">
        <f t="shared" ref="N4:N10" si="4">F4/interval_s</f>
        <v>#VALUE!</v>
      </c>
      <c r="O4" s="29" t="e">
        <f t="shared" ref="O4:O10" si="5">D4/interval_s/1000</f>
        <v>#VALUE!</v>
      </c>
    </row>
    <row r="5" spans="1:15" x14ac:dyDescent="0.15">
      <c r="A5" s="5" t="s">
        <v>55</v>
      </c>
      <c r="B5" s="6" t="s">
        <v>55</v>
      </c>
      <c r="C5" s="5" t="s">
        <v>55</v>
      </c>
      <c r="D5" s="7" t="s">
        <v>55</v>
      </c>
      <c r="E5" s="6" t="s">
        <v>55</v>
      </c>
      <c r="F5" s="19" t="s">
        <v>55</v>
      </c>
      <c r="G5" s="19" t="s">
        <v>55</v>
      </c>
      <c r="H5" s="19" t="s">
        <v>55</v>
      </c>
      <c r="I5" s="5" t="s">
        <v>55</v>
      </c>
      <c r="J5" s="4" t="e">
        <f t="shared" si="0"/>
        <v>#VALUE!</v>
      </c>
      <c r="K5" s="4" t="e">
        <f t="shared" si="1"/>
        <v>#VALUE!</v>
      </c>
      <c r="L5" s="4" t="e">
        <f t="shared" si="2"/>
        <v>#VALUE!</v>
      </c>
      <c r="M5" s="4" t="e">
        <f t="shared" si="3"/>
        <v>#VALUE!</v>
      </c>
      <c r="N5" s="26" t="e">
        <f t="shared" si="4"/>
        <v>#VALUE!</v>
      </c>
      <c r="O5" s="29" t="e">
        <f t="shared" si="5"/>
        <v>#VALUE!</v>
      </c>
    </row>
    <row r="6" spans="1:15" x14ac:dyDescent="0.15">
      <c r="A6" s="5" t="s">
        <v>55</v>
      </c>
      <c r="B6" s="6" t="s">
        <v>55</v>
      </c>
      <c r="C6" s="5" t="s">
        <v>55</v>
      </c>
      <c r="D6" s="7" t="s">
        <v>55</v>
      </c>
      <c r="E6" s="6" t="s">
        <v>55</v>
      </c>
      <c r="F6" s="19" t="s">
        <v>55</v>
      </c>
      <c r="G6" s="19" t="s">
        <v>55</v>
      </c>
      <c r="H6" s="19" t="s">
        <v>55</v>
      </c>
      <c r="I6" s="5" t="s">
        <v>55</v>
      </c>
      <c r="J6" s="4" t="e">
        <f t="shared" si="0"/>
        <v>#VALUE!</v>
      </c>
      <c r="K6" s="4" t="e">
        <f t="shared" si="1"/>
        <v>#VALUE!</v>
      </c>
      <c r="L6" s="4" t="e">
        <f t="shared" si="2"/>
        <v>#VALUE!</v>
      </c>
      <c r="M6" s="4" t="e">
        <f t="shared" si="3"/>
        <v>#VALUE!</v>
      </c>
      <c r="N6" s="26" t="e">
        <f t="shared" si="4"/>
        <v>#VALUE!</v>
      </c>
      <c r="O6" s="29" t="e">
        <f t="shared" si="5"/>
        <v>#VALUE!</v>
      </c>
    </row>
    <row r="7" spans="1:15" x14ac:dyDescent="0.15">
      <c r="A7" s="5" t="s">
        <v>55</v>
      </c>
      <c r="B7" s="6" t="s">
        <v>55</v>
      </c>
      <c r="C7" s="5" t="s">
        <v>55</v>
      </c>
      <c r="D7" s="7" t="s">
        <v>55</v>
      </c>
      <c r="E7" s="6" t="s">
        <v>55</v>
      </c>
      <c r="F7" s="19" t="s">
        <v>55</v>
      </c>
      <c r="G7" s="19" t="s">
        <v>55</v>
      </c>
      <c r="H7" s="19" t="s">
        <v>55</v>
      </c>
      <c r="I7" s="5" t="s">
        <v>55</v>
      </c>
      <c r="J7" s="4" t="e">
        <f t="shared" si="0"/>
        <v>#VALUE!</v>
      </c>
      <c r="K7" s="4" t="e">
        <f t="shared" si="1"/>
        <v>#VALUE!</v>
      </c>
      <c r="L7" s="4" t="e">
        <f t="shared" si="2"/>
        <v>#VALUE!</v>
      </c>
      <c r="M7" s="4" t="e">
        <f t="shared" si="3"/>
        <v>#VALUE!</v>
      </c>
      <c r="N7" s="26" t="e">
        <f t="shared" si="4"/>
        <v>#VALUE!</v>
      </c>
      <c r="O7" s="29" t="e">
        <f t="shared" si="5"/>
        <v>#VALUE!</v>
      </c>
    </row>
    <row r="8" spans="1:15" x14ac:dyDescent="0.15">
      <c r="A8" s="5" t="s">
        <v>55</v>
      </c>
      <c r="B8" s="6" t="s">
        <v>55</v>
      </c>
      <c r="C8" s="5" t="s">
        <v>55</v>
      </c>
      <c r="D8" s="7" t="s">
        <v>55</v>
      </c>
      <c r="E8" s="6" t="s">
        <v>55</v>
      </c>
      <c r="F8" s="19" t="s">
        <v>55</v>
      </c>
      <c r="G8" s="19" t="s">
        <v>55</v>
      </c>
      <c r="H8" s="19" t="s">
        <v>55</v>
      </c>
      <c r="I8" s="5" t="s">
        <v>55</v>
      </c>
      <c r="J8" s="4" t="e">
        <f t="shared" si="0"/>
        <v>#VALUE!</v>
      </c>
      <c r="K8" s="4" t="e">
        <f t="shared" si="1"/>
        <v>#VALUE!</v>
      </c>
      <c r="L8" s="4" t="e">
        <f t="shared" si="2"/>
        <v>#VALUE!</v>
      </c>
      <c r="M8" s="4" t="e">
        <f t="shared" si="3"/>
        <v>#VALUE!</v>
      </c>
      <c r="N8" s="26" t="e">
        <f t="shared" si="4"/>
        <v>#VALUE!</v>
      </c>
      <c r="O8" s="29" t="e">
        <f t="shared" si="5"/>
        <v>#VALUE!</v>
      </c>
    </row>
    <row r="9" spans="1:15" x14ac:dyDescent="0.15">
      <c r="A9" s="5" t="s">
        <v>55</v>
      </c>
      <c r="B9" s="6" t="s">
        <v>55</v>
      </c>
      <c r="C9" s="5" t="s">
        <v>55</v>
      </c>
      <c r="D9" s="7" t="s">
        <v>55</v>
      </c>
      <c r="E9" s="6" t="s">
        <v>55</v>
      </c>
      <c r="F9" s="19" t="s">
        <v>55</v>
      </c>
      <c r="G9" s="19" t="s">
        <v>55</v>
      </c>
      <c r="H9" s="19" t="s">
        <v>55</v>
      </c>
      <c r="I9" s="5" t="s">
        <v>55</v>
      </c>
      <c r="J9" s="4" t="e">
        <f t="shared" si="0"/>
        <v>#VALUE!</v>
      </c>
      <c r="K9" s="4" t="e">
        <f t="shared" si="1"/>
        <v>#VALUE!</v>
      </c>
      <c r="L9" s="4" t="e">
        <f t="shared" si="2"/>
        <v>#VALUE!</v>
      </c>
      <c r="M9" s="4" t="e">
        <f t="shared" si="3"/>
        <v>#VALUE!</v>
      </c>
      <c r="N9" s="26" t="e">
        <f t="shared" si="4"/>
        <v>#VALUE!</v>
      </c>
      <c r="O9" s="29" t="e">
        <f t="shared" si="5"/>
        <v>#VALUE!</v>
      </c>
    </row>
    <row r="10" spans="1:15" x14ac:dyDescent="0.15">
      <c r="A10" s="5" t="s">
        <v>55</v>
      </c>
      <c r="B10" s="6" t="s">
        <v>55</v>
      </c>
      <c r="C10" s="5" t="s">
        <v>55</v>
      </c>
      <c r="D10" s="7" t="s">
        <v>55</v>
      </c>
      <c r="E10" s="6" t="s">
        <v>55</v>
      </c>
      <c r="F10" s="19" t="s">
        <v>55</v>
      </c>
      <c r="G10" s="19" t="s">
        <v>55</v>
      </c>
      <c r="H10" s="19" t="s">
        <v>55</v>
      </c>
      <c r="I10" s="5" t="s">
        <v>55</v>
      </c>
      <c r="J10" s="4" t="e">
        <f t="shared" si="0"/>
        <v>#VALUE!</v>
      </c>
      <c r="K10" s="4" t="e">
        <f t="shared" si="1"/>
        <v>#VALUE!</v>
      </c>
      <c r="L10" s="4" t="e">
        <f t="shared" si="2"/>
        <v>#VALUE!</v>
      </c>
      <c r="M10" s="4" t="e">
        <f t="shared" si="3"/>
        <v>#VALUE!</v>
      </c>
      <c r="N10" s="26" t="e">
        <f t="shared" si="4"/>
        <v>#VALUE!</v>
      </c>
      <c r="O10" s="29" t="e">
        <f t="shared" si="5"/>
        <v>#VALUE!</v>
      </c>
    </row>
    <row r="11" spans="1:15" x14ac:dyDescent="0.15">
      <c r="H11" t="s">
        <v>55</v>
      </c>
      <c r="N11" t="s">
        <v>55</v>
      </c>
    </row>
    <row r="12" spans="1:15" x14ac:dyDescent="0.15">
      <c r="N12" t="s">
        <v>55</v>
      </c>
    </row>
  </sheetData>
  <phoneticPr fontId="4"/>
  <pageMargins left="0.75" right="0.75" top="1" bottom="1" header="0.5" footer="0.5"/>
  <pageSetup paperSize="0"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4"/>
  <sheetViews>
    <sheetView showRuler="0" zoomScale="125" workbookViewId="0">
      <selection activeCell="C56" sqref="C56"/>
    </sheetView>
  </sheetViews>
  <sheetFormatPr baseColWidth="10" defaultRowHeight="13" x14ac:dyDescent="0.15"/>
  <cols>
    <col min="1" max="1" width="3" customWidth="1"/>
    <col min="2" max="2" width="4.5" customWidth="1"/>
    <col min="3" max="3" width="28.33203125" customWidth="1"/>
    <col min="4" max="4" width="11.83203125" customWidth="1"/>
    <col min="5" max="5" width="18.1640625" customWidth="1"/>
    <col min="6" max="6" width="12.6640625" customWidth="1"/>
    <col min="7" max="7" width="8.33203125" customWidth="1"/>
  </cols>
  <sheetData>
    <row r="1" spans="1:5" s="17" customFormat="1" ht="20" customHeight="1" x14ac:dyDescent="0.15">
      <c r="A1" s="12" t="s">
        <v>103</v>
      </c>
    </row>
    <row r="2" spans="1:5" x14ac:dyDescent="0.15">
      <c r="A2" s="1" t="s">
        <v>67</v>
      </c>
    </row>
    <row r="3" spans="1:5" x14ac:dyDescent="0.15">
      <c r="B3" t="s">
        <v>104</v>
      </c>
      <c r="D3">
        <f>5:5*interval_s</f>
        <v>3600</v>
      </c>
      <c r="E3" t="s">
        <v>113</v>
      </c>
    </row>
    <row r="4" spans="1:5" x14ac:dyDescent="0.15">
      <c r="D4" s="40">
        <f>D6+D9</f>
        <v>90729.84</v>
      </c>
      <c r="E4" t="s">
        <v>112</v>
      </c>
    </row>
    <row r="5" spans="1:5" x14ac:dyDescent="0.15">
      <c r="C5" t="s">
        <v>71</v>
      </c>
      <c r="D5" s="5">
        <v>1</v>
      </c>
    </row>
    <row r="6" spans="1:5" x14ac:dyDescent="0.15">
      <c r="C6" t="s">
        <v>114</v>
      </c>
      <c r="D6" s="5">
        <f>7159367/100</f>
        <v>71593.67</v>
      </c>
      <c r="E6" t="s">
        <v>80</v>
      </c>
    </row>
    <row r="7" spans="1:5" x14ac:dyDescent="0.15">
      <c r="C7" t="s">
        <v>62</v>
      </c>
      <c r="D7">
        <f>interval_s</f>
        <v>3600</v>
      </c>
      <c r="E7" t="s">
        <v>80</v>
      </c>
    </row>
    <row r="8" spans="1:5" x14ac:dyDescent="0.15">
      <c r="B8" t="s">
        <v>0</v>
      </c>
    </row>
    <row r="9" spans="1:5" x14ac:dyDescent="0.15">
      <c r="C9" t="s">
        <v>115</v>
      </c>
      <c r="D9" s="7">
        <f>1913617/100</f>
        <v>19136.169999999998</v>
      </c>
      <c r="E9" t="s">
        <v>80</v>
      </c>
    </row>
    <row r="11" spans="1:5" x14ac:dyDescent="0.15">
      <c r="B11" t="s">
        <v>119</v>
      </c>
    </row>
    <row r="12" spans="1:5" x14ac:dyDescent="0.15">
      <c r="C12" t="s">
        <v>116</v>
      </c>
      <c r="D12" s="8">
        <f>D9/D3</f>
        <v>5.3156027777777775</v>
      </c>
    </row>
    <row r="13" spans="1:5" x14ac:dyDescent="0.15">
      <c r="C13" t="s">
        <v>117</v>
      </c>
      <c r="D13" s="8">
        <f>D9/(D9+D6)</f>
        <v>0.21091374127850329</v>
      </c>
    </row>
    <row r="14" spans="1:5" x14ac:dyDescent="0.15">
      <c r="C14" t="s">
        <v>68</v>
      </c>
      <c r="D14" s="9">
        <v>0.23</v>
      </c>
    </row>
    <row r="15" spans="1:5" x14ac:dyDescent="0.15">
      <c r="C15" t="s">
        <v>118</v>
      </c>
      <c r="D15" s="8">
        <f>tot_st/D3</f>
        <v>1.3888888888888888</v>
      </c>
    </row>
    <row r="17" spans="1:7" x14ac:dyDescent="0.15">
      <c r="A17" s="1" t="s">
        <v>78</v>
      </c>
    </row>
    <row r="18" spans="1:7" x14ac:dyDescent="0.15">
      <c r="B18" t="s">
        <v>47</v>
      </c>
    </row>
    <row r="19" spans="1:7" x14ac:dyDescent="0.15">
      <c r="C19" t="s">
        <v>128</v>
      </c>
      <c r="D19" s="41"/>
      <c r="E19" t="s">
        <v>129</v>
      </c>
    </row>
    <row r="21" spans="1:7" x14ac:dyDescent="0.15">
      <c r="B21" t="s">
        <v>61</v>
      </c>
    </row>
    <row r="22" spans="1:7" x14ac:dyDescent="0.15">
      <c r="C22" t="s">
        <v>29</v>
      </c>
      <c r="D22" s="10">
        <f>D23+D24</f>
        <v>10.062777777777777</v>
      </c>
      <c r="E22" t="s">
        <v>79</v>
      </c>
    </row>
    <row r="23" spans="1:7" x14ac:dyDescent="0.15">
      <c r="C23" t="s">
        <v>30</v>
      </c>
      <c r="D23" s="31">
        <f>F23/interval_s</f>
        <v>6.6741666666666664</v>
      </c>
      <c r="E23" t="s">
        <v>22</v>
      </c>
      <c r="F23" s="7">
        <v>24027</v>
      </c>
    </row>
    <row r="24" spans="1:7" x14ac:dyDescent="0.15">
      <c r="C24" t="s">
        <v>31</v>
      </c>
      <c r="D24" s="31">
        <f>(F24+G24)/interval_s</f>
        <v>3.388611111111111</v>
      </c>
      <c r="E24" t="s">
        <v>45</v>
      </c>
      <c r="F24" s="7">
        <v>8885</v>
      </c>
      <c r="G24" s="7">
        <v>3314</v>
      </c>
    </row>
    <row r="25" spans="1:7" x14ac:dyDescent="0.15">
      <c r="C25" t="s">
        <v>32</v>
      </c>
      <c r="D25" s="3">
        <f>D26+D27</f>
        <v>0.19263225873311363</v>
      </c>
      <c r="E25" t="s">
        <v>35</v>
      </c>
    </row>
    <row r="26" spans="1:7" x14ac:dyDescent="0.15">
      <c r="C26" t="s">
        <v>33</v>
      </c>
      <c r="D26" s="32">
        <f>F26/interval_s</f>
        <v>7.1844618055555559E-2</v>
      </c>
      <c r="E26" t="s">
        <v>23</v>
      </c>
      <c r="F26" s="7">
        <f>33106*8192/1024/1024</f>
        <v>258.640625</v>
      </c>
    </row>
    <row r="27" spans="1:7" x14ac:dyDescent="0.15">
      <c r="C27" t="s">
        <v>34</v>
      </c>
      <c r="D27" s="32">
        <f>(F27+G27)/interval_s</f>
        <v>0.12078764067755805</v>
      </c>
      <c r="E27" t="s">
        <v>46</v>
      </c>
      <c r="F27" s="7">
        <f>30466*8192/1024/1024</f>
        <v>238.015625</v>
      </c>
      <c r="G27" s="7">
        <f>206380604/1024/1024</f>
        <v>196.81988143920898</v>
      </c>
    </row>
    <row r="30" spans="1:7" x14ac:dyDescent="0.15">
      <c r="A30" s="1" t="s">
        <v>39</v>
      </c>
    </row>
    <row r="31" spans="1:7" x14ac:dyDescent="0.15">
      <c r="B31" t="s">
        <v>40</v>
      </c>
    </row>
    <row r="32" spans="1:7" x14ac:dyDescent="0.15">
      <c r="C32" t="s">
        <v>41</v>
      </c>
      <c r="D32" s="5" t="s">
        <v>63</v>
      </c>
      <c r="E32" t="s">
        <v>65</v>
      </c>
    </row>
    <row r="33" spans="1:7" x14ac:dyDescent="0.15">
      <c r="C33" t="s">
        <v>42</v>
      </c>
      <c r="D33" s="5" t="s">
        <v>63</v>
      </c>
      <c r="E33" t="s">
        <v>65</v>
      </c>
    </row>
    <row r="34" spans="1:7" x14ac:dyDescent="0.15">
      <c r="C34" t="s">
        <v>43</v>
      </c>
      <c r="D34" s="5" t="s">
        <v>63</v>
      </c>
      <c r="E34" t="s">
        <v>65</v>
      </c>
    </row>
    <row r="36" spans="1:7" x14ac:dyDescent="0.15">
      <c r="B36" t="s">
        <v>12</v>
      </c>
      <c r="D36" s="23">
        <f>D39+D40</f>
        <v>1028.6341666666667</v>
      </c>
      <c r="E36" t="s">
        <v>4</v>
      </c>
    </row>
    <row r="37" spans="1:7" x14ac:dyDescent="0.15">
      <c r="B37" t="s">
        <v>13</v>
      </c>
      <c r="D37" s="23">
        <f>D41+D42+D43+D44</f>
        <v>377.43737521701388</v>
      </c>
      <c r="E37" t="s">
        <v>11</v>
      </c>
    </row>
    <row r="39" spans="1:7" x14ac:dyDescent="0.15">
      <c r="B39" t="s">
        <v>3</v>
      </c>
      <c r="D39" s="23">
        <f>F39/interval_s</f>
        <v>1028.6341666666667</v>
      </c>
      <c r="E39" t="s">
        <v>85</v>
      </c>
      <c r="F39" s="7">
        <v>3703083</v>
      </c>
      <c r="G39" t="s">
        <v>86</v>
      </c>
    </row>
    <row r="40" spans="1:7" x14ac:dyDescent="0.15">
      <c r="B40" t="s">
        <v>7</v>
      </c>
      <c r="D40" s="23">
        <f>F40/interval_s</f>
        <v>0</v>
      </c>
      <c r="E40" t="s">
        <v>85</v>
      </c>
      <c r="F40" s="5">
        <v>0</v>
      </c>
      <c r="G40" t="s">
        <v>86</v>
      </c>
    </row>
    <row r="41" spans="1:7" x14ac:dyDescent="0.15">
      <c r="B41" t="s">
        <v>8</v>
      </c>
      <c r="D41" s="23">
        <f>F41/1024/interval_s</f>
        <v>160.78183403862846</v>
      </c>
      <c r="E41" t="s">
        <v>11</v>
      </c>
      <c r="F41" s="7">
        <v>592706153</v>
      </c>
      <c r="G41" t="s">
        <v>10</v>
      </c>
    </row>
    <row r="42" spans="1:7" x14ac:dyDescent="0.15">
      <c r="B42" t="s">
        <v>9</v>
      </c>
      <c r="D42" s="23">
        <f>F42/1024/interval_s</f>
        <v>0</v>
      </c>
      <c r="E42" t="s">
        <v>11</v>
      </c>
      <c r="F42" s="5">
        <v>0</v>
      </c>
      <c r="G42" t="s">
        <v>10</v>
      </c>
    </row>
    <row r="43" spans="1:7" x14ac:dyDescent="0.15">
      <c r="B43" t="s">
        <v>6</v>
      </c>
      <c r="D43" s="24">
        <f>F43/1024/interval_s</f>
        <v>216.65554117838542</v>
      </c>
      <c r="E43" t="s">
        <v>11</v>
      </c>
      <c r="F43" s="7">
        <v>798678987</v>
      </c>
      <c r="G43" t="s">
        <v>10</v>
      </c>
    </row>
    <row r="44" spans="1:7" x14ac:dyDescent="0.15">
      <c r="B44" t="s">
        <v>5</v>
      </c>
      <c r="D44" s="24">
        <f>F44/1024/interval_s</f>
        <v>0</v>
      </c>
      <c r="E44" t="s">
        <v>11</v>
      </c>
      <c r="F44" s="5">
        <v>0</v>
      </c>
      <c r="G44" t="s">
        <v>10</v>
      </c>
    </row>
    <row r="47" spans="1:7" x14ac:dyDescent="0.15">
      <c r="A47" s="1" t="s">
        <v>73</v>
      </c>
    </row>
    <row r="48" spans="1:7" x14ac:dyDescent="0.15">
      <c r="A48" s="1"/>
      <c r="B48" t="s">
        <v>70</v>
      </c>
    </row>
    <row r="49" spans="2:6" x14ac:dyDescent="0.15">
      <c r="B49" t="s">
        <v>55</v>
      </c>
      <c r="C49" t="s">
        <v>69</v>
      </c>
      <c r="D49" s="6">
        <f>17171005440/1024/1024/1024</f>
        <v>15.991744995117188</v>
      </c>
      <c r="E49" t="s">
        <v>74</v>
      </c>
    </row>
    <row r="50" spans="2:6" x14ac:dyDescent="0.15">
      <c r="C50" t="s">
        <v>20</v>
      </c>
      <c r="D50" s="6">
        <v>0</v>
      </c>
      <c r="E50" t="s">
        <v>74</v>
      </c>
    </row>
    <row r="52" spans="2:6" x14ac:dyDescent="0.15">
      <c r="B52" t="s">
        <v>72</v>
      </c>
    </row>
    <row r="53" spans="2:6" x14ac:dyDescent="0.15">
      <c r="C53" t="s">
        <v>15</v>
      </c>
      <c r="D53" s="10">
        <f>(D54+D59)/1024</f>
        <v>1.5289039611816406</v>
      </c>
      <c r="E53" t="s">
        <v>74</v>
      </c>
    </row>
    <row r="54" spans="2:6" x14ac:dyDescent="0.15">
      <c r="C54" t="s">
        <v>16</v>
      </c>
      <c r="D54" s="10">
        <f>SUM(D55:D58)/1024/1024</f>
        <v>1165.59765625</v>
      </c>
      <c r="E54" t="s">
        <v>14</v>
      </c>
      <c r="F54" t="s">
        <v>55</v>
      </c>
    </row>
    <row r="55" spans="2:6" x14ac:dyDescent="0.15">
      <c r="C55" t="s">
        <v>48</v>
      </c>
      <c r="D55" s="19">
        <f>448*1024*1024</f>
        <v>469762048</v>
      </c>
      <c r="E55" t="s">
        <v>10</v>
      </c>
    </row>
    <row r="56" spans="2:6" x14ac:dyDescent="0.15">
      <c r="C56" t="s">
        <v>49</v>
      </c>
      <c r="D56" s="19">
        <f>704*1024*1024</f>
        <v>738197504</v>
      </c>
      <c r="E56" t="s">
        <v>10</v>
      </c>
    </row>
    <row r="57" spans="2:6" x14ac:dyDescent="0.15">
      <c r="C57" t="s">
        <v>50</v>
      </c>
      <c r="D57" s="19">
        <f>13924*1024</f>
        <v>14258176</v>
      </c>
      <c r="E57" t="s">
        <v>10</v>
      </c>
    </row>
    <row r="58" spans="2:6" x14ac:dyDescent="0.15">
      <c r="C58" t="s">
        <v>51</v>
      </c>
      <c r="D58" s="19">
        <v>0</v>
      </c>
      <c r="E58" t="s">
        <v>10</v>
      </c>
    </row>
    <row r="59" spans="2:6" x14ac:dyDescent="0.15">
      <c r="C59" t="s">
        <v>17</v>
      </c>
      <c r="D59" s="11">
        <v>400</v>
      </c>
      <c r="E59" t="s">
        <v>14</v>
      </c>
    </row>
    <row r="61" spans="2:6" x14ac:dyDescent="0.15">
      <c r="B61" t="s">
        <v>18</v>
      </c>
    </row>
    <row r="62" spans="2:6" x14ac:dyDescent="0.15">
      <c r="C62" t="s">
        <v>19</v>
      </c>
      <c r="D62" s="8" t="e">
        <f>D53/D50</f>
        <v>#DIV/0!</v>
      </c>
    </row>
    <row r="63" spans="2:6" x14ac:dyDescent="0.15">
      <c r="C63" t="s">
        <v>76</v>
      </c>
      <c r="D63" s="5" t="s">
        <v>63</v>
      </c>
      <c r="E63" t="s">
        <v>21</v>
      </c>
    </row>
    <row r="64" spans="2:6" x14ac:dyDescent="0.15">
      <c r="C64" t="s">
        <v>77</v>
      </c>
      <c r="D64" s="5" t="s">
        <v>63</v>
      </c>
      <c r="E64" t="s">
        <v>21</v>
      </c>
    </row>
  </sheetData>
  <phoneticPr fontId="4"/>
  <pageMargins left="0.75" right="0.75" top="1" bottom="1" header="0.5" footer="0.5"/>
  <pageSetup orientation="portrait" horizontalDpi="4294967292" verticalDpi="4294967292"/>
  <ignoredErrors>
    <ignoredError sqref="D54" formulaRange="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Welcome</vt:lpstr>
      <vt:lpstr>Ora TBA</vt:lpstr>
      <vt:lpstr>OTBA Charts</vt:lpstr>
      <vt:lpstr>Ora WL</vt:lpstr>
      <vt:lpstr>Appl</vt:lpstr>
      <vt:lpstr>OS</vt:lpstr>
    </vt:vector>
  </TitlesOfParts>
  <Company>OraPub,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Shallahamer</dc:creator>
  <cp:lastModifiedBy>Craig Shallahamer</cp:lastModifiedBy>
  <dcterms:created xsi:type="dcterms:W3CDTF">2009-06-17T16:51:06Z</dcterms:created>
  <dcterms:modified xsi:type="dcterms:W3CDTF">2018-05-05T11:44:51Z</dcterms:modified>
</cp:coreProperties>
</file>